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Dados Brutos" sheetId="1" r:id="rId1"/>
    <sheet name="Escala Likert" sheetId="2" r:id="rId2"/>
    <sheet name="Analise 1 - Categorias" sheetId="3" r:id="rId3"/>
    <sheet name="Analise 2 - Likert JEDi 2 ano" sheetId="4" r:id="rId4"/>
    <sheet name="Analise 3 - Likert JEDi 3 ano" sheetId="5" r:id="rId5"/>
    <sheet name="Analise 4 - Likert STI 2 ano" sheetId="6" r:id="rId6"/>
    <sheet name="Analise 5 - Likert STI 3 ano" sheetId="7" r:id="rId7"/>
  </sheets>
  <calcPr calcId="125725"/>
  <fileRecoveryPr repairLoad="1"/>
</workbook>
</file>

<file path=xl/calcChain.xml><?xml version="1.0" encoding="utf-8"?>
<calcChain xmlns="http://schemas.openxmlformats.org/spreadsheetml/2006/main">
  <c r="BG3" i="1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G101"/>
  <c r="BG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2"/>
  <c r="Q63" i="5"/>
  <c r="P63"/>
  <c r="Q62"/>
  <c r="P62"/>
  <c r="Q61"/>
  <c r="P61"/>
  <c r="Q60"/>
  <c r="P60"/>
  <c r="Q59"/>
  <c r="P59"/>
  <c r="Q63" i="4"/>
  <c r="P63"/>
  <c r="Q62"/>
  <c r="P62"/>
  <c r="Q61"/>
  <c r="P61"/>
  <c r="Q60"/>
  <c r="P60"/>
  <c r="Q59"/>
  <c r="P59"/>
  <c r="Q111" i="2"/>
  <c r="BF101" i="1"/>
  <c r="BE101"/>
  <c r="BF100"/>
  <c r="BE100"/>
  <c r="BF99"/>
  <c r="BE99"/>
  <c r="BF98"/>
  <c r="BE98"/>
  <c r="BF97"/>
  <c r="BE97"/>
  <c r="BF96"/>
  <c r="BE96"/>
  <c r="BF95"/>
  <c r="BE95"/>
  <c r="BF94"/>
  <c r="BE94"/>
  <c r="BF93"/>
  <c r="BE93"/>
  <c r="BF92"/>
  <c r="BE92"/>
  <c r="BF91"/>
  <c r="BE91"/>
  <c r="BF90"/>
  <c r="BE90"/>
  <c r="BF89"/>
  <c r="BE89"/>
  <c r="BF88"/>
  <c r="BE88"/>
  <c r="BF87"/>
  <c r="BE87"/>
  <c r="BF86"/>
  <c r="BE86"/>
  <c r="BF85"/>
  <c r="BE85"/>
  <c r="BF84"/>
  <c r="BE84"/>
  <c r="BF83"/>
  <c r="BE83"/>
  <c r="BF82"/>
  <c r="BE82"/>
  <c r="BF81"/>
  <c r="BE81"/>
  <c r="BF80"/>
  <c r="BE80"/>
  <c r="BF79"/>
  <c r="BE79"/>
  <c r="BF78"/>
  <c r="BE78"/>
  <c r="BF77"/>
  <c r="BE77"/>
  <c r="BF76"/>
  <c r="BE76"/>
  <c r="BF75"/>
  <c r="BE75"/>
  <c r="BF74"/>
  <c r="BE74"/>
  <c r="BF73"/>
  <c r="BE73"/>
  <c r="BF72"/>
  <c r="BE72"/>
  <c r="BF71"/>
  <c r="BE71"/>
  <c r="BF70"/>
  <c r="BE70"/>
  <c r="BF69"/>
  <c r="BE69"/>
  <c r="BF68"/>
  <c r="BE68"/>
  <c r="BF67"/>
  <c r="BE67"/>
  <c r="BF66"/>
  <c r="BE66"/>
  <c r="BF65"/>
  <c r="BE65"/>
  <c r="BF64"/>
  <c r="BE64"/>
  <c r="BF63"/>
  <c r="BE63"/>
  <c r="BF62"/>
  <c r="BE62"/>
  <c r="BF61"/>
  <c r="BE61"/>
  <c r="BF60"/>
  <c r="BE60"/>
  <c r="BF59"/>
  <c r="BE59"/>
  <c r="BF58"/>
  <c r="BE58"/>
  <c r="BF57"/>
  <c r="BE57"/>
  <c r="BF56"/>
  <c r="BE56"/>
  <c r="BF55"/>
  <c r="BE55"/>
  <c r="BF54"/>
  <c r="BE54"/>
  <c r="BF53"/>
  <c r="BE53"/>
  <c r="BF52"/>
  <c r="BE52"/>
  <c r="BF51"/>
  <c r="BE51"/>
  <c r="BF50"/>
  <c r="BE50"/>
  <c r="BF49"/>
  <c r="BE49"/>
  <c r="BF48"/>
  <c r="BE48"/>
  <c r="BF47"/>
  <c r="BE47"/>
  <c r="BF46"/>
  <c r="BE46"/>
  <c r="BF45"/>
  <c r="BE45"/>
  <c r="BF44"/>
  <c r="BE44"/>
  <c r="BF43"/>
  <c r="BE43"/>
  <c r="BF42"/>
  <c r="BE42"/>
  <c r="BF41"/>
  <c r="BE41"/>
  <c r="BF40"/>
  <c r="BE40"/>
  <c r="BF39"/>
  <c r="BE39"/>
  <c r="BF38"/>
  <c r="BE38"/>
  <c r="BF37"/>
  <c r="BE37"/>
  <c r="BF36"/>
  <c r="BE36"/>
  <c r="BF35"/>
  <c r="BE35"/>
  <c r="BF34"/>
  <c r="BE34"/>
  <c r="BF33"/>
  <c r="BE33"/>
  <c r="BF32"/>
  <c r="BE32"/>
  <c r="BF31"/>
  <c r="BE31"/>
  <c r="BF30"/>
  <c r="BE30"/>
  <c r="BF29"/>
  <c r="BE29"/>
  <c r="BF28"/>
  <c r="BE28"/>
  <c r="BF27"/>
  <c r="BE27"/>
  <c r="BF26"/>
  <c r="BE26"/>
  <c r="BF25"/>
  <c r="BE25"/>
  <c r="BF24"/>
  <c r="BE24"/>
  <c r="BF23"/>
  <c r="BE23"/>
  <c r="BF22"/>
  <c r="BE22"/>
  <c r="BF21"/>
  <c r="BE21"/>
  <c r="BF20"/>
  <c r="BE20"/>
  <c r="BF19"/>
  <c r="BE19"/>
  <c r="BF18"/>
  <c r="BE18"/>
  <c r="BF17"/>
  <c r="BE17"/>
  <c r="BF16"/>
  <c r="BE16"/>
  <c r="BF15"/>
  <c r="BE15"/>
  <c r="BF14"/>
  <c r="BE14"/>
  <c r="BF13"/>
  <c r="BE13"/>
  <c r="BF12"/>
  <c r="BE12"/>
  <c r="BF11"/>
  <c r="BE11"/>
  <c r="BF10"/>
  <c r="BE10"/>
  <c r="BF9"/>
  <c r="BE9"/>
  <c r="BF8"/>
  <c r="BE8"/>
  <c r="BF7"/>
  <c r="BE7"/>
  <c r="BF6"/>
  <c r="BE6"/>
  <c r="BF5"/>
  <c r="BE5"/>
  <c r="BF4"/>
  <c r="BE4"/>
  <c r="BF3"/>
  <c r="BE3"/>
  <c r="BF2"/>
  <c r="BE2"/>
  <c r="AO2"/>
  <c r="AP2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O22"/>
  <c r="AP22"/>
  <c r="AO23"/>
  <c r="AP23"/>
  <c r="AO24"/>
  <c r="AP24"/>
  <c r="AO25"/>
  <c r="AP25"/>
  <c r="AO26"/>
  <c r="AP26"/>
  <c r="AO27"/>
  <c r="AP27"/>
  <c r="AO28"/>
  <c r="AP28"/>
  <c r="AO29"/>
  <c r="AP29"/>
  <c r="AO30"/>
  <c r="AP30"/>
  <c r="AO31"/>
  <c r="AP31"/>
  <c r="AO32"/>
  <c r="AP32"/>
  <c r="AO33"/>
  <c r="AP33"/>
  <c r="AO34"/>
  <c r="AP34"/>
  <c r="AO35"/>
  <c r="AP35"/>
  <c r="AO36"/>
  <c r="AP36"/>
  <c r="AO37"/>
  <c r="AP37"/>
  <c r="AO38"/>
  <c r="AP38"/>
  <c r="AO39"/>
  <c r="AP39"/>
  <c r="AO40"/>
  <c r="AP40"/>
  <c r="AO41"/>
  <c r="AP41"/>
  <c r="AO42"/>
  <c r="AP42"/>
  <c r="AO43"/>
  <c r="AP43"/>
  <c r="AO44"/>
  <c r="AP44"/>
  <c r="AO45"/>
  <c r="AP45"/>
  <c r="AO46"/>
  <c r="AP46"/>
  <c r="AO47"/>
  <c r="AP47"/>
  <c r="AO48"/>
  <c r="AP48"/>
  <c r="AO49"/>
  <c r="AP49"/>
  <c r="AO50"/>
  <c r="AP50"/>
  <c r="AO51"/>
  <c r="AP51"/>
  <c r="AO52"/>
  <c r="AP52"/>
  <c r="AO53"/>
  <c r="AP53"/>
  <c r="AO54"/>
  <c r="AP54"/>
  <c r="AO55"/>
  <c r="AP55"/>
  <c r="AO56"/>
  <c r="AP56"/>
  <c r="AO57"/>
  <c r="AP57"/>
  <c r="AO58"/>
  <c r="AP58"/>
  <c r="AO59"/>
  <c r="AP59"/>
  <c r="AO60"/>
  <c r="AP60"/>
  <c r="AO61"/>
  <c r="AP61"/>
  <c r="AO62"/>
  <c r="AP62"/>
  <c r="AO63"/>
  <c r="AP63"/>
  <c r="AO64"/>
  <c r="AP64"/>
  <c r="AO65"/>
  <c r="AP65"/>
  <c r="AO66"/>
  <c r="AP66"/>
  <c r="AO67"/>
  <c r="AP67"/>
  <c r="AO68"/>
  <c r="AP68"/>
  <c r="AO69"/>
  <c r="AP69"/>
  <c r="AO70"/>
  <c r="AP70"/>
  <c r="AO71"/>
  <c r="AP71"/>
  <c r="AO72"/>
  <c r="AP72"/>
  <c r="AO73"/>
  <c r="AP73"/>
  <c r="AO74"/>
  <c r="AP74"/>
  <c r="AO75"/>
  <c r="AP75"/>
  <c r="AO76"/>
  <c r="AP76"/>
  <c r="AO77"/>
  <c r="AP77"/>
  <c r="AO78"/>
  <c r="AP78"/>
  <c r="AO79"/>
  <c r="AP79"/>
  <c r="AO80"/>
  <c r="AP80"/>
  <c r="AO81"/>
  <c r="AP81"/>
  <c r="AO82"/>
  <c r="AP82"/>
  <c r="AO83"/>
  <c r="AP83"/>
  <c r="AO84"/>
  <c r="AP84"/>
  <c r="AO85"/>
  <c r="AP85"/>
  <c r="AO86"/>
  <c r="AP86"/>
  <c r="AO87"/>
  <c r="AP87"/>
  <c r="AO88"/>
  <c r="AP88"/>
  <c r="AO89"/>
  <c r="AP89"/>
  <c r="AO90"/>
  <c r="AP90"/>
  <c r="AO91"/>
  <c r="AP91"/>
  <c r="AO92"/>
  <c r="AP92"/>
  <c r="AO93"/>
  <c r="AP93"/>
  <c r="AO94"/>
  <c r="AP94"/>
  <c r="AO95"/>
  <c r="AP95"/>
  <c r="AO96"/>
  <c r="AP96"/>
  <c r="AO97"/>
  <c r="AP97"/>
  <c r="AO98"/>
  <c r="AP98"/>
  <c r="AO99"/>
  <c r="AP99"/>
  <c r="AO100"/>
  <c r="AP100"/>
  <c r="AO101"/>
  <c r="AP101"/>
  <c r="C38" i="7" l="1"/>
  <c r="B38"/>
  <c r="C37"/>
  <c r="B37"/>
  <c r="C36"/>
  <c r="B36"/>
  <c r="C35"/>
  <c r="B35"/>
  <c r="C34"/>
  <c r="B34"/>
  <c r="C38" i="6"/>
  <c r="C37"/>
  <c r="C36"/>
  <c r="C35"/>
  <c r="C34"/>
  <c r="B38"/>
  <c r="B37"/>
  <c r="B35"/>
  <c r="B36"/>
  <c r="B34"/>
  <c r="R115" i="2"/>
  <c r="Q115"/>
  <c r="R114"/>
  <c r="Q114"/>
  <c r="R113"/>
  <c r="Q113"/>
  <c r="R112"/>
  <c r="Q112"/>
  <c r="R111"/>
  <c r="C62" i="4"/>
  <c r="C61" i="5"/>
  <c r="C114" i="2"/>
  <c r="C64" i="5"/>
  <c r="D64"/>
  <c r="D63"/>
  <c r="C63"/>
  <c r="D62"/>
  <c r="C62"/>
  <c r="C60"/>
  <c r="C59"/>
  <c r="C58"/>
  <c r="D58"/>
  <c r="D59"/>
  <c r="D60"/>
  <c r="D61"/>
  <c r="C59" i="4"/>
  <c r="D65" l="1"/>
  <c r="C65"/>
  <c r="D64"/>
  <c r="C64"/>
  <c r="D63"/>
  <c r="C63"/>
  <c r="D62"/>
  <c r="D61"/>
  <c r="C61"/>
  <c r="D60"/>
  <c r="C60"/>
  <c r="D59"/>
  <c r="D117" i="2"/>
  <c r="C117"/>
  <c r="D116"/>
  <c r="C116"/>
  <c r="D115"/>
  <c r="C115"/>
  <c r="D114"/>
  <c r="D112"/>
  <c r="C112"/>
  <c r="D113"/>
  <c r="C113"/>
  <c r="J19" i="3" l="1"/>
  <c r="J18"/>
  <c r="J15"/>
  <c r="J14"/>
  <c r="J11"/>
  <c r="J10"/>
  <c r="J7"/>
  <c r="J6"/>
  <c r="J2"/>
  <c r="J3"/>
  <c r="L3"/>
  <c r="L4"/>
  <c r="L5"/>
  <c r="L10"/>
  <c r="L13"/>
  <c r="L15"/>
  <c r="L24"/>
  <c r="L32"/>
  <c r="L33"/>
  <c r="L34"/>
  <c r="L37"/>
  <c r="L38"/>
  <c r="L44"/>
  <c r="L57"/>
  <c r="L62"/>
  <c r="L70"/>
  <c r="L73"/>
  <c r="L76"/>
  <c r="L83"/>
  <c r="L85"/>
  <c r="L86"/>
  <c r="L88"/>
  <c r="L99"/>
  <c r="K3"/>
  <c r="K4"/>
  <c r="K5"/>
  <c r="K7"/>
  <c r="K13"/>
  <c r="K20"/>
  <c r="K22"/>
  <c r="K47"/>
  <c r="K60"/>
  <c r="K65"/>
  <c r="K94"/>
  <c r="K2"/>
  <c r="L2"/>
  <c r="I3"/>
  <c r="I4"/>
  <c r="I5"/>
  <c r="I2"/>
  <c r="D101" l="1"/>
  <c r="L101" s="1"/>
  <c r="C101"/>
  <c r="K101" s="1"/>
  <c r="B101"/>
  <c r="I101" s="1"/>
  <c r="D100"/>
  <c r="L100" s="1"/>
  <c r="C100"/>
  <c r="K100" s="1"/>
  <c r="B100"/>
  <c r="I100" s="1"/>
  <c r="C99"/>
  <c r="K99" s="1"/>
  <c r="B99"/>
  <c r="I99" s="1"/>
  <c r="D98"/>
  <c r="L98" s="1"/>
  <c r="C98"/>
  <c r="K98" s="1"/>
  <c r="B98"/>
  <c r="I98" s="1"/>
  <c r="D97"/>
  <c r="L97" s="1"/>
  <c r="C97"/>
  <c r="K97" s="1"/>
  <c r="B97"/>
  <c r="I97" s="1"/>
  <c r="D96"/>
  <c r="L96" s="1"/>
  <c r="C96"/>
  <c r="K96" s="1"/>
  <c r="B96"/>
  <c r="I96" s="1"/>
  <c r="D95"/>
  <c r="L95" s="1"/>
  <c r="C95"/>
  <c r="K95" s="1"/>
  <c r="B95"/>
  <c r="I95" s="1"/>
  <c r="D94"/>
  <c r="L94" s="1"/>
  <c r="B94"/>
  <c r="I94" s="1"/>
  <c r="D93"/>
  <c r="L93" s="1"/>
  <c r="C93"/>
  <c r="K93" s="1"/>
  <c r="B93"/>
  <c r="I93" s="1"/>
  <c r="D92"/>
  <c r="L92" s="1"/>
  <c r="C92"/>
  <c r="K92" s="1"/>
  <c r="B92"/>
  <c r="I92" s="1"/>
  <c r="D91"/>
  <c r="L91" s="1"/>
  <c r="C91"/>
  <c r="K91" s="1"/>
  <c r="B91"/>
  <c r="I91" s="1"/>
  <c r="D90"/>
  <c r="L90" s="1"/>
  <c r="C90"/>
  <c r="K90" s="1"/>
  <c r="B90"/>
  <c r="I90" s="1"/>
  <c r="D89"/>
  <c r="L89" s="1"/>
  <c r="C89"/>
  <c r="K89" s="1"/>
  <c r="B89"/>
  <c r="I89" s="1"/>
  <c r="C88"/>
  <c r="K88" s="1"/>
  <c r="B88"/>
  <c r="I88" s="1"/>
  <c r="D87"/>
  <c r="L87" s="1"/>
  <c r="C87"/>
  <c r="K87" s="1"/>
  <c r="B87"/>
  <c r="I87" s="1"/>
  <c r="C86"/>
  <c r="K86" s="1"/>
  <c r="B86"/>
  <c r="I86" s="1"/>
  <c r="C85"/>
  <c r="K85" s="1"/>
  <c r="B85"/>
  <c r="I85" s="1"/>
  <c r="D84"/>
  <c r="L84" s="1"/>
  <c r="C84"/>
  <c r="K84" s="1"/>
  <c r="B84"/>
  <c r="I84" s="1"/>
  <c r="C83"/>
  <c r="K83" s="1"/>
  <c r="B83"/>
  <c r="I83" s="1"/>
  <c r="D82"/>
  <c r="L82" s="1"/>
  <c r="C82"/>
  <c r="K82" s="1"/>
  <c r="B82"/>
  <c r="I82" s="1"/>
  <c r="D81"/>
  <c r="L81" s="1"/>
  <c r="C81"/>
  <c r="K81" s="1"/>
  <c r="B81"/>
  <c r="I81" s="1"/>
  <c r="D80"/>
  <c r="L80" s="1"/>
  <c r="C80"/>
  <c r="K80" s="1"/>
  <c r="B80"/>
  <c r="I80" s="1"/>
  <c r="D79"/>
  <c r="L79" s="1"/>
  <c r="C79"/>
  <c r="K79" s="1"/>
  <c r="B79"/>
  <c r="I79" s="1"/>
  <c r="D78"/>
  <c r="L78" s="1"/>
  <c r="C78"/>
  <c r="K78" s="1"/>
  <c r="B78"/>
  <c r="I78" s="1"/>
  <c r="D77"/>
  <c r="L77" s="1"/>
  <c r="C77"/>
  <c r="K77" s="1"/>
  <c r="B77"/>
  <c r="I77" s="1"/>
  <c r="C76"/>
  <c r="K76" s="1"/>
  <c r="B76"/>
  <c r="I76" s="1"/>
  <c r="D75"/>
  <c r="L75" s="1"/>
  <c r="C75"/>
  <c r="K75" s="1"/>
  <c r="B75"/>
  <c r="I75" s="1"/>
  <c r="D74"/>
  <c r="L74" s="1"/>
  <c r="C74"/>
  <c r="K74" s="1"/>
  <c r="B74"/>
  <c r="I74" s="1"/>
  <c r="C73"/>
  <c r="K73" s="1"/>
  <c r="B73"/>
  <c r="I73" s="1"/>
  <c r="D72"/>
  <c r="L72" s="1"/>
  <c r="C72"/>
  <c r="K72" s="1"/>
  <c r="B72"/>
  <c r="I72" s="1"/>
  <c r="D71"/>
  <c r="L71" s="1"/>
  <c r="C71"/>
  <c r="K71" s="1"/>
  <c r="B71"/>
  <c r="I71" s="1"/>
  <c r="C70"/>
  <c r="K70" s="1"/>
  <c r="B70"/>
  <c r="I70" s="1"/>
  <c r="D69"/>
  <c r="L69" s="1"/>
  <c r="C69"/>
  <c r="K69" s="1"/>
  <c r="B69"/>
  <c r="I69" s="1"/>
  <c r="D68"/>
  <c r="L68" s="1"/>
  <c r="C68"/>
  <c r="K68" s="1"/>
  <c r="B68"/>
  <c r="I68" s="1"/>
  <c r="D67"/>
  <c r="L67" s="1"/>
  <c r="C67"/>
  <c r="K67" s="1"/>
  <c r="B67"/>
  <c r="I67" s="1"/>
  <c r="D66"/>
  <c r="L66" s="1"/>
  <c r="C66"/>
  <c r="K66" s="1"/>
  <c r="B66"/>
  <c r="I66" s="1"/>
  <c r="D65"/>
  <c r="L65" s="1"/>
  <c r="B65"/>
  <c r="I65" s="1"/>
  <c r="D64"/>
  <c r="L64" s="1"/>
  <c r="C64"/>
  <c r="K64" s="1"/>
  <c r="B64"/>
  <c r="I64" s="1"/>
  <c r="D63"/>
  <c r="L63" s="1"/>
  <c r="C63"/>
  <c r="K63" s="1"/>
  <c r="B63"/>
  <c r="I63" s="1"/>
  <c r="C62"/>
  <c r="K62" s="1"/>
  <c r="B62"/>
  <c r="I62" s="1"/>
  <c r="D61"/>
  <c r="L61" s="1"/>
  <c r="C61"/>
  <c r="K61" s="1"/>
  <c r="B61"/>
  <c r="I61" s="1"/>
  <c r="D60"/>
  <c r="L60" s="1"/>
  <c r="B60"/>
  <c r="I60" s="1"/>
  <c r="D59"/>
  <c r="L59" s="1"/>
  <c r="C59"/>
  <c r="K59" s="1"/>
  <c r="B59"/>
  <c r="I59" s="1"/>
  <c r="D58"/>
  <c r="L58" s="1"/>
  <c r="C58"/>
  <c r="K58" s="1"/>
  <c r="B58"/>
  <c r="I58" s="1"/>
  <c r="C57"/>
  <c r="K57" s="1"/>
  <c r="B57"/>
  <c r="I57" s="1"/>
  <c r="D56"/>
  <c r="L56" s="1"/>
  <c r="C56"/>
  <c r="K56" s="1"/>
  <c r="B56"/>
  <c r="I56" s="1"/>
  <c r="D55"/>
  <c r="L55" s="1"/>
  <c r="C55"/>
  <c r="K55" s="1"/>
  <c r="B55"/>
  <c r="I55" s="1"/>
  <c r="D54"/>
  <c r="L54" s="1"/>
  <c r="C54"/>
  <c r="K54" s="1"/>
  <c r="B54"/>
  <c r="I54" s="1"/>
  <c r="D53"/>
  <c r="L53" s="1"/>
  <c r="C53"/>
  <c r="K53" s="1"/>
  <c r="B53"/>
  <c r="I53" s="1"/>
  <c r="D52"/>
  <c r="L52" s="1"/>
  <c r="C52"/>
  <c r="K52" s="1"/>
  <c r="B52"/>
  <c r="I52" s="1"/>
  <c r="D51"/>
  <c r="L51" s="1"/>
  <c r="C51"/>
  <c r="K51" s="1"/>
  <c r="B51"/>
  <c r="I51" s="1"/>
  <c r="D50"/>
  <c r="L50" s="1"/>
  <c r="C50"/>
  <c r="K50" s="1"/>
  <c r="B50"/>
  <c r="I50" s="1"/>
  <c r="D49"/>
  <c r="L49" s="1"/>
  <c r="C49"/>
  <c r="K49" s="1"/>
  <c r="B49"/>
  <c r="I49" s="1"/>
  <c r="D48"/>
  <c r="L48" s="1"/>
  <c r="C48"/>
  <c r="K48" s="1"/>
  <c r="B48"/>
  <c r="I48" s="1"/>
  <c r="D47"/>
  <c r="L47" s="1"/>
  <c r="B47"/>
  <c r="I47" s="1"/>
  <c r="D46"/>
  <c r="L46" s="1"/>
  <c r="C46"/>
  <c r="K46" s="1"/>
  <c r="B46"/>
  <c r="I46" s="1"/>
  <c r="D45"/>
  <c r="L45" s="1"/>
  <c r="C45"/>
  <c r="K45" s="1"/>
  <c r="B45"/>
  <c r="I45" s="1"/>
  <c r="C44"/>
  <c r="K44" s="1"/>
  <c r="B44"/>
  <c r="I44" s="1"/>
  <c r="D43"/>
  <c r="L43" s="1"/>
  <c r="C43"/>
  <c r="K43" s="1"/>
  <c r="B43"/>
  <c r="I43" s="1"/>
  <c r="D42"/>
  <c r="L42" s="1"/>
  <c r="C42"/>
  <c r="K42" s="1"/>
  <c r="B42"/>
  <c r="I42" s="1"/>
  <c r="D41"/>
  <c r="L41" s="1"/>
  <c r="C41"/>
  <c r="K41" s="1"/>
  <c r="B41"/>
  <c r="I41" s="1"/>
  <c r="D40"/>
  <c r="L40" s="1"/>
  <c r="C40"/>
  <c r="K40" s="1"/>
  <c r="B40"/>
  <c r="I40" s="1"/>
  <c r="D39"/>
  <c r="L39" s="1"/>
  <c r="C39"/>
  <c r="K39" s="1"/>
  <c r="B39"/>
  <c r="I39" s="1"/>
  <c r="C38"/>
  <c r="K38" s="1"/>
  <c r="B38"/>
  <c r="I38" s="1"/>
  <c r="C37"/>
  <c r="K37" s="1"/>
  <c r="B37"/>
  <c r="I37" s="1"/>
  <c r="D36"/>
  <c r="L36" s="1"/>
  <c r="C36"/>
  <c r="K36" s="1"/>
  <c r="B36"/>
  <c r="I36" s="1"/>
  <c r="D35"/>
  <c r="L35" s="1"/>
  <c r="C35"/>
  <c r="K35" s="1"/>
  <c r="B35"/>
  <c r="I35" s="1"/>
  <c r="C34"/>
  <c r="K34" s="1"/>
  <c r="B34"/>
  <c r="I34" s="1"/>
  <c r="C33"/>
  <c r="K33" s="1"/>
  <c r="B33"/>
  <c r="I33" s="1"/>
  <c r="C32"/>
  <c r="K32" s="1"/>
  <c r="B32"/>
  <c r="I32" s="1"/>
  <c r="D31"/>
  <c r="L31" s="1"/>
  <c r="C31"/>
  <c r="K31" s="1"/>
  <c r="B31"/>
  <c r="I31" s="1"/>
  <c r="D30"/>
  <c r="L30" s="1"/>
  <c r="C30"/>
  <c r="K30" s="1"/>
  <c r="B30"/>
  <c r="I30" s="1"/>
  <c r="D29"/>
  <c r="L29" s="1"/>
  <c r="C29"/>
  <c r="K29" s="1"/>
  <c r="B29"/>
  <c r="I29" s="1"/>
  <c r="D28"/>
  <c r="L28" s="1"/>
  <c r="C28"/>
  <c r="K28" s="1"/>
  <c r="B28"/>
  <c r="I28" s="1"/>
  <c r="D27"/>
  <c r="L27" s="1"/>
  <c r="C27"/>
  <c r="K27" s="1"/>
  <c r="B27"/>
  <c r="I27" s="1"/>
  <c r="D26"/>
  <c r="L26" s="1"/>
  <c r="C26"/>
  <c r="K26" s="1"/>
  <c r="B26"/>
  <c r="I26" s="1"/>
  <c r="D25"/>
  <c r="L25" s="1"/>
  <c r="C25"/>
  <c r="K25" s="1"/>
  <c r="B25"/>
  <c r="I25" s="1"/>
  <c r="C24"/>
  <c r="K24" s="1"/>
  <c r="B24"/>
  <c r="I24" s="1"/>
  <c r="D23"/>
  <c r="L23" s="1"/>
  <c r="C23"/>
  <c r="K23" s="1"/>
  <c r="B23"/>
  <c r="I23" s="1"/>
  <c r="D22"/>
  <c r="L22" s="1"/>
  <c r="B22"/>
  <c r="I22" s="1"/>
  <c r="D21"/>
  <c r="L21" s="1"/>
  <c r="C21"/>
  <c r="K21" s="1"/>
  <c r="B21"/>
  <c r="I21" s="1"/>
  <c r="D20"/>
  <c r="L20" s="1"/>
  <c r="B20"/>
  <c r="I20" s="1"/>
  <c r="D19"/>
  <c r="L19" s="1"/>
  <c r="C19"/>
  <c r="K19" s="1"/>
  <c r="B19"/>
  <c r="I19" s="1"/>
  <c r="D18"/>
  <c r="L18" s="1"/>
  <c r="C18"/>
  <c r="K18" s="1"/>
  <c r="B18"/>
  <c r="I18" s="1"/>
  <c r="D17"/>
  <c r="L17" s="1"/>
  <c r="C17"/>
  <c r="K17" s="1"/>
  <c r="B17"/>
  <c r="I17" s="1"/>
  <c r="D16"/>
  <c r="L16" s="1"/>
  <c r="C16"/>
  <c r="K16" s="1"/>
  <c r="B16"/>
  <c r="I16" s="1"/>
  <c r="C15"/>
  <c r="K15" s="1"/>
  <c r="B15"/>
  <c r="I15" s="1"/>
  <c r="D14"/>
  <c r="L14" s="1"/>
  <c r="C14"/>
  <c r="K14" s="1"/>
  <c r="B14"/>
  <c r="I14" s="1"/>
  <c r="B13"/>
  <c r="I13" s="1"/>
  <c r="D12"/>
  <c r="L12" s="1"/>
  <c r="C12"/>
  <c r="K12" s="1"/>
  <c r="B12"/>
  <c r="I12" s="1"/>
  <c r="D11"/>
  <c r="L11" s="1"/>
  <c r="C11"/>
  <c r="K11" s="1"/>
  <c r="B11"/>
  <c r="I11" s="1"/>
  <c r="C10"/>
  <c r="K10" s="1"/>
  <c r="B10"/>
  <c r="I10" s="1"/>
  <c r="D9"/>
  <c r="L9" s="1"/>
  <c r="C9"/>
  <c r="K9" s="1"/>
  <c r="B9"/>
  <c r="I9" s="1"/>
  <c r="D8"/>
  <c r="L8" s="1"/>
  <c r="C8"/>
  <c r="K8" s="1"/>
  <c r="B8"/>
  <c r="I8" s="1"/>
  <c r="D7"/>
  <c r="B7"/>
  <c r="I7" s="1"/>
  <c r="D6"/>
  <c r="L6" s="1"/>
  <c r="C6"/>
  <c r="B6"/>
  <c r="AB49" i="1"/>
  <c r="AB2"/>
  <c r="BC99"/>
  <c r="BB99"/>
  <c r="BA99"/>
  <c r="AY99"/>
  <c r="AZ99"/>
  <c r="AX99"/>
  <c r="AW99"/>
  <c r="AV99"/>
  <c r="AU99"/>
  <c r="AT99"/>
  <c r="AS99"/>
  <c r="AR99"/>
  <c r="AM99"/>
  <c r="AK99"/>
  <c r="AJ99"/>
  <c r="AI99"/>
  <c r="AH99"/>
  <c r="AG99"/>
  <c r="AD99"/>
  <c r="AE99"/>
  <c r="AC99"/>
  <c r="AB99"/>
  <c r="BC89"/>
  <c r="BB89"/>
  <c r="BA89"/>
  <c r="AZ89"/>
  <c r="AY89"/>
  <c r="AX89"/>
  <c r="AT89"/>
  <c r="AW89"/>
  <c r="AV89"/>
  <c r="AU89"/>
  <c r="AS89"/>
  <c r="AR89"/>
  <c r="AM88"/>
  <c r="AK88"/>
  <c r="AJ88"/>
  <c r="AI88"/>
  <c r="AH88"/>
  <c r="AC88"/>
  <c r="AE88"/>
  <c r="AD88"/>
  <c r="AB88"/>
  <c r="AG88"/>
  <c r="BC86"/>
  <c r="BB86"/>
  <c r="BA86"/>
  <c r="AZ86"/>
  <c r="AY86"/>
  <c r="AX86"/>
  <c r="AW86"/>
  <c r="AT86"/>
  <c r="AS86"/>
  <c r="AV86"/>
  <c r="AU86"/>
  <c r="AR86"/>
  <c r="AM86"/>
  <c r="AK86"/>
  <c r="AJ86"/>
  <c r="AI86"/>
  <c r="AH86"/>
  <c r="AG86"/>
  <c r="AD86"/>
  <c r="AE86"/>
  <c r="AC86"/>
  <c r="AB86"/>
  <c r="BC82"/>
  <c r="BB82"/>
  <c r="BA82"/>
  <c r="AZ82"/>
  <c r="AY82"/>
  <c r="AX82"/>
  <c r="AS82"/>
  <c r="AR82"/>
  <c r="AT82"/>
  <c r="AW82"/>
  <c r="AU82"/>
  <c r="AV82"/>
  <c r="AM82"/>
  <c r="AL82"/>
  <c r="AK82"/>
  <c r="AJ82"/>
  <c r="AI82"/>
  <c r="AH82"/>
  <c r="AG82"/>
  <c r="AF82"/>
  <c r="AE82"/>
  <c r="AD82"/>
  <c r="AC82"/>
  <c r="AB82"/>
  <c r="BC79"/>
  <c r="BA79"/>
  <c r="AZ79"/>
  <c r="AY79"/>
  <c r="AX79"/>
  <c r="AW79"/>
  <c r="AS79"/>
  <c r="AR79"/>
  <c r="AT79"/>
  <c r="AU79"/>
  <c r="AM79"/>
  <c r="AL79"/>
  <c r="AK79"/>
  <c r="AJ79"/>
  <c r="AI79"/>
  <c r="AH79"/>
  <c r="AB79"/>
  <c r="AC79"/>
  <c r="AD79"/>
  <c r="AF79"/>
  <c r="AG79"/>
  <c r="AE79"/>
  <c r="BC77"/>
  <c r="BB77"/>
  <c r="BA77"/>
  <c r="AZ77"/>
  <c r="AY77"/>
  <c r="AX77"/>
  <c r="AW77"/>
  <c r="AU77"/>
  <c r="AT77"/>
  <c r="AS77"/>
  <c r="AV77"/>
  <c r="AR77"/>
  <c r="AM77"/>
  <c r="AL77"/>
  <c r="AJ77"/>
  <c r="AK77"/>
  <c r="AI77"/>
  <c r="AH77"/>
  <c r="AF77"/>
  <c r="AG77"/>
  <c r="AE77"/>
  <c r="AD77"/>
  <c r="AB77"/>
  <c r="AC77"/>
  <c r="AY66"/>
  <c r="BC66"/>
  <c r="BB66"/>
  <c r="BA66"/>
  <c r="AZ66"/>
  <c r="AX66"/>
  <c r="AT66"/>
  <c r="AW66"/>
  <c r="AS66"/>
  <c r="AV66"/>
  <c r="AU66"/>
  <c r="AR66"/>
  <c r="AM66"/>
  <c r="AL66"/>
  <c r="AK66"/>
  <c r="AJ66"/>
  <c r="AI66"/>
  <c r="AH66"/>
  <c r="AG66"/>
  <c r="AF66"/>
  <c r="AE66"/>
  <c r="AD66"/>
  <c r="AC66"/>
  <c r="AB66"/>
  <c r="BC65"/>
  <c r="BB65"/>
  <c r="BA65"/>
  <c r="AZ65"/>
  <c r="AY65"/>
  <c r="AX65"/>
  <c r="AS65"/>
  <c r="AW65"/>
  <c r="AU65"/>
  <c r="AT65"/>
  <c r="AV65"/>
  <c r="AR65"/>
  <c r="AM65"/>
  <c r="AL65"/>
  <c r="AJ65"/>
  <c r="AI65"/>
  <c r="AH65"/>
  <c r="AD65"/>
  <c r="AC65"/>
  <c r="AB65"/>
  <c r="AG65"/>
  <c r="AF65"/>
  <c r="BC51"/>
  <c r="BB51"/>
  <c r="BA51"/>
  <c r="AZ51"/>
  <c r="AY51"/>
  <c r="AX51"/>
  <c r="AV51"/>
  <c r="AR51"/>
  <c r="AS51"/>
  <c r="AT51"/>
  <c r="AW51"/>
  <c r="AU51"/>
  <c r="AM51"/>
  <c r="AL51"/>
  <c r="AK51"/>
  <c r="AJ51"/>
  <c r="AI51"/>
  <c r="AH51"/>
  <c r="AB51"/>
  <c r="AD51"/>
  <c r="AG51"/>
  <c r="AC51"/>
  <c r="AF51"/>
  <c r="AE51"/>
  <c r="BC49"/>
  <c r="BB49"/>
  <c r="AZ49"/>
  <c r="AY49"/>
  <c r="AX49"/>
  <c r="AW49"/>
  <c r="AR49"/>
  <c r="AS49"/>
  <c r="AT49"/>
  <c r="AU49"/>
  <c r="AV49"/>
  <c r="AM49"/>
  <c r="AL49"/>
  <c r="AK49"/>
  <c r="AJ49"/>
  <c r="AI49"/>
  <c r="AG49"/>
  <c r="AC49"/>
  <c r="AD49"/>
  <c r="AF49"/>
  <c r="AE49"/>
  <c r="AH49"/>
  <c r="BC48"/>
  <c r="BB48"/>
  <c r="BA48"/>
  <c r="AZ48"/>
  <c r="AY48"/>
  <c r="AX48"/>
  <c r="AS48"/>
  <c r="AT48"/>
  <c r="AV48"/>
  <c r="AW48"/>
  <c r="AU48"/>
  <c r="AR48"/>
  <c r="AM48"/>
  <c r="AL48"/>
  <c r="AK48"/>
  <c r="AJ48"/>
  <c r="AI48"/>
  <c r="AH48"/>
  <c r="AG48"/>
  <c r="AF48"/>
  <c r="AE48"/>
  <c r="AD48"/>
  <c r="AC48"/>
  <c r="AB48"/>
  <c r="BC47"/>
  <c r="BB47"/>
  <c r="BA47"/>
  <c r="AX47"/>
  <c r="AZ47"/>
  <c r="AY47"/>
  <c r="AS47"/>
  <c r="AR47"/>
  <c r="AW47"/>
  <c r="AV47"/>
  <c r="AU47"/>
  <c r="AT47"/>
  <c r="AM47"/>
  <c r="AL47"/>
  <c r="AJ47"/>
  <c r="AI47"/>
  <c r="AH47"/>
  <c r="AG47"/>
  <c r="AD47"/>
  <c r="AC47"/>
  <c r="AB47"/>
  <c r="AF47"/>
  <c r="BC46"/>
  <c r="BB46"/>
  <c r="AZ46"/>
  <c r="BA46"/>
  <c r="AY46"/>
  <c r="AX46"/>
  <c r="AR46"/>
  <c r="AT46"/>
  <c r="AS46"/>
  <c r="AW46"/>
  <c r="AV46"/>
  <c r="AU46"/>
  <c r="AM46"/>
  <c r="AL46"/>
  <c r="AK46"/>
  <c r="AJ46"/>
  <c r="AE46"/>
  <c r="AD46"/>
  <c r="AI46"/>
  <c r="AH46"/>
  <c r="AB46"/>
  <c r="AG46"/>
  <c r="AC46"/>
  <c r="AF46"/>
  <c r="BC25"/>
  <c r="BA25"/>
  <c r="AZ25"/>
  <c r="AY25"/>
  <c r="AX25"/>
  <c r="AS25"/>
  <c r="AR25"/>
  <c r="AU25"/>
  <c r="AT25"/>
  <c r="AW25"/>
  <c r="BC9"/>
  <c r="BB9"/>
  <c r="BA9"/>
  <c r="AZ9"/>
  <c r="AY9"/>
  <c r="AX9"/>
  <c r="AW9"/>
  <c r="AS9"/>
  <c r="AV9"/>
  <c r="AU9"/>
  <c r="AR9"/>
  <c r="AT9"/>
  <c r="AM9"/>
  <c r="AL9"/>
  <c r="AK9"/>
  <c r="AJ9"/>
  <c r="AI9"/>
  <c r="AH9"/>
  <c r="AG9"/>
  <c r="AC9"/>
  <c r="AD9"/>
  <c r="AB9"/>
  <c r="AF9"/>
  <c r="AE9"/>
  <c r="AY6"/>
  <c r="BA6"/>
  <c r="BC6"/>
  <c r="BB6"/>
  <c r="AZ6"/>
  <c r="AX6"/>
  <c r="AW6"/>
  <c r="AS6"/>
  <c r="AT6"/>
  <c r="AU6"/>
  <c r="AV6"/>
  <c r="AR6"/>
  <c r="BB3"/>
  <c r="BA3"/>
  <c r="BC3"/>
  <c r="AZ3"/>
  <c r="AY3"/>
  <c r="AX3"/>
  <c r="AW3"/>
  <c r="AT3"/>
  <c r="AR3"/>
  <c r="AV3"/>
  <c r="AS3"/>
  <c r="AU3"/>
  <c r="BC2"/>
  <c r="BB2"/>
  <c r="BA2"/>
  <c r="AZ2"/>
  <c r="AY2"/>
  <c r="AX2"/>
  <c r="AU2"/>
  <c r="AS2"/>
  <c r="AT2"/>
  <c r="AW2"/>
  <c r="AV2"/>
  <c r="AR2"/>
  <c r="BC101"/>
  <c r="BA101"/>
  <c r="AZ101"/>
  <c r="AY101"/>
  <c r="AX101"/>
  <c r="AW101"/>
  <c r="AU101"/>
  <c r="AT101"/>
  <c r="AS101"/>
  <c r="AR101"/>
  <c r="AM101"/>
  <c r="AL101"/>
  <c r="AK101"/>
  <c r="AJ101"/>
  <c r="AI101"/>
  <c r="AH101"/>
  <c r="AG101"/>
  <c r="AF101"/>
  <c r="AE101"/>
  <c r="AD101"/>
  <c r="AC101"/>
  <c r="AB101"/>
  <c r="BC100"/>
  <c r="BB100"/>
  <c r="BA100"/>
  <c r="AZ100"/>
  <c r="AY100"/>
  <c r="AX100"/>
  <c r="AW100"/>
  <c r="AV100"/>
  <c r="AU100"/>
  <c r="AT100"/>
  <c r="AS100"/>
  <c r="AR100"/>
  <c r="AM100"/>
  <c r="AL100"/>
  <c r="AK100"/>
  <c r="AJ100"/>
  <c r="AI100"/>
  <c r="AH100"/>
  <c r="AG100"/>
  <c r="AF100"/>
  <c r="AE100"/>
  <c r="AD100"/>
  <c r="AC100"/>
  <c r="AB100"/>
  <c r="BC98"/>
  <c r="BB98"/>
  <c r="BA98"/>
  <c r="AZ98"/>
  <c r="AY98"/>
  <c r="AX98"/>
  <c r="AW98"/>
  <c r="AV98"/>
  <c r="AU98"/>
  <c r="AT98"/>
  <c r="AS98"/>
  <c r="AR98"/>
  <c r="AM98"/>
  <c r="AL98"/>
  <c r="AK98"/>
  <c r="AJ98"/>
  <c r="AI98"/>
  <c r="AH98"/>
  <c r="AG98"/>
  <c r="AF98"/>
  <c r="AE98"/>
  <c r="AD98"/>
  <c r="AC98"/>
  <c r="AB98"/>
  <c r="BC97"/>
  <c r="BB97"/>
  <c r="BA97"/>
  <c r="AZ97"/>
  <c r="AY97"/>
  <c r="AX97"/>
  <c r="AW97"/>
  <c r="AV97"/>
  <c r="AU97"/>
  <c r="AT97"/>
  <c r="AS97"/>
  <c r="AR97"/>
  <c r="AM97"/>
  <c r="AL97"/>
  <c r="AK97"/>
  <c r="AJ97"/>
  <c r="AI97"/>
  <c r="AH97"/>
  <c r="AG97"/>
  <c r="AF97"/>
  <c r="AE97"/>
  <c r="AD97"/>
  <c r="AC97"/>
  <c r="AB97"/>
  <c r="BC96"/>
  <c r="BB96"/>
  <c r="BA96"/>
  <c r="AZ96"/>
  <c r="AY96"/>
  <c r="AX96"/>
  <c r="AW96"/>
  <c r="AV96"/>
  <c r="AU96"/>
  <c r="AT96"/>
  <c r="AS96"/>
  <c r="AR96"/>
  <c r="AM96"/>
  <c r="AL96"/>
  <c r="AK96"/>
  <c r="AJ96"/>
  <c r="AI96"/>
  <c r="AH96"/>
  <c r="AG96"/>
  <c r="AF96"/>
  <c r="AE96"/>
  <c r="AD96"/>
  <c r="AC96"/>
  <c r="AB96"/>
  <c r="BC95"/>
  <c r="BB95"/>
  <c r="BA95"/>
  <c r="AZ95"/>
  <c r="AY95"/>
  <c r="AX95"/>
  <c r="AW95"/>
  <c r="AV95"/>
  <c r="AU95"/>
  <c r="AT95"/>
  <c r="AS95"/>
  <c r="AR95"/>
  <c r="AM95"/>
  <c r="AL95"/>
  <c r="AK95"/>
  <c r="AJ95"/>
  <c r="AI95"/>
  <c r="AH95"/>
  <c r="AB95"/>
  <c r="AG95"/>
  <c r="AF95"/>
  <c r="AE95"/>
  <c r="AD95"/>
  <c r="AC95"/>
  <c r="BC94"/>
  <c r="BB94"/>
  <c r="AZ94"/>
  <c r="AY94"/>
  <c r="AX94"/>
  <c r="AW94"/>
  <c r="AV94"/>
  <c r="AT94"/>
  <c r="AS94"/>
  <c r="AR94"/>
  <c r="AM94"/>
  <c r="AL94"/>
  <c r="AJ94"/>
  <c r="AI94"/>
  <c r="AH94"/>
  <c r="AG94"/>
  <c r="AF94"/>
  <c r="AD94"/>
  <c r="AC94"/>
  <c r="AB94"/>
  <c r="BC93"/>
  <c r="BB93"/>
  <c r="BA93"/>
  <c r="AZ93"/>
  <c r="AY93"/>
  <c r="AX93"/>
  <c r="AW93"/>
  <c r="AV93"/>
  <c r="AU93"/>
  <c r="AT93"/>
  <c r="AS93"/>
  <c r="AR93"/>
  <c r="AM93"/>
  <c r="AL93"/>
  <c r="AK93"/>
  <c r="AJ93"/>
  <c r="AI93"/>
  <c r="AH93"/>
  <c r="AG93"/>
  <c r="AF93"/>
  <c r="AE93"/>
  <c r="AD93"/>
  <c r="AC93"/>
  <c r="AB93"/>
  <c r="BC92"/>
  <c r="BB92"/>
  <c r="BA92"/>
  <c r="AZ92"/>
  <c r="AY92"/>
  <c r="AX92"/>
  <c r="AW92"/>
  <c r="AV92"/>
  <c r="AU92"/>
  <c r="AT92"/>
  <c r="AS92"/>
  <c r="AR92"/>
  <c r="AM92"/>
  <c r="AL92"/>
  <c r="AK92"/>
  <c r="AJ92"/>
  <c r="AI92"/>
  <c r="AH92"/>
  <c r="AG92"/>
  <c r="AF92"/>
  <c r="AE92"/>
  <c r="AD92"/>
  <c r="AC92"/>
  <c r="AB92"/>
  <c r="BC91"/>
  <c r="BB91"/>
  <c r="BA91"/>
  <c r="AZ91"/>
  <c r="AY91"/>
  <c r="AX91"/>
  <c r="AW91"/>
  <c r="AV91"/>
  <c r="AU91"/>
  <c r="AT91"/>
  <c r="AS91"/>
  <c r="AR91"/>
  <c r="AM91"/>
  <c r="AL91"/>
  <c r="AK91"/>
  <c r="AJ91"/>
  <c r="AI91"/>
  <c r="AH91"/>
  <c r="AG91"/>
  <c r="AF91"/>
  <c r="AE91"/>
  <c r="AD91"/>
  <c r="AC91"/>
  <c r="AB91"/>
  <c r="AW90"/>
  <c r="AX90"/>
  <c r="AY90"/>
  <c r="AZ90"/>
  <c r="BA90"/>
  <c r="BC90"/>
  <c r="AU90"/>
  <c r="AT90"/>
  <c r="AS90"/>
  <c r="AR90"/>
  <c r="AM90"/>
  <c r="AL90"/>
  <c r="AK90"/>
  <c r="AJ90"/>
  <c r="AI90"/>
  <c r="AH90"/>
  <c r="AG90"/>
  <c r="AF90"/>
  <c r="AE90"/>
  <c r="AD90"/>
  <c r="AC90"/>
  <c r="AB90"/>
  <c r="AM89"/>
  <c r="AL89"/>
  <c r="AK89"/>
  <c r="AJ89"/>
  <c r="AI89"/>
  <c r="AH89"/>
  <c r="AG89"/>
  <c r="AF89"/>
  <c r="AE89"/>
  <c r="AD89"/>
  <c r="AC89"/>
  <c r="AB89"/>
  <c r="BC88"/>
  <c r="BB88"/>
  <c r="BA88"/>
  <c r="AZ88"/>
  <c r="AY88"/>
  <c r="AX88"/>
  <c r="AW88"/>
  <c r="AV88"/>
  <c r="AU88"/>
  <c r="AT88"/>
  <c r="AS88"/>
  <c r="AR88"/>
  <c r="BC87"/>
  <c r="BB87"/>
  <c r="BA87"/>
  <c r="AZ87"/>
  <c r="AY87"/>
  <c r="AX87"/>
  <c r="AW87"/>
  <c r="AV87"/>
  <c r="AU87"/>
  <c r="AT87"/>
  <c r="AS87"/>
  <c r="AR87"/>
  <c r="AM87"/>
  <c r="AL87"/>
  <c r="AK87"/>
  <c r="AJ87"/>
  <c r="AI87"/>
  <c r="AH87"/>
  <c r="AG87"/>
  <c r="AF87"/>
  <c r="AE87"/>
  <c r="AD87"/>
  <c r="AC87"/>
  <c r="AB87"/>
  <c r="BC85"/>
  <c r="BB85"/>
  <c r="BA85"/>
  <c r="AZ85"/>
  <c r="AY85"/>
  <c r="AX85"/>
  <c r="AW85"/>
  <c r="AV85"/>
  <c r="AU85"/>
  <c r="AT85"/>
  <c r="AS85"/>
  <c r="AR85"/>
  <c r="AM85"/>
  <c r="AK85"/>
  <c r="AJ85"/>
  <c r="AI85"/>
  <c r="AH85"/>
  <c r="AG85"/>
  <c r="AE85"/>
  <c r="AD85"/>
  <c r="AC85"/>
  <c r="AB85"/>
  <c r="BC84"/>
  <c r="BB84"/>
  <c r="BA84"/>
  <c r="AZ84"/>
  <c r="AY84"/>
  <c r="AX84"/>
  <c r="AW84"/>
  <c r="AV84"/>
  <c r="AU84"/>
  <c r="AT84"/>
  <c r="AS84"/>
  <c r="AR84"/>
  <c r="AM84"/>
  <c r="AL84"/>
  <c r="AK84"/>
  <c r="AJ84"/>
  <c r="AI84"/>
  <c r="AH84"/>
  <c r="AB84"/>
  <c r="AG84"/>
  <c r="AF84"/>
  <c r="AE84"/>
  <c r="AD84"/>
  <c r="AC84"/>
  <c r="BC83"/>
  <c r="BB83"/>
  <c r="BA83"/>
  <c r="AZ83"/>
  <c r="AY83"/>
  <c r="AX83"/>
  <c r="AW83"/>
  <c r="AV83"/>
  <c r="AU83"/>
  <c r="AT83"/>
  <c r="AS83"/>
  <c r="AR83"/>
  <c r="AM83"/>
  <c r="AK83"/>
  <c r="AJ83"/>
  <c r="AI83"/>
  <c r="AH83"/>
  <c r="AG83"/>
  <c r="AE83"/>
  <c r="AD83"/>
  <c r="AC83"/>
  <c r="AB83"/>
  <c r="BC81"/>
  <c r="BB81"/>
  <c r="BA81"/>
  <c r="AZ81"/>
  <c r="AY81"/>
  <c r="AX81"/>
  <c r="AW81"/>
  <c r="AV81"/>
  <c r="AU81"/>
  <c r="AT81"/>
  <c r="AS81"/>
  <c r="AR81"/>
  <c r="AM81"/>
  <c r="AL81"/>
  <c r="AK81"/>
  <c r="AJ81"/>
  <c r="AI81"/>
  <c r="AH81"/>
  <c r="AG81"/>
  <c r="AF81"/>
  <c r="AE81"/>
  <c r="AD81"/>
  <c r="AC81"/>
  <c r="AB81"/>
  <c r="BC80"/>
  <c r="BB80"/>
  <c r="BA80"/>
  <c r="AZ80"/>
  <c r="AY80"/>
  <c r="AX80"/>
  <c r="AW80"/>
  <c r="AV80"/>
  <c r="AU80"/>
  <c r="AT80"/>
  <c r="AS80"/>
  <c r="AR80"/>
  <c r="AM80"/>
  <c r="AL80"/>
  <c r="AK80"/>
  <c r="AJ80"/>
  <c r="AI80"/>
  <c r="AH80"/>
  <c r="AG80"/>
  <c r="AF80"/>
  <c r="AE80"/>
  <c r="AD80"/>
  <c r="AC80"/>
  <c r="AB80"/>
  <c r="BC78"/>
  <c r="BB78"/>
  <c r="BA78"/>
  <c r="AY78"/>
  <c r="AX78"/>
  <c r="AZ78"/>
  <c r="AW78"/>
  <c r="AV78"/>
  <c r="AU78"/>
  <c r="AT78"/>
  <c r="AS78"/>
  <c r="AR78"/>
  <c r="AM78"/>
  <c r="AL78"/>
  <c r="AK78"/>
  <c r="AJ78"/>
  <c r="AI78"/>
  <c r="AH78"/>
  <c r="AG78"/>
  <c r="AF78"/>
  <c r="AE78"/>
  <c r="AD78"/>
  <c r="AC78"/>
  <c r="AB78"/>
  <c r="BC76"/>
  <c r="BB76"/>
  <c r="BA76"/>
  <c r="AZ76"/>
  <c r="AY76"/>
  <c r="AX76"/>
  <c r="AW76"/>
  <c r="AV76"/>
  <c r="AU76"/>
  <c r="AT76"/>
  <c r="AS76"/>
  <c r="AR76"/>
  <c r="AM76"/>
  <c r="AK76"/>
  <c r="AJ76"/>
  <c r="AI76"/>
  <c r="AH76"/>
  <c r="AG76"/>
  <c r="AE76"/>
  <c r="AD76"/>
  <c r="AC76"/>
  <c r="AB76"/>
  <c r="BC75"/>
  <c r="BB75"/>
  <c r="BA75"/>
  <c r="AZ75"/>
  <c r="AY75"/>
  <c r="AX75"/>
  <c r="AW75"/>
  <c r="AV75"/>
  <c r="AU75"/>
  <c r="AT75"/>
  <c r="AS75"/>
  <c r="AR75"/>
  <c r="AM75"/>
  <c r="AL75"/>
  <c r="AK75"/>
  <c r="AJ75"/>
  <c r="AI75"/>
  <c r="AH75"/>
  <c r="AG75"/>
  <c r="AF75"/>
  <c r="AE75"/>
  <c r="AD75"/>
  <c r="AC75"/>
  <c r="AB75"/>
  <c r="BC74"/>
  <c r="AZ74"/>
  <c r="AY74"/>
  <c r="AX74"/>
  <c r="AW74"/>
  <c r="AT74"/>
  <c r="AS74"/>
  <c r="AR74"/>
  <c r="AM74"/>
  <c r="AL74"/>
  <c r="AK74"/>
  <c r="AJ74"/>
  <c r="AI74"/>
  <c r="AH74"/>
  <c r="AG74"/>
  <c r="AF74"/>
  <c r="AE74"/>
  <c r="AD74"/>
  <c r="AC74"/>
  <c r="AB74"/>
  <c r="BC73"/>
  <c r="BB73"/>
  <c r="BA73"/>
  <c r="AZ73"/>
  <c r="AY73"/>
  <c r="AX73"/>
  <c r="AW73"/>
  <c r="AV73"/>
  <c r="AU73"/>
  <c r="AT73"/>
  <c r="AS73"/>
  <c r="AR73"/>
  <c r="AM73"/>
  <c r="AK73"/>
  <c r="AJ73"/>
  <c r="AI73"/>
  <c r="AH73"/>
  <c r="AG73"/>
  <c r="AE73"/>
  <c r="AD73"/>
  <c r="AC73"/>
  <c r="AB73"/>
  <c r="BC72"/>
  <c r="BB72"/>
  <c r="BA72"/>
  <c r="AZ72"/>
  <c r="AY72"/>
  <c r="AX72"/>
  <c r="AW72"/>
  <c r="AV72"/>
  <c r="AU72"/>
  <c r="AT72"/>
  <c r="AS72"/>
  <c r="AR72"/>
  <c r="AM72"/>
  <c r="AL72"/>
  <c r="AK72"/>
  <c r="AJ72"/>
  <c r="AI72"/>
  <c r="AH72"/>
  <c r="AG72"/>
  <c r="AF72"/>
  <c r="AE72"/>
  <c r="AD72"/>
  <c r="AC72"/>
  <c r="AB72"/>
  <c r="BC71"/>
  <c r="BB71"/>
  <c r="BA71"/>
  <c r="AZ71"/>
  <c r="AY71"/>
  <c r="AX71"/>
  <c r="AW71"/>
  <c r="AV71"/>
  <c r="AU71"/>
  <c r="AT71"/>
  <c r="AS71"/>
  <c r="AR71"/>
  <c r="AM71"/>
  <c r="AL71"/>
  <c r="AK71"/>
  <c r="AJ71"/>
  <c r="AI71"/>
  <c r="AH71"/>
  <c r="AG71"/>
  <c r="AF71"/>
  <c r="AE71"/>
  <c r="AD71"/>
  <c r="AC71"/>
  <c r="AB71"/>
  <c r="BC70"/>
  <c r="BA70"/>
  <c r="AZ70"/>
  <c r="AX70"/>
  <c r="AY70"/>
  <c r="AW70"/>
  <c r="AU70"/>
  <c r="AT70"/>
  <c r="AS70"/>
  <c r="AR70"/>
  <c r="AM70"/>
  <c r="AK70"/>
  <c r="AJ70"/>
  <c r="AI70"/>
  <c r="AH70"/>
  <c r="AG70"/>
  <c r="AE70"/>
  <c r="AD70"/>
  <c r="AC70"/>
  <c r="AB70"/>
  <c r="BC69"/>
  <c r="BB69"/>
  <c r="BA69"/>
  <c r="AZ69"/>
  <c r="AY69"/>
  <c r="AX69"/>
  <c r="AW69"/>
  <c r="AV69"/>
  <c r="AU69"/>
  <c r="AT69"/>
  <c r="AS69"/>
  <c r="AR69"/>
  <c r="AM69"/>
  <c r="AL69"/>
  <c r="AK69"/>
  <c r="AJ69"/>
  <c r="AI69"/>
  <c r="AH69"/>
  <c r="AG69"/>
  <c r="AF69"/>
  <c r="AE69"/>
  <c r="AD69"/>
  <c r="AC69"/>
  <c r="AB69"/>
  <c r="BC68"/>
  <c r="BB68"/>
  <c r="BA68"/>
  <c r="AZ68"/>
  <c r="AY68"/>
  <c r="AX68"/>
  <c r="AW68"/>
  <c r="AV68"/>
  <c r="AU68"/>
  <c r="AT68"/>
  <c r="AS68"/>
  <c r="AR68"/>
  <c r="AM68"/>
  <c r="AL68"/>
  <c r="AK68"/>
  <c r="AJ68"/>
  <c r="AI68"/>
  <c r="AH68"/>
  <c r="AG68"/>
  <c r="AF68"/>
  <c r="AE68"/>
  <c r="AD68"/>
  <c r="AC68"/>
  <c r="AB68"/>
  <c r="BC67"/>
  <c r="BB67"/>
  <c r="BA67"/>
  <c r="AZ67"/>
  <c r="AY67"/>
  <c r="AX67"/>
  <c r="AW67"/>
  <c r="AV67"/>
  <c r="AU67"/>
  <c r="AT67"/>
  <c r="AS67"/>
  <c r="AR67"/>
  <c r="AM67"/>
  <c r="AL67"/>
  <c r="AK67"/>
  <c r="AJ67"/>
  <c r="AI67"/>
  <c r="AH67"/>
  <c r="AG67"/>
  <c r="AF67"/>
  <c r="AE67"/>
  <c r="AD67"/>
  <c r="AC67"/>
  <c r="AB67"/>
  <c r="BC64"/>
  <c r="BB64"/>
  <c r="BA64"/>
  <c r="AZ64"/>
  <c r="AY64"/>
  <c r="AX64"/>
  <c r="AW64"/>
  <c r="AV64"/>
  <c r="AU64"/>
  <c r="AT64"/>
  <c r="AS64"/>
  <c r="AR64"/>
  <c r="AM64"/>
  <c r="AL64"/>
  <c r="AK64"/>
  <c r="AJ64"/>
  <c r="AH64"/>
  <c r="AG64"/>
  <c r="AF64"/>
  <c r="AE64"/>
  <c r="AD64"/>
  <c r="AB64"/>
  <c r="BC63"/>
  <c r="BB63"/>
  <c r="BA63"/>
  <c r="AZ63"/>
  <c r="AY63"/>
  <c r="AX63"/>
  <c r="AW63"/>
  <c r="AV63"/>
  <c r="AU63"/>
  <c r="AT63"/>
  <c r="AS63"/>
  <c r="AR63"/>
  <c r="AM63"/>
  <c r="AL63"/>
  <c r="AK63"/>
  <c r="AJ63"/>
  <c r="AI63"/>
  <c r="AH63"/>
  <c r="AG63"/>
  <c r="AF63"/>
  <c r="AE63"/>
  <c r="AD63"/>
  <c r="AC63"/>
  <c r="AB63"/>
  <c r="BC62"/>
  <c r="BB62"/>
  <c r="BA62"/>
  <c r="AZ62"/>
  <c r="AY62"/>
  <c r="AX62"/>
  <c r="AW62"/>
  <c r="AV62"/>
  <c r="AU62"/>
  <c r="AT62"/>
  <c r="AS62"/>
  <c r="AR62"/>
  <c r="AM62"/>
  <c r="AK62"/>
  <c r="AJ62"/>
  <c r="AI62"/>
  <c r="AH62"/>
  <c r="AG62"/>
  <c r="AF62"/>
  <c r="AE62"/>
  <c r="AD62"/>
  <c r="AC62"/>
  <c r="AB62"/>
  <c r="BC61"/>
  <c r="BA61"/>
  <c r="AZ61"/>
  <c r="AY61"/>
  <c r="AX61"/>
  <c r="AW61"/>
  <c r="AU61"/>
  <c r="AT61"/>
  <c r="AS61"/>
  <c r="AR61"/>
  <c r="AM61"/>
  <c r="AL61"/>
  <c r="AK61"/>
  <c r="AJ61"/>
  <c r="AI61"/>
  <c r="AH61"/>
  <c r="AG61"/>
  <c r="AF61"/>
  <c r="AE61"/>
  <c r="AD61"/>
  <c r="AC61"/>
  <c r="AB61"/>
  <c r="BC60"/>
  <c r="BB60"/>
  <c r="BA60"/>
  <c r="AZ60"/>
  <c r="AY60"/>
  <c r="AX60"/>
  <c r="AW60"/>
  <c r="AV60"/>
  <c r="AU60"/>
  <c r="AT60"/>
  <c r="AS60"/>
  <c r="AR60"/>
  <c r="AM60"/>
  <c r="AL60"/>
  <c r="AJ60"/>
  <c r="AI60"/>
  <c r="AH60"/>
  <c r="AG60"/>
  <c r="AF60"/>
  <c r="AD60"/>
  <c r="AC60"/>
  <c r="AB60"/>
  <c r="BC59"/>
  <c r="BA59"/>
  <c r="AZ59"/>
  <c r="AY59"/>
  <c r="AX59"/>
  <c r="AW59"/>
  <c r="AU59"/>
  <c r="AT59"/>
  <c r="AS59"/>
  <c r="AR59"/>
  <c r="AM59"/>
  <c r="AL59"/>
  <c r="AK59"/>
  <c r="AJ59"/>
  <c r="AI59"/>
  <c r="AH59"/>
  <c r="AG59"/>
  <c r="AF59"/>
  <c r="AE59"/>
  <c r="AD59"/>
  <c r="AC59"/>
  <c r="AB59"/>
  <c r="AX58"/>
  <c r="AR58"/>
  <c r="BC58"/>
  <c r="BB58"/>
  <c r="BA58"/>
  <c r="AZ58"/>
  <c r="AY58"/>
  <c r="AW58"/>
  <c r="AV58"/>
  <c r="AU58"/>
  <c r="AT58"/>
  <c r="AS58"/>
  <c r="AM58"/>
  <c r="AL58"/>
  <c r="AK58"/>
  <c r="AJ58"/>
  <c r="AI58"/>
  <c r="AH58"/>
  <c r="AG58"/>
  <c r="AF58"/>
  <c r="AE58"/>
  <c r="AD58"/>
  <c r="AC58"/>
  <c r="AB58"/>
  <c r="BC57"/>
  <c r="BA57"/>
  <c r="AZ57"/>
  <c r="AY57"/>
  <c r="AX57"/>
  <c r="AW57"/>
  <c r="AU57"/>
  <c r="AT57"/>
  <c r="AS57"/>
  <c r="AR57"/>
  <c r="AM57"/>
  <c r="AK57"/>
  <c r="AJ57"/>
  <c r="AI57"/>
  <c r="AH57"/>
  <c r="AG57"/>
  <c r="AE57"/>
  <c r="AD57"/>
  <c r="AC57"/>
  <c r="AB57"/>
  <c r="BC56"/>
  <c r="BB56"/>
  <c r="BA56"/>
  <c r="AZ56"/>
  <c r="AY56"/>
  <c r="AX56"/>
  <c r="AW56"/>
  <c r="AV56"/>
  <c r="AU56"/>
  <c r="AT56"/>
  <c r="AS56"/>
  <c r="AR56"/>
  <c r="AM56"/>
  <c r="AL56"/>
  <c r="AK56"/>
  <c r="AJ56"/>
  <c r="AI56"/>
  <c r="AH56"/>
  <c r="AG56"/>
  <c r="AF56"/>
  <c r="AE56"/>
  <c r="AD56"/>
  <c r="AC56"/>
  <c r="AB56"/>
  <c r="AM55"/>
  <c r="AL55"/>
  <c r="AK55"/>
  <c r="AJ55"/>
  <c r="AI55"/>
  <c r="AH55"/>
  <c r="AB55"/>
  <c r="AC55"/>
  <c r="AD55"/>
  <c r="AG55"/>
  <c r="AF55"/>
  <c r="AE55"/>
  <c r="BC55"/>
  <c r="BA55"/>
  <c r="AZ55"/>
  <c r="AY55"/>
  <c r="AX55"/>
  <c r="AW55"/>
  <c r="AU55"/>
  <c r="AT55"/>
  <c r="AS55"/>
  <c r="AR55"/>
  <c r="BC54"/>
  <c r="BB54"/>
  <c r="BA54"/>
  <c r="AZ54"/>
  <c r="AY54"/>
  <c r="AX54"/>
  <c r="AW54"/>
  <c r="AV54"/>
  <c r="AU54"/>
  <c r="AT54"/>
  <c r="AS54"/>
  <c r="AR54"/>
  <c r="AM54"/>
  <c r="AL54"/>
  <c r="AK54"/>
  <c r="AJ54"/>
  <c r="AI54"/>
  <c r="AH54"/>
  <c r="AG54"/>
  <c r="AF54"/>
  <c r="AE54"/>
  <c r="AD54"/>
  <c r="AC54"/>
  <c r="AB54"/>
  <c r="BC53"/>
  <c r="BA53"/>
  <c r="AZ53"/>
  <c r="AY53"/>
  <c r="AX53"/>
  <c r="AW53"/>
  <c r="AU53"/>
  <c r="AT53"/>
  <c r="AS53"/>
  <c r="AR53"/>
  <c r="AM53"/>
  <c r="AL53"/>
  <c r="AK53"/>
  <c r="AJ53"/>
  <c r="AI53"/>
  <c r="AH53"/>
  <c r="AG53"/>
  <c r="AF53"/>
  <c r="AE53"/>
  <c r="AD53"/>
  <c r="AC53"/>
  <c r="AB53"/>
  <c r="BC52"/>
  <c r="BB52"/>
  <c r="AZ52"/>
  <c r="AY52"/>
  <c r="AX52"/>
  <c r="AW52"/>
  <c r="AV52"/>
  <c r="AT52"/>
  <c r="AS52"/>
  <c r="AR52"/>
  <c r="AM52"/>
  <c r="AL52"/>
  <c r="AK52"/>
  <c r="AJ52"/>
  <c r="AH52"/>
  <c r="AG52"/>
  <c r="AF52"/>
  <c r="AE52"/>
  <c r="AD52"/>
  <c r="AB52"/>
  <c r="AX50"/>
  <c r="AR50"/>
  <c r="AH50"/>
  <c r="AB50"/>
  <c r="BB50"/>
  <c r="AV50"/>
  <c r="AL50"/>
  <c r="AF50"/>
  <c r="AY50"/>
  <c r="AS50"/>
  <c r="AI50"/>
  <c r="AC50"/>
  <c r="BA50"/>
  <c r="AU50"/>
  <c r="AK50"/>
  <c r="AE50"/>
  <c r="AZ50"/>
  <c r="AT50"/>
  <c r="AJ50"/>
  <c r="AD50"/>
  <c r="BC50"/>
  <c r="AW50"/>
  <c r="AM50"/>
  <c r="AG50"/>
  <c r="AX45"/>
  <c r="BB45"/>
  <c r="AR45"/>
  <c r="AV45"/>
  <c r="AH45"/>
  <c r="AL45"/>
  <c r="AB45"/>
  <c r="AF45"/>
  <c r="AY45"/>
  <c r="AS45"/>
  <c r="AI45"/>
  <c r="AC45"/>
  <c r="BA45"/>
  <c r="AU45"/>
  <c r="AK45"/>
  <c r="AE45"/>
  <c r="AZ45"/>
  <c r="AT45"/>
  <c r="AJ45"/>
  <c r="AD45"/>
  <c r="BC45"/>
  <c r="AW45"/>
  <c r="AM45"/>
  <c r="AG45"/>
  <c r="AX44"/>
  <c r="BB44"/>
  <c r="AY44"/>
  <c r="BC44"/>
  <c r="BA44"/>
  <c r="AZ44"/>
  <c r="AR44"/>
  <c r="AV44"/>
  <c r="AS44"/>
  <c r="AT44"/>
  <c r="AU44"/>
  <c r="AW44"/>
  <c r="AH44"/>
  <c r="AB44"/>
  <c r="AI44"/>
  <c r="AC44"/>
  <c r="AK44"/>
  <c r="AE44"/>
  <c r="AJ44"/>
  <c r="AD44"/>
  <c r="AM44"/>
  <c r="AG44"/>
  <c r="AX43"/>
  <c r="AR43"/>
  <c r="AH43"/>
  <c r="AB43"/>
  <c r="BB43"/>
  <c r="AV43"/>
  <c r="AL43"/>
  <c r="AF43"/>
  <c r="AC43"/>
  <c r="AI43"/>
  <c r="BA43"/>
  <c r="AU43"/>
  <c r="AK43"/>
  <c r="AE43"/>
  <c r="AZ43"/>
  <c r="AT43"/>
  <c r="AJ43"/>
  <c r="AD43"/>
  <c r="BC43"/>
  <c r="AW43"/>
  <c r="AM43"/>
  <c r="AG43"/>
  <c r="BC42"/>
  <c r="AW42"/>
  <c r="AM42"/>
  <c r="AG42"/>
  <c r="AZ42"/>
  <c r="AT42"/>
  <c r="AJ42"/>
  <c r="AD42"/>
  <c r="BA42"/>
  <c r="AU42"/>
  <c r="AK42"/>
  <c r="AE42"/>
  <c r="AY42"/>
  <c r="AS42"/>
  <c r="AI42"/>
  <c r="AC42"/>
  <c r="AL42"/>
  <c r="AF42"/>
  <c r="AR42"/>
  <c r="AX42"/>
  <c r="AH42"/>
  <c r="AB42"/>
  <c r="AX41"/>
  <c r="AR41"/>
  <c r="AH41"/>
  <c r="AB41"/>
  <c r="AL41"/>
  <c r="AF41"/>
  <c r="AY41"/>
  <c r="AS41"/>
  <c r="AI41"/>
  <c r="AC41"/>
  <c r="BA41"/>
  <c r="AU41"/>
  <c r="AK41"/>
  <c r="AE41"/>
  <c r="AZ41"/>
  <c r="AT41"/>
  <c r="AJ41"/>
  <c r="AD41"/>
  <c r="BC41"/>
  <c r="AW41"/>
  <c r="AM41"/>
  <c r="AG41"/>
  <c r="AX40"/>
  <c r="AR40"/>
  <c r="AS40"/>
  <c r="AH40"/>
  <c r="AB40"/>
  <c r="BB40"/>
  <c r="AV40"/>
  <c r="AL40"/>
  <c r="AF40"/>
  <c r="AY40"/>
  <c r="AI40"/>
  <c r="AC40"/>
  <c r="BA40"/>
  <c r="AU40"/>
  <c r="AK40"/>
  <c r="AE40"/>
  <c r="AZ40"/>
  <c r="AT40"/>
  <c r="AJ40"/>
  <c r="AD40"/>
  <c r="BC40"/>
  <c r="AW40"/>
  <c r="AM40"/>
  <c r="AG40"/>
  <c r="AX39"/>
  <c r="AR39"/>
  <c r="AH39"/>
  <c r="AB39"/>
  <c r="BB39"/>
  <c r="AV39"/>
  <c r="AL39"/>
  <c r="AF39"/>
  <c r="AY39"/>
  <c r="AS39"/>
  <c r="AI39"/>
  <c r="AC39"/>
  <c r="BA39"/>
  <c r="AU39"/>
  <c r="AK39"/>
  <c r="AE39"/>
  <c r="AZ39"/>
  <c r="AT39"/>
  <c r="AJ39"/>
  <c r="AD39"/>
  <c r="BC39"/>
  <c r="AW39"/>
  <c r="AM39"/>
  <c r="AG39"/>
  <c r="BC38"/>
  <c r="AW38"/>
  <c r="AM38"/>
  <c r="AG38"/>
  <c r="AZ38"/>
  <c r="AT38"/>
  <c r="AJ38"/>
  <c r="AD38"/>
  <c r="BA38"/>
  <c r="AU38"/>
  <c r="AK38"/>
  <c r="AE38"/>
  <c r="AY38"/>
  <c r="AS38"/>
  <c r="AI38"/>
  <c r="AC38"/>
  <c r="BB38"/>
  <c r="AV38"/>
  <c r="AX38"/>
  <c r="AR38"/>
  <c r="AH38"/>
  <c r="AB38"/>
  <c r="AX37"/>
  <c r="AR37"/>
  <c r="AH37"/>
  <c r="AB37"/>
  <c r="BB37"/>
  <c r="AV37"/>
  <c r="AF37"/>
  <c r="AY37"/>
  <c r="AS37"/>
  <c r="AI37"/>
  <c r="AC37"/>
  <c r="BA37"/>
  <c r="AU37"/>
  <c r="AK37"/>
  <c r="AE37"/>
  <c r="AZ37"/>
  <c r="AT37"/>
  <c r="AJ37"/>
  <c r="AD37"/>
  <c r="BC37"/>
  <c r="AW37"/>
  <c r="AM37"/>
  <c r="AG37"/>
  <c r="BC36"/>
  <c r="AW36"/>
  <c r="AM36"/>
  <c r="AG36"/>
  <c r="AZ36"/>
  <c r="AT36"/>
  <c r="AJ36"/>
  <c r="AD36"/>
  <c r="BA36"/>
  <c r="AU36"/>
  <c r="AK36"/>
  <c r="AE36"/>
  <c r="AY36"/>
  <c r="AS36"/>
  <c r="AI36"/>
  <c r="AC36"/>
  <c r="BB36"/>
  <c r="AV36"/>
  <c r="AL36"/>
  <c r="AF36"/>
  <c r="AX36"/>
  <c r="AR36"/>
  <c r="AH36"/>
  <c r="AB36"/>
  <c r="AX35"/>
  <c r="BB35"/>
  <c r="AY35"/>
  <c r="BA35"/>
  <c r="AZ35"/>
  <c r="BC35"/>
  <c r="AR35"/>
  <c r="AS35"/>
  <c r="AV35"/>
  <c r="AU35"/>
  <c r="AT35"/>
  <c r="AW35"/>
  <c r="AH35"/>
  <c r="AB35"/>
  <c r="AL35"/>
  <c r="AF35"/>
  <c r="AI35"/>
  <c r="AC35"/>
  <c r="AK35"/>
  <c r="AE35"/>
  <c r="AJ35"/>
  <c r="AD35"/>
  <c r="AM35"/>
  <c r="AG35"/>
  <c r="BC34"/>
  <c r="AW34"/>
  <c r="AM34"/>
  <c r="AG34"/>
  <c r="AZ34"/>
  <c r="AT34"/>
  <c r="AJ34"/>
  <c r="AD34"/>
  <c r="BA34"/>
  <c r="AU34"/>
  <c r="AK34"/>
  <c r="AE34"/>
  <c r="AY34"/>
  <c r="AS34"/>
  <c r="AI34"/>
  <c r="AC34"/>
  <c r="BB34"/>
  <c r="AV34"/>
  <c r="AX34"/>
  <c r="AR34"/>
  <c r="AH34"/>
  <c r="AB34"/>
  <c r="AG33"/>
  <c r="AD33"/>
  <c r="AE33"/>
  <c r="AC33"/>
  <c r="AB33"/>
  <c r="AR33"/>
  <c r="AV33"/>
  <c r="AS33"/>
  <c r="AU33"/>
  <c r="AT33"/>
  <c r="AW33"/>
  <c r="AH33"/>
  <c r="AX33"/>
  <c r="BB33"/>
  <c r="AI33"/>
  <c r="AY33"/>
  <c r="AK33"/>
  <c r="BA33"/>
  <c r="AJ33"/>
  <c r="AZ33"/>
  <c r="AM33"/>
  <c r="BC33"/>
  <c r="BC32"/>
  <c r="AW32"/>
  <c r="AM32"/>
  <c r="AG32"/>
  <c r="AZ32"/>
  <c r="AT32"/>
  <c r="AJ32"/>
  <c r="AD32"/>
  <c r="BA32"/>
  <c r="AU32"/>
  <c r="AK32"/>
  <c r="AE32"/>
  <c r="AY32"/>
  <c r="AS32"/>
  <c r="AI32"/>
  <c r="AC32"/>
  <c r="BB32"/>
  <c r="AV32"/>
  <c r="AX32"/>
  <c r="AR32"/>
  <c r="AH32"/>
  <c r="AB32"/>
  <c r="AX31"/>
  <c r="AR31"/>
  <c r="AH31"/>
  <c r="AB31"/>
  <c r="BB31"/>
  <c r="AV31"/>
  <c r="AL31"/>
  <c r="AF31"/>
  <c r="AY31"/>
  <c r="AS31"/>
  <c r="AI31"/>
  <c r="AC31"/>
  <c r="BA31"/>
  <c r="AU31"/>
  <c r="AK31"/>
  <c r="AE31"/>
  <c r="AZ31"/>
  <c r="AT31"/>
  <c r="AJ31"/>
  <c r="AD31"/>
  <c r="BC31"/>
  <c r="AW31"/>
  <c r="AM31"/>
  <c r="AG31"/>
  <c r="AX30"/>
  <c r="AR30"/>
  <c r="AH30"/>
  <c r="AL30"/>
  <c r="AB30"/>
  <c r="AF30"/>
  <c r="AY30"/>
  <c r="AS30"/>
  <c r="AI30"/>
  <c r="AC30"/>
  <c r="BA30"/>
  <c r="AU30"/>
  <c r="AK30"/>
  <c r="AE30"/>
  <c r="AZ30"/>
  <c r="AT30"/>
  <c r="AJ30"/>
  <c r="AD30"/>
  <c r="BC30"/>
  <c r="AW30"/>
  <c r="AM30"/>
  <c r="AG30"/>
  <c r="AX29"/>
  <c r="AZ29"/>
  <c r="AR29"/>
  <c r="AT29"/>
  <c r="AH29"/>
  <c r="AL29"/>
  <c r="AB29"/>
  <c r="AF29"/>
  <c r="AI29"/>
  <c r="AC29"/>
  <c r="AJ29"/>
  <c r="AM29"/>
  <c r="AG29"/>
  <c r="AD29"/>
  <c r="AS29"/>
  <c r="AY29"/>
  <c r="BB29"/>
  <c r="AV29"/>
  <c r="AK29"/>
  <c r="AE29"/>
  <c r="BC29"/>
  <c r="AW29"/>
  <c r="BC28"/>
  <c r="AW28"/>
  <c r="AM28"/>
  <c r="AG28"/>
  <c r="AZ28"/>
  <c r="AT28"/>
  <c r="AJ28"/>
  <c r="AD28"/>
  <c r="AK28"/>
  <c r="AE28"/>
  <c r="AY28"/>
  <c r="AS28"/>
  <c r="AI28"/>
  <c r="AC28"/>
  <c r="AF28"/>
  <c r="AL28"/>
  <c r="AX28"/>
  <c r="AB28"/>
  <c r="AH28"/>
  <c r="AR28"/>
  <c r="AX27"/>
  <c r="AR27"/>
  <c r="AH27"/>
  <c r="AB27"/>
  <c r="BB27"/>
  <c r="AV27"/>
  <c r="AL27"/>
  <c r="AF27"/>
  <c r="AY27"/>
  <c r="AS27"/>
  <c r="AI27"/>
  <c r="AC27"/>
  <c r="BA27"/>
  <c r="AU27"/>
  <c r="AK27"/>
  <c r="AE27"/>
  <c r="AZ27"/>
  <c r="AT27"/>
  <c r="AJ27"/>
  <c r="AD27"/>
  <c r="BC27"/>
  <c r="AW27"/>
  <c r="AM27"/>
  <c r="AG27"/>
  <c r="AW26"/>
  <c r="BC26"/>
  <c r="AL26"/>
  <c r="AF26"/>
  <c r="AK26"/>
  <c r="AE26"/>
  <c r="AM26"/>
  <c r="AG26"/>
  <c r="AZ26"/>
  <c r="AT26"/>
  <c r="AJ26"/>
  <c r="AD26"/>
  <c r="BA26"/>
  <c r="AU26"/>
  <c r="AY26"/>
  <c r="AS26"/>
  <c r="AI26"/>
  <c r="AC26"/>
  <c r="BB26"/>
  <c r="AV26"/>
  <c r="AX26"/>
  <c r="AR26"/>
  <c r="AH26"/>
  <c r="AB26"/>
  <c r="AH25"/>
  <c r="AB25"/>
  <c r="AL25"/>
  <c r="AF25"/>
  <c r="AI25"/>
  <c r="AC25"/>
  <c r="AK25"/>
  <c r="AE25"/>
  <c r="AJ25"/>
  <c r="AD25"/>
  <c r="AM25"/>
  <c r="AG25"/>
  <c r="BC24"/>
  <c r="AW24"/>
  <c r="AM24"/>
  <c r="AG24"/>
  <c r="AZ24"/>
  <c r="AT24"/>
  <c r="AJ24"/>
  <c r="AD24"/>
  <c r="BA24"/>
  <c r="AU24"/>
  <c r="AK24"/>
  <c r="AE24"/>
  <c r="AY24"/>
  <c r="AS24"/>
  <c r="AI24"/>
  <c r="AC24"/>
  <c r="BB24"/>
  <c r="AV24"/>
  <c r="AF24"/>
  <c r="AX24"/>
  <c r="AR24"/>
  <c r="AH24"/>
  <c r="AB24"/>
  <c r="AX23"/>
  <c r="AR23"/>
  <c r="AH23"/>
  <c r="AB23"/>
  <c r="AL23"/>
  <c r="AF23"/>
  <c r="AY23"/>
  <c r="AS23"/>
  <c r="AI23"/>
  <c r="AC23"/>
  <c r="BA23"/>
  <c r="AU23"/>
  <c r="AK23"/>
  <c r="AE23"/>
  <c r="AZ23"/>
  <c r="AT23"/>
  <c r="AJ23"/>
  <c r="AD23"/>
  <c r="BC23"/>
  <c r="AW23"/>
  <c r="AM23"/>
  <c r="AG23"/>
  <c r="AG22"/>
  <c r="AM22"/>
  <c r="AW22"/>
  <c r="BC22"/>
  <c r="AZ22"/>
  <c r="AT22"/>
  <c r="AJ22"/>
  <c r="AD22"/>
  <c r="BA22"/>
  <c r="AU22"/>
  <c r="AY22"/>
  <c r="AS22"/>
  <c r="AL22"/>
  <c r="AF22"/>
  <c r="AX22"/>
  <c r="AR22"/>
  <c r="AH22"/>
  <c r="AB22"/>
  <c r="AX21"/>
  <c r="AR21"/>
  <c r="AH21"/>
  <c r="AB21"/>
  <c r="AL21"/>
  <c r="AF21"/>
  <c r="AY21"/>
  <c r="AS21"/>
  <c r="AI21"/>
  <c r="AC21"/>
  <c r="BA21"/>
  <c r="AU21"/>
  <c r="AK21"/>
  <c r="AE21"/>
  <c r="AZ21"/>
  <c r="AT21"/>
  <c r="AJ21"/>
  <c r="AD21"/>
  <c r="BC21"/>
  <c r="AW21"/>
  <c r="AM21"/>
  <c r="AG21"/>
  <c r="AX20"/>
  <c r="BB20"/>
  <c r="AY20"/>
  <c r="BA20"/>
  <c r="AZ20"/>
  <c r="BC20"/>
  <c r="AR20"/>
  <c r="AV20"/>
  <c r="AS20"/>
  <c r="AU20"/>
  <c r="AT20"/>
  <c r="AW20"/>
  <c r="AM20"/>
  <c r="AG20"/>
  <c r="AJ20"/>
  <c r="AD20"/>
  <c r="AI20"/>
  <c r="AC20"/>
  <c r="AL20"/>
  <c r="AF20"/>
  <c r="AB20"/>
  <c r="AH20"/>
  <c r="AX19"/>
  <c r="AR19"/>
  <c r="AH19"/>
  <c r="AB19"/>
  <c r="BB19"/>
  <c r="AV19"/>
  <c r="AL19"/>
  <c r="AF19"/>
  <c r="AS19"/>
  <c r="AY19"/>
  <c r="AI19"/>
  <c r="AC19"/>
  <c r="AK19"/>
  <c r="AE19"/>
  <c r="AZ19"/>
  <c r="AT19"/>
  <c r="AJ19"/>
  <c r="AD19"/>
  <c r="BC19"/>
  <c r="AW19"/>
  <c r="AM19"/>
  <c r="AG19"/>
  <c r="AG18"/>
  <c r="BC18"/>
  <c r="AW18"/>
  <c r="AM18"/>
  <c r="AZ18"/>
  <c r="AT18"/>
  <c r="AJ18"/>
  <c r="AD18"/>
  <c r="BA18"/>
  <c r="AU18"/>
  <c r="AK18"/>
  <c r="AE18"/>
  <c r="AY18"/>
  <c r="AS18"/>
  <c r="AI18"/>
  <c r="AC18"/>
  <c r="BB18"/>
  <c r="AV18"/>
  <c r="AL18"/>
  <c r="AF18"/>
  <c r="AX18"/>
  <c r="AR18"/>
  <c r="AH18"/>
  <c r="AB18"/>
  <c r="AX17"/>
  <c r="AR17"/>
  <c r="AH17"/>
  <c r="AB17"/>
  <c r="AL17"/>
  <c r="AF17"/>
  <c r="AY17"/>
  <c r="AS17"/>
  <c r="AI17"/>
  <c r="AC17"/>
  <c r="AU17"/>
  <c r="AK17"/>
  <c r="AE17"/>
  <c r="AZ17"/>
  <c r="AT17"/>
  <c r="AJ17"/>
  <c r="AD17"/>
  <c r="BC17"/>
  <c r="AM17"/>
  <c r="AW17"/>
  <c r="AG17"/>
  <c r="AX16"/>
  <c r="BB16"/>
  <c r="AY16"/>
  <c r="BC16"/>
  <c r="AZ16"/>
  <c r="BA16"/>
  <c r="AR16"/>
  <c r="AT16"/>
  <c r="AW16"/>
  <c r="AS16"/>
  <c r="AV16"/>
  <c r="AU16"/>
  <c r="AM16"/>
  <c r="AG16"/>
  <c r="AJ16"/>
  <c r="AD16"/>
  <c r="AK16"/>
  <c r="AE16"/>
  <c r="AI16"/>
  <c r="AC16"/>
  <c r="AL16"/>
  <c r="AF16"/>
  <c r="AH16"/>
  <c r="AB16"/>
  <c r="AX15"/>
  <c r="AR15"/>
  <c r="AH15"/>
  <c r="AB15"/>
  <c r="AF15"/>
  <c r="AY15"/>
  <c r="AS15"/>
  <c r="AI15"/>
  <c r="AC15"/>
  <c r="BA15"/>
  <c r="AU15"/>
  <c r="AK15"/>
  <c r="AE15"/>
  <c r="AZ15"/>
  <c r="AT15"/>
  <c r="AJ15"/>
  <c r="AD15"/>
  <c r="BC15"/>
  <c r="AW15"/>
  <c r="AM15"/>
  <c r="AG15"/>
  <c r="AX14"/>
  <c r="AR14"/>
  <c r="AH14"/>
  <c r="AB14"/>
  <c r="BB14"/>
  <c r="AV14"/>
  <c r="AL14"/>
  <c r="AF14"/>
  <c r="AY14"/>
  <c r="AS14"/>
  <c r="AI14"/>
  <c r="AC14"/>
  <c r="BA14"/>
  <c r="AU14"/>
  <c r="AK14"/>
  <c r="AE14"/>
  <c r="AZ14"/>
  <c r="AT14"/>
  <c r="AJ14"/>
  <c r="AD14"/>
  <c r="BC14"/>
  <c r="AW14"/>
  <c r="AM14"/>
  <c r="AG14"/>
  <c r="AX13"/>
  <c r="AR13"/>
  <c r="AH13"/>
  <c r="AB13"/>
  <c r="AY13"/>
  <c r="AS13"/>
  <c r="AI13"/>
  <c r="AC13"/>
  <c r="AU13"/>
  <c r="AE13"/>
  <c r="AZ13"/>
  <c r="AT13"/>
  <c r="AJ13"/>
  <c r="AD13"/>
  <c r="BC13"/>
  <c r="AW13"/>
  <c r="AM13"/>
  <c r="AG13"/>
  <c r="BC12"/>
  <c r="AW12"/>
  <c r="AM12"/>
  <c r="AG12"/>
  <c r="AZ12"/>
  <c r="AT12"/>
  <c r="AJ12"/>
  <c r="AD12"/>
  <c r="BA12"/>
  <c r="AU12"/>
  <c r="AK12"/>
  <c r="AE12"/>
  <c r="AY12"/>
  <c r="AS12"/>
  <c r="AI12"/>
  <c r="AC12"/>
  <c r="BB12"/>
  <c r="AV12"/>
  <c r="AL12"/>
  <c r="AF12"/>
  <c r="AX12"/>
  <c r="AR12"/>
  <c r="AH12"/>
  <c r="AB12"/>
  <c r="AX11"/>
  <c r="AR11"/>
  <c r="AH11"/>
  <c r="AB11"/>
  <c r="BB11"/>
  <c r="AV11"/>
  <c r="AL11"/>
  <c r="AF11"/>
  <c r="AY11"/>
  <c r="AS11"/>
  <c r="AI11"/>
  <c r="AC11"/>
  <c r="BA11"/>
  <c r="AU11"/>
  <c r="AK11"/>
  <c r="AE11"/>
  <c r="AZ11"/>
  <c r="AT11"/>
  <c r="AJ11"/>
  <c r="AD11"/>
  <c r="BC11"/>
  <c r="AW11"/>
  <c r="AM11"/>
  <c r="AG11"/>
  <c r="BC10"/>
  <c r="AW10"/>
  <c r="AM10"/>
  <c r="AG10"/>
  <c r="AZ10"/>
  <c r="AT10"/>
  <c r="AJ10"/>
  <c r="AD10"/>
  <c r="BA10"/>
  <c r="AU10"/>
  <c r="AK10"/>
  <c r="AE10"/>
  <c r="AY10"/>
  <c r="AS10"/>
  <c r="AI10"/>
  <c r="AC10"/>
  <c r="BB10"/>
  <c r="AV10"/>
  <c r="AF10"/>
  <c r="AX10"/>
  <c r="AR10"/>
  <c r="AH10"/>
  <c r="AB10"/>
  <c r="AX8"/>
  <c r="AR8"/>
  <c r="AH8"/>
  <c r="AB8"/>
  <c r="BB8"/>
  <c r="AV8"/>
  <c r="AF8"/>
  <c r="AL8"/>
  <c r="AY8"/>
  <c r="AS8"/>
  <c r="AI8"/>
  <c r="AC8"/>
  <c r="BA8"/>
  <c r="AU8"/>
  <c r="AK8"/>
  <c r="AE8"/>
  <c r="AZ8"/>
  <c r="AT8"/>
  <c r="AJ8"/>
  <c r="AD8"/>
  <c r="BC8"/>
  <c r="AW8"/>
  <c r="AM8"/>
  <c r="AG8"/>
  <c r="BC7"/>
  <c r="AW7"/>
  <c r="AM7"/>
  <c r="AG7"/>
  <c r="AU7"/>
  <c r="BA7"/>
  <c r="AZ7"/>
  <c r="AT7"/>
  <c r="AJ7"/>
  <c r="AD7"/>
  <c r="AY7"/>
  <c r="AS7"/>
  <c r="AI7"/>
  <c r="AC7"/>
  <c r="AV7"/>
  <c r="AL7"/>
  <c r="AF7"/>
  <c r="AX7"/>
  <c r="AR7"/>
  <c r="AH7"/>
  <c r="AB7"/>
  <c r="AH6"/>
  <c r="AB6"/>
  <c r="AL6"/>
  <c r="AF6"/>
  <c r="AI6"/>
  <c r="AC6"/>
  <c r="AK6"/>
  <c r="AE6"/>
  <c r="AJ6"/>
  <c r="AD6"/>
  <c r="AG6"/>
  <c r="AW5"/>
  <c r="AG5"/>
  <c r="AT5"/>
  <c r="AD5"/>
  <c r="AU5"/>
  <c r="AE5"/>
  <c r="AS5"/>
  <c r="AC5"/>
  <c r="AV5"/>
  <c r="AF5"/>
  <c r="AR5"/>
  <c r="AB5"/>
  <c r="AR4"/>
  <c r="AB4"/>
  <c r="AV4"/>
  <c r="AF4"/>
  <c r="AS4"/>
  <c r="AC4"/>
  <c r="AU4"/>
  <c r="AE4"/>
  <c r="AT4"/>
  <c r="AD4"/>
  <c r="AW4"/>
  <c r="AG4"/>
  <c r="AG3"/>
  <c r="AD3"/>
  <c r="AE3"/>
  <c r="AC3"/>
  <c r="AF3"/>
  <c r="AB3"/>
  <c r="AF2"/>
  <c r="AC2"/>
  <c r="AE2"/>
  <c r="AD2"/>
  <c r="AG2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P101"/>
  <c r="R101" s="1"/>
  <c r="P100"/>
  <c r="R100" s="1"/>
  <c r="P99"/>
  <c r="R99" s="1"/>
  <c r="P98"/>
  <c r="R98" s="1"/>
  <c r="P97"/>
  <c r="R97" s="1"/>
  <c r="P96"/>
  <c r="R96" s="1"/>
  <c r="P95"/>
  <c r="R95" s="1"/>
  <c r="P94"/>
  <c r="R94" s="1"/>
  <c r="P93"/>
  <c r="R93" s="1"/>
  <c r="P92"/>
  <c r="R92" s="1"/>
  <c r="P91"/>
  <c r="R91" s="1"/>
  <c r="P90"/>
  <c r="R90" s="1"/>
  <c r="P89"/>
  <c r="R89" s="1"/>
  <c r="P88"/>
  <c r="R88" s="1"/>
  <c r="R87"/>
  <c r="R86"/>
  <c r="R85"/>
  <c r="R84"/>
  <c r="R83"/>
  <c r="P82"/>
  <c r="R82" s="1"/>
  <c r="R81"/>
  <c r="P80"/>
  <c r="R80" s="1"/>
  <c r="P79"/>
  <c r="R79" s="1"/>
  <c r="R78"/>
  <c r="R77"/>
  <c r="P76"/>
  <c r="R76" s="1"/>
  <c r="P75"/>
  <c r="R75" s="1"/>
  <c r="P74"/>
  <c r="R74" s="1"/>
  <c r="P73"/>
  <c r="R73" s="1"/>
  <c r="P72"/>
  <c r="R72" s="1"/>
  <c r="P71"/>
  <c r="R71" s="1"/>
  <c r="P70"/>
  <c r="R70" s="1"/>
  <c r="P69"/>
  <c r="R69" s="1"/>
  <c r="P68"/>
  <c r="R68" s="1"/>
  <c r="P67"/>
  <c r="R67" s="1"/>
  <c r="P66"/>
  <c r="R66" s="1"/>
  <c r="P65"/>
  <c r="R65" s="1"/>
  <c r="P64"/>
  <c r="R64" s="1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J87"/>
  <c r="J86"/>
  <c r="J85"/>
  <c r="J84"/>
  <c r="J83"/>
  <c r="J82"/>
  <c r="J81"/>
  <c r="J80"/>
  <c r="J79"/>
  <c r="J78"/>
  <c r="J77"/>
  <c r="L71"/>
  <c r="L72"/>
  <c r="L73"/>
  <c r="L74"/>
  <c r="L75"/>
  <c r="L76"/>
  <c r="H76"/>
  <c r="J76" s="1"/>
  <c r="H75"/>
  <c r="J75" s="1"/>
  <c r="H74"/>
  <c r="J74" s="1"/>
  <c r="H73"/>
  <c r="J73" s="1"/>
  <c r="H72"/>
  <c r="J72" s="1"/>
  <c r="H71"/>
  <c r="J71" s="1"/>
  <c r="H70"/>
  <c r="J70" s="1"/>
  <c r="H69"/>
  <c r="J69" s="1"/>
  <c r="H68"/>
  <c r="J68" s="1"/>
  <c r="H67"/>
  <c r="J67" s="1"/>
  <c r="H66"/>
  <c r="J66" s="1"/>
  <c r="H65"/>
  <c r="J65" s="1"/>
  <c r="H64"/>
  <c r="J64" s="1"/>
  <c r="D104" i="3" l="1"/>
  <c r="L7"/>
  <c r="C104"/>
  <c r="K6"/>
  <c r="B104"/>
  <c r="I6"/>
  <c r="C111" i="2"/>
  <c r="D111"/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P51"/>
  <c r="R51" s="1"/>
  <c r="P50"/>
  <c r="R50" s="1"/>
  <c r="P49"/>
  <c r="R49" s="1"/>
  <c r="P48"/>
  <c r="R48" s="1"/>
  <c r="P47"/>
  <c r="R47" s="1"/>
  <c r="P46"/>
  <c r="R46" s="1"/>
  <c r="P45"/>
  <c r="R45" s="1"/>
  <c r="P44"/>
  <c r="R44" s="1"/>
  <c r="P43"/>
  <c r="R43" s="1"/>
  <c r="P42"/>
  <c r="R42" s="1"/>
  <c r="P41"/>
  <c r="R41" s="1"/>
  <c r="P40"/>
  <c r="R40" s="1"/>
  <c r="R39"/>
  <c r="R38"/>
  <c r="P37"/>
  <c r="R37" s="1"/>
  <c r="P36"/>
  <c r="R36" s="1"/>
  <c r="R35"/>
  <c r="R34"/>
  <c r="R33"/>
  <c r="R32"/>
  <c r="R31"/>
  <c r="R30"/>
  <c r="R29"/>
  <c r="R28"/>
  <c r="R27"/>
  <c r="P26"/>
  <c r="R26" s="1"/>
  <c r="P25"/>
  <c r="R25" s="1"/>
  <c r="P24"/>
  <c r="R24" s="1"/>
  <c r="P23"/>
  <c r="R23" s="1"/>
  <c r="P22"/>
  <c r="R22" s="1"/>
  <c r="P21"/>
  <c r="R21" s="1"/>
  <c r="P20"/>
  <c r="R20" s="1"/>
  <c r="P19"/>
  <c r="R19" s="1"/>
  <c r="R18"/>
  <c r="R17"/>
  <c r="R16"/>
  <c r="R15"/>
  <c r="R14"/>
  <c r="R13"/>
  <c r="R12"/>
  <c r="R11"/>
  <c r="R10"/>
  <c r="R9"/>
  <c r="R8"/>
  <c r="R7"/>
  <c r="R6"/>
  <c r="R5"/>
  <c r="R4"/>
  <c r="R3"/>
  <c r="R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H51"/>
  <c r="J51" s="1"/>
  <c r="H50"/>
  <c r="J50" s="1"/>
  <c r="H49"/>
  <c r="J49" s="1"/>
  <c r="H48"/>
  <c r="J48" s="1"/>
  <c r="H47"/>
  <c r="J47" s="1"/>
  <c r="H46"/>
  <c r="J46" s="1"/>
  <c r="H45"/>
  <c r="J45" s="1"/>
  <c r="H44"/>
  <c r="J44" s="1"/>
  <c r="J43"/>
  <c r="J42"/>
  <c r="J41"/>
  <c r="J40"/>
  <c r="J39"/>
  <c r="J38"/>
  <c r="J37"/>
  <c r="J36"/>
  <c r="J35"/>
  <c r="J34"/>
  <c r="J33"/>
  <c r="J32"/>
  <c r="J31"/>
  <c r="J30"/>
  <c r="J29"/>
  <c r="J28"/>
  <c r="J27"/>
  <c r="H2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J18"/>
  <c r="J17"/>
  <c r="J16"/>
  <c r="J15"/>
  <c r="J14"/>
  <c r="J13"/>
  <c r="J12"/>
  <c r="J11"/>
  <c r="J10"/>
  <c r="J9"/>
  <c r="J8"/>
  <c r="J7"/>
  <c r="J6"/>
  <c r="J5"/>
  <c r="J4"/>
  <c r="J3"/>
  <c r="J2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P52"/>
  <c r="R52" s="1"/>
  <c r="P53"/>
  <c r="R53" s="1"/>
  <c r="P54"/>
  <c r="R54" s="1"/>
  <c r="P55"/>
  <c r="R55" s="1"/>
  <c r="P56"/>
  <c r="R56" s="1"/>
  <c r="P57"/>
  <c r="R57" s="1"/>
  <c r="P58"/>
  <c r="R58" s="1"/>
  <c r="P59"/>
  <c r="R59" s="1"/>
  <c r="P60"/>
  <c r="R60" s="1"/>
  <c r="P61"/>
  <c r="R61" s="1"/>
  <c r="P62"/>
  <c r="R62" s="1"/>
  <c r="P63"/>
  <c r="R63" s="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H52"/>
  <c r="J52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J60" s="1"/>
  <c r="H61"/>
  <c r="J61" s="1"/>
  <c r="H62"/>
  <c r="J62" s="1"/>
  <c r="H63"/>
  <c r="J63" s="1"/>
  <c r="F62"/>
  <c r="F61"/>
  <c r="F60"/>
  <c r="F59"/>
  <c r="F58"/>
  <c r="F57"/>
  <c r="F56"/>
  <c r="F55"/>
  <c r="F54"/>
  <c r="F53"/>
  <c r="F52"/>
  <c r="E63"/>
  <c r="E62"/>
  <c r="E61"/>
  <c r="E60"/>
  <c r="E59"/>
  <c r="E58"/>
  <c r="E57"/>
  <c r="E56"/>
  <c r="E55"/>
  <c r="E54"/>
  <c r="E53"/>
  <c r="E52"/>
  <c r="F63"/>
  <c r="L2" l="1"/>
</calcChain>
</file>

<file path=xl/sharedStrings.xml><?xml version="1.0" encoding="utf-8"?>
<sst xmlns="http://schemas.openxmlformats.org/spreadsheetml/2006/main" count="1791" uniqueCount="272">
  <si>
    <t>idAluno</t>
  </si>
  <si>
    <t>Turma</t>
  </si>
  <si>
    <t>Tutor</t>
  </si>
  <si>
    <t xml:space="preserve">Aluno 1 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</si>
  <si>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</si>
  <si>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</si>
  <si>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</si>
  <si>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</si>
  <si>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</si>
  <si>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</si>
  <si>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</si>
  <si>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</si>
  <si>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</si>
  <si>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</si>
  <si>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</si>
  <si>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</si>
  <si>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</si>
  <si>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</si>
  <si>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</si>
  <si>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</si>
  <si>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</si>
  <si>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</si>
  <si>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</si>
  <si>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</si>
  <si>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</si>
  <si>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</si>
  <si>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</si>
  <si>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</si>
  <si>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</si>
  <si>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</si>
  <si>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</si>
  <si>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</si>
  <si>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</si>
  <si>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t>Aluno 31</t>
  </si>
  <si>
    <t>Aluno 32</t>
  </si>
  <si>
    <t>Aluno 33</t>
  </si>
  <si>
    <t>Aluno 34</t>
  </si>
  <si>
    <t xml:space="preserve">Ano </t>
  </si>
  <si>
    <t>2° ano</t>
  </si>
  <si>
    <t>qtdAcertosP1</t>
  </si>
  <si>
    <t>%AcertoP1</t>
  </si>
  <si>
    <t>qtdAcertosP2</t>
  </si>
  <si>
    <t>qtdErrosP1</t>
  </si>
  <si>
    <t>%ErroP1</t>
  </si>
  <si>
    <t>qtdErrosP2</t>
  </si>
  <si>
    <t>%AcertoP2</t>
  </si>
  <si>
    <t>%ErroP2</t>
  </si>
  <si>
    <t>AvaliacaoJogo</t>
  </si>
  <si>
    <t>AutoAvaliacao</t>
  </si>
  <si>
    <t>Casual</t>
  </si>
  <si>
    <t>Avançado</t>
  </si>
  <si>
    <t>Proplayer</t>
  </si>
  <si>
    <t>Iniciante</t>
  </si>
  <si>
    <t xml:space="preserve">Iniciante </t>
  </si>
  <si>
    <t>Noob</t>
  </si>
  <si>
    <t>MaiorNoticiaRespondida (char)</t>
  </si>
  <si>
    <t>TempoMedioP2 (s)</t>
  </si>
  <si>
    <t>TempoGastoP2 (s)</t>
  </si>
  <si>
    <t>TempoGastoP1 (s)</t>
  </si>
  <si>
    <t>TempoMedioP1 (s)</t>
  </si>
  <si>
    <t>Escala Likert</t>
  </si>
  <si>
    <t xml:space="preserve">idAluno </t>
  </si>
  <si>
    <t>[O design do jogo é atraente.]</t>
  </si>
  <si>
    <t>[Houve algo interessante no início do jogo que capturou minha atenção.]</t>
  </si>
  <si>
    <t xml:space="preserve"> [A variação (forma, conteúdo ou de atividades) ajudou a me manter atento ao jogo.]</t>
  </si>
  <si>
    <t xml:space="preserve"> [O conteúdo do jogo é relevante para os meus interesses.]</t>
  </si>
  <si>
    <t>[Eu não percebi o tempo passar enquanto jogava, quando vi o jogo acabou.]</t>
  </si>
  <si>
    <t xml:space="preserve"> [Percebi que o jogo permite interagir com outras pessoas.]</t>
  </si>
  <si>
    <t>[Este jogo é adequadamente desafiador para mim, as tarefas não são muito fáceis nem muito difíceis.]</t>
  </si>
  <si>
    <t>[O jogo evolui num ritmo adequado e não fica monótono – oferece novos obstáculos, situações ou variações de atividades.]</t>
  </si>
  <si>
    <t>[Me diverti com o jogo.]</t>
  </si>
  <si>
    <t>[Eu recomendaria este jogo para meus colegas.]</t>
  </si>
  <si>
    <t>[Gostaria de utilizar este jogo novamente.]</t>
  </si>
  <si>
    <t>[Conseguiu melhorar a capacidade de reconhecer FakeNews]</t>
  </si>
  <si>
    <t>Espaço para comentários e contribuições. Na sua opinião, o que poderia ser melhorado no jogo?</t>
  </si>
  <si>
    <t>Você percebeu a presença do avatar da tIA Bel durante o jogo?</t>
  </si>
  <si>
    <r>
      <t xml:space="preserve">A Tia Bel ajudou a melhorar minha capacidade para identificar </t>
    </r>
    <r>
      <rPr>
        <b/>
        <i/>
        <sz val="11"/>
        <color theme="1"/>
        <rFont val="Calibri"/>
        <family val="2"/>
        <scheme val="minor"/>
      </rPr>
      <t>fake news</t>
    </r>
  </si>
  <si>
    <t>A Tia Bel apresentou uma linguagem simples para se comunicar comigo, e compreendi o que eu deveria fazer</t>
  </si>
  <si>
    <t xml:space="preserve">Consegui entender as explicações da tIA Bel sobre os erros que cometi </t>
  </si>
  <si>
    <t>As telas que mostraram a tIA Bel são amigáveis e fáceis de usar</t>
  </si>
  <si>
    <t>A tIA Bel se aprensentou sempre que precisei de ajuda</t>
  </si>
  <si>
    <t xml:space="preserve">Compreendi claramente o objetivo da tIA Bel </t>
  </si>
  <si>
    <t>Espaço para comentários e contribuições. Quais aspectos poderiam ser melhorados na comunicação entre a tIA Bel e você?</t>
  </si>
  <si>
    <t>Seria interessante ter outras casas, com outras ordens legais.</t>
  </si>
  <si>
    <t>SIM</t>
  </si>
  <si>
    <t>Seria legal ela aparecer durante as partidas, soltando alguns comentários interativos.</t>
  </si>
  <si>
    <t>A jogabilidade.</t>
  </si>
  <si>
    <t>Dar mais dicas.</t>
  </si>
  <si>
    <t>O mapa e o personagem poderiam ser melhores.</t>
  </si>
  <si>
    <t>Na minha opinião, nada.</t>
  </si>
  <si>
    <t>Os gráficos.</t>
  </si>
  <si>
    <t>Nada.</t>
  </si>
  <si>
    <t>Ter mais criatividade e colocar mais coisas nas etapas.</t>
  </si>
  <si>
    <t>Colocar para jogar e competir em equipe.</t>
  </si>
  <si>
    <t>Ser mais dinâmica.</t>
  </si>
  <si>
    <t>Apenas a lentidão, fora isso, nada.</t>
  </si>
  <si>
    <t>Poderia ter mais bonecos para escolher como avatar.</t>
  </si>
  <si>
    <t>Nenhum.</t>
  </si>
  <si>
    <t>O tabuleiro.</t>
  </si>
  <si>
    <t>Nenhum aspecto precisa ser melhorado.</t>
  </si>
  <si>
    <t>Nada! Jogo ótimo.</t>
  </si>
  <si>
    <t>Ser mais interativo.</t>
  </si>
  <si>
    <t>Nada</t>
  </si>
  <si>
    <t>Tirar a casa da caveira.</t>
  </si>
  <si>
    <t>Diminuir a quantidade de perguntas e as casas no tabuleiro.</t>
  </si>
  <si>
    <t>Ter menos perguntas</t>
  </si>
  <si>
    <t>Principalmente o bug e o designer</t>
  </si>
  <si>
    <t>O bug do jogo</t>
  </si>
  <si>
    <t>O desing, adicionar mais imagens e o tabuleiro</t>
  </si>
  <si>
    <t>A lentidão dele, pois ele demora um pouco para processar, mas tirando isso, é bem legal.</t>
  </si>
  <si>
    <t>Atençao</t>
  </si>
  <si>
    <t>Atenção</t>
  </si>
  <si>
    <t>Relevância</t>
  </si>
  <si>
    <t xml:space="preserve">Dimensão </t>
  </si>
  <si>
    <t xml:space="preserve">Média </t>
  </si>
  <si>
    <t>Desvio Padrão</t>
  </si>
  <si>
    <t xml:space="preserve">Relavância </t>
  </si>
  <si>
    <t>Imersão</t>
  </si>
  <si>
    <t>Interação Social</t>
  </si>
  <si>
    <t>Desafio</t>
  </si>
  <si>
    <t>Divertimento</t>
  </si>
  <si>
    <t>Competência</t>
  </si>
  <si>
    <t>AvaliacaoQuestionario (media)</t>
  </si>
  <si>
    <t>AvaliacaoQuestionario (desvio padrão)</t>
  </si>
  <si>
    <t>Aluno 35</t>
  </si>
  <si>
    <t>Aluno 36</t>
  </si>
  <si>
    <t>Aluno 37</t>
  </si>
  <si>
    <t>Aluno 38</t>
  </si>
  <si>
    <t>Aluno 39</t>
  </si>
  <si>
    <t>Aluno 40</t>
  </si>
  <si>
    <t>Aluno 41</t>
  </si>
  <si>
    <t>Aluno 42</t>
  </si>
  <si>
    <t>Aluno 43</t>
  </si>
  <si>
    <t>Aluno 44</t>
  </si>
  <si>
    <t>Aluno 45</t>
  </si>
  <si>
    <t>Aluno 46</t>
  </si>
  <si>
    <t>Aluno 47</t>
  </si>
  <si>
    <t>Aluno 48</t>
  </si>
  <si>
    <t>Aluno 49</t>
  </si>
  <si>
    <t>Aluno 50</t>
  </si>
  <si>
    <t>Aluno 51</t>
  </si>
  <si>
    <t>3° ano</t>
  </si>
  <si>
    <t>Aluno 52</t>
  </si>
  <si>
    <t>Aluno 53</t>
  </si>
  <si>
    <t>Aluno 54</t>
  </si>
  <si>
    <t>Aluno 55</t>
  </si>
  <si>
    <t>Aluno 56</t>
  </si>
  <si>
    <t>Aluno 57</t>
  </si>
  <si>
    <t>Aluno 58</t>
  </si>
  <si>
    <t>Aluno 59</t>
  </si>
  <si>
    <t>Aluno 60</t>
  </si>
  <si>
    <t>Aluno 61</t>
  </si>
  <si>
    <t>Aluno 62</t>
  </si>
  <si>
    <t>Aluno 63</t>
  </si>
  <si>
    <t>Aluno 64</t>
  </si>
  <si>
    <t>Aluno 65</t>
  </si>
  <si>
    <t>Aluno 66</t>
  </si>
  <si>
    <t>Aluno 67</t>
  </si>
  <si>
    <t>Aluno 68</t>
  </si>
  <si>
    <t>Aluno 69</t>
  </si>
  <si>
    <t>Aluno 70</t>
  </si>
  <si>
    <t>Aluno 71</t>
  </si>
  <si>
    <t>Aluno 72</t>
  </si>
  <si>
    <t>Aluno 73</t>
  </si>
  <si>
    <t>Aluno 74</t>
  </si>
  <si>
    <t>Aluno 75</t>
  </si>
  <si>
    <t>Aluno 76</t>
  </si>
  <si>
    <t>Aluno 77</t>
  </si>
  <si>
    <t>Aluno 78</t>
  </si>
  <si>
    <t>Aluno 79</t>
  </si>
  <si>
    <t>Aluno 80</t>
  </si>
  <si>
    <t>Aluno 81</t>
  </si>
  <si>
    <t>Aluno 82</t>
  </si>
  <si>
    <t>Aluno 83</t>
  </si>
  <si>
    <t>Aluno 84</t>
  </si>
  <si>
    <t>Aluno 85</t>
  </si>
  <si>
    <t>Aluno 86</t>
  </si>
  <si>
    <t>Aluno 87</t>
  </si>
  <si>
    <t>Aluno 88</t>
  </si>
  <si>
    <t>Aluno 89</t>
  </si>
  <si>
    <t>Aluno 90</t>
  </si>
  <si>
    <t>Aluno 91</t>
  </si>
  <si>
    <t>Aluno 92</t>
  </si>
  <si>
    <t>Aluno 93</t>
  </si>
  <si>
    <t>Aluno 94</t>
  </si>
  <si>
    <t>Aluno 95</t>
  </si>
  <si>
    <t>Aluno 96</t>
  </si>
  <si>
    <t>Aluno 97</t>
  </si>
  <si>
    <t>Aluno 98</t>
  </si>
  <si>
    <t>Aluno 99</t>
  </si>
  <si>
    <t>Aluno 100</t>
  </si>
  <si>
    <t>O jogo já está bom.</t>
  </si>
  <si>
    <t>O gráfico.</t>
  </si>
  <si>
    <t>Ser mais objetiva.</t>
  </si>
  <si>
    <t>Nada, o jogo é ótimo.</t>
  </si>
  <si>
    <t>Diminuir a quantidade de perguntas.</t>
  </si>
  <si>
    <t>Nada, o jogo em si é bom e prende a sua atenção.</t>
  </si>
  <si>
    <t>Poderia haver mais opções de avatar.</t>
  </si>
  <si>
    <t>O gráfico</t>
  </si>
  <si>
    <t>Nada, gostei muito.</t>
  </si>
  <si>
    <t>Tirar a caveira!</t>
  </si>
  <si>
    <t>O design gráfico</t>
  </si>
  <si>
    <t>Nenhum, ela está boa assim.</t>
  </si>
  <si>
    <t>Novos personagens</t>
  </si>
  <si>
    <t>As explicações eram sempre iguais.</t>
  </si>
  <si>
    <t>Nada, está tudo perfeito.</t>
  </si>
  <si>
    <t>Nenhum, ela está perfeita!</t>
  </si>
  <si>
    <t>Gostei de tudo.</t>
  </si>
  <si>
    <t>Nada. Está tudo ótimo.</t>
  </si>
  <si>
    <t>Mais obstáculos no tabuleiro.</t>
  </si>
  <si>
    <t>A maneira como ela aparece está ótimo.</t>
  </si>
  <si>
    <t>Não.</t>
  </si>
  <si>
    <t>Os bonecos, a imagem do jogo.</t>
  </si>
  <si>
    <t>Não sei.</t>
  </si>
  <si>
    <t>O nível de dificuldade das perguntas.</t>
  </si>
  <si>
    <t>Gráfico, qualidade.</t>
  </si>
  <si>
    <t>Ter menos política.</t>
  </si>
  <si>
    <t>Questões mais difíceis.</t>
  </si>
  <si>
    <t>Gostei muito do jogo.</t>
  </si>
  <si>
    <t>O design.</t>
  </si>
  <si>
    <t>A interface, dificuldade para iniciar o jogo devido seu carregamento lento.</t>
  </si>
  <si>
    <t>Dificuldades, gráficos.</t>
  </si>
  <si>
    <t>Gostei muito, mas o design poderia ser melhorado.</t>
  </si>
  <si>
    <t>O gráfico e a variedade de casas.</t>
  </si>
  <si>
    <t>Nada, está perfeito.</t>
  </si>
  <si>
    <t>A rapidez do jogo porque é muito lento.</t>
  </si>
  <si>
    <t>%AcertosEconomiaP2</t>
  </si>
  <si>
    <t>%AcertosSegurancaP2</t>
  </si>
  <si>
    <t>%AcertosEducacaoP2</t>
  </si>
  <si>
    <t>%AcertosSaudePublicaP2</t>
  </si>
  <si>
    <t>%AcertosPoliticaP2</t>
  </si>
  <si>
    <t>%AcertosTecnologiaP2</t>
  </si>
  <si>
    <t>%qtdPergEconomiaP2</t>
  </si>
  <si>
    <t>%qtdPergSegurancaP2</t>
  </si>
  <si>
    <t>%qtdPergEducacaoP2</t>
  </si>
  <si>
    <t>%qtdPergSaudePublicaP2</t>
  </si>
  <si>
    <t>%qtdPergPoliticaP2</t>
  </si>
  <si>
    <t>%qtdPergTecnologiaP2</t>
  </si>
  <si>
    <t>%AcertosEconomiaP1</t>
  </si>
  <si>
    <t>%AcertosSegurancaP1</t>
  </si>
  <si>
    <t>%AcertosEducacaoP1</t>
  </si>
  <si>
    <t>%AcertosTecnologiaP1</t>
  </si>
  <si>
    <t>%AcertosPoliticaP1</t>
  </si>
  <si>
    <t>%AcertosSaudePublicaP1</t>
  </si>
  <si>
    <t>%qtdPergEconomiaP1</t>
  </si>
  <si>
    <t>%qtdPergSegurancaP1</t>
  </si>
  <si>
    <t>%qtdPergEducacaoP1</t>
  </si>
  <si>
    <t>%qtdPergSaudePublicaP1</t>
  </si>
  <si>
    <t>%qtdPergPoliticaP1</t>
  </si>
  <si>
    <t>%qtdPergTecnologiaP1</t>
  </si>
  <si>
    <t>DesvioPadrãoP1</t>
  </si>
  <si>
    <t>MÉDIA</t>
  </si>
  <si>
    <t>Interatividade</t>
  </si>
  <si>
    <t>Correspondência</t>
  </si>
  <si>
    <t>Adaptabilidade</t>
  </si>
  <si>
    <t>Desempenho</t>
  </si>
  <si>
    <t>Suporte</t>
  </si>
  <si>
    <t>Principalmente o bug e o design</t>
  </si>
  <si>
    <t>%AcertoPreTeste</t>
  </si>
  <si>
    <t>%AcertoPosTeste</t>
  </si>
  <si>
    <t>Diferença</t>
  </si>
  <si>
    <t>VariaçãoTempoPadrãoP1_200 (s)</t>
  </si>
  <si>
    <t>TempoEsperadoLeituraP1 (s)</t>
  </si>
  <si>
    <t>TempoEsperadoLeituraP2 (s)</t>
  </si>
  <si>
    <t>DesvioPadrãoP2</t>
  </si>
  <si>
    <t>VariaçãoTempoPadrãoP2_200 (s)</t>
  </si>
  <si>
    <t>AvaliacaoAvatarTIABel (devio padrão)</t>
  </si>
  <si>
    <t>AvaliacaoAvatarTIABel (media)</t>
  </si>
  <si>
    <t>AutoAvaliacaoP1</t>
  </si>
  <si>
    <t>AvaliacaoJogoP1</t>
  </si>
  <si>
    <t>AutoAvaliacaoP2</t>
  </si>
  <si>
    <t>AvaliacaoJogoP2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</si>
</sst>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"/>
    <numFmt numFmtId="166" formatCode="0.0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6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1" fillId="0" borderId="0" xfId="0" applyFont="1"/>
    <xf numFmtId="9" fontId="2" fillId="0" borderId="1" xfId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9" fontId="2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9" fillId="0" borderId="1" xfId="0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0" borderId="0" xfId="0" applyFont="1" applyFill="1" applyBorder="1"/>
    <xf numFmtId="10" fontId="2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2" fontId="10" fillId="0" borderId="1" xfId="1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9" fontId="10" fillId="0" borderId="3" xfId="0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2" fontId="10" fillId="0" borderId="3" xfId="1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9" fontId="11" fillId="5" borderId="1" xfId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Border="1"/>
    <xf numFmtId="0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1" fillId="0" borderId="0" xfId="0" applyFont="1" applyBorder="1"/>
  </cellXfs>
  <cellStyles count="2">
    <cellStyle name="Normal" xfId="0" builtinId="0"/>
    <cellStyle name="Porcentagem" xfId="1" builtinId="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7C80"/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172"/>
  <sheetViews>
    <sheetView tabSelected="1" zoomScaleNormal="100" workbookViewId="0">
      <selection activeCell="L110" sqref="L110"/>
    </sheetView>
  </sheetViews>
  <sheetFormatPr defaultRowHeight="15.75"/>
  <cols>
    <col min="1" max="1" width="11.5703125" style="3" customWidth="1"/>
    <col min="2" max="2" width="8.7109375" style="3" customWidth="1"/>
    <col min="3" max="3" width="11.7109375" style="3" customWidth="1"/>
    <col min="4" max="4" width="11.28515625" style="3" customWidth="1"/>
    <col min="5" max="5" width="19.85546875" style="58" customWidth="1"/>
    <col min="6" max="6" width="20.85546875" style="58" customWidth="1"/>
    <col min="7" max="7" width="16.28515625" style="3" bestFit="1" customWidth="1"/>
    <col min="8" max="8" width="14.7109375" style="34" customWidth="1"/>
    <col min="9" max="9" width="14.7109375" style="3" customWidth="1"/>
    <col min="10" max="10" width="14.7109375" style="34" customWidth="1"/>
    <col min="11" max="11" width="20.7109375" style="6" customWidth="1"/>
    <col min="12" max="12" width="20.7109375" style="3" customWidth="1"/>
    <col min="13" max="13" width="18.42578125" style="3" customWidth="1"/>
    <col min="14" max="14" width="19.42578125" style="3" customWidth="1"/>
    <col min="15" max="15" width="16.28515625" style="3" bestFit="1" customWidth="1"/>
    <col min="16" max="16" width="15.140625" style="58" customWidth="1"/>
    <col min="17" max="17" width="14.85546875" style="3" customWidth="1"/>
    <col min="18" max="18" width="14.140625" style="3" customWidth="1"/>
    <col min="19" max="19" width="22.42578125" style="57" customWidth="1"/>
    <col min="20" max="20" width="22.42578125" style="3" customWidth="1"/>
    <col min="21" max="21" width="18.42578125" style="3" customWidth="1"/>
    <col min="22" max="22" width="19.42578125" style="3" customWidth="1"/>
    <col min="23" max="23" width="36.42578125" style="3" customWidth="1"/>
    <col min="24" max="25" width="32.140625" style="8" customWidth="1"/>
    <col min="26" max="26" width="40" style="3" bestFit="1" customWidth="1"/>
    <col min="27" max="27" width="38.85546875" style="3" bestFit="1" customWidth="1"/>
    <col min="28" max="28" width="23.42578125" style="3" customWidth="1"/>
    <col min="29" max="29" width="24.7109375" style="3" customWidth="1"/>
    <col min="30" max="30" width="21.85546875" style="39" customWidth="1"/>
    <col min="31" max="31" width="28.85546875" style="3" customWidth="1"/>
    <col min="32" max="32" width="25.7109375" style="3" customWidth="1"/>
    <col min="33" max="33" width="25.42578125" style="39" customWidth="1"/>
    <col min="34" max="34" width="24" style="3" customWidth="1"/>
    <col min="35" max="35" width="23.140625" style="6" customWidth="1"/>
    <col min="36" max="36" width="21.42578125" style="6" customWidth="1"/>
    <col min="37" max="37" width="29" style="6" customWidth="1"/>
    <col min="38" max="38" width="24.140625" style="6" customWidth="1"/>
    <col min="39" max="39" width="27.5703125" style="6" bestFit="1" customWidth="1"/>
    <col min="40" max="40" width="32.5703125" style="59" customWidth="1"/>
    <col min="41" max="41" width="29" style="59" customWidth="1"/>
    <col min="42" max="42" width="26.7109375" style="60" customWidth="1"/>
    <col min="43" max="43" width="35.7109375" style="57" customWidth="1"/>
    <col min="44" max="44" width="24.85546875" style="9" customWidth="1"/>
    <col min="45" max="45" width="23" style="9" customWidth="1"/>
    <col min="46" max="46" width="21.28515625" style="9" customWidth="1"/>
    <col min="47" max="47" width="28.140625" style="9" customWidth="1"/>
    <col min="48" max="48" width="29.85546875" style="9" customWidth="1"/>
    <col min="49" max="49" width="25.140625" style="9" customWidth="1"/>
    <col min="50" max="50" width="24.28515625" style="9" customWidth="1"/>
    <col min="51" max="51" width="24.85546875" style="9" customWidth="1"/>
    <col min="52" max="52" width="22.7109375" style="9" customWidth="1"/>
    <col min="53" max="53" width="28" style="9" customWidth="1"/>
    <col min="54" max="54" width="28.5703125" style="9" customWidth="1"/>
    <col min="55" max="55" width="27.5703125" style="9" bestFit="1" customWidth="1"/>
    <col min="56" max="56" width="31.5703125" style="57" customWidth="1"/>
    <col min="57" max="57" width="29" style="59" customWidth="1"/>
    <col min="58" max="58" width="26.7109375" style="60" customWidth="1"/>
    <col min="59" max="59" width="39" style="57" customWidth="1"/>
    <col min="60" max="16384" width="9.140625" style="7"/>
  </cols>
  <sheetData>
    <row r="1" spans="1:105" s="38" customFormat="1">
      <c r="A1" s="81" t="s">
        <v>0</v>
      </c>
      <c r="B1" s="81" t="s">
        <v>1</v>
      </c>
      <c r="C1" s="81" t="s">
        <v>37</v>
      </c>
      <c r="D1" s="81" t="s">
        <v>2</v>
      </c>
      <c r="E1" s="80" t="s">
        <v>258</v>
      </c>
      <c r="F1" s="80" t="s">
        <v>259</v>
      </c>
      <c r="G1" s="81" t="s">
        <v>39</v>
      </c>
      <c r="H1" s="83" t="s">
        <v>40</v>
      </c>
      <c r="I1" s="81" t="s">
        <v>42</v>
      </c>
      <c r="J1" s="83" t="s">
        <v>43</v>
      </c>
      <c r="K1" s="81" t="s">
        <v>58</v>
      </c>
      <c r="L1" s="81" t="s">
        <v>59</v>
      </c>
      <c r="M1" s="81" t="s">
        <v>268</v>
      </c>
      <c r="N1" s="81" t="s">
        <v>269</v>
      </c>
      <c r="O1" s="81" t="s">
        <v>41</v>
      </c>
      <c r="P1" s="80" t="s">
        <v>45</v>
      </c>
      <c r="Q1" s="81" t="s">
        <v>44</v>
      </c>
      <c r="R1" s="81" t="s">
        <v>46</v>
      </c>
      <c r="S1" s="81" t="s">
        <v>57</v>
      </c>
      <c r="T1" s="81" t="s">
        <v>56</v>
      </c>
      <c r="U1" s="81" t="s">
        <v>270</v>
      </c>
      <c r="V1" s="81" t="s">
        <v>271</v>
      </c>
      <c r="W1" s="81" t="s">
        <v>55</v>
      </c>
      <c r="X1" s="81" t="s">
        <v>122</v>
      </c>
      <c r="Y1" s="81" t="s">
        <v>267</v>
      </c>
      <c r="Z1" s="81" t="s">
        <v>123</v>
      </c>
      <c r="AA1" s="81" t="s">
        <v>266</v>
      </c>
      <c r="AB1" s="81" t="s">
        <v>244</v>
      </c>
      <c r="AC1" s="81" t="s">
        <v>246</v>
      </c>
      <c r="AD1" s="84" t="s">
        <v>248</v>
      </c>
      <c r="AE1" s="81" t="s">
        <v>247</v>
      </c>
      <c r="AF1" s="81" t="s">
        <v>245</v>
      </c>
      <c r="AG1" s="84" t="s">
        <v>249</v>
      </c>
      <c r="AH1" s="81" t="s">
        <v>238</v>
      </c>
      <c r="AI1" s="81" t="s">
        <v>240</v>
      </c>
      <c r="AJ1" s="81" t="s">
        <v>242</v>
      </c>
      <c r="AK1" s="81" t="s">
        <v>243</v>
      </c>
      <c r="AL1" s="81" t="s">
        <v>239</v>
      </c>
      <c r="AM1" s="81" t="s">
        <v>241</v>
      </c>
      <c r="AN1" s="80" t="s">
        <v>262</v>
      </c>
      <c r="AO1" s="80" t="s">
        <v>260</v>
      </c>
      <c r="AP1" s="81" t="s">
        <v>250</v>
      </c>
      <c r="AQ1" s="81" t="s">
        <v>261</v>
      </c>
      <c r="AR1" s="81" t="s">
        <v>232</v>
      </c>
      <c r="AS1" s="81" t="s">
        <v>234</v>
      </c>
      <c r="AT1" s="84" t="s">
        <v>236</v>
      </c>
      <c r="AU1" s="81" t="s">
        <v>235</v>
      </c>
      <c r="AV1" s="81" t="s">
        <v>233</v>
      </c>
      <c r="AW1" s="84" t="s">
        <v>237</v>
      </c>
      <c r="AX1" s="81" t="s">
        <v>226</v>
      </c>
      <c r="AY1" s="81" t="s">
        <v>228</v>
      </c>
      <c r="AZ1" s="81" t="s">
        <v>230</v>
      </c>
      <c r="BA1" s="81" t="s">
        <v>229</v>
      </c>
      <c r="BB1" s="81" t="s">
        <v>227</v>
      </c>
      <c r="BC1" s="81" t="s">
        <v>231</v>
      </c>
      <c r="BD1" s="81" t="s">
        <v>263</v>
      </c>
      <c r="BE1" s="80" t="s">
        <v>260</v>
      </c>
      <c r="BF1" s="81" t="s">
        <v>264</v>
      </c>
      <c r="BG1" s="81" t="s">
        <v>265</v>
      </c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</row>
    <row r="2" spans="1:105" s="10" customFormat="1">
      <c r="A2" s="74" t="s">
        <v>3</v>
      </c>
      <c r="B2" s="74">
        <v>2002</v>
      </c>
      <c r="C2" s="74" t="s">
        <v>38</v>
      </c>
      <c r="D2" s="74">
        <v>1</v>
      </c>
      <c r="E2" s="72">
        <v>0.85</v>
      </c>
      <c r="F2" s="73">
        <v>0.95</v>
      </c>
      <c r="G2" s="74">
        <v>41</v>
      </c>
      <c r="H2" s="72">
        <v>0.71</v>
      </c>
      <c r="I2" s="74">
        <v>17</v>
      </c>
      <c r="J2" s="72">
        <f>1-H2</f>
        <v>0.29000000000000004</v>
      </c>
      <c r="K2" s="74">
        <v>347.21</v>
      </c>
      <c r="L2" s="72">
        <f>K2/(G2+I2)</f>
        <v>5.9863793103448275</v>
      </c>
      <c r="M2" s="74" t="s">
        <v>49</v>
      </c>
      <c r="N2" s="74" t="s">
        <v>50</v>
      </c>
      <c r="O2" s="74">
        <v>38</v>
      </c>
      <c r="P2" s="88">
        <v>0.73</v>
      </c>
      <c r="Q2" s="74">
        <v>14</v>
      </c>
      <c r="R2" s="72">
        <f>1-P2</f>
        <v>0.27</v>
      </c>
      <c r="S2" s="74">
        <v>253.11</v>
      </c>
      <c r="T2" s="72">
        <f>S2/(O2+Q2)</f>
        <v>4.8675000000000006</v>
      </c>
      <c r="U2" s="74" t="s">
        <v>50</v>
      </c>
      <c r="V2" s="74" t="s">
        <v>50</v>
      </c>
      <c r="W2" s="74">
        <v>294</v>
      </c>
      <c r="X2" s="72">
        <v>0.33333333333333331</v>
      </c>
      <c r="Y2" s="72">
        <v>1.8333333333333333</v>
      </c>
      <c r="Z2" s="72">
        <v>1.3026778945578592</v>
      </c>
      <c r="AA2" s="72">
        <v>0.40824829046386274</v>
      </c>
      <c r="AB2" s="76">
        <f>18/54</f>
        <v>0.33333333333333331</v>
      </c>
      <c r="AC2" s="76">
        <f>3/58</f>
        <v>5.1724137931034482E-2</v>
      </c>
      <c r="AD2" s="76">
        <f>24/58</f>
        <v>0.41379310344827586</v>
      </c>
      <c r="AE2" s="76">
        <f>5/58</f>
        <v>8.6206896551724144E-2</v>
      </c>
      <c r="AF2" s="76">
        <f>1/58</f>
        <v>1.7241379310344827E-2</v>
      </c>
      <c r="AG2" s="76">
        <f>5/58</f>
        <v>8.6206896551724144E-2</v>
      </c>
      <c r="AH2" s="76">
        <v>0.88880000000000003</v>
      </c>
      <c r="AI2" s="76">
        <v>0.66659999999999997</v>
      </c>
      <c r="AJ2" s="76">
        <v>0.54159999999999997</v>
      </c>
      <c r="AK2" s="76">
        <v>0.4</v>
      </c>
      <c r="AL2" s="76">
        <v>1</v>
      </c>
      <c r="AM2" s="76">
        <v>1</v>
      </c>
      <c r="AN2" s="88">
        <v>296</v>
      </c>
      <c r="AO2" s="88">
        <f>K2-AN2</f>
        <v>51.20999999999998</v>
      </c>
      <c r="AP2" s="72">
        <f>STDEV(K2,AN2)</f>
        <v>36.210938264562579</v>
      </c>
      <c r="AQ2" s="89">
        <f>(K7 - 200) / 200 * 100</f>
        <v>12.655000000000003</v>
      </c>
      <c r="AR2" s="76">
        <f>8/52</f>
        <v>0.15384615384615385</v>
      </c>
      <c r="AS2" s="76">
        <f>6/52</f>
        <v>0.11538461538461539</v>
      </c>
      <c r="AT2" s="76">
        <f xml:space="preserve"> 22/52</f>
        <v>0.42307692307692307</v>
      </c>
      <c r="AU2" s="76">
        <f>2/52</f>
        <v>3.8461538461538464E-2</v>
      </c>
      <c r="AV2" s="76">
        <f>2/52</f>
        <v>3.8461538461538464E-2</v>
      </c>
      <c r="AW2" s="76">
        <f>12/52</f>
        <v>0.23076923076923078</v>
      </c>
      <c r="AX2" s="76">
        <f>6/8</f>
        <v>0.75</v>
      </c>
      <c r="AY2" s="76">
        <f>5/6</f>
        <v>0.83333333333333337</v>
      </c>
      <c r="AZ2" s="76">
        <f>18/22</f>
        <v>0.81818181818181823</v>
      </c>
      <c r="BA2" s="76">
        <f>2/2</f>
        <v>1</v>
      </c>
      <c r="BB2" s="76">
        <f>1/2</f>
        <v>0.5</v>
      </c>
      <c r="BC2" s="76">
        <f>8/12</f>
        <v>0.66666666666666663</v>
      </c>
      <c r="BD2" s="74">
        <v>207</v>
      </c>
      <c r="BE2" s="72">
        <f>S2-BD2</f>
        <v>46.110000000000014</v>
      </c>
      <c r="BF2" s="72">
        <f>STDEV(S2,BD2)</f>
        <v>32.604693680511616</v>
      </c>
      <c r="BG2" s="89">
        <f>(S2 - 200) / 200 * 100</f>
        <v>26.555000000000007</v>
      </c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</row>
    <row r="3" spans="1:105" s="10" customFormat="1">
      <c r="A3" s="74" t="s">
        <v>4</v>
      </c>
      <c r="B3" s="74">
        <v>2002</v>
      </c>
      <c r="C3" s="74" t="s">
        <v>38</v>
      </c>
      <c r="D3" s="74">
        <v>1</v>
      </c>
      <c r="E3" s="72">
        <v>0.5</v>
      </c>
      <c r="F3" s="73">
        <v>0.6</v>
      </c>
      <c r="G3" s="74">
        <v>32</v>
      </c>
      <c r="H3" s="72">
        <v>0.74</v>
      </c>
      <c r="I3" s="74">
        <v>11</v>
      </c>
      <c r="J3" s="72">
        <f t="shared" ref="J3:J41" si="0">1-H3</f>
        <v>0.26</v>
      </c>
      <c r="K3" s="74">
        <v>306.05</v>
      </c>
      <c r="L3" s="72">
        <f t="shared" ref="L3:L51" si="1">K3/(G3+I3)</f>
        <v>7.1174418604651164</v>
      </c>
      <c r="M3" s="74" t="s">
        <v>49</v>
      </c>
      <c r="N3" s="74" t="s">
        <v>51</v>
      </c>
      <c r="O3" s="74">
        <v>41</v>
      </c>
      <c r="P3" s="88">
        <v>0.85</v>
      </c>
      <c r="Q3" s="74">
        <v>7</v>
      </c>
      <c r="R3" s="72">
        <f t="shared" ref="R3:R51" si="2">1-P3</f>
        <v>0.15000000000000002</v>
      </c>
      <c r="S3" s="74">
        <v>321.24</v>
      </c>
      <c r="T3" s="72">
        <f t="shared" ref="T3:T51" si="3">S3/(O3+Q3)</f>
        <v>6.6924999999999999</v>
      </c>
      <c r="U3" s="74" t="s">
        <v>50</v>
      </c>
      <c r="V3" s="74" t="s">
        <v>51</v>
      </c>
      <c r="W3" s="74">
        <v>259</v>
      </c>
      <c r="X3" s="72">
        <v>1.8333333333333333</v>
      </c>
      <c r="Y3" s="72">
        <v>1.8333333333333333</v>
      </c>
      <c r="Z3" s="72">
        <v>0.38924947208076122</v>
      </c>
      <c r="AA3" s="72">
        <v>0.40824829046386274</v>
      </c>
      <c r="AB3" s="76">
        <f>12/43</f>
        <v>0.27906976744186046</v>
      </c>
      <c r="AC3" s="76">
        <f>5/43</f>
        <v>0.11627906976744186</v>
      </c>
      <c r="AD3" s="76">
        <f>15/43</f>
        <v>0.34883720930232559</v>
      </c>
      <c r="AE3" s="76">
        <f>3/43</f>
        <v>6.9767441860465115E-2</v>
      </c>
      <c r="AF3" s="76">
        <f>1/43</f>
        <v>2.3255813953488372E-2</v>
      </c>
      <c r="AG3" s="76">
        <f>2/43</f>
        <v>4.6511627906976744E-2</v>
      </c>
      <c r="AH3" s="76">
        <v>0.66659999999999997</v>
      </c>
      <c r="AI3" s="76">
        <v>1</v>
      </c>
      <c r="AJ3" s="76">
        <v>0.8</v>
      </c>
      <c r="AK3" s="76">
        <v>0.66659999999999997</v>
      </c>
      <c r="AL3" s="76">
        <v>1</v>
      </c>
      <c r="AM3" s="76">
        <v>1</v>
      </c>
      <c r="AN3" s="88">
        <v>200</v>
      </c>
      <c r="AO3" s="88">
        <f t="shared" ref="AO3:AO66" si="4">K3-AN3</f>
        <v>106.05000000000001</v>
      </c>
      <c r="AP3" s="72">
        <f t="shared" ref="AP3:AP66" si="5">STDEV(K3,AN3)</f>
        <v>74.988674144833396</v>
      </c>
      <c r="AQ3" s="89">
        <f t="shared" ref="AQ3:AQ66" si="6">(K8 - 200) / 200 * 100</f>
        <v>24.394999999999996</v>
      </c>
      <c r="AR3" s="76">
        <f>18/48</f>
        <v>0.375</v>
      </c>
      <c r="AS3" s="76">
        <f>6/48</f>
        <v>0.125</v>
      </c>
      <c r="AT3" s="76">
        <f>13/48</f>
        <v>0.27083333333333331</v>
      </c>
      <c r="AU3" s="76">
        <f>2/48</f>
        <v>4.1666666666666664E-2</v>
      </c>
      <c r="AV3" s="76">
        <f>3/48</f>
        <v>6.25E-2</v>
      </c>
      <c r="AW3" s="76">
        <f>6/48</f>
        <v>0.125</v>
      </c>
      <c r="AX3" s="76">
        <f>14/18</f>
        <v>0.77777777777777779</v>
      </c>
      <c r="AY3" s="76">
        <f>5/6</f>
        <v>0.83333333333333337</v>
      </c>
      <c r="AZ3" s="76">
        <f>10/13</f>
        <v>0.76923076923076927</v>
      </c>
      <c r="BA3" s="76">
        <f>2/2</f>
        <v>1</v>
      </c>
      <c r="BB3" s="76">
        <f>3/3</f>
        <v>1</v>
      </c>
      <c r="BC3" s="76">
        <f>5/6</f>
        <v>0.83333333333333337</v>
      </c>
      <c r="BD3" s="74">
        <v>225</v>
      </c>
      <c r="BE3" s="72">
        <f t="shared" ref="BE3:BE66" si="7">S3-BD3</f>
        <v>96.240000000000009</v>
      </c>
      <c r="BF3" s="72">
        <f t="shared" ref="BF3:BF66" si="8">STDEV(S3,BD3)</f>
        <v>68.051956621393387</v>
      </c>
      <c r="BG3" s="89">
        <f t="shared" ref="BG3:BG66" si="9">(S3 - 200) / 200 * 100</f>
        <v>60.620000000000005</v>
      </c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</row>
    <row r="4" spans="1:105" s="10" customFormat="1">
      <c r="A4" s="74" t="s">
        <v>5</v>
      </c>
      <c r="B4" s="74">
        <v>2002</v>
      </c>
      <c r="C4" s="74" t="s">
        <v>38</v>
      </c>
      <c r="D4" s="74">
        <v>1</v>
      </c>
      <c r="E4" s="72">
        <v>0.55000000000000004</v>
      </c>
      <c r="F4" s="73">
        <v>0.75</v>
      </c>
      <c r="G4" s="74">
        <v>27</v>
      </c>
      <c r="H4" s="72">
        <v>0.77</v>
      </c>
      <c r="I4" s="74">
        <v>8</v>
      </c>
      <c r="J4" s="72">
        <f t="shared" si="0"/>
        <v>0.22999999999999998</v>
      </c>
      <c r="K4" s="74">
        <v>294.54000000000002</v>
      </c>
      <c r="L4" s="72">
        <f t="shared" si="1"/>
        <v>8.4154285714285724</v>
      </c>
      <c r="M4" s="74" t="s">
        <v>49</v>
      </c>
      <c r="N4" s="74" t="s">
        <v>50</v>
      </c>
      <c r="O4" s="74">
        <v>37</v>
      </c>
      <c r="P4" s="88">
        <v>0.76</v>
      </c>
      <c r="Q4" s="74">
        <v>12</v>
      </c>
      <c r="R4" s="72">
        <f t="shared" si="2"/>
        <v>0.24</v>
      </c>
      <c r="S4" s="74">
        <v>409.27</v>
      </c>
      <c r="T4" s="72">
        <f t="shared" si="3"/>
        <v>8.352448979591836</v>
      </c>
      <c r="U4" s="74" t="s">
        <v>52</v>
      </c>
      <c r="V4" s="74" t="s">
        <v>50</v>
      </c>
      <c r="W4" s="74">
        <v>309</v>
      </c>
      <c r="X4" s="72">
        <v>0.5</v>
      </c>
      <c r="Y4" s="72">
        <v>0.66666666666666663</v>
      </c>
      <c r="Z4" s="72">
        <v>0.7977240352174656</v>
      </c>
      <c r="AA4" s="72">
        <v>0.81649658092772603</v>
      </c>
      <c r="AB4" s="76">
        <f>7/35</f>
        <v>0.2</v>
      </c>
      <c r="AC4" s="76">
        <f>7/35</f>
        <v>0.2</v>
      </c>
      <c r="AD4" s="76">
        <f>13/35</f>
        <v>0.37142857142857144</v>
      </c>
      <c r="AE4" s="76">
        <f>1/35</f>
        <v>2.8571428571428571E-2</v>
      </c>
      <c r="AF4" s="76">
        <f>1/35</f>
        <v>2.8571428571428571E-2</v>
      </c>
      <c r="AG4" s="76">
        <f>5/35</f>
        <v>0.14285714285714285</v>
      </c>
      <c r="AH4" s="76">
        <v>1</v>
      </c>
      <c r="AI4" s="76">
        <v>0.85709999999999997</v>
      </c>
      <c r="AJ4" s="76">
        <v>0.53839999999999999</v>
      </c>
      <c r="AK4" s="76">
        <v>1</v>
      </c>
      <c r="AL4" s="76">
        <v>1</v>
      </c>
      <c r="AM4" s="76">
        <v>0.8</v>
      </c>
      <c r="AN4" s="88">
        <v>197</v>
      </c>
      <c r="AO4" s="88">
        <f t="shared" si="4"/>
        <v>97.54000000000002</v>
      </c>
      <c r="AP4" s="72">
        <f t="shared" si="5"/>
        <v>68.971195436935872</v>
      </c>
      <c r="AQ4" s="89">
        <f t="shared" si="6"/>
        <v>104.41499999999999</v>
      </c>
      <c r="AR4" s="76">
        <f>10/49</f>
        <v>0.20408163265306123</v>
      </c>
      <c r="AS4" s="76">
        <f>4/49</f>
        <v>8.1632653061224483E-2</v>
      </c>
      <c r="AT4" s="76">
        <f>8/49</f>
        <v>0.16326530612244897</v>
      </c>
      <c r="AU4" s="76">
        <f>2/49</f>
        <v>4.0816326530612242E-2</v>
      </c>
      <c r="AV4" s="76">
        <f>0/49</f>
        <v>0</v>
      </c>
      <c r="AW4" s="76">
        <f>7/49</f>
        <v>0.14285714285714285</v>
      </c>
      <c r="AX4" s="76">
        <v>1</v>
      </c>
      <c r="AY4" s="76">
        <v>0.75</v>
      </c>
      <c r="AZ4" s="76">
        <v>0.875</v>
      </c>
      <c r="BA4" s="76">
        <v>1</v>
      </c>
      <c r="BB4" s="76">
        <v>0</v>
      </c>
      <c r="BC4" s="76">
        <v>0.85709999999999997</v>
      </c>
      <c r="BD4" s="74">
        <v>304</v>
      </c>
      <c r="BE4" s="72">
        <f t="shared" si="7"/>
        <v>105.26999999999998</v>
      </c>
      <c r="BF4" s="72">
        <f t="shared" si="8"/>
        <v>74.437130855507803</v>
      </c>
      <c r="BG4" s="89">
        <f t="shared" si="9"/>
        <v>104.63499999999999</v>
      </c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</row>
    <row r="5" spans="1:105" s="10" customFormat="1">
      <c r="A5" s="74" t="s">
        <v>6</v>
      </c>
      <c r="B5" s="74">
        <v>2002</v>
      </c>
      <c r="C5" s="74" t="s">
        <v>38</v>
      </c>
      <c r="D5" s="74">
        <v>1</v>
      </c>
      <c r="E5" s="72">
        <v>0.65</v>
      </c>
      <c r="F5" s="73">
        <v>0.8</v>
      </c>
      <c r="G5" s="74">
        <v>15</v>
      </c>
      <c r="H5" s="72">
        <v>0.65</v>
      </c>
      <c r="I5" s="74">
        <v>8</v>
      </c>
      <c r="J5" s="72">
        <f t="shared" si="0"/>
        <v>0.35</v>
      </c>
      <c r="K5" s="74">
        <v>369.67</v>
      </c>
      <c r="L5" s="72">
        <f t="shared" si="1"/>
        <v>16.072608695652175</v>
      </c>
      <c r="M5" s="74" t="s">
        <v>51</v>
      </c>
      <c r="N5" s="74" t="s">
        <v>51</v>
      </c>
      <c r="O5" s="74">
        <v>33</v>
      </c>
      <c r="P5" s="88">
        <v>0.83</v>
      </c>
      <c r="Q5" s="74">
        <v>7</v>
      </c>
      <c r="R5" s="72">
        <f t="shared" si="2"/>
        <v>0.17000000000000004</v>
      </c>
      <c r="S5" s="74">
        <v>245.38</v>
      </c>
      <c r="T5" s="72">
        <f t="shared" si="3"/>
        <v>6.1345000000000001</v>
      </c>
      <c r="U5" s="74" t="s">
        <v>51</v>
      </c>
      <c r="V5" s="74" t="s">
        <v>51</v>
      </c>
      <c r="W5" s="74">
        <v>294</v>
      </c>
      <c r="X5" s="72">
        <v>0.58333333333333337</v>
      </c>
      <c r="Y5" s="72">
        <v>1.8333333333333333</v>
      </c>
      <c r="Z5" s="72">
        <v>1.5642792899510296</v>
      </c>
      <c r="AA5" s="72">
        <v>0.40824829046386274</v>
      </c>
      <c r="AB5" s="76">
        <f>8/23</f>
        <v>0.34782608695652173</v>
      </c>
      <c r="AC5" s="76">
        <f>1/23</f>
        <v>4.3478260869565216E-2</v>
      </c>
      <c r="AD5" s="76">
        <f>9/23</f>
        <v>0.39130434782608697</v>
      </c>
      <c r="AE5" s="76">
        <f>2/23</f>
        <v>8.6956521739130432E-2</v>
      </c>
      <c r="AF5" s="76">
        <f>1/23</f>
        <v>4.3478260869565216E-2</v>
      </c>
      <c r="AG5" s="76">
        <f>2/23</f>
        <v>8.6956521739130432E-2</v>
      </c>
      <c r="AH5" s="76">
        <v>0.5</v>
      </c>
      <c r="AI5" s="76">
        <v>1</v>
      </c>
      <c r="AJ5" s="76">
        <v>0.66669999999999996</v>
      </c>
      <c r="AK5" s="76">
        <v>0.5</v>
      </c>
      <c r="AL5" s="76">
        <v>1</v>
      </c>
      <c r="AM5" s="76">
        <v>1</v>
      </c>
      <c r="AN5" s="88">
        <v>111</v>
      </c>
      <c r="AO5" s="88">
        <f t="shared" si="4"/>
        <v>258.67</v>
      </c>
      <c r="AP5" s="72">
        <f t="shared" si="5"/>
        <v>182.90731108952423</v>
      </c>
      <c r="AQ5" s="89">
        <f t="shared" si="6"/>
        <v>32.634999999999991</v>
      </c>
      <c r="AR5" s="76">
        <f>15/40</f>
        <v>0.375</v>
      </c>
      <c r="AS5" s="76">
        <f>4/40</f>
        <v>0.1</v>
      </c>
      <c r="AT5" s="76">
        <f>16/40</f>
        <v>0.4</v>
      </c>
      <c r="AU5" s="76">
        <f>3/40</f>
        <v>7.4999999999999997E-2</v>
      </c>
      <c r="AV5" s="76">
        <f>0/40</f>
        <v>0</v>
      </c>
      <c r="AW5" s="76">
        <f>2/40</f>
        <v>0.05</v>
      </c>
      <c r="AX5" s="76">
        <v>0.93330000000000002</v>
      </c>
      <c r="AY5" s="76">
        <v>1</v>
      </c>
      <c r="AZ5" s="76">
        <v>0.75</v>
      </c>
      <c r="BA5" s="76">
        <v>0.66659999999999997</v>
      </c>
      <c r="BB5" s="76">
        <v>0</v>
      </c>
      <c r="BC5" s="76">
        <v>0.5</v>
      </c>
      <c r="BD5" s="74">
        <v>223</v>
      </c>
      <c r="BE5" s="72">
        <f t="shared" si="7"/>
        <v>22.379999999999995</v>
      </c>
      <c r="BF5" s="72">
        <f t="shared" si="8"/>
        <v>15.825049762955256</v>
      </c>
      <c r="BG5" s="89">
        <f t="shared" si="9"/>
        <v>22.689999999999998</v>
      </c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</row>
    <row r="6" spans="1:105" s="10" customFormat="1" ht="15" customHeight="1">
      <c r="A6" s="74" t="s">
        <v>7</v>
      </c>
      <c r="B6" s="74">
        <v>2001</v>
      </c>
      <c r="C6" s="74" t="s">
        <v>38</v>
      </c>
      <c r="D6" s="74">
        <v>1</v>
      </c>
      <c r="E6" s="72">
        <v>0.9</v>
      </c>
      <c r="F6" s="73">
        <v>0.65</v>
      </c>
      <c r="G6" s="74">
        <v>31</v>
      </c>
      <c r="H6" s="72">
        <v>0.82</v>
      </c>
      <c r="I6" s="74">
        <v>7</v>
      </c>
      <c r="J6" s="72">
        <f t="shared" si="0"/>
        <v>0.18000000000000005</v>
      </c>
      <c r="K6" s="74">
        <v>415.42</v>
      </c>
      <c r="L6" s="72">
        <f t="shared" si="1"/>
        <v>10.932105263157895</v>
      </c>
      <c r="M6" s="74" t="s">
        <v>52</v>
      </c>
      <c r="N6" s="74" t="s">
        <v>51</v>
      </c>
      <c r="O6" s="74">
        <v>34</v>
      </c>
      <c r="P6" s="88">
        <v>0.85</v>
      </c>
      <c r="Q6" s="74">
        <v>6</v>
      </c>
      <c r="R6" s="72">
        <f t="shared" si="2"/>
        <v>0.15000000000000002</v>
      </c>
      <c r="S6" s="74">
        <v>511.33</v>
      </c>
      <c r="T6" s="72">
        <f t="shared" si="3"/>
        <v>12.783249999999999</v>
      </c>
      <c r="U6" s="74" t="s">
        <v>51</v>
      </c>
      <c r="V6" s="74" t="s">
        <v>51</v>
      </c>
      <c r="W6" s="74">
        <v>259</v>
      </c>
      <c r="X6" s="72">
        <v>0.25</v>
      </c>
      <c r="Y6" s="72">
        <v>0.16666666666666666</v>
      </c>
      <c r="Z6" s="72">
        <v>1.6583123951776999</v>
      </c>
      <c r="AA6" s="72">
        <v>0.752772652709081</v>
      </c>
      <c r="AB6" s="76">
        <f>7/38</f>
        <v>0.18421052631578946</v>
      </c>
      <c r="AC6" s="76">
        <f>3/38</f>
        <v>7.8947368421052627E-2</v>
      </c>
      <c r="AD6" s="76">
        <f>14/38</f>
        <v>0.36842105263157893</v>
      </c>
      <c r="AE6" s="76">
        <f>4/38</f>
        <v>0.10526315789473684</v>
      </c>
      <c r="AF6" s="76">
        <f>1/38</f>
        <v>2.6315789473684209E-2</v>
      </c>
      <c r="AG6" s="76">
        <f>8/38</f>
        <v>0.21052631578947367</v>
      </c>
      <c r="AH6" s="76">
        <f>6/7</f>
        <v>0.8571428571428571</v>
      </c>
      <c r="AI6" s="76">
        <f>3/3</f>
        <v>1</v>
      </c>
      <c r="AJ6" s="76">
        <f>10/14</f>
        <v>0.7142857142857143</v>
      </c>
      <c r="AK6" s="76">
        <f>3/4</f>
        <v>0.75</v>
      </c>
      <c r="AL6" s="76">
        <f>1/1</f>
        <v>1</v>
      </c>
      <c r="AM6" s="76">
        <v>0.875</v>
      </c>
      <c r="AN6" s="88">
        <v>198</v>
      </c>
      <c r="AO6" s="88">
        <f t="shared" si="4"/>
        <v>217.42000000000002</v>
      </c>
      <c r="AP6" s="72">
        <f t="shared" si="5"/>
        <v>153.73915636557902</v>
      </c>
      <c r="AQ6" s="89">
        <f t="shared" si="6"/>
        <v>119.69499999999999</v>
      </c>
      <c r="AR6" s="76">
        <f>6/40</f>
        <v>0.15</v>
      </c>
      <c r="AS6" s="76">
        <f>8/40</f>
        <v>0.2</v>
      </c>
      <c r="AT6" s="76">
        <f>12/40</f>
        <v>0.3</v>
      </c>
      <c r="AU6" s="76">
        <f>3/40</f>
        <v>7.4999999999999997E-2</v>
      </c>
      <c r="AV6" s="76">
        <f>1/40</f>
        <v>2.5000000000000001E-2</v>
      </c>
      <c r="AW6" s="76">
        <f>10/40</f>
        <v>0.25</v>
      </c>
      <c r="AX6" s="76">
        <f>5/6</f>
        <v>0.83333333333333337</v>
      </c>
      <c r="AY6" s="76">
        <f>8/8</f>
        <v>1</v>
      </c>
      <c r="AZ6" s="76">
        <f>10/12</f>
        <v>0.83333333333333337</v>
      </c>
      <c r="BA6" s="76">
        <f>2/3</f>
        <v>0.66666666666666663</v>
      </c>
      <c r="BB6" s="76">
        <f>1/1</f>
        <v>1</v>
      </c>
      <c r="BC6" s="76">
        <f>9/10</f>
        <v>0.9</v>
      </c>
      <c r="BD6" s="74">
        <v>202</v>
      </c>
      <c r="BE6" s="72">
        <f t="shared" si="7"/>
        <v>309.33</v>
      </c>
      <c r="BF6" s="72">
        <f t="shared" si="8"/>
        <v>218.72934062443488</v>
      </c>
      <c r="BG6" s="89">
        <f t="shared" si="9"/>
        <v>155.66499999999999</v>
      </c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</row>
    <row r="7" spans="1:105" s="10" customFormat="1">
      <c r="A7" s="74" t="s">
        <v>8</v>
      </c>
      <c r="B7" s="74">
        <v>2001</v>
      </c>
      <c r="C7" s="74" t="s">
        <v>38</v>
      </c>
      <c r="D7" s="74">
        <v>1</v>
      </c>
      <c r="E7" s="72">
        <v>0.4</v>
      </c>
      <c r="F7" s="73">
        <v>0.6</v>
      </c>
      <c r="G7" s="74">
        <v>19</v>
      </c>
      <c r="H7" s="72">
        <v>0.61</v>
      </c>
      <c r="I7" s="74">
        <v>12</v>
      </c>
      <c r="J7" s="72">
        <f t="shared" si="0"/>
        <v>0.39</v>
      </c>
      <c r="K7" s="74">
        <v>225.31</v>
      </c>
      <c r="L7" s="72">
        <f t="shared" si="1"/>
        <v>7.2680645161290327</v>
      </c>
      <c r="M7" s="74" t="s">
        <v>53</v>
      </c>
      <c r="N7" s="74" t="s">
        <v>50</v>
      </c>
      <c r="O7" s="74">
        <v>24</v>
      </c>
      <c r="P7" s="88">
        <v>0.75</v>
      </c>
      <c r="Q7" s="74">
        <v>8</v>
      </c>
      <c r="R7" s="72">
        <f t="shared" si="2"/>
        <v>0.25</v>
      </c>
      <c r="S7" s="74">
        <v>342.41</v>
      </c>
      <c r="T7" s="72">
        <f t="shared" si="3"/>
        <v>10.700312500000001</v>
      </c>
      <c r="U7" s="74" t="s">
        <v>52</v>
      </c>
      <c r="V7" s="74" t="s">
        <v>50</v>
      </c>
      <c r="W7" s="74">
        <v>209</v>
      </c>
      <c r="X7" s="72">
        <v>1.4166666666666667</v>
      </c>
      <c r="Y7" s="72">
        <v>1.6666666666666667</v>
      </c>
      <c r="Z7" s="72">
        <v>0.79296146109875909</v>
      </c>
      <c r="AA7" s="72">
        <v>0.51639777949432208</v>
      </c>
      <c r="AB7" s="76">
        <f>7/31</f>
        <v>0.22580645161290322</v>
      </c>
      <c r="AC7" s="76">
        <f>2/31</f>
        <v>6.4516129032258063E-2</v>
      </c>
      <c r="AD7" s="76">
        <f>5/31</f>
        <v>0.16129032258064516</v>
      </c>
      <c r="AE7" s="76">
        <v>0</v>
      </c>
      <c r="AF7" s="76">
        <f>1/31</f>
        <v>3.2258064516129031E-2</v>
      </c>
      <c r="AG7" s="76">
        <f>1/31</f>
        <v>3.2258064516129031E-2</v>
      </c>
      <c r="AH7" s="76">
        <f>3/7</f>
        <v>0.42857142857142855</v>
      </c>
      <c r="AI7" s="76">
        <f>2/2</f>
        <v>1</v>
      </c>
      <c r="AJ7" s="76">
        <f>2/5</f>
        <v>0.4</v>
      </c>
      <c r="AK7" s="76">
        <v>0</v>
      </c>
      <c r="AL7" s="76">
        <f>1/1</f>
        <v>1</v>
      </c>
      <c r="AM7" s="76">
        <f>1/1</f>
        <v>1</v>
      </c>
      <c r="AN7" s="88">
        <v>189</v>
      </c>
      <c r="AO7" s="88">
        <f t="shared" si="4"/>
        <v>36.31</v>
      </c>
      <c r="AP7" s="72">
        <f t="shared" si="5"/>
        <v>25.675047224883564</v>
      </c>
      <c r="AQ7" s="89">
        <f t="shared" si="6"/>
        <v>89.03</v>
      </c>
      <c r="AR7" s="76">
        <f>5/32</f>
        <v>0.15625</v>
      </c>
      <c r="AS7" s="76">
        <f>6/32</f>
        <v>0.1875</v>
      </c>
      <c r="AT7" s="76">
        <f>19/32</f>
        <v>0.59375</v>
      </c>
      <c r="AU7" s="76">
        <f>4/32</f>
        <v>0.125</v>
      </c>
      <c r="AV7" s="76">
        <f>0/32</f>
        <v>0</v>
      </c>
      <c r="AW7" s="76">
        <f>3/32</f>
        <v>9.375E-2</v>
      </c>
      <c r="AX7" s="76">
        <f>4/5</f>
        <v>0.8</v>
      </c>
      <c r="AY7" s="76">
        <f>6/6</f>
        <v>1</v>
      </c>
      <c r="AZ7" s="76">
        <f>12/19</f>
        <v>0.63157894736842102</v>
      </c>
      <c r="BA7" s="76">
        <f>3/4</f>
        <v>0.75</v>
      </c>
      <c r="BB7" s="76">
        <v>0</v>
      </c>
      <c r="BC7" s="76">
        <f>2/3</f>
        <v>0.66666666666666663</v>
      </c>
      <c r="BD7" s="74">
        <v>209</v>
      </c>
      <c r="BE7" s="72">
        <f t="shared" si="7"/>
        <v>133.41000000000003</v>
      </c>
      <c r="BF7" s="72">
        <f t="shared" si="8"/>
        <v>94.335115678097168</v>
      </c>
      <c r="BG7" s="89">
        <f t="shared" si="9"/>
        <v>71.205000000000013</v>
      </c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</row>
    <row r="8" spans="1:105" s="10" customFormat="1">
      <c r="A8" s="74" t="s">
        <v>9</v>
      </c>
      <c r="B8" s="74">
        <v>2001</v>
      </c>
      <c r="C8" s="74" t="s">
        <v>38</v>
      </c>
      <c r="D8" s="74">
        <v>1</v>
      </c>
      <c r="E8" s="72">
        <v>0.8</v>
      </c>
      <c r="F8" s="73">
        <v>0.55000000000000004</v>
      </c>
      <c r="G8" s="74">
        <v>27</v>
      </c>
      <c r="H8" s="72">
        <v>0.63</v>
      </c>
      <c r="I8" s="74">
        <v>16</v>
      </c>
      <c r="J8" s="72">
        <f t="shared" si="0"/>
        <v>0.37</v>
      </c>
      <c r="K8" s="74">
        <v>248.79</v>
      </c>
      <c r="L8" s="72">
        <f t="shared" si="1"/>
        <v>5.7858139534883719</v>
      </c>
      <c r="M8" s="74" t="s">
        <v>49</v>
      </c>
      <c r="N8" s="74" t="s">
        <v>50</v>
      </c>
      <c r="O8" s="74">
        <v>32</v>
      </c>
      <c r="P8" s="88">
        <v>0.74</v>
      </c>
      <c r="Q8" s="74">
        <v>11</v>
      </c>
      <c r="R8" s="72">
        <f t="shared" si="2"/>
        <v>0.26</v>
      </c>
      <c r="S8" s="74">
        <v>324.57</v>
      </c>
      <c r="T8" s="72">
        <f t="shared" si="3"/>
        <v>7.5481395348837204</v>
      </c>
      <c r="U8" s="74" t="s">
        <v>54</v>
      </c>
      <c r="V8" s="74" t="s">
        <v>50</v>
      </c>
      <c r="W8" s="74">
        <v>291</v>
      </c>
      <c r="X8" s="72">
        <v>1.75</v>
      </c>
      <c r="Y8" s="72">
        <v>1.5</v>
      </c>
      <c r="Z8" s="72">
        <v>0.45226701686664544</v>
      </c>
      <c r="AA8" s="72">
        <v>0.54772255750516607</v>
      </c>
      <c r="AB8" s="76">
        <f>10/43</f>
        <v>0.23255813953488372</v>
      </c>
      <c r="AC8" s="76">
        <f>2/43</f>
        <v>4.6511627906976744E-2</v>
      </c>
      <c r="AD8" s="76">
        <f>18/43</f>
        <v>0.41860465116279072</v>
      </c>
      <c r="AE8" s="76">
        <f>5/43</f>
        <v>0.11627906976744186</v>
      </c>
      <c r="AF8" s="76">
        <f>2/43</f>
        <v>4.6511627906976744E-2</v>
      </c>
      <c r="AG8" s="76">
        <f>5/43</f>
        <v>0.11627906976744186</v>
      </c>
      <c r="AH8" s="76">
        <f>7/10</f>
        <v>0.7</v>
      </c>
      <c r="AI8" s="76">
        <f>2/2</f>
        <v>1</v>
      </c>
      <c r="AJ8" s="76">
        <f>8/18</f>
        <v>0.44444444444444442</v>
      </c>
      <c r="AK8" s="76">
        <f>5/5</f>
        <v>1</v>
      </c>
      <c r="AL8" s="76">
        <f>1/2</f>
        <v>0.5</v>
      </c>
      <c r="AM8" s="76">
        <f>4/5</f>
        <v>0.8</v>
      </c>
      <c r="AN8" s="88">
        <v>199</v>
      </c>
      <c r="AO8" s="88">
        <f t="shared" si="4"/>
        <v>49.789999999999992</v>
      </c>
      <c r="AP8" s="72">
        <f t="shared" si="5"/>
        <v>35.206846635278403</v>
      </c>
      <c r="AQ8" s="89">
        <f t="shared" si="6"/>
        <v>77.085000000000008</v>
      </c>
      <c r="AR8" s="76">
        <f>13/43</f>
        <v>0.30232558139534882</v>
      </c>
      <c r="AS8" s="76">
        <f>3/43</f>
        <v>6.9767441860465115E-2</v>
      </c>
      <c r="AT8" s="76">
        <f>12/43</f>
        <v>0.27906976744186046</v>
      </c>
      <c r="AU8" s="76">
        <f>2/43</f>
        <v>4.6511627906976744E-2</v>
      </c>
      <c r="AV8" s="76">
        <f>1/43</f>
        <v>2.3255813953488372E-2</v>
      </c>
      <c r="AW8" s="76">
        <f>1/43</f>
        <v>2.3255813953488372E-2</v>
      </c>
      <c r="AX8" s="76">
        <f>11/13</f>
        <v>0.84615384615384615</v>
      </c>
      <c r="AY8" s="76">
        <f>3/3</f>
        <v>1</v>
      </c>
      <c r="AZ8" s="76">
        <f>9/12</f>
        <v>0.75</v>
      </c>
      <c r="BA8" s="76">
        <f>1/2</f>
        <v>0.5</v>
      </c>
      <c r="BB8" s="76">
        <f>1/1</f>
        <v>1</v>
      </c>
      <c r="BC8" s="76">
        <f>1/1</f>
        <v>1</v>
      </c>
      <c r="BD8" s="74">
        <v>201</v>
      </c>
      <c r="BE8" s="72">
        <f t="shared" si="7"/>
        <v>123.57</v>
      </c>
      <c r="BF8" s="72">
        <f t="shared" si="8"/>
        <v>87.377184951221778</v>
      </c>
      <c r="BG8" s="89">
        <f t="shared" si="9"/>
        <v>62.285000000000004</v>
      </c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</row>
    <row r="9" spans="1:105" s="10" customFormat="1">
      <c r="A9" s="74" t="s">
        <v>10</v>
      </c>
      <c r="B9" s="74">
        <v>2001</v>
      </c>
      <c r="C9" s="74" t="s">
        <v>38</v>
      </c>
      <c r="D9" s="74">
        <v>1</v>
      </c>
      <c r="E9" s="72">
        <v>0.5</v>
      </c>
      <c r="F9" s="73">
        <v>0.75</v>
      </c>
      <c r="G9" s="74">
        <v>33</v>
      </c>
      <c r="H9" s="72">
        <v>0.73</v>
      </c>
      <c r="I9" s="74">
        <v>12</v>
      </c>
      <c r="J9" s="72">
        <f t="shared" si="0"/>
        <v>0.27</v>
      </c>
      <c r="K9" s="74">
        <v>408.83</v>
      </c>
      <c r="L9" s="72">
        <f t="shared" si="1"/>
        <v>9.0851111111111109</v>
      </c>
      <c r="M9" s="74" t="s">
        <v>54</v>
      </c>
      <c r="N9" s="74" t="s">
        <v>50</v>
      </c>
      <c r="O9" s="74">
        <v>37</v>
      </c>
      <c r="P9" s="88">
        <v>0.7</v>
      </c>
      <c r="Q9" s="74">
        <v>16</v>
      </c>
      <c r="R9" s="72">
        <f t="shared" si="2"/>
        <v>0.30000000000000004</v>
      </c>
      <c r="S9" s="74">
        <v>511.83</v>
      </c>
      <c r="T9" s="72">
        <f t="shared" si="3"/>
        <v>9.6571698113207542</v>
      </c>
      <c r="U9" s="74" t="s">
        <v>50</v>
      </c>
      <c r="V9" s="74" t="s">
        <v>50</v>
      </c>
      <c r="W9" s="74">
        <v>294</v>
      </c>
      <c r="X9" s="72">
        <v>1.1666666666666667</v>
      </c>
      <c r="Y9" s="72">
        <v>0.66666666666666663</v>
      </c>
      <c r="Z9" s="72">
        <v>1.1146408580454255</v>
      </c>
      <c r="AA9" s="72">
        <v>0.51639777949432231</v>
      </c>
      <c r="AB9" s="76">
        <f>14/45</f>
        <v>0.31111111111111112</v>
      </c>
      <c r="AC9" s="76">
        <f>7/45</f>
        <v>0.15555555555555556</v>
      </c>
      <c r="AD9" s="76">
        <f>13/45</f>
        <v>0.28888888888888886</v>
      </c>
      <c r="AE9" s="76">
        <f>3/45</f>
        <v>6.6666666666666666E-2</v>
      </c>
      <c r="AF9" s="76">
        <f>1/45</f>
        <v>2.2222222222222223E-2</v>
      </c>
      <c r="AG9" s="76">
        <f>7/45</f>
        <v>0.15555555555555556</v>
      </c>
      <c r="AH9" s="76">
        <f>10/14</f>
        <v>0.7142857142857143</v>
      </c>
      <c r="AI9" s="76">
        <f>5/7</f>
        <v>0.7142857142857143</v>
      </c>
      <c r="AJ9" s="76">
        <f>9/13</f>
        <v>0.69230769230769229</v>
      </c>
      <c r="AK9" s="76">
        <f>2/3</f>
        <v>0.66666666666666663</v>
      </c>
      <c r="AL9" s="76">
        <f>1/3</f>
        <v>0.33333333333333331</v>
      </c>
      <c r="AM9" s="76">
        <f>5/7</f>
        <v>0.7142857142857143</v>
      </c>
      <c r="AN9" s="88">
        <v>218</v>
      </c>
      <c r="AO9" s="88">
        <f t="shared" si="4"/>
        <v>190.82999999999998</v>
      </c>
      <c r="AP9" s="72">
        <f t="shared" si="5"/>
        <v>134.93718705382892</v>
      </c>
      <c r="AQ9" s="89">
        <f t="shared" si="6"/>
        <v>55.264999999999986</v>
      </c>
      <c r="AR9" s="76">
        <f>16/53</f>
        <v>0.30188679245283018</v>
      </c>
      <c r="AS9" s="76">
        <f>4/53</f>
        <v>7.5471698113207544E-2</v>
      </c>
      <c r="AT9" s="76">
        <f>21/53</f>
        <v>0.39622641509433965</v>
      </c>
      <c r="AU9" s="76">
        <f>4/52</f>
        <v>7.6923076923076927E-2</v>
      </c>
      <c r="AV9" s="76">
        <f>2/52</f>
        <v>3.8461538461538464E-2</v>
      </c>
      <c r="AW9" s="76">
        <f>6/53</f>
        <v>0.11320754716981132</v>
      </c>
      <c r="AX9" s="76">
        <f>12/16</f>
        <v>0.75</v>
      </c>
      <c r="AY9" s="76">
        <f>2/4</f>
        <v>0.5</v>
      </c>
      <c r="AZ9" s="76">
        <f>15/21</f>
        <v>0.7142857142857143</v>
      </c>
      <c r="BA9" s="76">
        <f>2/4</f>
        <v>0.5</v>
      </c>
      <c r="BB9" s="76">
        <f>2/2</f>
        <v>1</v>
      </c>
      <c r="BC9" s="76">
        <f>4/6</f>
        <v>0.66666666666666663</v>
      </c>
      <c r="BD9" s="74">
        <v>283</v>
      </c>
      <c r="BE9" s="72">
        <f t="shared" si="7"/>
        <v>228.82999999999998</v>
      </c>
      <c r="BF9" s="72">
        <f t="shared" si="8"/>
        <v>161.80724473891775</v>
      </c>
      <c r="BG9" s="89">
        <f t="shared" si="9"/>
        <v>155.91499999999999</v>
      </c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</row>
    <row r="10" spans="1:105" s="10" customFormat="1">
      <c r="A10" s="74" t="s">
        <v>11</v>
      </c>
      <c r="B10" s="74">
        <v>2001</v>
      </c>
      <c r="C10" s="74" t="s">
        <v>38</v>
      </c>
      <c r="D10" s="74">
        <v>1</v>
      </c>
      <c r="E10" s="72">
        <v>0.65</v>
      </c>
      <c r="F10" s="73">
        <v>0.5</v>
      </c>
      <c r="G10" s="74">
        <v>34</v>
      </c>
      <c r="H10" s="72">
        <v>0.78</v>
      </c>
      <c r="I10" s="74">
        <v>12</v>
      </c>
      <c r="J10" s="72">
        <f>1-H10</f>
        <v>0.21999999999999997</v>
      </c>
      <c r="K10" s="74">
        <v>265.27</v>
      </c>
      <c r="L10" s="72">
        <f t="shared" si="1"/>
        <v>5.7667391304347824</v>
      </c>
      <c r="M10" s="74" t="s">
        <v>52</v>
      </c>
      <c r="N10" s="74" t="s">
        <v>50</v>
      </c>
      <c r="O10" s="74">
        <v>25</v>
      </c>
      <c r="P10" s="88">
        <v>0.74</v>
      </c>
      <c r="Q10" s="74">
        <v>9</v>
      </c>
      <c r="R10" s="72">
        <f>1-P10</f>
        <v>0.26</v>
      </c>
      <c r="S10" s="74">
        <v>293.08</v>
      </c>
      <c r="T10" s="72">
        <f t="shared" si="3"/>
        <v>8.6199999999999992</v>
      </c>
      <c r="U10" s="74" t="s">
        <v>50</v>
      </c>
      <c r="V10" s="74" t="s">
        <v>50</v>
      </c>
      <c r="W10" s="74">
        <v>273</v>
      </c>
      <c r="X10" s="72">
        <v>1.75</v>
      </c>
      <c r="Y10" s="72">
        <v>2</v>
      </c>
      <c r="Z10" s="72">
        <v>0.8660254037844386</v>
      </c>
      <c r="AA10" s="72">
        <v>0</v>
      </c>
      <c r="AB10" s="76">
        <f>15/46</f>
        <v>0.32608695652173914</v>
      </c>
      <c r="AC10" s="76">
        <f>3/46</f>
        <v>6.5217391304347824E-2</v>
      </c>
      <c r="AD10" s="76">
        <f>21/46</f>
        <v>0.45652173913043476</v>
      </c>
      <c r="AE10" s="76">
        <f>3/46</f>
        <v>6.5217391304347824E-2</v>
      </c>
      <c r="AF10" s="76">
        <f>1/46</f>
        <v>2.1739130434782608E-2</v>
      </c>
      <c r="AG10" s="76">
        <f>6/46</f>
        <v>0.13043478260869565</v>
      </c>
      <c r="AH10" s="76">
        <f>13/15</f>
        <v>0.8666666666666667</v>
      </c>
      <c r="AI10" s="76">
        <f>3/3</f>
        <v>1</v>
      </c>
      <c r="AJ10" s="76">
        <f>13/21</f>
        <v>0.61904761904761907</v>
      </c>
      <c r="AK10" s="76">
        <f>2/3</f>
        <v>0.66666666666666663</v>
      </c>
      <c r="AL10" s="76">
        <v>0</v>
      </c>
      <c r="AM10" s="76">
        <f>6/6</f>
        <v>1</v>
      </c>
      <c r="AN10" s="88">
        <v>262</v>
      </c>
      <c r="AO10" s="90">
        <f t="shared" si="4"/>
        <v>3.2699999999999818</v>
      </c>
      <c r="AP10" s="72">
        <f t="shared" si="5"/>
        <v>2.3122391744825679</v>
      </c>
      <c r="AQ10" s="89">
        <f t="shared" si="6"/>
        <v>201.66000000000003</v>
      </c>
      <c r="AR10" s="76">
        <f>8/34</f>
        <v>0.23529411764705882</v>
      </c>
      <c r="AS10" s="76">
        <f>2/34</f>
        <v>5.8823529411764705E-2</v>
      </c>
      <c r="AT10" s="76">
        <f>17/34</f>
        <v>0.5</v>
      </c>
      <c r="AU10" s="76">
        <f>4/34</f>
        <v>0.11764705882352941</v>
      </c>
      <c r="AV10" s="76">
        <f>3/34</f>
        <v>8.8235294117647065E-2</v>
      </c>
      <c r="AW10" s="76">
        <f>3/34</f>
        <v>8.8235294117647065E-2</v>
      </c>
      <c r="AX10" s="76">
        <f>6/8</f>
        <v>0.75</v>
      </c>
      <c r="AY10" s="76">
        <f>2/2</f>
        <v>1</v>
      </c>
      <c r="AZ10" s="76">
        <f>9/17</f>
        <v>0.52941176470588236</v>
      </c>
      <c r="BA10" s="76">
        <f>2/4</f>
        <v>0.5</v>
      </c>
      <c r="BB10" s="76">
        <f>3/3</f>
        <v>1</v>
      </c>
      <c r="BC10" s="76">
        <f>3/3</f>
        <v>1</v>
      </c>
      <c r="BD10" s="74">
        <v>175</v>
      </c>
      <c r="BE10" s="72">
        <f t="shared" si="7"/>
        <v>118.07999999999998</v>
      </c>
      <c r="BF10" s="72">
        <f t="shared" si="8"/>
        <v>83.495168722507501</v>
      </c>
      <c r="BG10" s="89">
        <f t="shared" si="9"/>
        <v>46.539999999999992</v>
      </c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</row>
    <row r="11" spans="1:105" s="10" customFormat="1">
      <c r="A11" s="74" t="s">
        <v>12</v>
      </c>
      <c r="B11" s="74">
        <v>2001</v>
      </c>
      <c r="C11" s="74" t="s">
        <v>38</v>
      </c>
      <c r="D11" s="74">
        <v>1</v>
      </c>
      <c r="E11" s="72">
        <v>0.6</v>
      </c>
      <c r="F11" s="73">
        <v>0.55000000000000004</v>
      </c>
      <c r="G11" s="74">
        <v>31</v>
      </c>
      <c r="H11" s="72">
        <v>0.7</v>
      </c>
      <c r="I11" s="74">
        <v>13</v>
      </c>
      <c r="J11" s="72">
        <f t="shared" si="0"/>
        <v>0.30000000000000004</v>
      </c>
      <c r="K11" s="74">
        <v>439.39</v>
      </c>
      <c r="L11" s="72">
        <f t="shared" si="1"/>
        <v>9.9861363636363638</v>
      </c>
      <c r="M11" s="74" t="s">
        <v>52</v>
      </c>
      <c r="N11" s="74" t="s">
        <v>50</v>
      </c>
      <c r="O11" s="74">
        <v>29</v>
      </c>
      <c r="P11" s="88">
        <v>0.71</v>
      </c>
      <c r="Q11" s="74">
        <v>12</v>
      </c>
      <c r="R11" s="72">
        <f t="shared" si="2"/>
        <v>0.29000000000000004</v>
      </c>
      <c r="S11" s="74">
        <v>386.17</v>
      </c>
      <c r="T11" s="72">
        <f t="shared" si="3"/>
        <v>9.4187804878048791</v>
      </c>
      <c r="U11" s="74" t="s">
        <v>50</v>
      </c>
      <c r="V11" s="74" t="s">
        <v>50</v>
      </c>
      <c r="W11" s="74">
        <v>306</v>
      </c>
      <c r="X11" s="72">
        <v>1.8333333333333333</v>
      </c>
      <c r="Y11" s="72">
        <v>1.8333333333333333</v>
      </c>
      <c r="Z11" s="72">
        <v>0.38924947208076122</v>
      </c>
      <c r="AA11" s="72">
        <v>0.40824829046386274</v>
      </c>
      <c r="AB11" s="76">
        <f>3/44</f>
        <v>6.8181818181818177E-2</v>
      </c>
      <c r="AC11" s="76">
        <f>5/44</f>
        <v>0.11363636363636363</v>
      </c>
      <c r="AD11" s="76">
        <f>2/44</f>
        <v>4.5454545454545456E-2</v>
      </c>
      <c r="AE11" s="76">
        <f>7/44</f>
        <v>0.15909090909090909</v>
      </c>
      <c r="AF11" s="76">
        <f>2/44</f>
        <v>4.5454545454545456E-2</v>
      </c>
      <c r="AG11" s="76">
        <f>1/44</f>
        <v>2.2727272727272728E-2</v>
      </c>
      <c r="AH11" s="76">
        <f>1/3</f>
        <v>0.33333333333333331</v>
      </c>
      <c r="AI11" s="76">
        <f>5/5</f>
        <v>1</v>
      </c>
      <c r="AJ11" s="76">
        <f>1/2</f>
        <v>0.5</v>
      </c>
      <c r="AK11" s="76">
        <f>6/7</f>
        <v>0.8571428571428571</v>
      </c>
      <c r="AL11" s="76">
        <f>2/2</f>
        <v>1</v>
      </c>
      <c r="AM11" s="76">
        <f>1/1</f>
        <v>1</v>
      </c>
      <c r="AN11" s="88">
        <v>219</v>
      </c>
      <c r="AO11" s="88">
        <f t="shared" si="4"/>
        <v>220.39</v>
      </c>
      <c r="AP11" s="72">
        <f t="shared" si="5"/>
        <v>155.83926350570317</v>
      </c>
      <c r="AQ11" s="89">
        <f t="shared" si="6"/>
        <v>22.704999999999998</v>
      </c>
      <c r="AR11" s="76">
        <f>15/41</f>
        <v>0.36585365853658536</v>
      </c>
      <c r="AS11" s="76">
        <f>4/41</f>
        <v>9.7560975609756101E-2</v>
      </c>
      <c r="AT11" s="76">
        <f>17/41</f>
        <v>0.41463414634146339</v>
      </c>
      <c r="AU11" s="76">
        <f>1/41</f>
        <v>2.4390243902439025E-2</v>
      </c>
      <c r="AV11" s="76">
        <f>1/41</f>
        <v>2.4390243902439025E-2</v>
      </c>
      <c r="AW11" s="76">
        <f>6/41</f>
        <v>0.14634146341463414</v>
      </c>
      <c r="AX11" s="76">
        <f>11/15</f>
        <v>0.73333333333333328</v>
      </c>
      <c r="AY11" s="76">
        <f>4/4</f>
        <v>1</v>
      </c>
      <c r="AZ11" s="76">
        <f>11/17</f>
        <v>0.6470588235294118</v>
      </c>
      <c r="BA11" s="76">
        <f>1/1</f>
        <v>1</v>
      </c>
      <c r="BB11" s="76">
        <f>1/1</f>
        <v>1</v>
      </c>
      <c r="BC11" s="76">
        <f>3/6</f>
        <v>0.5</v>
      </c>
      <c r="BD11" s="74">
        <v>194</v>
      </c>
      <c r="BE11" s="72">
        <f t="shared" si="7"/>
        <v>192.17000000000002</v>
      </c>
      <c r="BF11" s="72">
        <f t="shared" si="8"/>
        <v>135.88471014061875</v>
      </c>
      <c r="BG11" s="89">
        <f t="shared" si="9"/>
        <v>93.085000000000008</v>
      </c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</row>
    <row r="12" spans="1:105" s="10" customFormat="1">
      <c r="A12" s="74" t="s">
        <v>13</v>
      </c>
      <c r="B12" s="74">
        <v>2001</v>
      </c>
      <c r="C12" s="74" t="s">
        <v>38</v>
      </c>
      <c r="D12" s="74">
        <v>1</v>
      </c>
      <c r="E12" s="72">
        <v>0.8</v>
      </c>
      <c r="F12" s="73">
        <v>0.7</v>
      </c>
      <c r="G12" s="74">
        <v>29</v>
      </c>
      <c r="H12" s="72">
        <v>0.76</v>
      </c>
      <c r="I12" s="74">
        <v>9</v>
      </c>
      <c r="J12" s="72">
        <f t="shared" si="0"/>
        <v>0.24</v>
      </c>
      <c r="K12" s="74">
        <v>378.06</v>
      </c>
      <c r="L12" s="72">
        <f t="shared" si="1"/>
        <v>9.9489473684210523</v>
      </c>
      <c r="M12" s="74" t="s">
        <v>54</v>
      </c>
      <c r="N12" s="74" t="s">
        <v>50</v>
      </c>
      <c r="O12" s="74">
        <v>33</v>
      </c>
      <c r="P12" s="88">
        <v>0.75</v>
      </c>
      <c r="Q12" s="74">
        <v>11</v>
      </c>
      <c r="R12" s="72">
        <f t="shared" si="2"/>
        <v>0.25</v>
      </c>
      <c r="S12" s="74">
        <v>394.76</v>
      </c>
      <c r="T12" s="72">
        <f t="shared" si="3"/>
        <v>8.9718181818181808</v>
      </c>
      <c r="U12" s="74" t="s">
        <v>52</v>
      </c>
      <c r="V12" s="74" t="s">
        <v>50</v>
      </c>
      <c r="W12" s="74">
        <v>273</v>
      </c>
      <c r="X12" s="72">
        <v>1.8333333333333333</v>
      </c>
      <c r="Y12" s="72">
        <v>2</v>
      </c>
      <c r="Z12" s="72">
        <v>0.38924947208076122</v>
      </c>
      <c r="AA12" s="72">
        <v>0</v>
      </c>
      <c r="AB12" s="76">
        <f>1/38</f>
        <v>2.6315789473684209E-2</v>
      </c>
      <c r="AC12" s="76">
        <f>2/38</f>
        <v>5.2631578947368418E-2</v>
      </c>
      <c r="AD12" s="76">
        <f>19/38</f>
        <v>0.5</v>
      </c>
      <c r="AE12" s="76">
        <f>1/38</f>
        <v>2.6315789473684209E-2</v>
      </c>
      <c r="AF12" s="76">
        <f>1/38</f>
        <v>2.6315789473684209E-2</v>
      </c>
      <c r="AG12" s="76">
        <f>7/38</f>
        <v>0.18421052631578946</v>
      </c>
      <c r="AH12" s="76">
        <f>1/1</f>
        <v>1</v>
      </c>
      <c r="AI12" s="76">
        <f>1/2</f>
        <v>0.5</v>
      </c>
      <c r="AJ12" s="76">
        <f>9/19</f>
        <v>0.47368421052631576</v>
      </c>
      <c r="AK12" s="76">
        <f>1/1</f>
        <v>1</v>
      </c>
      <c r="AL12" s="76">
        <f>1/1</f>
        <v>1</v>
      </c>
      <c r="AM12" s="76">
        <f>3/7</f>
        <v>0.42857142857142855</v>
      </c>
      <c r="AN12" s="88">
        <v>175</v>
      </c>
      <c r="AO12" s="88">
        <f t="shared" si="4"/>
        <v>203.06</v>
      </c>
      <c r="AP12" s="72">
        <f t="shared" si="5"/>
        <v>143.5851029877405</v>
      </c>
      <c r="AQ12" s="89">
        <f t="shared" si="6"/>
        <v>96.594999999999999</v>
      </c>
      <c r="AR12" s="76">
        <f>5/44</f>
        <v>0.11363636363636363</v>
      </c>
      <c r="AS12" s="76">
        <f>4/44</f>
        <v>9.0909090909090912E-2</v>
      </c>
      <c r="AT12" s="76">
        <f>10/44</f>
        <v>0.22727272727272727</v>
      </c>
      <c r="AU12" s="76">
        <f>2/44</f>
        <v>4.5454545454545456E-2</v>
      </c>
      <c r="AV12" s="76">
        <f>1/44</f>
        <v>2.2727272727272728E-2</v>
      </c>
      <c r="AW12" s="76">
        <f>2/44</f>
        <v>4.5454545454545456E-2</v>
      </c>
      <c r="AX12" s="76">
        <f>2/5</f>
        <v>0.4</v>
      </c>
      <c r="AY12" s="76">
        <f>2/4</f>
        <v>0.5</v>
      </c>
      <c r="AZ12" s="76">
        <f>10/10</f>
        <v>1</v>
      </c>
      <c r="BA12" s="76">
        <f>1/2</f>
        <v>0.5</v>
      </c>
      <c r="BB12" s="76">
        <f>1/1</f>
        <v>1</v>
      </c>
      <c r="BC12" s="76">
        <f>1/2</f>
        <v>0.5</v>
      </c>
      <c r="BD12" s="74">
        <v>229</v>
      </c>
      <c r="BE12" s="72">
        <f t="shared" si="7"/>
        <v>165.76</v>
      </c>
      <c r="BF12" s="72">
        <f t="shared" si="8"/>
        <v>117.21002004948214</v>
      </c>
      <c r="BG12" s="89">
        <f t="shared" si="9"/>
        <v>97.38</v>
      </c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</row>
    <row r="13" spans="1:105" s="10" customFormat="1">
      <c r="A13" s="74" t="s">
        <v>14</v>
      </c>
      <c r="B13" s="74">
        <v>2001</v>
      </c>
      <c r="C13" s="74" t="s">
        <v>38</v>
      </c>
      <c r="D13" s="74">
        <v>1</v>
      </c>
      <c r="E13" s="72">
        <v>0.5</v>
      </c>
      <c r="F13" s="73">
        <v>0.65</v>
      </c>
      <c r="G13" s="74">
        <v>36</v>
      </c>
      <c r="H13" s="72">
        <v>0.84</v>
      </c>
      <c r="I13" s="74">
        <v>7</v>
      </c>
      <c r="J13" s="72">
        <f t="shared" si="0"/>
        <v>0.16000000000000003</v>
      </c>
      <c r="K13" s="74">
        <v>354.17</v>
      </c>
      <c r="L13" s="72">
        <f t="shared" si="1"/>
        <v>8.2365116279069763</v>
      </c>
      <c r="M13" s="74" t="s">
        <v>54</v>
      </c>
      <c r="N13" s="74" t="s">
        <v>50</v>
      </c>
      <c r="O13" s="74">
        <v>28</v>
      </c>
      <c r="P13" s="88">
        <v>0.68</v>
      </c>
      <c r="Q13" s="74">
        <v>13</v>
      </c>
      <c r="R13" s="72">
        <f t="shared" si="2"/>
        <v>0.31999999999999995</v>
      </c>
      <c r="S13" s="74">
        <v>421.64</v>
      </c>
      <c r="T13" s="72">
        <f t="shared" si="3"/>
        <v>10.28390243902439</v>
      </c>
      <c r="U13" s="74" t="s">
        <v>51</v>
      </c>
      <c r="V13" s="74" t="s">
        <v>50</v>
      </c>
      <c r="W13" s="74">
        <v>291</v>
      </c>
      <c r="X13" s="72">
        <v>2</v>
      </c>
      <c r="Y13" s="72">
        <v>2</v>
      </c>
      <c r="Z13" s="72">
        <v>0</v>
      </c>
      <c r="AA13" s="72">
        <v>0</v>
      </c>
      <c r="AB13" s="76">
        <f>9/43</f>
        <v>0.20930232558139536</v>
      </c>
      <c r="AC13" s="76">
        <f>3/43</f>
        <v>6.9767441860465115E-2</v>
      </c>
      <c r="AD13" s="76">
        <f>9/43</f>
        <v>0.20930232558139536</v>
      </c>
      <c r="AE13" s="76">
        <f>2/43</f>
        <v>4.6511627906976744E-2</v>
      </c>
      <c r="AF13" s="76">
        <v>0</v>
      </c>
      <c r="AG13" s="76">
        <f>5/43</f>
        <v>0.11627906976744186</v>
      </c>
      <c r="AH13" s="76">
        <f>9/9</f>
        <v>1</v>
      </c>
      <c r="AI13" s="76">
        <f>3/3</f>
        <v>1</v>
      </c>
      <c r="AJ13" s="76">
        <f>9/9</f>
        <v>1</v>
      </c>
      <c r="AK13" s="76">
        <v>0</v>
      </c>
      <c r="AL13" s="76">
        <v>0</v>
      </c>
      <c r="AM13" s="76">
        <f>5/5</f>
        <v>1</v>
      </c>
      <c r="AN13" s="88">
        <v>223</v>
      </c>
      <c r="AO13" s="88">
        <f t="shared" si="4"/>
        <v>131.17000000000002</v>
      </c>
      <c r="AP13" s="72">
        <f t="shared" si="5"/>
        <v>92.751196488239316</v>
      </c>
      <c r="AQ13" s="89">
        <f t="shared" si="6"/>
        <v>47.02000000000001</v>
      </c>
      <c r="AR13" s="76">
        <f>12/41</f>
        <v>0.29268292682926828</v>
      </c>
      <c r="AS13" s="76">
        <f>3/41</f>
        <v>7.3170731707317069E-2</v>
      </c>
      <c r="AT13" s="76">
        <f>12/41</f>
        <v>0.29268292682926828</v>
      </c>
      <c r="AU13" s="76">
        <f>1/41</f>
        <v>2.4390243902439025E-2</v>
      </c>
      <c r="AV13" s="76">
        <v>0</v>
      </c>
      <c r="AW13" s="76">
        <f>6/41</f>
        <v>0.14634146341463414</v>
      </c>
      <c r="AX13" s="76">
        <f>8/12</f>
        <v>0.66666666666666663</v>
      </c>
      <c r="AY13" s="76">
        <f>3/3</f>
        <v>1</v>
      </c>
      <c r="AZ13" s="76">
        <f>8/12</f>
        <v>0.66666666666666663</v>
      </c>
      <c r="BA13" s="76">
        <v>0</v>
      </c>
      <c r="BB13" s="76">
        <v>0</v>
      </c>
      <c r="BC13" s="76">
        <f>6/6</f>
        <v>1</v>
      </c>
      <c r="BD13" s="74">
        <v>217</v>
      </c>
      <c r="BE13" s="72">
        <f t="shared" si="7"/>
        <v>204.64</v>
      </c>
      <c r="BF13" s="72">
        <f t="shared" si="8"/>
        <v>144.7023317020151</v>
      </c>
      <c r="BG13" s="89">
        <f t="shared" si="9"/>
        <v>110.81999999999998</v>
      </c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</row>
    <row r="14" spans="1:105" s="10" customFormat="1">
      <c r="A14" s="74" t="s">
        <v>15</v>
      </c>
      <c r="B14" s="74">
        <v>2001</v>
      </c>
      <c r="C14" s="74" t="s">
        <v>38</v>
      </c>
      <c r="D14" s="74">
        <v>1</v>
      </c>
      <c r="E14" s="72">
        <v>0.75</v>
      </c>
      <c r="F14" s="73">
        <v>0.6</v>
      </c>
      <c r="G14" s="74">
        <v>12</v>
      </c>
      <c r="H14" s="72">
        <v>0.48</v>
      </c>
      <c r="I14" s="74">
        <v>13</v>
      </c>
      <c r="J14" s="72">
        <f t="shared" si="0"/>
        <v>0.52</v>
      </c>
      <c r="K14" s="74">
        <v>310.52999999999997</v>
      </c>
      <c r="L14" s="72">
        <f t="shared" si="1"/>
        <v>12.421199999999999</v>
      </c>
      <c r="M14" s="74" t="s">
        <v>52</v>
      </c>
      <c r="N14" s="74" t="s">
        <v>52</v>
      </c>
      <c r="O14" s="74">
        <v>21</v>
      </c>
      <c r="P14" s="88">
        <v>0.53</v>
      </c>
      <c r="Q14" s="74">
        <v>19</v>
      </c>
      <c r="R14" s="72">
        <f t="shared" si="2"/>
        <v>0.47</v>
      </c>
      <c r="S14" s="74">
        <v>496.96</v>
      </c>
      <c r="T14" s="72">
        <f t="shared" si="3"/>
        <v>12.423999999999999</v>
      </c>
      <c r="U14" s="74" t="s">
        <v>49</v>
      </c>
      <c r="V14" s="74" t="s">
        <v>49</v>
      </c>
      <c r="W14" s="74">
        <v>299</v>
      </c>
      <c r="X14" s="72">
        <v>0.5</v>
      </c>
      <c r="Y14" s="72">
        <v>0</v>
      </c>
      <c r="Z14" s="72">
        <v>0.90453403373329089</v>
      </c>
      <c r="AA14" s="72">
        <v>0</v>
      </c>
      <c r="AB14" s="76">
        <f>6/25</f>
        <v>0.24</v>
      </c>
      <c r="AC14" s="76">
        <f>3/25</f>
        <v>0.12</v>
      </c>
      <c r="AD14" s="76">
        <f>8/25</f>
        <v>0.32</v>
      </c>
      <c r="AE14" s="76">
        <f>2/25</f>
        <v>0.08</v>
      </c>
      <c r="AF14" s="76">
        <f>2/25</f>
        <v>0.08</v>
      </c>
      <c r="AG14" s="76">
        <f>3/25</f>
        <v>0.12</v>
      </c>
      <c r="AH14" s="76">
        <f>5/6</f>
        <v>0.83333333333333337</v>
      </c>
      <c r="AI14" s="76">
        <f>2/3</f>
        <v>0.66666666666666663</v>
      </c>
      <c r="AJ14" s="76">
        <f>1/8</f>
        <v>0.125</v>
      </c>
      <c r="AK14" s="76">
        <f>1/2</f>
        <v>0.5</v>
      </c>
      <c r="AL14" s="76">
        <f>1/2</f>
        <v>0.5</v>
      </c>
      <c r="AM14" s="76">
        <f>2/3</f>
        <v>0.66666666666666663</v>
      </c>
      <c r="AN14" s="88">
        <v>148</v>
      </c>
      <c r="AO14" s="88">
        <f t="shared" si="4"/>
        <v>162.52999999999997</v>
      </c>
      <c r="AP14" s="72">
        <f t="shared" si="5"/>
        <v>114.9260651462496</v>
      </c>
      <c r="AQ14" s="89">
        <f t="shared" si="6"/>
        <v>118.00999999999999</v>
      </c>
      <c r="AR14" s="76">
        <f>9/40</f>
        <v>0.22500000000000001</v>
      </c>
      <c r="AS14" s="76">
        <f>5/40</f>
        <v>0.125</v>
      </c>
      <c r="AT14" s="76">
        <f>8/40</f>
        <v>0.2</v>
      </c>
      <c r="AU14" s="76">
        <f>1/40</f>
        <v>2.5000000000000001E-2</v>
      </c>
      <c r="AV14" s="76">
        <f>1/40</f>
        <v>2.5000000000000001E-2</v>
      </c>
      <c r="AW14" s="76">
        <f>4/40</f>
        <v>0.1</v>
      </c>
      <c r="AX14" s="76">
        <f>8/9</f>
        <v>0.88888888888888884</v>
      </c>
      <c r="AY14" s="76">
        <f>4/5</f>
        <v>0.8</v>
      </c>
      <c r="AZ14" s="76">
        <f>7/8</f>
        <v>0.875</v>
      </c>
      <c r="BA14" s="76">
        <f>1/1</f>
        <v>1</v>
      </c>
      <c r="BB14" s="76">
        <f>1/1</f>
        <v>1</v>
      </c>
      <c r="BC14" s="76">
        <f>4/4</f>
        <v>1</v>
      </c>
      <c r="BD14" s="74">
        <v>216</v>
      </c>
      <c r="BE14" s="72">
        <f t="shared" si="7"/>
        <v>280.95999999999998</v>
      </c>
      <c r="BF14" s="72">
        <f t="shared" si="8"/>
        <v>198.66872124217221</v>
      </c>
      <c r="BG14" s="89">
        <f t="shared" si="9"/>
        <v>148.47999999999999</v>
      </c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</row>
    <row r="15" spans="1:105" s="10" customFormat="1">
      <c r="A15" s="74" t="s">
        <v>16</v>
      </c>
      <c r="B15" s="74">
        <v>2003</v>
      </c>
      <c r="C15" s="74" t="s">
        <v>38</v>
      </c>
      <c r="D15" s="74">
        <v>1</v>
      </c>
      <c r="E15" s="72">
        <v>0.65</v>
      </c>
      <c r="F15" s="73">
        <v>0.7</v>
      </c>
      <c r="G15" s="74">
        <v>40</v>
      </c>
      <c r="H15" s="72">
        <v>0.85</v>
      </c>
      <c r="I15" s="74">
        <v>7</v>
      </c>
      <c r="J15" s="72">
        <f t="shared" si="0"/>
        <v>0.15000000000000002</v>
      </c>
      <c r="K15" s="74">
        <v>603.32000000000005</v>
      </c>
      <c r="L15" s="72">
        <f t="shared" si="1"/>
        <v>12.836595744680853</v>
      </c>
      <c r="M15" s="74" t="s">
        <v>49</v>
      </c>
      <c r="N15" s="74" t="s">
        <v>51</v>
      </c>
      <c r="O15" s="74">
        <v>27</v>
      </c>
      <c r="P15" s="88">
        <v>0.84</v>
      </c>
      <c r="Q15" s="74">
        <v>5</v>
      </c>
      <c r="R15" s="72">
        <f t="shared" si="2"/>
        <v>0.16000000000000003</v>
      </c>
      <c r="S15" s="74">
        <v>276.14999999999998</v>
      </c>
      <c r="T15" s="72">
        <f t="shared" si="3"/>
        <v>8.6296874999999993</v>
      </c>
      <c r="U15" s="74" t="s">
        <v>51</v>
      </c>
      <c r="V15" s="74" t="s">
        <v>51</v>
      </c>
      <c r="W15" s="74">
        <v>270</v>
      </c>
      <c r="X15" s="72">
        <v>1.6666666666666667</v>
      </c>
      <c r="Y15" s="72">
        <v>1.8333333333333333</v>
      </c>
      <c r="Z15" s="72">
        <v>0.49236596391733073</v>
      </c>
      <c r="AA15" s="72">
        <v>0.40824829046386274</v>
      </c>
      <c r="AB15" s="76">
        <f>9/47</f>
        <v>0.19148936170212766</v>
      </c>
      <c r="AC15" s="76">
        <f>2/47</f>
        <v>4.2553191489361701E-2</v>
      </c>
      <c r="AD15" s="76">
        <f>22/47</f>
        <v>0.46808510638297873</v>
      </c>
      <c r="AE15" s="76">
        <f>5/47</f>
        <v>0.10638297872340426</v>
      </c>
      <c r="AF15" s="76">
        <f>1/47</f>
        <v>2.1276595744680851E-2</v>
      </c>
      <c r="AG15" s="76">
        <f>8/47</f>
        <v>0.1702127659574468</v>
      </c>
      <c r="AH15" s="76">
        <f>8/9</f>
        <v>0.88888888888888884</v>
      </c>
      <c r="AI15" s="76">
        <f>2/2</f>
        <v>1</v>
      </c>
      <c r="AJ15" s="76">
        <f>20/22</f>
        <v>0.90909090909090906</v>
      </c>
      <c r="AK15" s="76">
        <f>3/5</f>
        <v>0.6</v>
      </c>
      <c r="AL15" s="76">
        <v>0</v>
      </c>
      <c r="AM15" s="76">
        <f>7/8</f>
        <v>0.875</v>
      </c>
      <c r="AN15" s="88">
        <v>235</v>
      </c>
      <c r="AO15" s="88">
        <f t="shared" si="4"/>
        <v>368.32000000000005</v>
      </c>
      <c r="AP15" s="72">
        <f t="shared" si="5"/>
        <v>260.44156964662926</v>
      </c>
      <c r="AQ15" s="89">
        <f t="shared" si="6"/>
        <v>22.344999999999999</v>
      </c>
      <c r="AR15" s="76">
        <f>9/32</f>
        <v>0.28125</v>
      </c>
      <c r="AS15" s="76">
        <f>2/32</f>
        <v>6.25E-2</v>
      </c>
      <c r="AT15" s="76">
        <f>13/32</f>
        <v>0.40625</v>
      </c>
      <c r="AU15" s="76">
        <f>1/32</f>
        <v>3.125E-2</v>
      </c>
      <c r="AV15" s="76">
        <v>0</v>
      </c>
      <c r="AW15" s="76">
        <f>7/32</f>
        <v>0.21875</v>
      </c>
      <c r="AX15" s="76">
        <f>7/9</f>
        <v>0.77777777777777779</v>
      </c>
      <c r="AY15" s="76">
        <f>2/2</f>
        <v>1</v>
      </c>
      <c r="AZ15" s="76">
        <f>12/13</f>
        <v>0.92307692307692313</v>
      </c>
      <c r="BA15" s="76">
        <f>1/1</f>
        <v>1</v>
      </c>
      <c r="BB15" s="76">
        <v>0</v>
      </c>
      <c r="BC15" s="76">
        <f>5/7</f>
        <v>0.7142857142857143</v>
      </c>
      <c r="BD15" s="74">
        <v>150</v>
      </c>
      <c r="BE15" s="72">
        <f t="shared" si="7"/>
        <v>126.14999999999998</v>
      </c>
      <c r="BF15" s="72">
        <f t="shared" si="8"/>
        <v>89.20152044668292</v>
      </c>
      <c r="BG15" s="89">
        <f t="shared" si="9"/>
        <v>38.074999999999989</v>
      </c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</row>
    <row r="16" spans="1:105" s="10" customFormat="1">
      <c r="A16" s="74" t="s">
        <v>17</v>
      </c>
      <c r="B16" s="74">
        <v>2003</v>
      </c>
      <c r="C16" s="74" t="s">
        <v>38</v>
      </c>
      <c r="D16" s="74">
        <v>1</v>
      </c>
      <c r="E16" s="72">
        <v>0.75</v>
      </c>
      <c r="F16" s="73">
        <v>0.6</v>
      </c>
      <c r="G16" s="74">
        <v>33</v>
      </c>
      <c r="H16" s="72">
        <v>0.83</v>
      </c>
      <c r="I16" s="74">
        <v>7</v>
      </c>
      <c r="J16" s="72">
        <f t="shared" si="0"/>
        <v>0.17000000000000004</v>
      </c>
      <c r="K16" s="74">
        <v>245.41</v>
      </c>
      <c r="L16" s="72">
        <f t="shared" si="1"/>
        <v>6.1352500000000001</v>
      </c>
      <c r="M16" s="74" t="s">
        <v>51</v>
      </c>
      <c r="N16" s="74" t="s">
        <v>50</v>
      </c>
      <c r="O16" s="74">
        <v>40</v>
      </c>
      <c r="P16" s="88">
        <v>0.71</v>
      </c>
      <c r="Q16" s="74">
        <v>16</v>
      </c>
      <c r="R16" s="72">
        <f t="shared" si="2"/>
        <v>0.29000000000000004</v>
      </c>
      <c r="S16" s="74">
        <v>436.34</v>
      </c>
      <c r="T16" s="72">
        <f t="shared" si="3"/>
        <v>7.7917857142857141</v>
      </c>
      <c r="U16" s="74" t="s">
        <v>51</v>
      </c>
      <c r="V16" s="74" t="s">
        <v>50</v>
      </c>
      <c r="W16" s="74">
        <v>220</v>
      </c>
      <c r="X16" s="72">
        <v>0</v>
      </c>
      <c r="Y16" s="72">
        <v>1.8333333333333333</v>
      </c>
      <c r="Z16" s="72">
        <v>1.2060453783110545</v>
      </c>
      <c r="AA16" s="72">
        <v>0.40824829046386274</v>
      </c>
      <c r="AB16" s="76">
        <f>20/40</f>
        <v>0.5</v>
      </c>
      <c r="AC16" s="76">
        <f>5/40</f>
        <v>0.125</v>
      </c>
      <c r="AD16" s="76">
        <f>19/40</f>
        <v>0.47499999999999998</v>
      </c>
      <c r="AE16" s="76">
        <f>2/40</f>
        <v>0.05</v>
      </c>
      <c r="AF16" s="76">
        <f>4/40</f>
        <v>0.1</v>
      </c>
      <c r="AG16" s="76">
        <f>6/40</f>
        <v>0.15</v>
      </c>
      <c r="AH16" s="76">
        <f>9/20</f>
        <v>0.45</v>
      </c>
      <c r="AI16" s="76">
        <f>5/5</f>
        <v>1</v>
      </c>
      <c r="AJ16" s="76">
        <f>16/19</f>
        <v>0.84210526315789469</v>
      </c>
      <c r="AK16" s="76">
        <f>2/2</f>
        <v>1</v>
      </c>
      <c r="AL16" s="76">
        <f>3/4</f>
        <v>0.75</v>
      </c>
      <c r="AM16" s="76">
        <f>5/6</f>
        <v>0.83333333333333337</v>
      </c>
      <c r="AN16" s="88">
        <v>192</v>
      </c>
      <c r="AO16" s="88">
        <f t="shared" si="4"/>
        <v>53.41</v>
      </c>
      <c r="AP16" s="72">
        <f t="shared" si="5"/>
        <v>37.766573183173705</v>
      </c>
      <c r="AQ16" s="89">
        <f t="shared" si="6"/>
        <v>65.19</v>
      </c>
      <c r="AR16" s="76">
        <f>12/56</f>
        <v>0.21428571428571427</v>
      </c>
      <c r="AS16" s="76">
        <f>8/56</f>
        <v>0.14285714285714285</v>
      </c>
      <c r="AT16" s="76">
        <f>16/56</f>
        <v>0.2857142857142857</v>
      </c>
      <c r="AU16" s="76">
        <f>3/56</f>
        <v>5.3571428571428568E-2</v>
      </c>
      <c r="AV16" s="76">
        <f>3/56</f>
        <v>5.3571428571428568E-2</v>
      </c>
      <c r="AW16" s="76">
        <f>14/56</f>
        <v>0.25</v>
      </c>
      <c r="AX16" s="76">
        <f>9/12</f>
        <v>0.75</v>
      </c>
      <c r="AY16" s="76">
        <f>6/8</f>
        <v>0.75</v>
      </c>
      <c r="AZ16" s="76">
        <f>11/16</f>
        <v>0.6875</v>
      </c>
      <c r="BA16" s="76">
        <f>1/3</f>
        <v>0.33333333333333331</v>
      </c>
      <c r="BB16" s="76">
        <f>2/3</f>
        <v>0.66666666666666663</v>
      </c>
      <c r="BC16" s="76">
        <f>9/14</f>
        <v>0.6428571428571429</v>
      </c>
      <c r="BD16" s="74">
        <v>268</v>
      </c>
      <c r="BE16" s="72">
        <f t="shared" si="7"/>
        <v>168.33999999999997</v>
      </c>
      <c r="BF16" s="72">
        <f t="shared" si="8"/>
        <v>119.03435554494368</v>
      </c>
      <c r="BG16" s="89">
        <f t="shared" si="9"/>
        <v>118.17</v>
      </c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</row>
    <row r="17" spans="1:105" s="10" customFormat="1">
      <c r="A17" s="74" t="s">
        <v>18</v>
      </c>
      <c r="B17" s="74">
        <v>2003</v>
      </c>
      <c r="C17" s="74" t="s">
        <v>38</v>
      </c>
      <c r="D17" s="74">
        <v>1</v>
      </c>
      <c r="E17" s="72">
        <v>0.5</v>
      </c>
      <c r="F17" s="73">
        <v>0.85</v>
      </c>
      <c r="G17" s="74">
        <v>28</v>
      </c>
      <c r="H17" s="72">
        <v>0.88</v>
      </c>
      <c r="I17" s="74">
        <v>4</v>
      </c>
      <c r="J17" s="72">
        <f t="shared" si="0"/>
        <v>0.12</v>
      </c>
      <c r="K17" s="74">
        <v>393.19</v>
      </c>
      <c r="L17" s="72">
        <f t="shared" si="1"/>
        <v>12.2871875</v>
      </c>
      <c r="M17" s="74" t="s">
        <v>52</v>
      </c>
      <c r="N17" s="74" t="s">
        <v>51</v>
      </c>
      <c r="O17" s="74">
        <v>37</v>
      </c>
      <c r="P17" s="88">
        <v>0.9</v>
      </c>
      <c r="Q17" s="74">
        <v>4</v>
      </c>
      <c r="R17" s="72">
        <f t="shared" si="2"/>
        <v>9.9999999999999978E-2</v>
      </c>
      <c r="S17" s="74">
        <v>232.25</v>
      </c>
      <c r="T17" s="72">
        <f t="shared" si="3"/>
        <v>5.6646341463414638</v>
      </c>
      <c r="U17" s="74" t="s">
        <v>51</v>
      </c>
      <c r="V17" s="74" t="s">
        <v>51</v>
      </c>
      <c r="W17" s="74">
        <v>309</v>
      </c>
      <c r="X17" s="72">
        <v>1.1666666666666667</v>
      </c>
      <c r="Y17" s="72">
        <v>2</v>
      </c>
      <c r="Z17" s="72">
        <v>1.2673044646258476</v>
      </c>
      <c r="AA17" s="72">
        <v>0</v>
      </c>
      <c r="AB17" s="76">
        <f>7/32</f>
        <v>0.21875</v>
      </c>
      <c r="AC17" s="76">
        <f>2/32</f>
        <v>6.25E-2</v>
      </c>
      <c r="AD17" s="76">
        <f>13/32</f>
        <v>0.40625</v>
      </c>
      <c r="AE17" s="76">
        <f>2/32</f>
        <v>6.25E-2</v>
      </c>
      <c r="AF17" s="76">
        <f>1/32</f>
        <v>3.125E-2</v>
      </c>
      <c r="AG17" s="76">
        <f>7/32</f>
        <v>0.21875</v>
      </c>
      <c r="AH17" s="76">
        <f>6/7</f>
        <v>0.8571428571428571</v>
      </c>
      <c r="AI17" s="76">
        <f>2/2</f>
        <v>1</v>
      </c>
      <c r="AJ17" s="76">
        <f>11/13</f>
        <v>0.84615384615384615</v>
      </c>
      <c r="AK17" s="76">
        <f>1/2</f>
        <v>0.5</v>
      </c>
      <c r="AL17" s="76">
        <f>1/1</f>
        <v>1</v>
      </c>
      <c r="AM17" s="76">
        <f>7/7</f>
        <v>1</v>
      </c>
      <c r="AN17" s="88">
        <v>176</v>
      </c>
      <c r="AO17" s="88">
        <f t="shared" si="4"/>
        <v>217.19</v>
      </c>
      <c r="AP17" s="72">
        <f t="shared" si="5"/>
        <v>153.57652180590614</v>
      </c>
      <c r="AQ17" s="89">
        <f t="shared" si="6"/>
        <v>105.72999999999999</v>
      </c>
      <c r="AR17" s="76">
        <f>11/41</f>
        <v>0.26829268292682928</v>
      </c>
      <c r="AS17" s="76">
        <f>6/41</f>
        <v>0.14634146341463414</v>
      </c>
      <c r="AT17" s="76">
        <f>17/41</f>
        <v>0.41463414634146339</v>
      </c>
      <c r="AU17" s="76">
        <f>1/41</f>
        <v>2.4390243902439025E-2</v>
      </c>
      <c r="AV17" s="76">
        <v>0</v>
      </c>
      <c r="AW17" s="76">
        <f>6/41</f>
        <v>0.14634146341463414</v>
      </c>
      <c r="AX17" s="76">
        <f>10/11</f>
        <v>0.90909090909090906</v>
      </c>
      <c r="AY17" s="76">
        <f>6/6</f>
        <v>1</v>
      </c>
      <c r="AZ17" s="76">
        <f>16/17</f>
        <v>0.94117647058823528</v>
      </c>
      <c r="BA17" s="76">
        <v>0</v>
      </c>
      <c r="BB17" s="76">
        <v>0</v>
      </c>
      <c r="BC17" s="76">
        <f>4/6</f>
        <v>0.66666666666666663</v>
      </c>
      <c r="BD17" s="74">
        <v>214</v>
      </c>
      <c r="BE17" s="72">
        <f t="shared" si="7"/>
        <v>18.25</v>
      </c>
      <c r="BF17" s="72">
        <f t="shared" si="8"/>
        <v>12.904698756654492</v>
      </c>
      <c r="BG17" s="89">
        <f t="shared" si="9"/>
        <v>16.125</v>
      </c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</row>
    <row r="18" spans="1:105" s="10" customFormat="1">
      <c r="A18" s="74" t="s">
        <v>19</v>
      </c>
      <c r="B18" s="74">
        <v>2003</v>
      </c>
      <c r="C18" s="74" t="s">
        <v>38</v>
      </c>
      <c r="D18" s="74">
        <v>1</v>
      </c>
      <c r="E18" s="72">
        <v>0.45</v>
      </c>
      <c r="F18" s="73">
        <v>0.9</v>
      </c>
      <c r="G18" s="74">
        <v>29</v>
      </c>
      <c r="H18" s="72">
        <v>0.91</v>
      </c>
      <c r="I18" s="74">
        <v>3</v>
      </c>
      <c r="J18" s="72">
        <f t="shared" si="0"/>
        <v>8.9999999999999969E-2</v>
      </c>
      <c r="K18" s="74">
        <v>294.04000000000002</v>
      </c>
      <c r="L18" s="72">
        <f t="shared" si="1"/>
        <v>9.1887500000000006</v>
      </c>
      <c r="M18" s="74" t="s">
        <v>52</v>
      </c>
      <c r="N18" s="74" t="s">
        <v>51</v>
      </c>
      <c r="O18" s="74">
        <v>33</v>
      </c>
      <c r="P18" s="88">
        <v>0.87</v>
      </c>
      <c r="Q18" s="74">
        <v>5</v>
      </c>
      <c r="R18" s="72">
        <f t="shared" si="2"/>
        <v>0.13</v>
      </c>
      <c r="S18" s="74">
        <v>188.22</v>
      </c>
      <c r="T18" s="72">
        <f t="shared" si="3"/>
        <v>4.953157894736842</v>
      </c>
      <c r="U18" s="74" t="s">
        <v>51</v>
      </c>
      <c r="V18" s="74" t="s">
        <v>51</v>
      </c>
      <c r="W18" s="74">
        <v>282</v>
      </c>
      <c r="X18" s="72">
        <v>1.5</v>
      </c>
      <c r="Y18" s="72">
        <v>2</v>
      </c>
      <c r="Z18" s="72">
        <v>0.7977240352174656</v>
      </c>
      <c r="AA18" s="72">
        <v>0</v>
      </c>
      <c r="AB18" s="76">
        <f>7/32</f>
        <v>0.21875</v>
      </c>
      <c r="AC18" s="76">
        <f>1/32</f>
        <v>3.125E-2</v>
      </c>
      <c r="AD18" s="76">
        <f>15/32</f>
        <v>0.46875</v>
      </c>
      <c r="AE18" s="76">
        <f>2/32</f>
        <v>6.25E-2</v>
      </c>
      <c r="AF18" s="76">
        <f>2/32</f>
        <v>6.25E-2</v>
      </c>
      <c r="AG18" s="76">
        <f>5/32</f>
        <v>0.15625</v>
      </c>
      <c r="AH18" s="76">
        <f>6/7</f>
        <v>0.8571428571428571</v>
      </c>
      <c r="AI18" s="76">
        <f>1/1</f>
        <v>1</v>
      </c>
      <c r="AJ18" s="76">
        <f>14/15</f>
        <v>0.93333333333333335</v>
      </c>
      <c r="AK18" s="76">
        <f>2/2</f>
        <v>1</v>
      </c>
      <c r="AL18" s="76">
        <f>1/2</f>
        <v>0.5</v>
      </c>
      <c r="AM18" s="76">
        <f>4/5</f>
        <v>0.8</v>
      </c>
      <c r="AN18" s="88">
        <v>169</v>
      </c>
      <c r="AO18" s="88">
        <f t="shared" si="4"/>
        <v>125.04000000000002</v>
      </c>
      <c r="AP18" s="72">
        <f t="shared" si="5"/>
        <v>88.416631919565873</v>
      </c>
      <c r="AQ18" s="89">
        <f t="shared" si="6"/>
        <v>-0.98999999999999488</v>
      </c>
      <c r="AR18" s="76">
        <f>10/38</f>
        <v>0.26315789473684209</v>
      </c>
      <c r="AS18" s="76">
        <f>2/38</f>
        <v>5.2631578947368418E-2</v>
      </c>
      <c r="AT18" s="76">
        <f>17/38</f>
        <v>0.44736842105263158</v>
      </c>
      <c r="AU18" s="76">
        <f>4/38</f>
        <v>0.10526315789473684</v>
      </c>
      <c r="AV18" s="76">
        <f>1/38</f>
        <v>2.6315789473684209E-2</v>
      </c>
      <c r="AW18" s="76">
        <f>4/38</f>
        <v>0.10526315789473684</v>
      </c>
      <c r="AX18" s="76">
        <f>8/10</f>
        <v>0.8</v>
      </c>
      <c r="AY18" s="76">
        <f>2/2</f>
        <v>1</v>
      </c>
      <c r="AZ18" s="76">
        <f>15/17</f>
        <v>0.88235294117647056</v>
      </c>
      <c r="BA18" s="76">
        <f>3/4</f>
        <v>0.75</v>
      </c>
      <c r="BB18" s="76">
        <f>1/1</f>
        <v>1</v>
      </c>
      <c r="BC18" s="76">
        <f>4/4</f>
        <v>1</v>
      </c>
      <c r="BD18" s="74">
        <v>185</v>
      </c>
      <c r="BE18" s="72">
        <f t="shared" si="7"/>
        <v>3.2199999999999989</v>
      </c>
      <c r="BF18" s="72">
        <f t="shared" si="8"/>
        <v>2.2768838354182188</v>
      </c>
      <c r="BG18" s="89">
        <f t="shared" si="9"/>
        <v>-5.8900000000000006</v>
      </c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</row>
    <row r="19" spans="1:105" s="10" customFormat="1">
      <c r="A19" s="74" t="s">
        <v>20</v>
      </c>
      <c r="B19" s="74">
        <v>2002</v>
      </c>
      <c r="C19" s="74" t="s">
        <v>38</v>
      </c>
      <c r="D19" s="74">
        <v>1</v>
      </c>
      <c r="E19" s="72">
        <v>0.7</v>
      </c>
      <c r="F19" s="73">
        <v>0.85</v>
      </c>
      <c r="G19" s="74">
        <v>28</v>
      </c>
      <c r="H19" s="72">
        <f>G19/(G19+I19)</f>
        <v>0.875</v>
      </c>
      <c r="I19" s="74">
        <v>4</v>
      </c>
      <c r="J19" s="72">
        <f t="shared" si="0"/>
        <v>0.125</v>
      </c>
      <c r="K19" s="74">
        <v>436.02</v>
      </c>
      <c r="L19" s="72">
        <f t="shared" si="1"/>
        <v>13.625624999999999</v>
      </c>
      <c r="M19" s="74" t="s">
        <v>52</v>
      </c>
      <c r="N19" s="74" t="s">
        <v>51</v>
      </c>
      <c r="O19" s="74">
        <v>30</v>
      </c>
      <c r="P19" s="72">
        <f>O19/(O19+Q19)</f>
        <v>0.90909090909090906</v>
      </c>
      <c r="Q19" s="74">
        <v>3</v>
      </c>
      <c r="R19" s="72">
        <f t="shared" si="2"/>
        <v>9.0909090909090939E-2</v>
      </c>
      <c r="S19" s="74">
        <v>241.35</v>
      </c>
      <c r="T19" s="72">
        <f t="shared" si="3"/>
        <v>7.3136363636363635</v>
      </c>
      <c r="U19" s="74" t="s">
        <v>52</v>
      </c>
      <c r="V19" s="74" t="s">
        <v>51</v>
      </c>
      <c r="W19" s="74">
        <v>273</v>
      </c>
      <c r="X19" s="72">
        <v>1.5833333333333333</v>
      </c>
      <c r="Y19" s="72">
        <v>1.6666666666666667</v>
      </c>
      <c r="Z19" s="72">
        <v>0.66855792342152154</v>
      </c>
      <c r="AA19" s="72">
        <v>0.51639777949432208</v>
      </c>
      <c r="AB19" s="76">
        <f>8/32</f>
        <v>0.25</v>
      </c>
      <c r="AC19" s="76">
        <f>1/32</f>
        <v>3.125E-2</v>
      </c>
      <c r="AD19" s="76">
        <f>12/32</f>
        <v>0.375</v>
      </c>
      <c r="AE19" s="76">
        <f>3/32</f>
        <v>9.375E-2</v>
      </c>
      <c r="AF19" s="76">
        <f>1/32</f>
        <v>3.125E-2</v>
      </c>
      <c r="AG19" s="76">
        <f>7/32</f>
        <v>0.21875</v>
      </c>
      <c r="AH19" s="76">
        <f>6/8</f>
        <v>0.75</v>
      </c>
      <c r="AI19" s="76">
        <f>1/1</f>
        <v>1</v>
      </c>
      <c r="AJ19" s="76">
        <f>11/12</f>
        <v>0.91666666666666663</v>
      </c>
      <c r="AK19" s="76">
        <f>2/3</f>
        <v>0.66666666666666663</v>
      </c>
      <c r="AL19" s="76">
        <f>1/1</f>
        <v>1</v>
      </c>
      <c r="AM19" s="76">
        <f>7/7</f>
        <v>1</v>
      </c>
      <c r="AN19" s="88">
        <v>184</v>
      </c>
      <c r="AO19" s="88">
        <f t="shared" si="4"/>
        <v>252.01999999999998</v>
      </c>
      <c r="AP19" s="72">
        <f t="shared" si="5"/>
        <v>178.20505099463375</v>
      </c>
      <c r="AQ19" s="89">
        <f t="shared" si="6"/>
        <v>120.845</v>
      </c>
      <c r="AR19" s="76">
        <f>8/33</f>
        <v>0.24242424242424243</v>
      </c>
      <c r="AS19" s="76">
        <f>5/33</f>
        <v>0.15151515151515152</v>
      </c>
      <c r="AT19" s="76">
        <f>16/33</f>
        <v>0.48484848484848486</v>
      </c>
      <c r="AU19" s="76">
        <v>0</v>
      </c>
      <c r="AV19" s="76">
        <f>1/33</f>
        <v>3.0303030303030304E-2</v>
      </c>
      <c r="AW19" s="76">
        <f>3/33</f>
        <v>9.0909090909090912E-2</v>
      </c>
      <c r="AX19" s="76">
        <f>6/8</f>
        <v>0.75</v>
      </c>
      <c r="AY19" s="76">
        <f>5/5</f>
        <v>1</v>
      </c>
      <c r="AZ19" s="76">
        <f>15/16</f>
        <v>0.9375</v>
      </c>
      <c r="BA19" s="76">
        <v>0</v>
      </c>
      <c r="BB19" s="76">
        <f>1/1</f>
        <v>1</v>
      </c>
      <c r="BC19" s="76">
        <f>3/3</f>
        <v>1</v>
      </c>
      <c r="BD19" s="74">
        <v>184</v>
      </c>
      <c r="BE19" s="72">
        <f t="shared" si="7"/>
        <v>57.349999999999994</v>
      </c>
      <c r="BF19" s="72">
        <f t="shared" si="8"/>
        <v>40.55257390104827</v>
      </c>
      <c r="BG19" s="89">
        <f t="shared" si="9"/>
        <v>20.674999999999997</v>
      </c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</row>
    <row r="20" spans="1:105" s="10" customFormat="1">
      <c r="A20" s="74" t="s">
        <v>21</v>
      </c>
      <c r="B20" s="74">
        <v>2002</v>
      </c>
      <c r="C20" s="74" t="s">
        <v>38</v>
      </c>
      <c r="D20" s="74">
        <v>1</v>
      </c>
      <c r="E20" s="72">
        <v>0.75</v>
      </c>
      <c r="F20" s="73">
        <v>0.8</v>
      </c>
      <c r="G20" s="74">
        <v>29</v>
      </c>
      <c r="H20" s="72">
        <f t="shared" ref="H20:H26" si="10">G20/(G20+I20)</f>
        <v>0.90625</v>
      </c>
      <c r="I20" s="74">
        <v>3</v>
      </c>
      <c r="J20" s="72">
        <f t="shared" si="0"/>
        <v>9.375E-2</v>
      </c>
      <c r="K20" s="74">
        <v>244.69</v>
      </c>
      <c r="L20" s="72">
        <f t="shared" si="1"/>
        <v>7.6465624999999999</v>
      </c>
      <c r="M20" s="74" t="s">
        <v>50</v>
      </c>
      <c r="N20" s="74" t="s">
        <v>51</v>
      </c>
      <c r="O20" s="74">
        <v>32</v>
      </c>
      <c r="P20" s="72">
        <f t="shared" ref="P20:P26" si="11">O20/(O20+Q20)</f>
        <v>0.86486486486486491</v>
      </c>
      <c r="Q20" s="74">
        <v>5</v>
      </c>
      <c r="R20" s="72">
        <f t="shared" si="2"/>
        <v>0.13513513513513509</v>
      </c>
      <c r="S20" s="74">
        <v>314.57</v>
      </c>
      <c r="T20" s="72">
        <f t="shared" si="3"/>
        <v>8.5018918918918924</v>
      </c>
      <c r="U20" s="74" t="s">
        <v>52</v>
      </c>
      <c r="V20" s="74" t="s">
        <v>51</v>
      </c>
      <c r="W20" s="74">
        <v>352</v>
      </c>
      <c r="X20" s="72">
        <v>1.5</v>
      </c>
      <c r="Y20" s="72">
        <v>0.83333333333333337</v>
      </c>
      <c r="Z20" s="72">
        <v>0.67419986246324204</v>
      </c>
      <c r="AA20" s="72">
        <v>0.40824829046386296</v>
      </c>
      <c r="AB20" s="76">
        <f>13/32</f>
        <v>0.40625</v>
      </c>
      <c r="AC20" s="76">
        <f>2/32</f>
        <v>6.25E-2</v>
      </c>
      <c r="AD20" s="76">
        <f>10/32</f>
        <v>0.3125</v>
      </c>
      <c r="AE20" s="76">
        <v>0</v>
      </c>
      <c r="AF20" s="76">
        <f>3/32</f>
        <v>9.375E-2</v>
      </c>
      <c r="AG20" s="76">
        <f>4/32</f>
        <v>0.125</v>
      </c>
      <c r="AH20" s="76">
        <f>12/13</f>
        <v>0.92307692307692313</v>
      </c>
      <c r="AI20" s="76">
        <f>1/2</f>
        <v>0.5</v>
      </c>
      <c r="AJ20" s="76">
        <f>9/10</f>
        <v>0.9</v>
      </c>
      <c r="AK20" s="76">
        <v>0</v>
      </c>
      <c r="AL20" s="76">
        <f>3/3</f>
        <v>1</v>
      </c>
      <c r="AM20" s="76">
        <f>4/4</f>
        <v>1</v>
      </c>
      <c r="AN20" s="88">
        <v>165</v>
      </c>
      <c r="AO20" s="88">
        <f t="shared" si="4"/>
        <v>79.69</v>
      </c>
      <c r="AP20" s="72">
        <f t="shared" si="5"/>
        <v>56.349339392755923</v>
      </c>
      <c r="AQ20" s="89">
        <f t="shared" si="6"/>
        <v>40.155000000000001</v>
      </c>
      <c r="AR20" s="76">
        <f>4/32</f>
        <v>0.125</v>
      </c>
      <c r="AS20" s="76">
        <f>2/37</f>
        <v>5.4054054054054057E-2</v>
      </c>
      <c r="AT20" s="76">
        <f>12/37</f>
        <v>0.32432432432432434</v>
      </c>
      <c r="AU20" s="76">
        <f>1/37</f>
        <v>2.7027027027027029E-2</v>
      </c>
      <c r="AV20" s="76">
        <f>3/37</f>
        <v>8.1081081081081086E-2</v>
      </c>
      <c r="AW20" s="76">
        <f>6/37</f>
        <v>0.16216216216216217</v>
      </c>
      <c r="AX20" s="76">
        <f>3/4</f>
        <v>0.75</v>
      </c>
      <c r="AY20" s="76">
        <f>2/2</f>
        <v>1</v>
      </c>
      <c r="AZ20" s="76">
        <f>10/12</f>
        <v>0.83333333333333337</v>
      </c>
      <c r="BA20" s="76">
        <f>1/1</f>
        <v>1</v>
      </c>
      <c r="BB20" s="76">
        <f>2/3</f>
        <v>0.66666666666666663</v>
      </c>
      <c r="BC20" s="76">
        <f>5/6</f>
        <v>0.83333333333333337</v>
      </c>
      <c r="BD20" s="74">
        <v>179</v>
      </c>
      <c r="BE20" s="72">
        <f t="shared" si="7"/>
        <v>135.57</v>
      </c>
      <c r="BF20" s="72">
        <f t="shared" si="8"/>
        <v>95.862466325460247</v>
      </c>
      <c r="BG20" s="89">
        <f t="shared" si="9"/>
        <v>57.284999999999997</v>
      </c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</row>
    <row r="21" spans="1:105" s="10" customFormat="1">
      <c r="A21" s="74" t="s">
        <v>22</v>
      </c>
      <c r="B21" s="74">
        <v>2002</v>
      </c>
      <c r="C21" s="74" t="s">
        <v>38</v>
      </c>
      <c r="D21" s="74">
        <v>1</v>
      </c>
      <c r="E21" s="72">
        <v>0.7</v>
      </c>
      <c r="F21" s="73">
        <v>0.7</v>
      </c>
      <c r="G21" s="74">
        <v>31</v>
      </c>
      <c r="H21" s="72">
        <f t="shared" si="10"/>
        <v>0.81578947368421051</v>
      </c>
      <c r="I21" s="74">
        <v>7</v>
      </c>
      <c r="J21" s="72">
        <f t="shared" si="0"/>
        <v>0.18421052631578949</v>
      </c>
      <c r="K21" s="74">
        <v>330.38</v>
      </c>
      <c r="L21" s="72">
        <f t="shared" si="1"/>
        <v>8.6942105263157892</v>
      </c>
      <c r="M21" s="74" t="s">
        <v>52</v>
      </c>
      <c r="N21" s="74" t="s">
        <v>51</v>
      </c>
      <c r="O21" s="74">
        <v>25</v>
      </c>
      <c r="P21" s="72">
        <f t="shared" si="11"/>
        <v>0.80645161290322576</v>
      </c>
      <c r="Q21" s="74">
        <v>6</v>
      </c>
      <c r="R21" s="72">
        <f t="shared" si="2"/>
        <v>0.19354838709677424</v>
      </c>
      <c r="S21" s="74">
        <v>175.35</v>
      </c>
      <c r="T21" s="72">
        <f t="shared" si="3"/>
        <v>5.6564516129032256</v>
      </c>
      <c r="U21" s="74" t="s">
        <v>49</v>
      </c>
      <c r="V21" s="74" t="s">
        <v>51</v>
      </c>
      <c r="W21" s="74">
        <v>291</v>
      </c>
      <c r="X21" s="72">
        <v>0.58333333333333337</v>
      </c>
      <c r="Y21" s="72">
        <v>0.5</v>
      </c>
      <c r="Z21" s="72">
        <v>1.5642792899510296</v>
      </c>
      <c r="AA21" s="72">
        <v>0.54772255750516607</v>
      </c>
      <c r="AB21" s="76">
        <f>13/38</f>
        <v>0.34210526315789475</v>
      </c>
      <c r="AC21" s="76">
        <f>1/38</f>
        <v>2.6315789473684209E-2</v>
      </c>
      <c r="AD21" s="76">
        <f>12/38</f>
        <v>0.31578947368421051</v>
      </c>
      <c r="AE21" s="76">
        <f>3/38</f>
        <v>7.8947368421052627E-2</v>
      </c>
      <c r="AF21" s="76">
        <f>1/38</f>
        <v>2.6315789473684209E-2</v>
      </c>
      <c r="AG21" s="76">
        <f>8/38</f>
        <v>0.21052631578947367</v>
      </c>
      <c r="AH21" s="76">
        <f>12/13</f>
        <v>0.92307692307692313</v>
      </c>
      <c r="AI21" s="76">
        <f>1/1</f>
        <v>1</v>
      </c>
      <c r="AJ21" s="76">
        <f>8/12</f>
        <v>0.66666666666666663</v>
      </c>
      <c r="AK21" s="76">
        <f>2/3</f>
        <v>0.66666666666666663</v>
      </c>
      <c r="AL21" s="76">
        <f>1/1</f>
        <v>1</v>
      </c>
      <c r="AM21" s="76">
        <f>7/8</f>
        <v>0.875</v>
      </c>
      <c r="AN21" s="88">
        <v>182</v>
      </c>
      <c r="AO21" s="88">
        <f t="shared" si="4"/>
        <v>148.38</v>
      </c>
      <c r="AP21" s="72">
        <f t="shared" si="5"/>
        <v>104.92050419245986</v>
      </c>
      <c r="AQ21" s="89">
        <f t="shared" si="6"/>
        <v>101.01</v>
      </c>
      <c r="AR21" s="76">
        <f>11/31</f>
        <v>0.35483870967741937</v>
      </c>
      <c r="AS21" s="76">
        <f>1/31</f>
        <v>3.2258064516129031E-2</v>
      </c>
      <c r="AT21" s="76">
        <f>10/31</f>
        <v>0.32258064516129031</v>
      </c>
      <c r="AU21" s="76">
        <f>3/31</f>
        <v>9.6774193548387094E-2</v>
      </c>
      <c r="AV21" s="76">
        <v>0</v>
      </c>
      <c r="AW21" s="76">
        <f>6/31</f>
        <v>0.19354838709677419</v>
      </c>
      <c r="AX21" s="76">
        <f>8/11</f>
        <v>0.72727272727272729</v>
      </c>
      <c r="AY21" s="76">
        <f>1/1</f>
        <v>1</v>
      </c>
      <c r="AZ21" s="76">
        <f>8/10</f>
        <v>0.8</v>
      </c>
      <c r="BA21" s="76">
        <f>2/3</f>
        <v>0.66666666666666663</v>
      </c>
      <c r="BB21" s="76">
        <v>0</v>
      </c>
      <c r="BC21" s="76">
        <f>6/6</f>
        <v>1</v>
      </c>
      <c r="BD21" s="74">
        <v>148</v>
      </c>
      <c r="BE21" s="72">
        <f t="shared" si="7"/>
        <v>27.349999999999994</v>
      </c>
      <c r="BF21" s="72">
        <f t="shared" si="8"/>
        <v>19.339370465451783</v>
      </c>
      <c r="BG21" s="89">
        <f t="shared" si="9"/>
        <v>-12.325000000000003</v>
      </c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</row>
    <row r="22" spans="1:105" s="10" customFormat="1">
      <c r="A22" s="74" t="s">
        <v>23</v>
      </c>
      <c r="B22" s="74">
        <v>2002</v>
      </c>
      <c r="C22" s="74" t="s">
        <v>38</v>
      </c>
      <c r="D22" s="74">
        <v>1</v>
      </c>
      <c r="E22" s="72">
        <v>0.75</v>
      </c>
      <c r="F22" s="73">
        <v>0.7</v>
      </c>
      <c r="G22" s="74">
        <v>28</v>
      </c>
      <c r="H22" s="72">
        <f t="shared" si="10"/>
        <v>0.82352941176470584</v>
      </c>
      <c r="I22" s="74">
        <v>6</v>
      </c>
      <c r="J22" s="72">
        <f t="shared" si="0"/>
        <v>0.17647058823529416</v>
      </c>
      <c r="K22" s="74">
        <v>411.46</v>
      </c>
      <c r="L22" s="72">
        <f t="shared" si="1"/>
        <v>12.101764705882353</v>
      </c>
      <c r="M22" s="74" t="s">
        <v>52</v>
      </c>
      <c r="N22" s="74" t="s">
        <v>50</v>
      </c>
      <c r="O22" s="74">
        <v>37</v>
      </c>
      <c r="P22" s="72">
        <f t="shared" si="11"/>
        <v>0.78723404255319152</v>
      </c>
      <c r="Q22" s="74">
        <v>10</v>
      </c>
      <c r="R22" s="72">
        <f t="shared" si="2"/>
        <v>0.21276595744680848</v>
      </c>
      <c r="S22" s="74">
        <v>310.02</v>
      </c>
      <c r="T22" s="72">
        <f t="shared" si="3"/>
        <v>6.5961702127659567</v>
      </c>
      <c r="U22" s="74" t="s">
        <v>49</v>
      </c>
      <c r="V22" s="74" t="s">
        <v>50</v>
      </c>
      <c r="W22" s="74">
        <v>354</v>
      </c>
      <c r="X22" s="72">
        <v>0</v>
      </c>
      <c r="Y22" s="72">
        <v>0.83333333333333337</v>
      </c>
      <c r="Z22" s="72">
        <v>1.2792042981336627</v>
      </c>
      <c r="AA22" s="72">
        <v>0.40824829046386296</v>
      </c>
      <c r="AB22" s="76">
        <f>11/34</f>
        <v>0.3235294117647059</v>
      </c>
      <c r="AC22" s="76">
        <v>0</v>
      </c>
      <c r="AD22" s="76">
        <f>15/34</f>
        <v>0.44117647058823528</v>
      </c>
      <c r="AE22" s="76">
        <v>0</v>
      </c>
      <c r="AF22" s="76">
        <f>2/34</f>
        <v>5.8823529411764705E-2</v>
      </c>
      <c r="AG22" s="76">
        <f>6/34</f>
        <v>0.17647058823529413</v>
      </c>
      <c r="AH22" s="76">
        <f>7/11</f>
        <v>0.63636363636363635</v>
      </c>
      <c r="AI22" s="76">
        <v>0</v>
      </c>
      <c r="AJ22" s="76">
        <f>14/15</f>
        <v>0.93333333333333335</v>
      </c>
      <c r="AK22" s="76">
        <v>0</v>
      </c>
      <c r="AL22" s="76">
        <f>2/2</f>
        <v>1</v>
      </c>
      <c r="AM22" s="76">
        <f>5/6</f>
        <v>0.83333333333333337</v>
      </c>
      <c r="AN22" s="88">
        <v>152</v>
      </c>
      <c r="AO22" s="88">
        <f t="shared" si="4"/>
        <v>259.45999999999998</v>
      </c>
      <c r="AP22" s="72">
        <f t="shared" si="5"/>
        <v>183.46592544666149</v>
      </c>
      <c r="AQ22" s="89">
        <f t="shared" si="6"/>
        <v>44.620000000000005</v>
      </c>
      <c r="AR22" s="76">
        <f>14/47</f>
        <v>0.2978723404255319</v>
      </c>
      <c r="AS22" s="76">
        <f>1/47</f>
        <v>2.1276595744680851E-2</v>
      </c>
      <c r="AT22" s="76">
        <f>19/47</f>
        <v>0.40425531914893614</v>
      </c>
      <c r="AU22" s="76">
        <f>6/47</f>
        <v>0.1276595744680851</v>
      </c>
      <c r="AV22" s="76">
        <v>0</v>
      </c>
      <c r="AW22" s="76">
        <f>7/47</f>
        <v>0.14893617021276595</v>
      </c>
      <c r="AX22" s="76">
        <f>9/14</f>
        <v>0.6428571428571429</v>
      </c>
      <c r="AY22" s="76">
        <f>1/1</f>
        <v>1</v>
      </c>
      <c r="AZ22" s="76">
        <f>18/19</f>
        <v>0.94736842105263153</v>
      </c>
      <c r="BA22" s="76">
        <f>2/6</f>
        <v>0.33333333333333331</v>
      </c>
      <c r="BB22" s="76">
        <v>0</v>
      </c>
      <c r="BC22" s="76">
        <f>7/7</f>
        <v>1</v>
      </c>
      <c r="BD22" s="74">
        <v>239</v>
      </c>
      <c r="BE22" s="72">
        <f t="shared" si="7"/>
        <v>71.019999999999982</v>
      </c>
      <c r="BF22" s="72">
        <f t="shared" si="8"/>
        <v>50.21872359986854</v>
      </c>
      <c r="BG22" s="89">
        <f t="shared" si="9"/>
        <v>55.009999999999991</v>
      </c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</row>
    <row r="23" spans="1:105" s="10" customFormat="1">
      <c r="A23" s="74" t="s">
        <v>24</v>
      </c>
      <c r="B23" s="74">
        <v>2003</v>
      </c>
      <c r="C23" s="74" t="s">
        <v>38</v>
      </c>
      <c r="D23" s="74">
        <v>1</v>
      </c>
      <c r="E23" s="72">
        <v>0.65</v>
      </c>
      <c r="F23" s="73">
        <v>0.65</v>
      </c>
      <c r="G23" s="74">
        <v>28</v>
      </c>
      <c r="H23" s="72">
        <f t="shared" si="10"/>
        <v>0.68292682926829273</v>
      </c>
      <c r="I23" s="74">
        <v>13</v>
      </c>
      <c r="J23" s="72">
        <f t="shared" si="0"/>
        <v>0.31707317073170727</v>
      </c>
      <c r="K23" s="74">
        <v>198.02</v>
      </c>
      <c r="L23" s="72">
        <f t="shared" si="1"/>
        <v>4.8297560975609759</v>
      </c>
      <c r="M23" s="74" t="s">
        <v>52</v>
      </c>
      <c r="N23" s="74" t="s">
        <v>51</v>
      </c>
      <c r="O23" s="74">
        <v>26</v>
      </c>
      <c r="P23" s="72">
        <f t="shared" si="11"/>
        <v>0.83870967741935487</v>
      </c>
      <c r="Q23" s="74">
        <v>5</v>
      </c>
      <c r="R23" s="72">
        <f t="shared" si="2"/>
        <v>0.16129032258064513</v>
      </c>
      <c r="S23" s="74">
        <v>316.12</v>
      </c>
      <c r="T23" s="72">
        <f t="shared" si="3"/>
        <v>10.19741935483871</v>
      </c>
      <c r="U23" s="74" t="s">
        <v>52</v>
      </c>
      <c r="V23" s="74" t="s">
        <v>51</v>
      </c>
      <c r="W23" s="74">
        <v>324</v>
      </c>
      <c r="X23" s="72">
        <v>1.5833333333333333</v>
      </c>
      <c r="Y23" s="72">
        <v>1.1666666666666667</v>
      </c>
      <c r="Z23" s="72">
        <v>0.51492865054443737</v>
      </c>
      <c r="AA23" s="72">
        <v>0.75277265270908111</v>
      </c>
      <c r="AB23" s="76">
        <f>14/41</f>
        <v>0.34146341463414637</v>
      </c>
      <c r="AC23" s="76">
        <f>2/41</f>
        <v>4.878048780487805E-2</v>
      </c>
      <c r="AD23" s="76">
        <f>14/41</f>
        <v>0.34146341463414637</v>
      </c>
      <c r="AE23" s="76">
        <f>2/41</f>
        <v>4.878048780487805E-2</v>
      </c>
      <c r="AF23" s="76">
        <f>1/41</f>
        <v>2.4390243902439025E-2</v>
      </c>
      <c r="AG23" s="76">
        <f>8/41</f>
        <v>0.1951219512195122</v>
      </c>
      <c r="AH23" s="76">
        <f>9/14</f>
        <v>0.6428571428571429</v>
      </c>
      <c r="AI23" s="76">
        <f>2/2</f>
        <v>1</v>
      </c>
      <c r="AJ23" s="76">
        <f>9/14</f>
        <v>0.6428571428571429</v>
      </c>
      <c r="AK23" s="76">
        <f>1/2</f>
        <v>0.5</v>
      </c>
      <c r="AL23" s="76">
        <f>0/1</f>
        <v>0</v>
      </c>
      <c r="AM23" s="76">
        <f>7/8</f>
        <v>0.875</v>
      </c>
      <c r="AN23" s="88">
        <v>222</v>
      </c>
      <c r="AO23" s="88">
        <f t="shared" si="4"/>
        <v>-23.97999999999999</v>
      </c>
      <c r="AP23" s="72">
        <f t="shared" si="5"/>
        <v>16.956420612853808</v>
      </c>
      <c r="AQ23" s="89">
        <f t="shared" si="6"/>
        <v>-42.314999999999998</v>
      </c>
      <c r="AR23" s="76">
        <f>11/31</f>
        <v>0.35483870967741937</v>
      </c>
      <c r="AS23" s="76">
        <f>2/31</f>
        <v>6.4516129032258063E-2</v>
      </c>
      <c r="AT23" s="76">
        <f>10/31</f>
        <v>0.32258064516129031</v>
      </c>
      <c r="AU23" s="76">
        <f>4/31</f>
        <v>0.12903225806451613</v>
      </c>
      <c r="AV23" s="76">
        <v>0</v>
      </c>
      <c r="AW23" s="76">
        <f>4/31</f>
        <v>0.12903225806451613</v>
      </c>
      <c r="AX23" s="76">
        <f>9/11</f>
        <v>0.81818181818181823</v>
      </c>
      <c r="AY23" s="76">
        <f>2/2</f>
        <v>1</v>
      </c>
      <c r="AZ23" s="76">
        <f>10/10</f>
        <v>1</v>
      </c>
      <c r="BA23" s="76">
        <f>2/4</f>
        <v>0.5</v>
      </c>
      <c r="BB23" s="76">
        <v>0</v>
      </c>
      <c r="BC23" s="76">
        <f>3/4</f>
        <v>0.75</v>
      </c>
      <c r="BD23" s="74">
        <v>173</v>
      </c>
      <c r="BE23" s="72">
        <f t="shared" si="7"/>
        <v>143.12</v>
      </c>
      <c r="BF23" s="72">
        <f t="shared" si="8"/>
        <v>101.20112252341866</v>
      </c>
      <c r="BG23" s="89">
        <f t="shared" si="9"/>
        <v>58.06</v>
      </c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</row>
    <row r="24" spans="1:105" s="10" customFormat="1">
      <c r="A24" s="74" t="s">
        <v>25</v>
      </c>
      <c r="B24" s="74">
        <v>2003</v>
      </c>
      <c r="C24" s="74" t="s">
        <v>38</v>
      </c>
      <c r="D24" s="74">
        <v>1</v>
      </c>
      <c r="E24" s="72">
        <v>0.85</v>
      </c>
      <c r="F24" s="73">
        <v>0.8</v>
      </c>
      <c r="G24" s="74">
        <v>25</v>
      </c>
      <c r="H24" s="72">
        <f t="shared" si="10"/>
        <v>0.73529411764705888</v>
      </c>
      <c r="I24" s="74">
        <v>9</v>
      </c>
      <c r="J24" s="72">
        <f t="shared" si="0"/>
        <v>0.26470588235294112</v>
      </c>
      <c r="K24" s="74">
        <v>441.69</v>
      </c>
      <c r="L24" s="72">
        <f t="shared" si="1"/>
        <v>12.990882352941176</v>
      </c>
      <c r="M24" s="74" t="s">
        <v>52</v>
      </c>
      <c r="N24" s="74" t="s">
        <v>50</v>
      </c>
      <c r="O24" s="74">
        <v>28</v>
      </c>
      <c r="P24" s="72">
        <f t="shared" si="11"/>
        <v>0.77777777777777779</v>
      </c>
      <c r="Q24" s="74">
        <v>8</v>
      </c>
      <c r="R24" s="72">
        <f t="shared" si="2"/>
        <v>0.22222222222222221</v>
      </c>
      <c r="S24" s="74">
        <v>409.02</v>
      </c>
      <c r="T24" s="72">
        <f t="shared" si="3"/>
        <v>11.361666666666666</v>
      </c>
      <c r="U24" s="74" t="s">
        <v>54</v>
      </c>
      <c r="V24" s="74" t="s">
        <v>50</v>
      </c>
      <c r="W24" s="74">
        <v>309</v>
      </c>
      <c r="X24" s="72">
        <v>1.4166666666666667</v>
      </c>
      <c r="Y24" s="72">
        <v>1.1666666666666667</v>
      </c>
      <c r="Z24" s="72">
        <v>0.79296146109875909</v>
      </c>
      <c r="AA24" s="72">
        <v>0.75277265270908111</v>
      </c>
      <c r="AB24" s="76">
        <f>11/34</f>
        <v>0.3235294117647059</v>
      </c>
      <c r="AC24" s="76">
        <f>3/34</f>
        <v>8.8235294117647065E-2</v>
      </c>
      <c r="AD24" s="76">
        <f>8/34</f>
        <v>0.23529411764705882</v>
      </c>
      <c r="AE24" s="76">
        <f>4/34</f>
        <v>0.11764705882352941</v>
      </c>
      <c r="AF24" s="76">
        <f>1/34</f>
        <v>2.9411764705882353E-2</v>
      </c>
      <c r="AG24" s="76">
        <f>6/34</f>
        <v>0.17647058823529413</v>
      </c>
      <c r="AH24" s="76">
        <f>9/11</f>
        <v>0.81818181818181823</v>
      </c>
      <c r="AI24" s="76">
        <f>3/3</f>
        <v>1</v>
      </c>
      <c r="AJ24" s="76">
        <f>5/8</f>
        <v>0.625</v>
      </c>
      <c r="AK24" s="76">
        <f>3/4</f>
        <v>0.75</v>
      </c>
      <c r="AL24" s="76">
        <v>0</v>
      </c>
      <c r="AM24" s="76">
        <f>4/6</f>
        <v>0.66666666666666663</v>
      </c>
      <c r="AN24" s="88">
        <v>178</v>
      </c>
      <c r="AO24" s="88">
        <f t="shared" si="4"/>
        <v>263.69</v>
      </c>
      <c r="AP24" s="72">
        <f t="shared" si="5"/>
        <v>186.45698713108061</v>
      </c>
      <c r="AQ24" s="89">
        <f t="shared" si="6"/>
        <v>51.214999999999996</v>
      </c>
      <c r="AR24" s="76">
        <f>12/36</f>
        <v>0.33333333333333331</v>
      </c>
      <c r="AS24" s="76">
        <f>1/36</f>
        <v>2.7777777777777776E-2</v>
      </c>
      <c r="AT24" s="76">
        <f>10/36</f>
        <v>0.27777777777777779</v>
      </c>
      <c r="AU24" s="76">
        <f>4/36</f>
        <v>0.1111111111111111</v>
      </c>
      <c r="AV24" s="76">
        <f>2/36</f>
        <v>5.5555555555555552E-2</v>
      </c>
      <c r="AW24" s="76">
        <f>7/36</f>
        <v>0.19444444444444445</v>
      </c>
      <c r="AX24" s="76">
        <f>10/12</f>
        <v>0.83333333333333337</v>
      </c>
      <c r="AY24" s="76">
        <f>1/1</f>
        <v>1</v>
      </c>
      <c r="AZ24" s="76">
        <f>7/10</f>
        <v>0.7</v>
      </c>
      <c r="BA24" s="76">
        <f>3/4</f>
        <v>0.75</v>
      </c>
      <c r="BB24" s="76">
        <f>1/2</f>
        <v>0.5</v>
      </c>
      <c r="BC24" s="76">
        <f>6/7</f>
        <v>0.8571428571428571</v>
      </c>
      <c r="BD24" s="74">
        <v>228</v>
      </c>
      <c r="BE24" s="72">
        <f t="shared" si="7"/>
        <v>181.01999999999998</v>
      </c>
      <c r="BF24" s="72">
        <f t="shared" si="8"/>
        <v>128.00046953038873</v>
      </c>
      <c r="BG24" s="89">
        <f t="shared" si="9"/>
        <v>104.50999999999999</v>
      </c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</row>
    <row r="25" spans="1:105" s="10" customFormat="1">
      <c r="A25" s="74" t="s">
        <v>26</v>
      </c>
      <c r="B25" s="74">
        <v>2003</v>
      </c>
      <c r="C25" s="74" t="s">
        <v>38</v>
      </c>
      <c r="D25" s="74">
        <v>1</v>
      </c>
      <c r="E25" s="72">
        <v>0.75</v>
      </c>
      <c r="F25" s="72">
        <v>0.75</v>
      </c>
      <c r="G25" s="74">
        <v>31</v>
      </c>
      <c r="H25" s="72">
        <f t="shared" si="10"/>
        <v>0.68888888888888888</v>
      </c>
      <c r="I25" s="74">
        <v>14</v>
      </c>
      <c r="J25" s="72">
        <f t="shared" si="0"/>
        <v>0.31111111111111112</v>
      </c>
      <c r="K25" s="74">
        <v>280.31</v>
      </c>
      <c r="L25" s="72">
        <f t="shared" si="1"/>
        <v>6.229111111111111</v>
      </c>
      <c r="M25" s="74" t="s">
        <v>54</v>
      </c>
      <c r="N25" s="74" t="s">
        <v>50</v>
      </c>
      <c r="O25" s="74">
        <v>29</v>
      </c>
      <c r="P25" s="72">
        <f t="shared" si="11"/>
        <v>0.76315789473684215</v>
      </c>
      <c r="Q25" s="74">
        <v>9</v>
      </c>
      <c r="R25" s="72">
        <f t="shared" si="2"/>
        <v>0.23684210526315785</v>
      </c>
      <c r="S25" s="74">
        <v>213.65</v>
      </c>
      <c r="T25" s="72">
        <f t="shared" si="3"/>
        <v>5.6223684210526317</v>
      </c>
      <c r="U25" s="74" t="s">
        <v>52</v>
      </c>
      <c r="V25" s="74" t="s">
        <v>50</v>
      </c>
      <c r="W25" s="74">
        <v>215</v>
      </c>
      <c r="X25" s="72">
        <v>1</v>
      </c>
      <c r="Y25" s="72">
        <v>0.66666666666666663</v>
      </c>
      <c r="Z25" s="72">
        <v>0.60302268915552726</v>
      </c>
      <c r="AA25" s="72">
        <v>0.51639777949432231</v>
      </c>
      <c r="AB25" s="76">
        <f>15/45</f>
        <v>0.33333333333333331</v>
      </c>
      <c r="AC25" s="76">
        <f>3/45</f>
        <v>6.6666666666666666E-2</v>
      </c>
      <c r="AD25" s="76">
        <f>14/45</f>
        <v>0.31111111111111112</v>
      </c>
      <c r="AE25" s="76">
        <f>3/45</f>
        <v>6.6666666666666666E-2</v>
      </c>
      <c r="AF25" s="76">
        <f>2/45</f>
        <v>4.4444444444444446E-2</v>
      </c>
      <c r="AG25" s="76">
        <f>8/45</f>
        <v>0.17777777777777778</v>
      </c>
      <c r="AH25" s="76">
        <f>11/15</f>
        <v>0.73333333333333328</v>
      </c>
      <c r="AI25" s="76">
        <f>2/3</f>
        <v>0.66666666666666663</v>
      </c>
      <c r="AJ25" s="76">
        <f>10/14</f>
        <v>0.7142857142857143</v>
      </c>
      <c r="AK25" s="76">
        <f>1/3</f>
        <v>0.33333333333333331</v>
      </c>
      <c r="AL25" s="76">
        <f>1/2</f>
        <v>0.5</v>
      </c>
      <c r="AM25" s="76">
        <f>6/8</f>
        <v>0.75</v>
      </c>
      <c r="AN25" s="88">
        <v>219</v>
      </c>
      <c r="AO25" s="88">
        <f t="shared" si="4"/>
        <v>61.31</v>
      </c>
      <c r="AP25" s="72">
        <f t="shared" si="5"/>
        <v>43.352716754547238</v>
      </c>
      <c r="AQ25" s="89">
        <f t="shared" si="6"/>
        <v>103.02500000000001</v>
      </c>
      <c r="AR25" s="76">
        <f>9/38</f>
        <v>0.23684210526315788</v>
      </c>
      <c r="AS25" s="76">
        <f>7/38</f>
        <v>0.18421052631578946</v>
      </c>
      <c r="AT25" s="76">
        <f>12/38</f>
        <v>0.31578947368421051</v>
      </c>
      <c r="AU25" s="76">
        <f>2/38</f>
        <v>5.2631578947368418E-2</v>
      </c>
      <c r="AV25" s="76">
        <v>0</v>
      </c>
      <c r="AW25" s="76">
        <f>8/38</f>
        <v>0.21052631578947367</v>
      </c>
      <c r="AX25" s="76">
        <f>7/9</f>
        <v>0.77777777777777779</v>
      </c>
      <c r="AY25" s="76">
        <f>6/7</f>
        <v>0.8571428571428571</v>
      </c>
      <c r="AZ25" s="76">
        <f>8/12</f>
        <v>0.66666666666666663</v>
      </c>
      <c r="BA25" s="76">
        <f>1/2</f>
        <v>0.5</v>
      </c>
      <c r="BB25" s="76">
        <v>0</v>
      </c>
      <c r="BC25" s="76">
        <f>5/8</f>
        <v>0.625</v>
      </c>
      <c r="BD25" s="74">
        <v>183</v>
      </c>
      <c r="BE25" s="72">
        <f t="shared" si="7"/>
        <v>30.650000000000006</v>
      </c>
      <c r="BF25" s="72">
        <f t="shared" si="8"/>
        <v>21.672822843368191</v>
      </c>
      <c r="BG25" s="89">
        <f t="shared" si="9"/>
        <v>6.8250000000000028</v>
      </c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</row>
    <row r="26" spans="1:105" s="10" customFormat="1">
      <c r="A26" s="74" t="s">
        <v>27</v>
      </c>
      <c r="B26" s="74">
        <v>2003</v>
      </c>
      <c r="C26" s="74" t="s">
        <v>38</v>
      </c>
      <c r="D26" s="74">
        <v>1</v>
      </c>
      <c r="E26" s="72">
        <v>0.7</v>
      </c>
      <c r="F26" s="72">
        <v>0.75</v>
      </c>
      <c r="G26" s="74">
        <v>48</v>
      </c>
      <c r="H26" s="72">
        <f t="shared" si="10"/>
        <v>0.78688524590163933</v>
      </c>
      <c r="I26" s="74">
        <v>13</v>
      </c>
      <c r="J26" s="72">
        <f t="shared" si="0"/>
        <v>0.21311475409836067</v>
      </c>
      <c r="K26" s="74">
        <v>402.02</v>
      </c>
      <c r="L26" s="72">
        <f t="shared" si="1"/>
        <v>6.5904918032786881</v>
      </c>
      <c r="M26" s="74" t="s">
        <v>52</v>
      </c>
      <c r="N26" s="74" t="s">
        <v>50</v>
      </c>
      <c r="O26" s="74">
        <v>29</v>
      </c>
      <c r="P26" s="72">
        <f t="shared" si="11"/>
        <v>0.76315789473684215</v>
      </c>
      <c r="Q26" s="74">
        <v>9</v>
      </c>
      <c r="R26" s="72">
        <f t="shared" si="2"/>
        <v>0.23684210526315785</v>
      </c>
      <c r="S26" s="74">
        <v>147.35</v>
      </c>
      <c r="T26" s="72">
        <f t="shared" si="3"/>
        <v>3.8776315789473683</v>
      </c>
      <c r="U26" s="74" t="s">
        <v>49</v>
      </c>
      <c r="V26" s="74" t="s">
        <v>50</v>
      </c>
      <c r="W26" s="74">
        <v>299</v>
      </c>
      <c r="X26" s="72">
        <v>1.25</v>
      </c>
      <c r="Y26" s="72">
        <v>1.1666666666666667</v>
      </c>
      <c r="Z26" s="72">
        <v>0.75377836144440913</v>
      </c>
      <c r="AA26" s="72">
        <v>0.75277265270908111</v>
      </c>
      <c r="AB26" s="76">
        <f>13/61</f>
        <v>0.21311475409836064</v>
      </c>
      <c r="AC26" s="76">
        <f>5/61</f>
        <v>8.1967213114754092E-2</v>
      </c>
      <c r="AD26" s="76">
        <f>27/61</f>
        <v>0.44262295081967212</v>
      </c>
      <c r="AE26" s="76">
        <f>4/61</f>
        <v>6.5573770491803282E-2</v>
      </c>
      <c r="AF26" s="76">
        <f>1/61</f>
        <v>1.6393442622950821E-2</v>
      </c>
      <c r="AG26" s="76">
        <f>11/61</f>
        <v>0.18032786885245902</v>
      </c>
      <c r="AH26" s="76">
        <f>11/13</f>
        <v>0.84615384615384615</v>
      </c>
      <c r="AI26" s="76">
        <f>5/5</f>
        <v>1</v>
      </c>
      <c r="AJ26" s="76">
        <f>20/27</f>
        <v>0.7407407407407407</v>
      </c>
      <c r="AK26" s="76">
        <f>2/4</f>
        <v>0.5</v>
      </c>
      <c r="AL26" s="76">
        <f>1/1</f>
        <v>1</v>
      </c>
      <c r="AM26" s="76">
        <f>9/11</f>
        <v>0.81818181818181823</v>
      </c>
      <c r="AN26" s="91">
        <v>330</v>
      </c>
      <c r="AO26" s="88">
        <f t="shared" si="4"/>
        <v>72.019999999999982</v>
      </c>
      <c r="AP26" s="72">
        <f t="shared" si="5"/>
        <v>50.92583038105527</v>
      </c>
      <c r="AQ26" s="89">
        <f t="shared" si="6"/>
        <v>33.879999999999995</v>
      </c>
      <c r="AR26" s="76">
        <f>12/38</f>
        <v>0.31578947368421051</v>
      </c>
      <c r="AS26" s="76">
        <f>3/38</f>
        <v>7.8947368421052627E-2</v>
      </c>
      <c r="AT26" s="76">
        <f>11/38</f>
        <v>0.28947368421052633</v>
      </c>
      <c r="AU26" s="76">
        <f>2/38</f>
        <v>5.2631578947368418E-2</v>
      </c>
      <c r="AV26" s="76">
        <f>1/38</f>
        <v>2.6315789473684209E-2</v>
      </c>
      <c r="AW26" s="76">
        <f>8/38</f>
        <v>0.21052631578947367</v>
      </c>
      <c r="AX26" s="76">
        <f>9/12</f>
        <v>0.75</v>
      </c>
      <c r="AY26" s="76">
        <f>3/3</f>
        <v>1</v>
      </c>
      <c r="AZ26" s="76">
        <f>5/11</f>
        <v>0.45454545454545453</v>
      </c>
      <c r="BA26" s="76">
        <f>1/2</f>
        <v>0.5</v>
      </c>
      <c r="BB26" s="76">
        <f>0/1</f>
        <v>0</v>
      </c>
      <c r="BC26" s="76">
        <f>7/8</f>
        <v>0.875</v>
      </c>
      <c r="BD26" s="74">
        <v>222</v>
      </c>
      <c r="BE26" s="72">
        <f t="shared" si="7"/>
        <v>-74.650000000000006</v>
      </c>
      <c r="BF26" s="72">
        <f t="shared" si="8"/>
        <v>52.785521215575621</v>
      </c>
      <c r="BG26" s="89">
        <f t="shared" si="9"/>
        <v>-26.325000000000003</v>
      </c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</row>
    <row r="27" spans="1:105" s="10" customFormat="1">
      <c r="A27" s="74" t="s">
        <v>28</v>
      </c>
      <c r="B27" s="74">
        <v>2002</v>
      </c>
      <c r="C27" s="74" t="s">
        <v>38</v>
      </c>
      <c r="D27" s="74">
        <v>0</v>
      </c>
      <c r="E27" s="72">
        <v>0.5</v>
      </c>
      <c r="F27" s="72">
        <v>0.35</v>
      </c>
      <c r="G27" s="74">
        <v>31</v>
      </c>
      <c r="H27" s="72">
        <v>0.78</v>
      </c>
      <c r="I27" s="74">
        <v>9</v>
      </c>
      <c r="J27" s="72">
        <f t="shared" si="0"/>
        <v>0.21999999999999997</v>
      </c>
      <c r="K27" s="74">
        <v>289.24</v>
      </c>
      <c r="L27" s="72">
        <f t="shared" si="1"/>
        <v>7.2309999999999999</v>
      </c>
      <c r="M27" s="74" t="s">
        <v>49</v>
      </c>
      <c r="N27" s="74" t="s">
        <v>51</v>
      </c>
      <c r="O27" s="74">
        <v>36</v>
      </c>
      <c r="P27" s="72">
        <v>0.81</v>
      </c>
      <c r="Q27" s="74">
        <v>8</v>
      </c>
      <c r="R27" s="74">
        <f t="shared" si="2"/>
        <v>0.18999999999999995</v>
      </c>
      <c r="S27" s="74">
        <v>307.02999999999997</v>
      </c>
      <c r="T27" s="72">
        <f t="shared" si="3"/>
        <v>6.9779545454545451</v>
      </c>
      <c r="U27" s="74" t="s">
        <v>50</v>
      </c>
      <c r="V27" s="74" t="s">
        <v>51</v>
      </c>
      <c r="W27" s="74">
        <v>299</v>
      </c>
      <c r="X27" s="72">
        <v>1.1666666666666667</v>
      </c>
      <c r="Y27" s="72"/>
      <c r="Z27" s="72">
        <v>1.403458930534474</v>
      </c>
      <c r="AA27" s="72"/>
      <c r="AB27" s="76">
        <f>17/40</f>
        <v>0.42499999999999999</v>
      </c>
      <c r="AC27" s="76">
        <f>6/40</f>
        <v>0.15</v>
      </c>
      <c r="AD27" s="76">
        <f>11/40</f>
        <v>0.27500000000000002</v>
      </c>
      <c r="AE27" s="76">
        <f>6/40</f>
        <v>0.15</v>
      </c>
      <c r="AF27" s="76">
        <f>2/40</f>
        <v>0.05</v>
      </c>
      <c r="AG27" s="76">
        <f>8/40</f>
        <v>0.2</v>
      </c>
      <c r="AH27" s="76">
        <f>8/17</f>
        <v>0.47058823529411764</v>
      </c>
      <c r="AI27" s="76">
        <f>3/6</f>
        <v>0.5</v>
      </c>
      <c r="AJ27" s="76">
        <f>6/11</f>
        <v>0.54545454545454541</v>
      </c>
      <c r="AK27" s="76">
        <f>3/6</f>
        <v>0.5</v>
      </c>
      <c r="AL27" s="76">
        <f>1/2</f>
        <v>0.5</v>
      </c>
      <c r="AM27" s="76">
        <f>5/8</f>
        <v>0.625</v>
      </c>
      <c r="AN27" s="88">
        <v>261</v>
      </c>
      <c r="AO27" s="88">
        <f t="shared" si="4"/>
        <v>28.240000000000009</v>
      </c>
      <c r="AP27" s="72">
        <f t="shared" si="5"/>
        <v>19.968695500708133</v>
      </c>
      <c r="AQ27" s="89">
        <f t="shared" si="6"/>
        <v>2.9899999999999949</v>
      </c>
      <c r="AR27" s="76">
        <f>16/44</f>
        <v>0.36363636363636365</v>
      </c>
      <c r="AS27" s="76">
        <f>4/44</f>
        <v>9.0909090909090912E-2</v>
      </c>
      <c r="AT27" s="76">
        <f>15/44</f>
        <v>0.34090909090909088</v>
      </c>
      <c r="AU27" s="76">
        <f>3/44</f>
        <v>6.8181818181818177E-2</v>
      </c>
      <c r="AV27" s="76">
        <f>2/44</f>
        <v>4.5454545454545456E-2</v>
      </c>
      <c r="AW27" s="76">
        <f>5/44</f>
        <v>0.11363636363636363</v>
      </c>
      <c r="AX27" s="76">
        <f>10/16</f>
        <v>0.625</v>
      </c>
      <c r="AY27" s="76">
        <f>4/4</f>
        <v>1</v>
      </c>
      <c r="AZ27" s="76">
        <f>10/15</f>
        <v>0.66666666666666663</v>
      </c>
      <c r="BA27" s="76">
        <f>2/3</f>
        <v>0.66666666666666663</v>
      </c>
      <c r="BB27" s="76">
        <f>1/2</f>
        <v>0.5</v>
      </c>
      <c r="BC27" s="76">
        <f>5/5</f>
        <v>1</v>
      </c>
      <c r="BD27" s="74">
        <v>228</v>
      </c>
      <c r="BE27" s="72">
        <f t="shared" si="7"/>
        <v>79.029999999999973</v>
      </c>
      <c r="BF27" s="72">
        <f t="shared" si="8"/>
        <v>55.882648917172737</v>
      </c>
      <c r="BG27" s="89">
        <f t="shared" si="9"/>
        <v>53.514999999999993</v>
      </c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</row>
    <row r="28" spans="1:105" s="10" customFormat="1">
      <c r="A28" s="74" t="s">
        <v>29</v>
      </c>
      <c r="B28" s="74">
        <v>2002</v>
      </c>
      <c r="C28" s="74" t="s">
        <v>38</v>
      </c>
      <c r="D28" s="74">
        <v>0</v>
      </c>
      <c r="E28" s="72">
        <v>0.75</v>
      </c>
      <c r="F28" s="72">
        <v>0.75</v>
      </c>
      <c r="G28" s="74">
        <v>26</v>
      </c>
      <c r="H28" s="72">
        <v>0.63</v>
      </c>
      <c r="I28" s="74">
        <v>15</v>
      </c>
      <c r="J28" s="72">
        <f t="shared" si="0"/>
        <v>0.37</v>
      </c>
      <c r="K28" s="74">
        <v>115.37</v>
      </c>
      <c r="L28" s="72">
        <f t="shared" si="1"/>
        <v>2.8139024390243903</v>
      </c>
      <c r="M28" s="74" t="s">
        <v>50</v>
      </c>
      <c r="N28" s="74" t="s">
        <v>50</v>
      </c>
      <c r="O28" s="74">
        <v>28</v>
      </c>
      <c r="P28" s="72">
        <v>0.76</v>
      </c>
      <c r="Q28" s="74">
        <v>9</v>
      </c>
      <c r="R28" s="74">
        <f t="shared" si="2"/>
        <v>0.24</v>
      </c>
      <c r="S28" s="74">
        <v>176.45</v>
      </c>
      <c r="T28" s="72">
        <f t="shared" si="3"/>
        <v>4.7689189189189189</v>
      </c>
      <c r="U28" s="74" t="s">
        <v>52</v>
      </c>
      <c r="V28" s="74" t="s">
        <v>50</v>
      </c>
      <c r="W28" s="74">
        <v>234</v>
      </c>
      <c r="X28" s="72">
        <v>0.25</v>
      </c>
      <c r="Y28" s="72"/>
      <c r="Z28" s="72">
        <v>1.3568010505999362</v>
      </c>
      <c r="AA28" s="72"/>
      <c r="AB28" s="76">
        <f>14/41</f>
        <v>0.34146341463414637</v>
      </c>
      <c r="AC28" s="76">
        <f>3/41</f>
        <v>7.3170731707317069E-2</v>
      </c>
      <c r="AD28" s="76">
        <f>13/41</f>
        <v>0.31707317073170732</v>
      </c>
      <c r="AE28" s="76">
        <f>3/41</f>
        <v>7.3170731707317069E-2</v>
      </c>
      <c r="AF28" s="76">
        <f>1/41</f>
        <v>2.4390243902439025E-2</v>
      </c>
      <c r="AG28" s="76">
        <f>7/41</f>
        <v>0.17073170731707318</v>
      </c>
      <c r="AH28" s="76">
        <f>12/14</f>
        <v>0.8571428571428571</v>
      </c>
      <c r="AI28" s="76">
        <f>2/3</f>
        <v>0.66666666666666663</v>
      </c>
      <c r="AJ28" s="76">
        <f>12/13</f>
        <v>0.92307692307692313</v>
      </c>
      <c r="AK28" s="76">
        <f>3/3</f>
        <v>1</v>
      </c>
      <c r="AL28" s="76">
        <f>1/1</f>
        <v>1</v>
      </c>
      <c r="AM28" s="76">
        <f>6/7</f>
        <v>0.8571428571428571</v>
      </c>
      <c r="AN28" s="88">
        <v>193</v>
      </c>
      <c r="AO28" s="88">
        <f t="shared" si="4"/>
        <v>-77.63</v>
      </c>
      <c r="AP28" s="72">
        <f t="shared" si="5"/>
        <v>54.892699423511736</v>
      </c>
      <c r="AQ28" s="89">
        <f t="shared" si="6"/>
        <v>43.009999999999991</v>
      </c>
      <c r="AR28" s="76">
        <f>11/37</f>
        <v>0.29729729729729731</v>
      </c>
      <c r="AS28" s="76">
        <f>4/37</f>
        <v>0.10810810810810811</v>
      </c>
      <c r="AT28" s="76">
        <f>16/37</f>
        <v>0.43243243243243246</v>
      </c>
      <c r="AU28" s="76">
        <v>0</v>
      </c>
      <c r="AV28" s="76">
        <v>0</v>
      </c>
      <c r="AW28" s="76">
        <f>6/37</f>
        <v>0.16216216216216217</v>
      </c>
      <c r="AX28" s="76">
        <f>9/11</f>
        <v>0.81818181818181823</v>
      </c>
      <c r="AY28" s="76">
        <f>3/4</f>
        <v>0.75</v>
      </c>
      <c r="AZ28" s="76">
        <f>12/16</f>
        <v>0.75</v>
      </c>
      <c r="BA28" s="76">
        <v>0</v>
      </c>
      <c r="BB28" s="76">
        <v>0</v>
      </c>
      <c r="BC28" s="76">
        <f>6/6</f>
        <v>1</v>
      </c>
      <c r="BD28" s="74">
        <v>186</v>
      </c>
      <c r="BE28" s="72">
        <f t="shared" si="7"/>
        <v>-9.5500000000000114</v>
      </c>
      <c r="BF28" s="72">
        <f t="shared" si="8"/>
        <v>6.7528697603309684</v>
      </c>
      <c r="BG28" s="89">
        <f t="shared" si="9"/>
        <v>-11.775000000000006</v>
      </c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</row>
    <row r="29" spans="1:105" s="10" customFormat="1">
      <c r="A29" s="74" t="s">
        <v>30</v>
      </c>
      <c r="B29" s="74">
        <v>2002</v>
      </c>
      <c r="C29" s="74" t="s">
        <v>38</v>
      </c>
      <c r="D29" s="74">
        <v>0</v>
      </c>
      <c r="E29" s="72">
        <v>0.65</v>
      </c>
      <c r="F29" s="72">
        <v>0.75</v>
      </c>
      <c r="G29" s="74">
        <v>30</v>
      </c>
      <c r="H29" s="72">
        <v>0.75</v>
      </c>
      <c r="I29" s="74">
        <v>10</v>
      </c>
      <c r="J29" s="72">
        <f t="shared" si="0"/>
        <v>0.25</v>
      </c>
      <c r="K29" s="74">
        <v>302.43</v>
      </c>
      <c r="L29" s="72">
        <f t="shared" si="1"/>
        <v>7.5607500000000005</v>
      </c>
      <c r="M29" s="74" t="s">
        <v>51</v>
      </c>
      <c r="N29" s="74" t="s">
        <v>50</v>
      </c>
      <c r="O29" s="74">
        <v>41</v>
      </c>
      <c r="P29" s="72">
        <v>0.79</v>
      </c>
      <c r="Q29" s="74">
        <v>11</v>
      </c>
      <c r="R29" s="74">
        <f t="shared" si="2"/>
        <v>0.20999999999999996</v>
      </c>
      <c r="S29" s="74">
        <v>493.23</v>
      </c>
      <c r="T29" s="72">
        <f t="shared" si="3"/>
        <v>9.4851923076923086</v>
      </c>
      <c r="U29" s="74" t="s">
        <v>50</v>
      </c>
      <c r="V29" s="74" t="s">
        <v>50</v>
      </c>
      <c r="W29" s="74">
        <v>270</v>
      </c>
      <c r="X29" s="72">
        <v>1.5833333333333333</v>
      </c>
      <c r="Y29" s="72"/>
      <c r="Z29" s="72">
        <v>0.51492865054443737</v>
      </c>
      <c r="AA29" s="72"/>
      <c r="AB29" s="76">
        <f>7/40</f>
        <v>0.17499999999999999</v>
      </c>
      <c r="AC29" s="76">
        <f>7/40</f>
        <v>0.17499999999999999</v>
      </c>
      <c r="AD29" s="76">
        <f>14/40</f>
        <v>0.35</v>
      </c>
      <c r="AE29" s="76">
        <f>3/40</f>
        <v>7.4999999999999997E-2</v>
      </c>
      <c r="AF29" s="76">
        <f>3/40</f>
        <v>7.4999999999999997E-2</v>
      </c>
      <c r="AG29" s="76">
        <f>6/40</f>
        <v>0.15</v>
      </c>
      <c r="AH29" s="76">
        <f>4/7</f>
        <v>0.5714285714285714</v>
      </c>
      <c r="AI29" s="76">
        <f>5/7</f>
        <v>0.7142857142857143</v>
      </c>
      <c r="AJ29" s="76">
        <f>9/14</f>
        <v>0.6428571428571429</v>
      </c>
      <c r="AK29" s="76">
        <f>1/3</f>
        <v>0.33333333333333331</v>
      </c>
      <c r="AL29" s="76">
        <f>2/3</f>
        <v>0.66666666666666663</v>
      </c>
      <c r="AM29" s="76">
        <f>3/6</f>
        <v>0.5</v>
      </c>
      <c r="AN29" s="88">
        <v>275</v>
      </c>
      <c r="AO29" s="88">
        <f t="shared" si="4"/>
        <v>27.430000000000007</v>
      </c>
      <c r="AP29" s="72">
        <f t="shared" si="5"/>
        <v>19.395939007946549</v>
      </c>
      <c r="AQ29" s="89">
        <f t="shared" si="6"/>
        <v>74.634999999999991</v>
      </c>
      <c r="AR29" s="76">
        <f>11/52</f>
        <v>0.21153846153846154</v>
      </c>
      <c r="AS29" s="76">
        <f>3/52</f>
        <v>5.7692307692307696E-2</v>
      </c>
      <c r="AT29" s="76">
        <f>30/52</f>
        <v>0.57692307692307687</v>
      </c>
      <c r="AU29" s="76">
        <v>0</v>
      </c>
      <c r="AV29" s="76">
        <f>1/52</f>
        <v>1.9230769230769232E-2</v>
      </c>
      <c r="AW29" s="76">
        <f>7/52</f>
        <v>0.13461538461538461</v>
      </c>
      <c r="AX29" s="76">
        <f>6/11</f>
        <v>0.54545454545454541</v>
      </c>
      <c r="AY29" s="76">
        <f>2/3</f>
        <v>0.66666666666666663</v>
      </c>
      <c r="AZ29" s="76">
        <f>20/30</f>
        <v>0.66666666666666663</v>
      </c>
      <c r="BA29" s="76">
        <v>0</v>
      </c>
      <c r="BB29" s="76">
        <f>1/1</f>
        <v>1</v>
      </c>
      <c r="BC29" s="76">
        <f>5/7</f>
        <v>0.7142857142857143</v>
      </c>
      <c r="BD29" s="74">
        <v>308</v>
      </c>
      <c r="BE29" s="72">
        <f t="shared" si="7"/>
        <v>185.23000000000002</v>
      </c>
      <c r="BF29" s="72">
        <f t="shared" si="8"/>
        <v>130.97738907918441</v>
      </c>
      <c r="BG29" s="89">
        <f t="shared" si="9"/>
        <v>146.61500000000001</v>
      </c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</row>
    <row r="30" spans="1:105" s="10" customFormat="1">
      <c r="A30" s="74" t="s">
        <v>31</v>
      </c>
      <c r="B30" s="74">
        <v>2002</v>
      </c>
      <c r="C30" s="74" t="s">
        <v>38</v>
      </c>
      <c r="D30" s="74">
        <v>0</v>
      </c>
      <c r="E30" s="72">
        <v>0.7</v>
      </c>
      <c r="F30" s="72">
        <v>0.65</v>
      </c>
      <c r="G30" s="74">
        <v>35</v>
      </c>
      <c r="H30" s="72">
        <v>0.88</v>
      </c>
      <c r="I30" s="74">
        <v>5</v>
      </c>
      <c r="J30" s="72">
        <f t="shared" si="0"/>
        <v>0.12</v>
      </c>
      <c r="K30" s="74">
        <v>406.05</v>
      </c>
      <c r="L30" s="72">
        <f t="shared" si="1"/>
        <v>10.151250000000001</v>
      </c>
      <c r="M30" s="74" t="s">
        <v>49</v>
      </c>
      <c r="N30" s="74" t="s">
        <v>51</v>
      </c>
      <c r="O30" s="74">
        <v>36</v>
      </c>
      <c r="P30" s="72">
        <v>0.84</v>
      </c>
      <c r="Q30" s="74">
        <v>7</v>
      </c>
      <c r="R30" s="74">
        <f t="shared" si="2"/>
        <v>0.16000000000000003</v>
      </c>
      <c r="S30" s="74">
        <v>428.67</v>
      </c>
      <c r="T30" s="72">
        <f t="shared" si="3"/>
        <v>9.9690697674418605</v>
      </c>
      <c r="U30" s="74" t="s">
        <v>51</v>
      </c>
      <c r="V30" s="74" t="s">
        <v>51</v>
      </c>
      <c r="W30" s="74">
        <v>205</v>
      </c>
      <c r="X30" s="72">
        <v>-0.33333333333333331</v>
      </c>
      <c r="Y30" s="72"/>
      <c r="Z30" s="72">
        <v>1.2309149097933274</v>
      </c>
      <c r="AA30" s="72"/>
      <c r="AB30" s="76">
        <f>14/40</f>
        <v>0.35</v>
      </c>
      <c r="AC30" s="76">
        <f>4/40</f>
        <v>0.1</v>
      </c>
      <c r="AD30" s="76">
        <f>15/40</f>
        <v>0.375</v>
      </c>
      <c r="AE30" s="76">
        <f>1/40</f>
        <v>2.5000000000000001E-2</v>
      </c>
      <c r="AF30" s="76">
        <f>2/40</f>
        <v>0.05</v>
      </c>
      <c r="AG30" s="76">
        <f>6/40</f>
        <v>0.15</v>
      </c>
      <c r="AH30" s="76">
        <f>14/14</f>
        <v>1</v>
      </c>
      <c r="AI30" s="76">
        <f>2/4</f>
        <v>0.5</v>
      </c>
      <c r="AJ30" s="76">
        <f>8/15</f>
        <v>0.53333333333333333</v>
      </c>
      <c r="AK30" s="76">
        <f>0/1</f>
        <v>0</v>
      </c>
      <c r="AL30" s="76">
        <f>2/2</f>
        <v>1</v>
      </c>
      <c r="AM30" s="76">
        <f>6/6</f>
        <v>1</v>
      </c>
      <c r="AN30" s="88">
        <v>194</v>
      </c>
      <c r="AO30" s="88">
        <f t="shared" si="4"/>
        <v>212.05</v>
      </c>
      <c r="AP30" s="72">
        <f t="shared" si="5"/>
        <v>149.94199295060753</v>
      </c>
      <c r="AQ30" s="89">
        <f t="shared" si="6"/>
        <v>57.259999999999991</v>
      </c>
      <c r="AR30" s="76">
        <f>11/43</f>
        <v>0.2558139534883721</v>
      </c>
      <c r="AS30" s="76">
        <f>2/43</f>
        <v>4.6511627906976744E-2</v>
      </c>
      <c r="AT30" s="76">
        <f>15/43</f>
        <v>0.34883720930232559</v>
      </c>
      <c r="AU30" s="76">
        <f>2/43</f>
        <v>4.6511627906976744E-2</v>
      </c>
      <c r="AV30" s="76">
        <v>0</v>
      </c>
      <c r="AW30" s="76">
        <f>5/43</f>
        <v>0.11627906976744186</v>
      </c>
      <c r="AX30" s="76">
        <f>9/11</f>
        <v>0.81818181818181823</v>
      </c>
      <c r="AY30" s="76">
        <f>2/2</f>
        <v>1</v>
      </c>
      <c r="AZ30" s="76">
        <f>13/15</f>
        <v>0.8666666666666667</v>
      </c>
      <c r="BA30" s="76">
        <f>2/2</f>
        <v>1</v>
      </c>
      <c r="BB30" s="76">
        <v>0</v>
      </c>
      <c r="BC30" s="76">
        <f>3/5</f>
        <v>0.6</v>
      </c>
      <c r="BD30" s="74">
        <v>210</v>
      </c>
      <c r="BE30" s="72">
        <f t="shared" si="7"/>
        <v>218.67000000000002</v>
      </c>
      <c r="BF30" s="72">
        <f t="shared" si="8"/>
        <v>154.62303984206218</v>
      </c>
      <c r="BG30" s="89">
        <f t="shared" si="9"/>
        <v>114.33500000000001</v>
      </c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</row>
    <row r="31" spans="1:105" s="10" customFormat="1">
      <c r="A31" s="74" t="s">
        <v>32</v>
      </c>
      <c r="B31" s="74">
        <v>2002</v>
      </c>
      <c r="C31" s="74" t="s">
        <v>38</v>
      </c>
      <c r="D31" s="74">
        <v>0</v>
      </c>
      <c r="E31" s="72">
        <v>0.65</v>
      </c>
      <c r="F31" s="72">
        <v>0.65</v>
      </c>
      <c r="G31" s="74">
        <v>31</v>
      </c>
      <c r="H31" s="72">
        <v>0.79</v>
      </c>
      <c r="I31" s="74">
        <v>8</v>
      </c>
      <c r="J31" s="72">
        <f>1-H31</f>
        <v>0.20999999999999996</v>
      </c>
      <c r="K31" s="74">
        <v>267.76</v>
      </c>
      <c r="L31" s="72">
        <f t="shared" si="1"/>
        <v>6.8656410256410254</v>
      </c>
      <c r="M31" s="74" t="s">
        <v>52</v>
      </c>
      <c r="N31" s="74" t="s">
        <v>51</v>
      </c>
      <c r="O31" s="74">
        <v>39</v>
      </c>
      <c r="P31" s="72">
        <v>0.87</v>
      </c>
      <c r="Q31" s="74">
        <v>6</v>
      </c>
      <c r="R31" s="74">
        <f>1-P31</f>
        <v>0.13</v>
      </c>
      <c r="S31" s="74">
        <v>377.53</v>
      </c>
      <c r="T31" s="72">
        <f t="shared" si="3"/>
        <v>8.389555555555555</v>
      </c>
      <c r="U31" s="74" t="s">
        <v>50</v>
      </c>
      <c r="V31" s="74" t="s">
        <v>51</v>
      </c>
      <c r="W31" s="74">
        <v>294</v>
      </c>
      <c r="X31" s="72">
        <v>1.25</v>
      </c>
      <c r="Y31" s="72"/>
      <c r="Z31" s="72">
        <v>0.75377836144440913</v>
      </c>
      <c r="AA31" s="72"/>
      <c r="AB31" s="76">
        <f>12/39</f>
        <v>0.30769230769230771</v>
      </c>
      <c r="AC31" s="76">
        <f>8/39</f>
        <v>0.20512820512820512</v>
      </c>
      <c r="AD31" s="76">
        <f>13/39</f>
        <v>0.33333333333333331</v>
      </c>
      <c r="AE31" s="76">
        <f>4/39</f>
        <v>0.10256410256410256</v>
      </c>
      <c r="AF31" s="76">
        <f>3/39</f>
        <v>7.6923076923076927E-2</v>
      </c>
      <c r="AG31" s="76">
        <f>10/39</f>
        <v>0.25641025641025639</v>
      </c>
      <c r="AH31" s="76">
        <f>6/12</f>
        <v>0.5</v>
      </c>
      <c r="AI31" s="76">
        <f>4/8</f>
        <v>0.5</v>
      </c>
      <c r="AJ31" s="76">
        <f>11/13</f>
        <v>0.84615384615384615</v>
      </c>
      <c r="AK31" s="76">
        <f>2/4</f>
        <v>0.5</v>
      </c>
      <c r="AL31" s="76">
        <f>2/3</f>
        <v>0.66666666666666663</v>
      </c>
      <c r="AM31" s="76">
        <f>7/10</f>
        <v>0.7</v>
      </c>
      <c r="AN31" s="88">
        <v>208</v>
      </c>
      <c r="AO31" s="88">
        <f t="shared" si="4"/>
        <v>59.759999999999991</v>
      </c>
      <c r="AP31" s="72">
        <f t="shared" si="5"/>
        <v>42.25670124370815</v>
      </c>
      <c r="AQ31" s="89">
        <f t="shared" si="6"/>
        <v>94.324999999999989</v>
      </c>
      <c r="AR31" s="76">
        <f>14/45</f>
        <v>0.31111111111111112</v>
      </c>
      <c r="AS31" s="76">
        <f>2/45</f>
        <v>4.4444444444444446E-2</v>
      </c>
      <c r="AT31" s="76">
        <f>17/45</f>
        <v>0.37777777777777777</v>
      </c>
      <c r="AU31" s="76">
        <f>3/45</f>
        <v>6.6666666666666666E-2</v>
      </c>
      <c r="AV31" s="76">
        <f>1/45</f>
        <v>2.2222222222222223E-2</v>
      </c>
      <c r="AW31" s="76">
        <f>8/45</f>
        <v>0.17777777777777778</v>
      </c>
      <c r="AX31" s="76">
        <f>11/14</f>
        <v>0.7857142857142857</v>
      </c>
      <c r="AY31" s="76">
        <f>2/2</f>
        <v>1</v>
      </c>
      <c r="AZ31" s="76">
        <f>9/17</f>
        <v>0.52941176470588236</v>
      </c>
      <c r="BA31" s="76">
        <f>1/3</f>
        <v>0.33333333333333331</v>
      </c>
      <c r="BB31" s="76">
        <f>0/1</f>
        <v>0</v>
      </c>
      <c r="BC31" s="76">
        <f>7/8</f>
        <v>0.875</v>
      </c>
      <c r="BD31" s="74">
        <v>223</v>
      </c>
      <c r="BE31" s="72">
        <f t="shared" si="7"/>
        <v>154.52999999999997</v>
      </c>
      <c r="BF31" s="72">
        <f t="shared" si="8"/>
        <v>109.2692108967572</v>
      </c>
      <c r="BG31" s="89">
        <f t="shared" si="9"/>
        <v>88.764999999999986</v>
      </c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</row>
    <row r="32" spans="1:105" s="10" customFormat="1">
      <c r="A32" s="74" t="s">
        <v>33</v>
      </c>
      <c r="B32" s="74">
        <v>2002</v>
      </c>
      <c r="C32" s="74" t="s">
        <v>38</v>
      </c>
      <c r="D32" s="74">
        <v>0</v>
      </c>
      <c r="E32" s="72">
        <v>0.7</v>
      </c>
      <c r="F32" s="72">
        <v>0.6</v>
      </c>
      <c r="G32" s="74">
        <v>26</v>
      </c>
      <c r="H32" s="72">
        <v>0.74</v>
      </c>
      <c r="I32" s="74">
        <v>9</v>
      </c>
      <c r="J32" s="72">
        <f t="shared" si="0"/>
        <v>0.26</v>
      </c>
      <c r="K32" s="74">
        <v>205.98</v>
      </c>
      <c r="L32" s="72">
        <f t="shared" si="1"/>
        <v>5.8851428571428572</v>
      </c>
      <c r="M32" s="74" t="s">
        <v>49</v>
      </c>
      <c r="N32" s="74" t="s">
        <v>50</v>
      </c>
      <c r="O32" s="74">
        <v>27</v>
      </c>
      <c r="P32" s="72">
        <v>0.68</v>
      </c>
      <c r="Q32" s="74">
        <v>13</v>
      </c>
      <c r="R32" s="74">
        <f t="shared" si="2"/>
        <v>0.31999999999999995</v>
      </c>
      <c r="S32" s="74">
        <v>205.87</v>
      </c>
      <c r="T32" s="72">
        <f t="shared" si="3"/>
        <v>5.1467499999999999</v>
      </c>
      <c r="U32" s="74" t="s">
        <v>50</v>
      </c>
      <c r="V32" s="74" t="s">
        <v>50</v>
      </c>
      <c r="W32" s="74">
        <v>299</v>
      </c>
      <c r="X32" s="72">
        <v>-8.3333333333333329E-2</v>
      </c>
      <c r="Y32" s="72"/>
      <c r="Z32" s="72">
        <v>1.2401124093721456</v>
      </c>
      <c r="AA32" s="72"/>
      <c r="AB32" s="76">
        <f>20/35</f>
        <v>0.5714285714285714</v>
      </c>
      <c r="AC32" s="76">
        <f>5/35</f>
        <v>0.14285714285714285</v>
      </c>
      <c r="AD32" s="76">
        <f>11/35</f>
        <v>0.31428571428571428</v>
      </c>
      <c r="AE32" s="76">
        <f>5/35</f>
        <v>0.14285714285714285</v>
      </c>
      <c r="AF32" s="76">
        <v>0</v>
      </c>
      <c r="AG32" s="76">
        <f>6/35</f>
        <v>0.17142857142857143</v>
      </c>
      <c r="AH32" s="76">
        <f>9/20</f>
        <v>0.45</v>
      </c>
      <c r="AI32" s="76">
        <f>3/5</f>
        <v>0.6</v>
      </c>
      <c r="AJ32" s="76">
        <f>9/11</f>
        <v>0.81818181818181823</v>
      </c>
      <c r="AK32" s="76">
        <f>4/5</f>
        <v>0.8</v>
      </c>
      <c r="AL32" s="76">
        <v>0</v>
      </c>
      <c r="AM32" s="76">
        <f>5/6</f>
        <v>0.83333333333333337</v>
      </c>
      <c r="AN32" s="88">
        <v>187</v>
      </c>
      <c r="AO32" s="88">
        <f t="shared" si="4"/>
        <v>18.97999999999999</v>
      </c>
      <c r="AP32" s="72">
        <f t="shared" si="5"/>
        <v>13.42088670692031</v>
      </c>
      <c r="AQ32" s="89">
        <f t="shared" si="6"/>
        <v>36.69</v>
      </c>
      <c r="AR32" s="76">
        <f>17/40</f>
        <v>0.42499999999999999</v>
      </c>
      <c r="AS32" s="76">
        <f>3/40</f>
        <v>7.4999999999999997E-2</v>
      </c>
      <c r="AT32" s="76">
        <f>16/40</f>
        <v>0.4</v>
      </c>
      <c r="AU32" s="76">
        <f>2/40</f>
        <v>0.05</v>
      </c>
      <c r="AV32" s="76">
        <f>4/40</f>
        <v>0.1</v>
      </c>
      <c r="AW32" s="76">
        <f>5/40</f>
        <v>0.125</v>
      </c>
      <c r="AX32" s="76">
        <f>10/17</f>
        <v>0.58823529411764708</v>
      </c>
      <c r="AY32" s="76">
        <f>1/3</f>
        <v>0.33333333333333331</v>
      </c>
      <c r="AZ32" s="76">
        <f>11/16</f>
        <v>0.6875</v>
      </c>
      <c r="BA32" s="76">
        <f>0/2</f>
        <v>0</v>
      </c>
      <c r="BB32" s="76">
        <f>3/4</f>
        <v>0.75</v>
      </c>
      <c r="BC32" s="76">
        <f>2/5</f>
        <v>0.4</v>
      </c>
      <c r="BD32" s="74">
        <v>232</v>
      </c>
      <c r="BE32" s="72">
        <f t="shared" si="7"/>
        <v>-26.129999999999995</v>
      </c>
      <c r="BF32" s="72">
        <f t="shared" si="8"/>
        <v>18.476700192404447</v>
      </c>
      <c r="BG32" s="89">
        <f t="shared" si="9"/>
        <v>2.9350000000000023</v>
      </c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</row>
    <row r="33" spans="1:105" s="10" customFormat="1">
      <c r="A33" s="74" t="s">
        <v>34</v>
      </c>
      <c r="B33" s="74">
        <v>2002</v>
      </c>
      <c r="C33" s="74" t="s">
        <v>38</v>
      </c>
      <c r="D33" s="74">
        <v>0</v>
      </c>
      <c r="E33" s="72">
        <v>0.7</v>
      </c>
      <c r="F33" s="72">
        <v>0.7</v>
      </c>
      <c r="G33" s="74">
        <v>32</v>
      </c>
      <c r="H33" s="72">
        <v>0.65</v>
      </c>
      <c r="I33" s="74">
        <v>17</v>
      </c>
      <c r="J33" s="72">
        <f t="shared" si="0"/>
        <v>0.35</v>
      </c>
      <c r="K33" s="74">
        <v>286.02</v>
      </c>
      <c r="L33" s="72">
        <f t="shared" si="1"/>
        <v>5.8371428571428572</v>
      </c>
      <c r="M33" s="74" t="s">
        <v>52</v>
      </c>
      <c r="N33" s="74" t="s">
        <v>50</v>
      </c>
      <c r="O33" s="74">
        <v>30</v>
      </c>
      <c r="P33" s="72">
        <v>0.68</v>
      </c>
      <c r="Q33" s="74">
        <v>14</v>
      </c>
      <c r="R33" s="74">
        <f t="shared" si="2"/>
        <v>0.31999999999999995</v>
      </c>
      <c r="S33" s="74">
        <v>523.91</v>
      </c>
      <c r="T33" s="72">
        <f t="shared" si="3"/>
        <v>11.907045454545454</v>
      </c>
      <c r="U33" s="74" t="s">
        <v>49</v>
      </c>
      <c r="V33" s="74" t="s">
        <v>50</v>
      </c>
      <c r="W33" s="74">
        <v>249</v>
      </c>
      <c r="X33" s="72">
        <v>0</v>
      </c>
      <c r="Y33" s="72"/>
      <c r="Z33" s="72">
        <v>1.5374122295716148</v>
      </c>
      <c r="AA33" s="72"/>
      <c r="AB33" s="76">
        <f>13/49</f>
        <v>0.26530612244897961</v>
      </c>
      <c r="AC33" s="76">
        <f>6/49</f>
        <v>0.12244897959183673</v>
      </c>
      <c r="AD33" s="76">
        <f>18/49</f>
        <v>0.36734693877551022</v>
      </c>
      <c r="AE33" s="76">
        <f>2/49</f>
        <v>4.0816326530612242E-2</v>
      </c>
      <c r="AF33" s="76">
        <v>0</v>
      </c>
      <c r="AG33" s="76">
        <f>9/49</f>
        <v>0.18367346938775511</v>
      </c>
      <c r="AH33" s="76">
        <f>9/13</f>
        <v>0.69230769230769229</v>
      </c>
      <c r="AI33" s="76">
        <f>4/6</f>
        <v>0.66666666666666663</v>
      </c>
      <c r="AJ33" s="76">
        <f>13/18</f>
        <v>0.72222222222222221</v>
      </c>
      <c r="AK33" s="76">
        <f>2/2</f>
        <v>1</v>
      </c>
      <c r="AL33" s="76">
        <v>0</v>
      </c>
      <c r="AM33" s="76">
        <f>4/9</f>
        <v>0.44444444444444442</v>
      </c>
      <c r="AN33" s="88">
        <v>234</v>
      </c>
      <c r="AO33" s="88">
        <f t="shared" si="4"/>
        <v>52.019999999999982</v>
      </c>
      <c r="AP33" s="72">
        <f t="shared" si="5"/>
        <v>36.783694757324049</v>
      </c>
      <c r="AQ33" s="89">
        <f t="shared" si="6"/>
        <v>47.39500000000001</v>
      </c>
      <c r="AR33" s="76">
        <f>12/44</f>
        <v>0.27272727272727271</v>
      </c>
      <c r="AS33" s="76">
        <f>7/44</f>
        <v>0.15909090909090909</v>
      </c>
      <c r="AT33" s="76">
        <f>14/44</f>
        <v>0.31818181818181818</v>
      </c>
      <c r="AU33" s="76">
        <f>3/44</f>
        <v>6.8181818181818177E-2</v>
      </c>
      <c r="AV33" s="76">
        <f>2/44</f>
        <v>4.5454545454545456E-2</v>
      </c>
      <c r="AW33" s="76">
        <f>6/44</f>
        <v>0.13636363636363635</v>
      </c>
      <c r="AX33" s="76">
        <f>9/12</f>
        <v>0.75</v>
      </c>
      <c r="AY33" s="76">
        <f>5/7</f>
        <v>0.7142857142857143</v>
      </c>
      <c r="AZ33" s="76">
        <f>8/14</f>
        <v>0.5714285714285714</v>
      </c>
      <c r="BA33" s="76">
        <f>3/3</f>
        <v>1</v>
      </c>
      <c r="BB33" s="76">
        <f>2/2</f>
        <v>1</v>
      </c>
      <c r="BC33" s="76">
        <f>3/6</f>
        <v>0.5</v>
      </c>
      <c r="BD33" s="74">
        <v>237</v>
      </c>
      <c r="BE33" s="72">
        <f t="shared" si="7"/>
        <v>286.90999999999997</v>
      </c>
      <c r="BF33" s="72">
        <f t="shared" si="8"/>
        <v>202.87600659023229</v>
      </c>
      <c r="BG33" s="89">
        <f t="shared" si="9"/>
        <v>161.95499999999998</v>
      </c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</row>
    <row r="34" spans="1:105" s="10" customFormat="1">
      <c r="A34" s="74" t="s">
        <v>35</v>
      </c>
      <c r="B34" s="74">
        <v>2002</v>
      </c>
      <c r="C34" s="74" t="s">
        <v>38</v>
      </c>
      <c r="D34" s="74">
        <v>0</v>
      </c>
      <c r="E34" s="72">
        <v>0.65</v>
      </c>
      <c r="F34" s="72">
        <v>0.75</v>
      </c>
      <c r="G34" s="74">
        <v>28</v>
      </c>
      <c r="H34" s="72">
        <v>0.72</v>
      </c>
      <c r="I34" s="74">
        <v>11</v>
      </c>
      <c r="J34" s="72">
        <f t="shared" si="0"/>
        <v>0.28000000000000003</v>
      </c>
      <c r="K34" s="74">
        <v>349.27</v>
      </c>
      <c r="L34" s="72">
        <f t="shared" si="1"/>
        <v>8.9556410256410253</v>
      </c>
      <c r="M34" s="74" t="s">
        <v>49</v>
      </c>
      <c r="N34" s="74" t="s">
        <v>50</v>
      </c>
      <c r="O34" s="74">
        <v>35</v>
      </c>
      <c r="P34" s="72">
        <v>0.7</v>
      </c>
      <c r="Q34" s="74">
        <v>15</v>
      </c>
      <c r="R34" s="72">
        <f t="shared" si="2"/>
        <v>0.30000000000000004</v>
      </c>
      <c r="S34" s="74">
        <v>523.02</v>
      </c>
      <c r="T34" s="72">
        <f t="shared" si="3"/>
        <v>10.4604</v>
      </c>
      <c r="U34" s="74" t="s">
        <v>50</v>
      </c>
      <c r="V34" s="74" t="s">
        <v>50</v>
      </c>
      <c r="W34" s="74">
        <v>273</v>
      </c>
      <c r="X34" s="72">
        <v>0.75</v>
      </c>
      <c r="Y34" s="72"/>
      <c r="Z34" s="72">
        <v>1.4847711791873706</v>
      </c>
      <c r="AA34" s="72"/>
      <c r="AB34" s="76">
        <f>8/39</f>
        <v>0.20512820512820512</v>
      </c>
      <c r="AC34" s="76">
        <f>2/39</f>
        <v>5.128205128205128E-2</v>
      </c>
      <c r="AD34" s="76">
        <f>22/39</f>
        <v>0.5641025641025641</v>
      </c>
      <c r="AE34" s="76">
        <f>1/39</f>
        <v>2.564102564102564E-2</v>
      </c>
      <c r="AF34" s="76">
        <v>0</v>
      </c>
      <c r="AG34" s="76">
        <f>1/39</f>
        <v>2.564102564102564E-2</v>
      </c>
      <c r="AH34" s="76">
        <f>5/8</f>
        <v>0.625</v>
      </c>
      <c r="AI34" s="76">
        <f>2/2</f>
        <v>1</v>
      </c>
      <c r="AJ34" s="76">
        <f>16/22</f>
        <v>0.72727272727272729</v>
      </c>
      <c r="AK34" s="76">
        <f>1/1</f>
        <v>1</v>
      </c>
      <c r="AL34" s="76">
        <v>0</v>
      </c>
      <c r="AM34" s="76">
        <f>1/1</f>
        <v>1</v>
      </c>
      <c r="AN34" s="91">
        <v>182</v>
      </c>
      <c r="AO34" s="88">
        <f t="shared" si="4"/>
        <v>167.26999999999998</v>
      </c>
      <c r="AP34" s="72">
        <f t="shared" si="5"/>
        <v>118.27775128907385</v>
      </c>
      <c r="AQ34" s="89">
        <f t="shared" si="6"/>
        <v>88.405000000000001</v>
      </c>
      <c r="AR34" s="76">
        <f>11/40</f>
        <v>0.27500000000000002</v>
      </c>
      <c r="AS34" s="76">
        <f>7/40</f>
        <v>0.17499999999999999</v>
      </c>
      <c r="AT34" s="76">
        <f>12/40</f>
        <v>0.3</v>
      </c>
      <c r="AU34" s="76">
        <f>4/40</f>
        <v>0.1</v>
      </c>
      <c r="AV34" s="76">
        <f>3/40</f>
        <v>7.4999999999999997E-2</v>
      </c>
      <c r="AW34" s="76">
        <f>9/40</f>
        <v>0.22500000000000001</v>
      </c>
      <c r="AX34" s="76">
        <f>9/11</f>
        <v>0.81818181818181823</v>
      </c>
      <c r="AY34" s="76">
        <f>5/7</f>
        <v>0.7142857142857143</v>
      </c>
      <c r="AZ34" s="76">
        <f>8/12</f>
        <v>0.66666666666666663</v>
      </c>
      <c r="BA34" s="76">
        <f>2/4</f>
        <v>0.5</v>
      </c>
      <c r="BB34" s="76">
        <f>2/3</f>
        <v>0.66666666666666663</v>
      </c>
      <c r="BC34" s="76">
        <f>7/9</f>
        <v>0.77777777777777779</v>
      </c>
      <c r="BD34" s="74">
        <v>243</v>
      </c>
      <c r="BE34" s="72">
        <f t="shared" si="7"/>
        <v>280.02</v>
      </c>
      <c r="BF34" s="72">
        <f t="shared" si="8"/>
        <v>198.00404086785716</v>
      </c>
      <c r="BG34" s="89">
        <f t="shared" si="9"/>
        <v>161.51</v>
      </c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</row>
    <row r="35" spans="1:105" s="10" customFormat="1">
      <c r="A35" s="74" t="s">
        <v>36</v>
      </c>
      <c r="B35" s="74">
        <v>2002</v>
      </c>
      <c r="C35" s="74" t="s">
        <v>38</v>
      </c>
      <c r="D35" s="74">
        <v>0</v>
      </c>
      <c r="E35" s="72">
        <v>0.65</v>
      </c>
      <c r="F35" s="72">
        <v>0.5</v>
      </c>
      <c r="G35" s="74">
        <v>36</v>
      </c>
      <c r="H35" s="72">
        <v>0.77</v>
      </c>
      <c r="I35" s="74">
        <v>11</v>
      </c>
      <c r="J35" s="72">
        <f t="shared" si="0"/>
        <v>0.22999999999999998</v>
      </c>
      <c r="K35" s="74">
        <v>314.52</v>
      </c>
      <c r="L35" s="72">
        <f t="shared" si="1"/>
        <v>6.691914893617021</v>
      </c>
      <c r="M35" s="74" t="s">
        <v>52</v>
      </c>
      <c r="N35" s="74" t="s">
        <v>50</v>
      </c>
      <c r="O35" s="74">
        <v>31</v>
      </c>
      <c r="P35" s="72">
        <v>0.76</v>
      </c>
      <c r="Q35" s="74">
        <v>10</v>
      </c>
      <c r="R35" s="74">
        <f t="shared" si="2"/>
        <v>0.24</v>
      </c>
      <c r="S35" s="74">
        <v>267.33999999999997</v>
      </c>
      <c r="T35" s="72">
        <f t="shared" si="3"/>
        <v>6.5204878048780479</v>
      </c>
      <c r="U35" s="74" t="s">
        <v>51</v>
      </c>
      <c r="V35" s="74" t="s">
        <v>50</v>
      </c>
      <c r="W35" s="74">
        <v>253</v>
      </c>
      <c r="X35" s="72">
        <v>1.3333333333333333</v>
      </c>
      <c r="Y35" s="72"/>
      <c r="Z35" s="72">
        <v>0.7784989441615231</v>
      </c>
      <c r="AA35" s="72"/>
      <c r="AB35" s="76">
        <f>25/47</f>
        <v>0.53191489361702127</v>
      </c>
      <c r="AC35" s="76">
        <f>8/47</f>
        <v>0.1702127659574468</v>
      </c>
      <c r="AD35" s="76">
        <f>28/47</f>
        <v>0.5957446808510638</v>
      </c>
      <c r="AE35" s="76">
        <f>4/47</f>
        <v>8.5106382978723402E-2</v>
      </c>
      <c r="AF35" s="76">
        <f>3/47</f>
        <v>6.3829787234042548E-2</v>
      </c>
      <c r="AG35" s="76">
        <f>9/47</f>
        <v>0.19148936170212766</v>
      </c>
      <c r="AH35" s="76">
        <f>19/25</f>
        <v>0.76</v>
      </c>
      <c r="AI35" s="76">
        <f>6/8</f>
        <v>0.75</v>
      </c>
      <c r="AJ35" s="76">
        <f>25/28</f>
        <v>0.8928571428571429</v>
      </c>
      <c r="AK35" s="76">
        <f>3/4</f>
        <v>0.75</v>
      </c>
      <c r="AL35" s="76">
        <f>3/3</f>
        <v>1</v>
      </c>
      <c r="AM35" s="76">
        <f>7/9</f>
        <v>0.77777777777777779</v>
      </c>
      <c r="AN35" s="91">
        <v>228</v>
      </c>
      <c r="AO35" s="88">
        <f t="shared" si="4"/>
        <v>86.519999999999982</v>
      </c>
      <c r="AP35" s="72">
        <f t="shared" si="5"/>
        <v>61.178878708260015</v>
      </c>
      <c r="AQ35" s="89">
        <f t="shared" si="6"/>
        <v>70.389999999999986</v>
      </c>
      <c r="AR35" s="76">
        <f>10/41</f>
        <v>0.24390243902439024</v>
      </c>
      <c r="AS35" s="76">
        <f>6/41</f>
        <v>0.14634146341463414</v>
      </c>
      <c r="AT35" s="76">
        <f>13/41</f>
        <v>0.31707317073170732</v>
      </c>
      <c r="AU35" s="76">
        <f>3/41</f>
        <v>7.3170731707317069E-2</v>
      </c>
      <c r="AV35" s="76">
        <f>2/41</f>
        <v>4.878048780487805E-2</v>
      </c>
      <c r="AW35" s="76">
        <f>7/41</f>
        <v>0.17073170731707318</v>
      </c>
      <c r="AX35" s="76">
        <f>8/10</f>
        <v>0.8</v>
      </c>
      <c r="AY35" s="76">
        <f>5/6</f>
        <v>0.83333333333333337</v>
      </c>
      <c r="AZ35" s="76">
        <f>9/13</f>
        <v>0.69230769230769229</v>
      </c>
      <c r="BA35" s="76">
        <f>1/3</f>
        <v>0.33333333333333331</v>
      </c>
      <c r="BB35" s="76">
        <f>2/2</f>
        <v>1</v>
      </c>
      <c r="BC35" s="76">
        <f>5/7</f>
        <v>0.7142857142857143</v>
      </c>
      <c r="BD35" s="74">
        <v>219</v>
      </c>
      <c r="BE35" s="72">
        <f t="shared" si="7"/>
        <v>48.339999999999975</v>
      </c>
      <c r="BF35" s="72">
        <f t="shared" si="8"/>
        <v>34.181541802557739</v>
      </c>
      <c r="BG35" s="89">
        <f t="shared" si="9"/>
        <v>33.669999999999987</v>
      </c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</row>
    <row r="36" spans="1:105" s="10" customFormat="1">
      <c r="A36" s="74" t="s">
        <v>124</v>
      </c>
      <c r="B36" s="74">
        <v>2002</v>
      </c>
      <c r="C36" s="74" t="s">
        <v>38</v>
      </c>
      <c r="D36" s="74">
        <v>0</v>
      </c>
      <c r="E36" s="72">
        <v>0.5</v>
      </c>
      <c r="F36" s="72">
        <v>0.55000000000000004</v>
      </c>
      <c r="G36" s="74">
        <v>27</v>
      </c>
      <c r="H36" s="72">
        <v>0.75</v>
      </c>
      <c r="I36" s="74">
        <v>9</v>
      </c>
      <c r="J36" s="72">
        <f t="shared" si="0"/>
        <v>0.25</v>
      </c>
      <c r="K36" s="74">
        <v>388.65</v>
      </c>
      <c r="L36" s="72">
        <f t="shared" si="1"/>
        <v>10.795833333333333</v>
      </c>
      <c r="M36" s="74" t="s">
        <v>52</v>
      </c>
      <c r="N36" s="74" t="s">
        <v>51</v>
      </c>
      <c r="O36" s="74">
        <v>35</v>
      </c>
      <c r="P36" s="72">
        <f>O36/(O36+Q36)</f>
        <v>0.79545454545454541</v>
      </c>
      <c r="Q36" s="74">
        <v>9</v>
      </c>
      <c r="R36" s="72">
        <f t="shared" si="2"/>
        <v>0.20454545454545459</v>
      </c>
      <c r="S36" s="74">
        <v>386.12</v>
      </c>
      <c r="T36" s="72">
        <f t="shared" si="3"/>
        <v>8.7754545454545454</v>
      </c>
      <c r="U36" s="74" t="s">
        <v>50</v>
      </c>
      <c r="V36" s="74" t="s">
        <v>51</v>
      </c>
      <c r="W36" s="74">
        <v>249</v>
      </c>
      <c r="X36" s="72">
        <v>1.1666666666666667</v>
      </c>
      <c r="Y36" s="72"/>
      <c r="Z36" s="72">
        <v>1.1934162828797101</v>
      </c>
      <c r="AA36" s="72"/>
      <c r="AB36" s="76">
        <f>10/36</f>
        <v>0.27777777777777779</v>
      </c>
      <c r="AC36" s="76">
        <f>4/36</f>
        <v>0.1111111111111111</v>
      </c>
      <c r="AD36" s="76">
        <f>12/36</f>
        <v>0.33333333333333331</v>
      </c>
      <c r="AE36" s="76">
        <f>5/36</f>
        <v>0.1388888888888889</v>
      </c>
      <c r="AF36" s="76">
        <f>1/36</f>
        <v>2.7777777777777776E-2</v>
      </c>
      <c r="AG36" s="76">
        <f>3/36</f>
        <v>8.3333333333333329E-2</v>
      </c>
      <c r="AH36" s="76">
        <f>7/10</f>
        <v>0.7</v>
      </c>
      <c r="AI36" s="76">
        <f>4/4</f>
        <v>1</v>
      </c>
      <c r="AJ36" s="76">
        <f>7/12</f>
        <v>0.58333333333333337</v>
      </c>
      <c r="AK36" s="76">
        <f>4/5</f>
        <v>0.8</v>
      </c>
      <c r="AL36" s="76">
        <f>1/1</f>
        <v>1</v>
      </c>
      <c r="AM36" s="76">
        <f>3/3</f>
        <v>1</v>
      </c>
      <c r="AN36" s="91">
        <v>190</v>
      </c>
      <c r="AO36" s="88">
        <f t="shared" si="4"/>
        <v>198.64999999999998</v>
      </c>
      <c r="AP36" s="72">
        <f t="shared" si="5"/>
        <v>140.46676208270767</v>
      </c>
      <c r="AQ36" s="89">
        <f t="shared" si="6"/>
        <v>46.610000000000014</v>
      </c>
      <c r="AR36" s="76">
        <f>15/44</f>
        <v>0.34090909090909088</v>
      </c>
      <c r="AS36" s="76">
        <f>4/44</f>
        <v>9.0909090909090912E-2</v>
      </c>
      <c r="AT36" s="76">
        <f>13/44</f>
        <v>0.29545454545454547</v>
      </c>
      <c r="AU36" s="76">
        <f>1/44</f>
        <v>2.2727272727272728E-2</v>
      </c>
      <c r="AV36" s="76">
        <f>2/44</f>
        <v>4.5454545454545456E-2</v>
      </c>
      <c r="AW36" s="76">
        <f>4/44</f>
        <v>9.0909090909090912E-2</v>
      </c>
      <c r="AX36" s="76">
        <f>13/15</f>
        <v>0.8666666666666667</v>
      </c>
      <c r="AY36" s="76">
        <f>4/4</f>
        <v>1</v>
      </c>
      <c r="AZ36" s="76">
        <f>9/13</f>
        <v>0.69230769230769229</v>
      </c>
      <c r="BA36" s="76">
        <f>0/1</f>
        <v>0</v>
      </c>
      <c r="BB36" s="76">
        <f>2/2</f>
        <v>1</v>
      </c>
      <c r="BC36" s="76">
        <f>3/4</f>
        <v>0.75</v>
      </c>
      <c r="BD36" s="74">
        <v>239</v>
      </c>
      <c r="BE36" s="72">
        <f t="shared" si="7"/>
        <v>147.12</v>
      </c>
      <c r="BF36" s="72">
        <f t="shared" si="8"/>
        <v>104.0295496481649</v>
      </c>
      <c r="BG36" s="89">
        <f t="shared" si="9"/>
        <v>93.06</v>
      </c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</row>
    <row r="37" spans="1:105" s="10" customFormat="1">
      <c r="A37" s="74" t="s">
        <v>125</v>
      </c>
      <c r="B37" s="74">
        <v>2003</v>
      </c>
      <c r="C37" s="74" t="s">
        <v>38</v>
      </c>
      <c r="D37" s="74">
        <v>0</v>
      </c>
      <c r="E37" s="72">
        <v>0.75</v>
      </c>
      <c r="F37" s="72">
        <v>0.65</v>
      </c>
      <c r="G37" s="74">
        <v>29</v>
      </c>
      <c r="H37" s="72">
        <v>0.67</v>
      </c>
      <c r="I37" s="74">
        <v>13</v>
      </c>
      <c r="J37" s="72">
        <f t="shared" si="0"/>
        <v>0.32999999999999996</v>
      </c>
      <c r="K37" s="74">
        <v>273.38</v>
      </c>
      <c r="L37" s="72">
        <f t="shared" si="1"/>
        <v>6.5090476190476192</v>
      </c>
      <c r="M37" s="74" t="s">
        <v>49</v>
      </c>
      <c r="N37" s="74" t="s">
        <v>50</v>
      </c>
      <c r="O37" s="74">
        <v>36</v>
      </c>
      <c r="P37" s="72">
        <f>O37/(O37+Q37)</f>
        <v>0.66666666666666663</v>
      </c>
      <c r="Q37" s="74">
        <v>18</v>
      </c>
      <c r="R37" s="72">
        <f t="shared" si="2"/>
        <v>0.33333333333333337</v>
      </c>
      <c r="S37" s="74">
        <v>523.74</v>
      </c>
      <c r="T37" s="72">
        <f t="shared" si="3"/>
        <v>9.6988888888888898</v>
      </c>
      <c r="U37" s="74" t="s">
        <v>49</v>
      </c>
      <c r="V37" s="74" t="s">
        <v>50</v>
      </c>
      <c r="W37" s="74">
        <v>299</v>
      </c>
      <c r="X37" s="72">
        <v>1.0833333333333333</v>
      </c>
      <c r="Y37" s="72"/>
      <c r="Z37" s="72">
        <v>1.164500152881315</v>
      </c>
      <c r="AA37" s="72"/>
      <c r="AB37" s="76">
        <f>14/52</f>
        <v>0.26923076923076922</v>
      </c>
      <c r="AC37" s="76">
        <f>9/52</f>
        <v>0.17307692307692307</v>
      </c>
      <c r="AD37" s="76">
        <f>21/52</f>
        <v>0.40384615384615385</v>
      </c>
      <c r="AE37" s="76">
        <f>4/52</f>
        <v>7.6923076923076927E-2</v>
      </c>
      <c r="AF37" s="76">
        <f>1/52</f>
        <v>1.9230769230769232E-2</v>
      </c>
      <c r="AG37" s="76">
        <f>11/52</f>
        <v>0.21153846153846154</v>
      </c>
      <c r="AH37" s="76">
        <f>10/14</f>
        <v>0.7142857142857143</v>
      </c>
      <c r="AI37" s="76">
        <f>7/9</f>
        <v>0.77777777777777779</v>
      </c>
      <c r="AJ37" s="76">
        <f>11/21</f>
        <v>0.52380952380952384</v>
      </c>
      <c r="AK37" s="76">
        <f>2/4</f>
        <v>0.5</v>
      </c>
      <c r="AL37" s="76">
        <v>0</v>
      </c>
      <c r="AM37" s="76">
        <f>6/11</f>
        <v>0.54545454545454541</v>
      </c>
      <c r="AN37" s="91">
        <v>237</v>
      </c>
      <c r="AO37" s="88">
        <f t="shared" si="4"/>
        <v>36.379999999999995</v>
      </c>
      <c r="AP37" s="72">
        <f t="shared" si="5"/>
        <v>25.72454469956665</v>
      </c>
      <c r="AQ37" s="89">
        <f t="shared" si="6"/>
        <v>102.03999999999999</v>
      </c>
      <c r="AR37" s="76">
        <f>11/42</f>
        <v>0.26190476190476192</v>
      </c>
      <c r="AS37" s="76">
        <f>7/42</f>
        <v>0.16666666666666666</v>
      </c>
      <c r="AT37" s="76">
        <f>11/42</f>
        <v>0.26190476190476192</v>
      </c>
      <c r="AU37" s="76">
        <f>6/42</f>
        <v>0.14285714285714285</v>
      </c>
      <c r="AV37" s="76">
        <f>3/42</f>
        <v>7.1428571428571425E-2</v>
      </c>
      <c r="AW37" s="76">
        <f>4/42</f>
        <v>9.5238095238095233E-2</v>
      </c>
      <c r="AX37" s="76">
        <f>9/11</f>
        <v>0.81818181818181823</v>
      </c>
      <c r="AY37" s="76">
        <f>6/7</f>
        <v>0.8571428571428571</v>
      </c>
      <c r="AZ37" s="76">
        <f>7/11</f>
        <v>0.63636363636363635</v>
      </c>
      <c r="BA37" s="76">
        <f>4/6</f>
        <v>0.66666666666666663</v>
      </c>
      <c r="BB37" s="76">
        <f>2/3</f>
        <v>0.66666666666666663</v>
      </c>
      <c r="BC37" s="76">
        <f>4/4</f>
        <v>1</v>
      </c>
      <c r="BD37" s="74">
        <v>301</v>
      </c>
      <c r="BE37" s="72">
        <f t="shared" si="7"/>
        <v>222.74</v>
      </c>
      <c r="BF37" s="72">
        <f t="shared" si="8"/>
        <v>157.50096444149159</v>
      </c>
      <c r="BG37" s="89">
        <f t="shared" si="9"/>
        <v>161.87</v>
      </c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</row>
    <row r="38" spans="1:105" s="10" customFormat="1">
      <c r="A38" s="74" t="s">
        <v>126</v>
      </c>
      <c r="B38" s="74">
        <v>2003</v>
      </c>
      <c r="C38" s="74" t="s">
        <v>38</v>
      </c>
      <c r="D38" s="74">
        <v>0</v>
      </c>
      <c r="E38" s="72">
        <v>0.75</v>
      </c>
      <c r="F38" s="72">
        <v>0.65</v>
      </c>
      <c r="G38" s="74">
        <v>27</v>
      </c>
      <c r="H38" s="72">
        <v>0.84</v>
      </c>
      <c r="I38" s="74">
        <v>5</v>
      </c>
      <c r="J38" s="72">
        <f t="shared" si="0"/>
        <v>0.16000000000000003</v>
      </c>
      <c r="K38" s="74">
        <v>294.79000000000002</v>
      </c>
      <c r="L38" s="72">
        <f t="shared" si="1"/>
        <v>9.2121875000000006</v>
      </c>
      <c r="M38" s="74" t="s">
        <v>49</v>
      </c>
      <c r="N38" s="74" t="s">
        <v>51</v>
      </c>
      <c r="O38" s="74">
        <v>43</v>
      </c>
      <c r="P38" s="72">
        <v>0.86</v>
      </c>
      <c r="Q38" s="74">
        <v>7</v>
      </c>
      <c r="R38" s="74">
        <f t="shared" si="2"/>
        <v>0.14000000000000001</v>
      </c>
      <c r="S38" s="74">
        <v>482.36</v>
      </c>
      <c r="T38" s="72">
        <f t="shared" si="3"/>
        <v>9.6471999999999998</v>
      </c>
      <c r="U38" s="74" t="s">
        <v>51</v>
      </c>
      <c r="V38" s="74" t="s">
        <v>51</v>
      </c>
      <c r="W38" s="74">
        <v>270</v>
      </c>
      <c r="X38" s="72">
        <v>0.16666666666666666</v>
      </c>
      <c r="Y38" s="72"/>
      <c r="Z38" s="72">
        <v>1.0298573010888745</v>
      </c>
      <c r="AA38" s="72"/>
      <c r="AB38" s="76">
        <f>10/32</f>
        <v>0.3125</v>
      </c>
      <c r="AC38" s="76">
        <f>4/32</f>
        <v>0.125</v>
      </c>
      <c r="AD38" s="76">
        <f>6/32</f>
        <v>0.1875</v>
      </c>
      <c r="AE38" s="76">
        <f>5/32</f>
        <v>0.15625</v>
      </c>
      <c r="AF38" s="76">
        <v>0</v>
      </c>
      <c r="AG38" s="76">
        <f>6/32</f>
        <v>0.1875</v>
      </c>
      <c r="AH38" s="76">
        <f>7/10</f>
        <v>0.7</v>
      </c>
      <c r="AI38" s="76">
        <f>4/4</f>
        <v>1</v>
      </c>
      <c r="AJ38" s="76">
        <f>5/6</f>
        <v>0.83333333333333337</v>
      </c>
      <c r="AK38" s="76">
        <f>5/5</f>
        <v>1</v>
      </c>
      <c r="AL38" s="76">
        <v>0</v>
      </c>
      <c r="AM38" s="76">
        <f>5/6</f>
        <v>0.83333333333333337</v>
      </c>
      <c r="AN38" s="91">
        <v>156</v>
      </c>
      <c r="AO38" s="88">
        <f t="shared" si="4"/>
        <v>138.79000000000002</v>
      </c>
      <c r="AP38" s="72">
        <f t="shared" si="5"/>
        <v>98.139350160880923</v>
      </c>
      <c r="AQ38" s="89">
        <f t="shared" si="6"/>
        <v>124.125</v>
      </c>
      <c r="AR38" s="76">
        <f>8/50</f>
        <v>0.16</v>
      </c>
      <c r="AS38" s="76">
        <f>3/50</f>
        <v>0.06</v>
      </c>
      <c r="AT38" s="76">
        <f>11/50</f>
        <v>0.22</v>
      </c>
      <c r="AU38" s="76">
        <f>3/50</f>
        <v>0.06</v>
      </c>
      <c r="AV38" s="76">
        <f>1/50</f>
        <v>0.02</v>
      </c>
      <c r="AW38" s="76">
        <f>7/50</f>
        <v>0.14000000000000001</v>
      </c>
      <c r="AX38" s="76">
        <f>7/8</f>
        <v>0.875</v>
      </c>
      <c r="AY38" s="76">
        <f>3/3</f>
        <v>1</v>
      </c>
      <c r="AZ38" s="76">
        <f>9/11</f>
        <v>0.81818181818181823</v>
      </c>
      <c r="BA38" s="76">
        <f>1/3</f>
        <v>0.33333333333333331</v>
      </c>
      <c r="BB38" s="76">
        <f>1/1</f>
        <v>1</v>
      </c>
      <c r="BC38" s="76">
        <f>6/7</f>
        <v>0.8571428571428571</v>
      </c>
      <c r="BD38" s="74">
        <v>295</v>
      </c>
      <c r="BE38" s="72">
        <f t="shared" si="7"/>
        <v>187.36</v>
      </c>
      <c r="BF38" s="72">
        <f t="shared" si="8"/>
        <v>132.48352652311155</v>
      </c>
      <c r="BG38" s="89">
        <f t="shared" si="9"/>
        <v>141.18</v>
      </c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</row>
    <row r="39" spans="1:105" s="10" customFormat="1">
      <c r="A39" s="74" t="s">
        <v>127</v>
      </c>
      <c r="B39" s="74">
        <v>2003</v>
      </c>
      <c r="C39" s="74" t="s">
        <v>38</v>
      </c>
      <c r="D39" s="74">
        <v>0</v>
      </c>
      <c r="E39" s="72">
        <v>0.7</v>
      </c>
      <c r="F39" s="72">
        <v>0.8</v>
      </c>
      <c r="G39" s="74">
        <v>38</v>
      </c>
      <c r="H39" s="72">
        <v>0.7</v>
      </c>
      <c r="I39" s="74">
        <v>16</v>
      </c>
      <c r="J39" s="72">
        <f t="shared" si="0"/>
        <v>0.30000000000000004</v>
      </c>
      <c r="K39" s="74">
        <v>376.81</v>
      </c>
      <c r="L39" s="72">
        <f t="shared" si="1"/>
        <v>6.9779629629629634</v>
      </c>
      <c r="M39" s="74" t="s">
        <v>49</v>
      </c>
      <c r="N39" s="74" t="s">
        <v>50</v>
      </c>
      <c r="O39" s="74">
        <v>23</v>
      </c>
      <c r="P39" s="72">
        <v>0.68</v>
      </c>
      <c r="Q39" s="74">
        <v>11</v>
      </c>
      <c r="R39" s="72">
        <f t="shared" si="2"/>
        <v>0.31999999999999995</v>
      </c>
      <c r="S39" s="74">
        <v>219.61</v>
      </c>
      <c r="T39" s="72">
        <f t="shared" si="3"/>
        <v>6.4591176470588243</v>
      </c>
      <c r="U39" s="74" t="s">
        <v>50</v>
      </c>
      <c r="V39" s="74" t="s">
        <v>50</v>
      </c>
      <c r="W39" s="74">
        <v>240</v>
      </c>
      <c r="X39" s="72">
        <v>1.0833333333333333</v>
      </c>
      <c r="Y39" s="72"/>
      <c r="Z39" s="72">
        <v>1.2401124093721454</v>
      </c>
      <c r="AA39" s="72"/>
      <c r="AB39" s="76">
        <f>17/52</f>
        <v>0.32692307692307693</v>
      </c>
      <c r="AC39" s="76">
        <f>5/52</f>
        <v>9.6153846153846159E-2</v>
      </c>
      <c r="AD39" s="76">
        <f>20/52</f>
        <v>0.38461538461538464</v>
      </c>
      <c r="AE39" s="76">
        <f>1/52</f>
        <v>1.9230769230769232E-2</v>
      </c>
      <c r="AF39" s="76">
        <f>1/52</f>
        <v>1.9230769230769232E-2</v>
      </c>
      <c r="AG39" s="76">
        <f>10/52</f>
        <v>0.19230769230769232</v>
      </c>
      <c r="AH39" s="76">
        <f>14/17</f>
        <v>0.82352941176470584</v>
      </c>
      <c r="AI39" s="76">
        <f>4/5</f>
        <v>0.8</v>
      </c>
      <c r="AJ39" s="76">
        <f>14/20</f>
        <v>0.7</v>
      </c>
      <c r="AK39" s="76">
        <f>0/1</f>
        <v>0</v>
      </c>
      <c r="AL39" s="76">
        <f>1/1</f>
        <v>1</v>
      </c>
      <c r="AM39" s="76">
        <f>5/10</f>
        <v>0.5</v>
      </c>
      <c r="AN39" s="91">
        <v>256</v>
      </c>
      <c r="AO39" s="88">
        <f t="shared" si="4"/>
        <v>120.81</v>
      </c>
      <c r="AP39" s="72">
        <f t="shared" si="5"/>
        <v>85.425570235146935</v>
      </c>
      <c r="AQ39" s="89">
        <f t="shared" si="6"/>
        <v>7.7150000000000034</v>
      </c>
      <c r="AR39" s="76">
        <f>12/34</f>
        <v>0.35294117647058826</v>
      </c>
      <c r="AS39" s="76">
        <f>6/34</f>
        <v>0.17647058823529413</v>
      </c>
      <c r="AT39" s="76">
        <f>10/34</f>
        <v>0.29411764705882354</v>
      </c>
      <c r="AU39" s="76">
        <f>1/34</f>
        <v>2.9411764705882353E-2</v>
      </c>
      <c r="AV39" s="76">
        <f>2/34</f>
        <v>5.8823529411764705E-2</v>
      </c>
      <c r="AW39" s="76">
        <f>6/34</f>
        <v>0.17647058823529413</v>
      </c>
      <c r="AX39" s="76">
        <f>9/12</f>
        <v>0.75</v>
      </c>
      <c r="AY39" s="76">
        <f>5/6</f>
        <v>0.83333333333333337</v>
      </c>
      <c r="AZ39" s="76">
        <f>9/10</f>
        <v>0.9</v>
      </c>
      <c r="BA39" s="76">
        <f>1/1</f>
        <v>1</v>
      </c>
      <c r="BB39" s="76">
        <f>2/2</f>
        <v>1</v>
      </c>
      <c r="BC39" s="76">
        <f>5/6</f>
        <v>0.83333333333333337</v>
      </c>
      <c r="BD39" s="74">
        <v>204</v>
      </c>
      <c r="BE39" s="72">
        <f t="shared" si="7"/>
        <v>15.610000000000014</v>
      </c>
      <c r="BF39" s="72">
        <f t="shared" si="8"/>
        <v>11.03793685432192</v>
      </c>
      <c r="BG39" s="89">
        <f t="shared" si="9"/>
        <v>9.8050000000000068</v>
      </c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</row>
    <row r="40" spans="1:105" s="10" customFormat="1">
      <c r="A40" s="74" t="s">
        <v>128</v>
      </c>
      <c r="B40" s="74">
        <v>2003</v>
      </c>
      <c r="C40" s="74" t="s">
        <v>38</v>
      </c>
      <c r="D40" s="74">
        <v>0</v>
      </c>
      <c r="E40" s="72">
        <v>0.75</v>
      </c>
      <c r="F40" s="72">
        <v>0.8</v>
      </c>
      <c r="G40" s="74">
        <v>42</v>
      </c>
      <c r="H40" s="72">
        <v>0.82</v>
      </c>
      <c r="I40" s="74">
        <v>9</v>
      </c>
      <c r="J40" s="72">
        <f t="shared" si="0"/>
        <v>0.18000000000000005</v>
      </c>
      <c r="K40" s="74">
        <v>340.78</v>
      </c>
      <c r="L40" s="72">
        <f t="shared" si="1"/>
        <v>6.6819607843137252</v>
      </c>
      <c r="M40" s="74" t="s">
        <v>52</v>
      </c>
      <c r="N40" s="74" t="s">
        <v>51</v>
      </c>
      <c r="O40" s="74">
        <v>38</v>
      </c>
      <c r="P40" s="72">
        <f t="shared" ref="P40:P46" si="12">O40/(O40+Q40)</f>
        <v>0.84444444444444444</v>
      </c>
      <c r="Q40" s="74">
        <v>7</v>
      </c>
      <c r="R40" s="72">
        <f t="shared" si="2"/>
        <v>0.15555555555555556</v>
      </c>
      <c r="S40" s="74">
        <v>287.52</v>
      </c>
      <c r="T40" s="72">
        <f t="shared" si="3"/>
        <v>6.3893333333333331</v>
      </c>
      <c r="U40" s="74" t="s">
        <v>52</v>
      </c>
      <c r="V40" s="74" t="s">
        <v>51</v>
      </c>
      <c r="W40" s="74">
        <v>312</v>
      </c>
      <c r="X40" s="72">
        <v>1.25</v>
      </c>
      <c r="Y40" s="72"/>
      <c r="Z40" s="72">
        <v>0.75377836144440913</v>
      </c>
      <c r="AA40" s="72"/>
      <c r="AB40" s="76">
        <f>12/51</f>
        <v>0.23529411764705882</v>
      </c>
      <c r="AC40" s="76">
        <f>1/51</f>
        <v>1.9607843137254902E-2</v>
      </c>
      <c r="AD40" s="76">
        <f>21/51</f>
        <v>0.41176470588235292</v>
      </c>
      <c r="AE40" s="76">
        <f>4/51</f>
        <v>7.8431372549019607E-2</v>
      </c>
      <c r="AF40" s="76">
        <f>2/51</f>
        <v>3.9215686274509803E-2</v>
      </c>
      <c r="AG40" s="76">
        <f>6/51</f>
        <v>0.11764705882352941</v>
      </c>
      <c r="AH40" s="76">
        <f>9/12</f>
        <v>0.75</v>
      </c>
      <c r="AI40" s="76">
        <f>1/1</f>
        <v>1</v>
      </c>
      <c r="AJ40" s="76">
        <f>15/21</f>
        <v>0.7142857142857143</v>
      </c>
      <c r="AK40" s="76">
        <f>2/4</f>
        <v>0.5</v>
      </c>
      <c r="AL40" s="76">
        <f>1/2</f>
        <v>0.5</v>
      </c>
      <c r="AM40" s="76">
        <f>6/6</f>
        <v>1</v>
      </c>
      <c r="AN40" s="91">
        <v>244</v>
      </c>
      <c r="AO40" s="88">
        <f t="shared" si="4"/>
        <v>96.779999999999973</v>
      </c>
      <c r="AP40" s="72">
        <f t="shared" si="5"/>
        <v>68.433794283234207</v>
      </c>
      <c r="AQ40" s="89">
        <f t="shared" si="6"/>
        <v>62.389999999999986</v>
      </c>
      <c r="AR40" s="76">
        <f>12/45</f>
        <v>0.26666666666666666</v>
      </c>
      <c r="AS40" s="76">
        <f>5/45</f>
        <v>0.1111111111111111</v>
      </c>
      <c r="AT40" s="76">
        <f>19/45</f>
        <v>0.42222222222222222</v>
      </c>
      <c r="AU40" s="76">
        <f>4/45</f>
        <v>8.8888888888888892E-2</v>
      </c>
      <c r="AV40" s="76">
        <f>1/45</f>
        <v>2.2222222222222223E-2</v>
      </c>
      <c r="AW40" s="76">
        <f>6/45</f>
        <v>0.13333333333333333</v>
      </c>
      <c r="AX40" s="76">
        <f>10/12</f>
        <v>0.83333333333333337</v>
      </c>
      <c r="AY40" s="76">
        <f>5/5</f>
        <v>1</v>
      </c>
      <c r="AZ40" s="76">
        <f>13/19</f>
        <v>0.68421052631578949</v>
      </c>
      <c r="BA40" s="76">
        <f>3/4</f>
        <v>0.75</v>
      </c>
      <c r="BB40" s="76">
        <f>1/1</f>
        <v>1</v>
      </c>
      <c r="BC40" s="76">
        <f>5/6</f>
        <v>0.83333333333333337</v>
      </c>
      <c r="BD40" s="74">
        <v>250</v>
      </c>
      <c r="BE40" s="72">
        <f t="shared" si="7"/>
        <v>37.519999999999982</v>
      </c>
      <c r="BF40" s="72">
        <f t="shared" si="8"/>
        <v>26.530646430119443</v>
      </c>
      <c r="BG40" s="89">
        <f t="shared" si="9"/>
        <v>43.759999999999991</v>
      </c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</row>
    <row r="41" spans="1:105" s="10" customFormat="1">
      <c r="A41" s="74" t="s">
        <v>129</v>
      </c>
      <c r="B41" s="74">
        <v>2003</v>
      </c>
      <c r="C41" s="74" t="s">
        <v>38</v>
      </c>
      <c r="D41" s="74">
        <v>0</v>
      </c>
      <c r="E41" s="72">
        <v>0.6</v>
      </c>
      <c r="F41" s="72">
        <v>0.75</v>
      </c>
      <c r="G41" s="74">
        <v>34</v>
      </c>
      <c r="H41" s="72">
        <v>0.69</v>
      </c>
      <c r="I41" s="74">
        <v>14</v>
      </c>
      <c r="J41" s="72">
        <f t="shared" si="0"/>
        <v>0.31000000000000005</v>
      </c>
      <c r="K41" s="74">
        <v>293.22000000000003</v>
      </c>
      <c r="L41" s="72">
        <f t="shared" si="1"/>
        <v>6.1087500000000006</v>
      </c>
      <c r="M41" s="74" t="s">
        <v>49</v>
      </c>
      <c r="N41" s="74" t="s">
        <v>50</v>
      </c>
      <c r="O41" s="74">
        <v>32</v>
      </c>
      <c r="P41" s="72">
        <f t="shared" si="12"/>
        <v>0.71111111111111114</v>
      </c>
      <c r="Q41" s="74">
        <v>13</v>
      </c>
      <c r="R41" s="72">
        <f t="shared" si="2"/>
        <v>0.28888888888888886</v>
      </c>
      <c r="S41" s="74">
        <v>325.04000000000002</v>
      </c>
      <c r="T41" s="72">
        <f t="shared" si="3"/>
        <v>7.2231111111111117</v>
      </c>
      <c r="U41" s="74" t="s">
        <v>50</v>
      </c>
      <c r="V41" s="74" t="s">
        <v>50</v>
      </c>
      <c r="W41" s="74">
        <v>306</v>
      </c>
      <c r="X41" s="72">
        <v>1.1666666666666667</v>
      </c>
      <c r="Y41" s="72"/>
      <c r="Z41" s="72">
        <v>1.3371158468430431</v>
      </c>
      <c r="AA41" s="72"/>
      <c r="AB41" s="76">
        <f>11/48</f>
        <v>0.22916666666666666</v>
      </c>
      <c r="AC41" s="76">
        <f>2/48</f>
        <v>4.1666666666666664E-2</v>
      </c>
      <c r="AD41" s="76">
        <f>14/48</f>
        <v>0.29166666666666669</v>
      </c>
      <c r="AE41" s="76">
        <f>1/48</f>
        <v>2.0833333333333332E-2</v>
      </c>
      <c r="AF41" s="76">
        <f>1/48</f>
        <v>2.0833333333333332E-2</v>
      </c>
      <c r="AG41" s="76">
        <f>5/48</f>
        <v>0.10416666666666667</v>
      </c>
      <c r="AH41" s="76">
        <f>8/11</f>
        <v>0.72727272727272729</v>
      </c>
      <c r="AI41" s="76">
        <f>1/2</f>
        <v>0.5</v>
      </c>
      <c r="AJ41" s="76">
        <f>13/14</f>
        <v>0.9285714285714286</v>
      </c>
      <c r="AK41" s="76">
        <f>1/1</f>
        <v>1</v>
      </c>
      <c r="AL41" s="76">
        <f>1/1</f>
        <v>1</v>
      </c>
      <c r="AM41" s="76">
        <f>4/5</f>
        <v>0.8</v>
      </c>
      <c r="AN41" s="91">
        <v>239</v>
      </c>
      <c r="AO41" s="88">
        <f t="shared" si="4"/>
        <v>54.220000000000027</v>
      </c>
      <c r="AP41" s="72">
        <f t="shared" si="5"/>
        <v>38.339329675934472</v>
      </c>
      <c r="AQ41" s="89">
        <f t="shared" si="6"/>
        <v>28.444999999999993</v>
      </c>
      <c r="AR41" s="76">
        <f>10/45</f>
        <v>0.22222222222222221</v>
      </c>
      <c r="AS41" s="76">
        <f>6/45</f>
        <v>0.13333333333333333</v>
      </c>
      <c r="AT41" s="76">
        <f>9/45</f>
        <v>0.2</v>
      </c>
      <c r="AU41" s="76">
        <f>1/45</f>
        <v>2.2222222222222223E-2</v>
      </c>
      <c r="AV41" s="76">
        <v>0</v>
      </c>
      <c r="AW41" s="76">
        <f>6/45</f>
        <v>0.13333333333333333</v>
      </c>
      <c r="AX41" s="76">
        <f>7/10</f>
        <v>0.7</v>
      </c>
      <c r="AY41" s="76">
        <f>6/6</f>
        <v>1</v>
      </c>
      <c r="AZ41" s="76">
        <f>8/9</f>
        <v>0.88888888888888884</v>
      </c>
      <c r="BA41" s="76">
        <f>1/1</f>
        <v>1</v>
      </c>
      <c r="BB41" s="76">
        <v>0</v>
      </c>
      <c r="BC41" s="76">
        <f>6/6</f>
        <v>1</v>
      </c>
      <c r="BD41" s="74">
        <v>219</v>
      </c>
      <c r="BE41" s="72">
        <f t="shared" si="7"/>
        <v>106.04000000000002</v>
      </c>
      <c r="BF41" s="72">
        <f t="shared" si="8"/>
        <v>74.981603077021688</v>
      </c>
      <c r="BG41" s="89">
        <f t="shared" si="9"/>
        <v>62.52000000000001</v>
      </c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</row>
    <row r="42" spans="1:105" s="10" customFormat="1">
      <c r="A42" s="74" t="s">
        <v>130</v>
      </c>
      <c r="B42" s="74">
        <v>2003</v>
      </c>
      <c r="C42" s="74" t="s">
        <v>38</v>
      </c>
      <c r="D42" s="74">
        <v>0</v>
      </c>
      <c r="E42" s="72">
        <v>0.7</v>
      </c>
      <c r="F42" s="72">
        <v>0.8</v>
      </c>
      <c r="G42" s="74">
        <v>41</v>
      </c>
      <c r="H42" s="72">
        <v>0.79</v>
      </c>
      <c r="I42" s="74">
        <v>10</v>
      </c>
      <c r="J42" s="72">
        <f>1-H42</f>
        <v>0.20999999999999996</v>
      </c>
      <c r="K42" s="74">
        <v>404.08</v>
      </c>
      <c r="L42" s="72">
        <f t="shared" si="1"/>
        <v>7.9231372549019605</v>
      </c>
      <c r="M42" s="74" t="s">
        <v>49</v>
      </c>
      <c r="N42" s="74" t="s">
        <v>50</v>
      </c>
      <c r="O42" s="74">
        <v>27</v>
      </c>
      <c r="P42" s="72">
        <f t="shared" si="12"/>
        <v>0.67500000000000004</v>
      </c>
      <c r="Q42" s="74">
        <v>13</v>
      </c>
      <c r="R42" s="72">
        <f t="shared" si="2"/>
        <v>0.32499999999999996</v>
      </c>
      <c r="S42" s="74">
        <v>324.56</v>
      </c>
      <c r="T42" s="72">
        <f t="shared" si="3"/>
        <v>8.1140000000000008</v>
      </c>
      <c r="U42" s="74" t="s">
        <v>51</v>
      </c>
      <c r="V42" s="74" t="s">
        <v>50</v>
      </c>
      <c r="W42" s="74">
        <v>312</v>
      </c>
      <c r="X42" s="72">
        <v>1.3333333333333333</v>
      </c>
      <c r="Y42" s="72"/>
      <c r="Z42" s="72">
        <v>1.556997888323046</v>
      </c>
      <c r="AA42" s="72"/>
      <c r="AB42" s="76">
        <f>10/51</f>
        <v>0.19607843137254902</v>
      </c>
      <c r="AC42" s="76">
        <f>2/51</f>
        <v>3.9215686274509803E-2</v>
      </c>
      <c r="AD42" s="76">
        <f>14/51</f>
        <v>0.27450980392156865</v>
      </c>
      <c r="AE42" s="76">
        <f>1/51</f>
        <v>1.9607843137254902E-2</v>
      </c>
      <c r="AF42" s="76">
        <f>2/51</f>
        <v>3.9215686274509803E-2</v>
      </c>
      <c r="AG42" s="76">
        <f>5/51</f>
        <v>9.8039215686274508E-2</v>
      </c>
      <c r="AH42" s="76">
        <f>8/10</f>
        <v>0.8</v>
      </c>
      <c r="AI42" s="76">
        <f>1/2</f>
        <v>0.5</v>
      </c>
      <c r="AJ42" s="76">
        <f>12/14</f>
        <v>0.8571428571428571</v>
      </c>
      <c r="AK42" s="76">
        <f>1/1</f>
        <v>1</v>
      </c>
      <c r="AL42" s="76">
        <f>2/2</f>
        <v>1</v>
      </c>
      <c r="AM42" s="76">
        <f>4/5</f>
        <v>0.8</v>
      </c>
      <c r="AN42" s="91">
        <v>247</v>
      </c>
      <c r="AO42" s="88">
        <f t="shared" si="4"/>
        <v>157.07999999999998</v>
      </c>
      <c r="AP42" s="72">
        <f t="shared" si="5"/>
        <v>111.07233318878303</v>
      </c>
      <c r="AQ42" s="89">
        <f t="shared" si="6"/>
        <v>-10.719999999999999</v>
      </c>
      <c r="AR42" s="76">
        <f>8/40</f>
        <v>0.2</v>
      </c>
      <c r="AS42" s="76">
        <f>2/40</f>
        <v>0.05</v>
      </c>
      <c r="AT42" s="76">
        <f>15/40</f>
        <v>0.375</v>
      </c>
      <c r="AU42" s="76">
        <f>3/40</f>
        <v>7.4999999999999997E-2</v>
      </c>
      <c r="AV42" s="76">
        <v>0</v>
      </c>
      <c r="AW42" s="76">
        <f>6/40</f>
        <v>0.15</v>
      </c>
      <c r="AX42" s="76">
        <f>7/8</f>
        <v>0.875</v>
      </c>
      <c r="AY42" s="76">
        <f>2/2</f>
        <v>1</v>
      </c>
      <c r="AZ42" s="76">
        <f>12/15</f>
        <v>0.8</v>
      </c>
      <c r="BA42" s="76">
        <f>2/3</f>
        <v>0.66666666666666663</v>
      </c>
      <c r="BB42" s="76">
        <v>0</v>
      </c>
      <c r="BC42" s="76">
        <f>6/6</f>
        <v>1</v>
      </c>
      <c r="BD42" s="74">
        <v>214</v>
      </c>
      <c r="BE42" s="72">
        <f t="shared" si="7"/>
        <v>110.56</v>
      </c>
      <c r="BF42" s="72">
        <f t="shared" si="8"/>
        <v>78.177725727984893</v>
      </c>
      <c r="BG42" s="89">
        <f t="shared" si="9"/>
        <v>62.28</v>
      </c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</row>
    <row r="43" spans="1:105" s="10" customFormat="1">
      <c r="A43" s="74" t="s">
        <v>131</v>
      </c>
      <c r="B43" s="74">
        <v>2003</v>
      </c>
      <c r="C43" s="74" t="s">
        <v>38</v>
      </c>
      <c r="D43" s="74">
        <v>0</v>
      </c>
      <c r="E43" s="72">
        <v>0.55000000000000004</v>
      </c>
      <c r="F43" s="72">
        <v>0.75</v>
      </c>
      <c r="G43" s="74">
        <v>30</v>
      </c>
      <c r="H43" s="72">
        <v>0.63</v>
      </c>
      <c r="I43" s="74">
        <v>18</v>
      </c>
      <c r="J43" s="72">
        <f t="shared" ref="J43:J51" si="13">1-H43</f>
        <v>0.37</v>
      </c>
      <c r="K43" s="74">
        <v>448.25</v>
      </c>
      <c r="L43" s="72">
        <f t="shared" si="1"/>
        <v>9.3385416666666661</v>
      </c>
      <c r="M43" s="74" t="s">
        <v>52</v>
      </c>
      <c r="N43" s="74" t="s">
        <v>51</v>
      </c>
      <c r="O43" s="74">
        <v>32</v>
      </c>
      <c r="P43" s="72">
        <f t="shared" si="12"/>
        <v>0.84210526315789469</v>
      </c>
      <c r="Q43" s="74">
        <v>6</v>
      </c>
      <c r="R43" s="72">
        <f t="shared" si="2"/>
        <v>0.15789473684210531</v>
      </c>
      <c r="S43" s="74">
        <v>386.11</v>
      </c>
      <c r="T43" s="72">
        <f t="shared" si="3"/>
        <v>10.160789473684211</v>
      </c>
      <c r="U43" s="74" t="s">
        <v>50</v>
      </c>
      <c r="V43" s="74" t="s">
        <v>51</v>
      </c>
      <c r="W43" s="74">
        <v>291</v>
      </c>
      <c r="X43" s="72">
        <v>0.41666666666666669</v>
      </c>
      <c r="Y43" s="72"/>
      <c r="Z43" s="72">
        <v>1.3113721705515067</v>
      </c>
      <c r="AA43" s="72"/>
      <c r="AB43" s="76">
        <f>12/48</f>
        <v>0.25</v>
      </c>
      <c r="AC43" s="76">
        <f>3/48</f>
        <v>6.25E-2</v>
      </c>
      <c r="AD43" s="76">
        <f>21/48</f>
        <v>0.4375</v>
      </c>
      <c r="AE43" s="76">
        <f>2/48</f>
        <v>4.1666666666666664E-2</v>
      </c>
      <c r="AF43" s="76">
        <f>2/48</f>
        <v>4.1666666666666664E-2</v>
      </c>
      <c r="AG43" s="76">
        <f>7/48</f>
        <v>0.14583333333333334</v>
      </c>
      <c r="AH43" s="76">
        <f>6/12</f>
        <v>0.5</v>
      </c>
      <c r="AI43" s="76">
        <f>3/3</f>
        <v>1</v>
      </c>
      <c r="AJ43" s="76">
        <f>13/21</f>
        <v>0.61904761904761907</v>
      </c>
      <c r="AK43" s="76">
        <f>2/2</f>
        <v>1</v>
      </c>
      <c r="AL43" s="76">
        <f>1/2</f>
        <v>0.5</v>
      </c>
      <c r="AM43" s="76">
        <f>4/7</f>
        <v>0.5714285714285714</v>
      </c>
      <c r="AN43" s="91">
        <v>265</v>
      </c>
      <c r="AO43" s="88">
        <f t="shared" si="4"/>
        <v>183.25</v>
      </c>
      <c r="AP43" s="72">
        <f t="shared" si="5"/>
        <v>129.57731765243483</v>
      </c>
      <c r="AQ43" s="89">
        <f t="shared" si="6"/>
        <v>3.1749999999999972</v>
      </c>
      <c r="AR43" s="76">
        <f>14/38</f>
        <v>0.36842105263157893</v>
      </c>
      <c r="AS43" s="76">
        <v>0</v>
      </c>
      <c r="AT43" s="76">
        <f>9/38</f>
        <v>0.23684210526315788</v>
      </c>
      <c r="AU43" s="76">
        <f>2/38</f>
        <v>5.2631578947368418E-2</v>
      </c>
      <c r="AV43" s="76">
        <f>1/38</f>
        <v>2.6315789473684209E-2</v>
      </c>
      <c r="AW43" s="76">
        <f>4/38</f>
        <v>0.10526315789473684</v>
      </c>
      <c r="AX43" s="76">
        <f>13/14</f>
        <v>0.9285714285714286</v>
      </c>
      <c r="AY43" s="76">
        <v>0</v>
      </c>
      <c r="AZ43" s="76">
        <f>9/9</f>
        <v>1</v>
      </c>
      <c r="BA43" s="76">
        <f>1/2</f>
        <v>0.5</v>
      </c>
      <c r="BB43" s="76">
        <f>0/1</f>
        <v>0</v>
      </c>
      <c r="BC43" s="76">
        <f>4/4</f>
        <v>1</v>
      </c>
      <c r="BD43" s="74">
        <v>162</v>
      </c>
      <c r="BE43" s="72">
        <f t="shared" si="7"/>
        <v>224.11</v>
      </c>
      <c r="BF43" s="72">
        <f t="shared" si="8"/>
        <v>158.46970073171721</v>
      </c>
      <c r="BG43" s="89">
        <f t="shared" si="9"/>
        <v>93.055000000000007</v>
      </c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</row>
    <row r="44" spans="1:105" s="10" customFormat="1">
      <c r="A44" s="74" t="s">
        <v>132</v>
      </c>
      <c r="B44" s="74">
        <v>2003</v>
      </c>
      <c r="C44" s="74" t="s">
        <v>38</v>
      </c>
      <c r="D44" s="74">
        <v>0</v>
      </c>
      <c r="E44" s="72">
        <v>0.75</v>
      </c>
      <c r="F44" s="72">
        <v>0.7</v>
      </c>
      <c r="G44" s="74">
        <v>41</v>
      </c>
      <c r="H44" s="72">
        <f t="shared" ref="H44:H46" si="14">G44/(G44+I44)</f>
        <v>0.82</v>
      </c>
      <c r="I44" s="74">
        <v>9</v>
      </c>
      <c r="J44" s="72">
        <f t="shared" si="13"/>
        <v>0.18000000000000005</v>
      </c>
      <c r="K44" s="74">
        <v>215.43</v>
      </c>
      <c r="L44" s="72">
        <f t="shared" si="1"/>
        <v>4.3086000000000002</v>
      </c>
      <c r="M44" s="74" t="s">
        <v>54</v>
      </c>
      <c r="N44" s="74" t="s">
        <v>51</v>
      </c>
      <c r="O44" s="74">
        <v>35</v>
      </c>
      <c r="P44" s="72">
        <f t="shared" si="12"/>
        <v>0.81395348837209303</v>
      </c>
      <c r="Q44" s="74">
        <v>8</v>
      </c>
      <c r="R44" s="72">
        <f t="shared" si="2"/>
        <v>0.18604651162790697</v>
      </c>
      <c r="S44" s="74">
        <v>217.32</v>
      </c>
      <c r="T44" s="72">
        <f t="shared" si="3"/>
        <v>5.0539534883720929</v>
      </c>
      <c r="U44" s="74" t="s">
        <v>52</v>
      </c>
      <c r="V44" s="74" t="s">
        <v>51</v>
      </c>
      <c r="W44" s="74">
        <v>293</v>
      </c>
      <c r="X44" s="72">
        <v>1.5833333333333333</v>
      </c>
      <c r="Y44" s="72"/>
      <c r="Z44" s="72">
        <v>1.164500152881315</v>
      </c>
      <c r="AA44" s="72"/>
      <c r="AB44" s="76">
        <f>12/50</f>
        <v>0.24</v>
      </c>
      <c r="AC44" s="76">
        <f>9/50</f>
        <v>0.18</v>
      </c>
      <c r="AD44" s="76">
        <f>12/50</f>
        <v>0.24</v>
      </c>
      <c r="AE44" s="76">
        <f>3/50</f>
        <v>0.06</v>
      </c>
      <c r="AF44" s="76">
        <v>0</v>
      </c>
      <c r="AG44" s="76">
        <f>5/50</f>
        <v>0.1</v>
      </c>
      <c r="AH44" s="76">
        <f>11/12</f>
        <v>0.91666666666666663</v>
      </c>
      <c r="AI44" s="76">
        <f>7/9</f>
        <v>0.77777777777777779</v>
      </c>
      <c r="AJ44" s="76">
        <f>7/12</f>
        <v>0.58333333333333337</v>
      </c>
      <c r="AK44" s="76">
        <f>2/3</f>
        <v>0.66666666666666663</v>
      </c>
      <c r="AL44" s="76">
        <v>0</v>
      </c>
      <c r="AM44" s="76">
        <f>4/5</f>
        <v>0.8</v>
      </c>
      <c r="AN44" s="91">
        <v>254</v>
      </c>
      <c r="AO44" s="88">
        <f t="shared" si="4"/>
        <v>-38.569999999999993</v>
      </c>
      <c r="AP44" s="72">
        <f t="shared" si="5"/>
        <v>27.273108550364999</v>
      </c>
      <c r="AQ44" s="89">
        <f t="shared" si="6"/>
        <v>110.52000000000002</v>
      </c>
      <c r="AR44" s="76">
        <f>10/43</f>
        <v>0.23255813953488372</v>
      </c>
      <c r="AS44" s="76">
        <f>8/43</f>
        <v>0.18604651162790697</v>
      </c>
      <c r="AT44" s="76">
        <f>12/43</f>
        <v>0.27906976744186046</v>
      </c>
      <c r="AU44" s="76">
        <f>3/43</f>
        <v>6.9767441860465115E-2</v>
      </c>
      <c r="AV44" s="76">
        <f>3/43</f>
        <v>6.9767441860465115E-2</v>
      </c>
      <c r="AW44" s="76">
        <f>7/43</f>
        <v>0.16279069767441862</v>
      </c>
      <c r="AX44" s="76">
        <f>9/10</f>
        <v>0.9</v>
      </c>
      <c r="AY44" s="76">
        <f>6/8</f>
        <v>0.75</v>
      </c>
      <c r="AZ44" s="76">
        <f>9/12</f>
        <v>0.75</v>
      </c>
      <c r="BA44" s="76">
        <f>2/3</f>
        <v>0.66666666666666663</v>
      </c>
      <c r="BB44" s="76">
        <f>3/3</f>
        <v>1</v>
      </c>
      <c r="BC44" s="76">
        <f>6/7</f>
        <v>0.8571428571428571</v>
      </c>
      <c r="BD44" s="74">
        <v>208</v>
      </c>
      <c r="BE44" s="72">
        <f t="shared" si="7"/>
        <v>9.3199999999999932</v>
      </c>
      <c r="BF44" s="72">
        <f t="shared" si="8"/>
        <v>6.5902352006580012</v>
      </c>
      <c r="BG44" s="89">
        <f t="shared" si="9"/>
        <v>8.6599999999999966</v>
      </c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</row>
    <row r="45" spans="1:105" s="10" customFormat="1">
      <c r="A45" s="74" t="s">
        <v>133</v>
      </c>
      <c r="B45" s="74">
        <v>2001</v>
      </c>
      <c r="C45" s="74" t="s">
        <v>38</v>
      </c>
      <c r="D45" s="74">
        <v>0</v>
      </c>
      <c r="E45" s="72">
        <v>0.9</v>
      </c>
      <c r="F45" s="72">
        <v>0.9</v>
      </c>
      <c r="G45" s="74">
        <v>26</v>
      </c>
      <c r="H45" s="72">
        <f t="shared" si="14"/>
        <v>0.83870967741935487</v>
      </c>
      <c r="I45" s="74">
        <v>5</v>
      </c>
      <c r="J45" s="72">
        <f t="shared" si="13"/>
        <v>0.16129032258064513</v>
      </c>
      <c r="K45" s="74">
        <v>324.77999999999997</v>
      </c>
      <c r="L45" s="72">
        <f t="shared" si="1"/>
        <v>10.476774193548387</v>
      </c>
      <c r="M45" s="74" t="s">
        <v>50</v>
      </c>
      <c r="N45" s="74" t="s">
        <v>51</v>
      </c>
      <c r="O45" s="74">
        <v>33</v>
      </c>
      <c r="P45" s="72">
        <f t="shared" si="12"/>
        <v>0.82499999999999996</v>
      </c>
      <c r="Q45" s="74">
        <v>7</v>
      </c>
      <c r="R45" s="72">
        <f t="shared" si="2"/>
        <v>0.17500000000000004</v>
      </c>
      <c r="S45" s="74">
        <v>178.45</v>
      </c>
      <c r="T45" s="72">
        <f t="shared" si="3"/>
        <v>4.4612499999999997</v>
      </c>
      <c r="U45" s="74" t="s">
        <v>49</v>
      </c>
      <c r="V45" s="74" t="s">
        <v>51</v>
      </c>
      <c r="W45" s="74">
        <v>294</v>
      </c>
      <c r="X45" s="72">
        <v>1.4166666666666667</v>
      </c>
      <c r="Y45" s="72"/>
      <c r="Z45" s="72">
        <v>0.79296146109875909</v>
      </c>
      <c r="AA45" s="72"/>
      <c r="AB45" s="76">
        <f>16/31</f>
        <v>0.5161290322580645</v>
      </c>
      <c r="AC45" s="76">
        <f>5/31</f>
        <v>0.16129032258064516</v>
      </c>
      <c r="AD45" s="76">
        <f>18/31</f>
        <v>0.58064516129032262</v>
      </c>
      <c r="AE45" s="76">
        <f>5/31</f>
        <v>0.16129032258064516</v>
      </c>
      <c r="AF45" s="76">
        <f>2/31</f>
        <v>6.4516129032258063E-2</v>
      </c>
      <c r="AG45" s="76">
        <f>7/31</f>
        <v>0.22580645161290322</v>
      </c>
      <c r="AH45" s="76">
        <f>14/16</f>
        <v>0.875</v>
      </c>
      <c r="AI45" s="76">
        <f>4/5</f>
        <v>0.8</v>
      </c>
      <c r="AJ45" s="76">
        <f>15/18</f>
        <v>0.83333333333333337</v>
      </c>
      <c r="AK45" s="76">
        <f>4/5</f>
        <v>0.8</v>
      </c>
      <c r="AL45" s="76">
        <f>2/2</f>
        <v>1</v>
      </c>
      <c r="AM45" s="76">
        <f>5/7</f>
        <v>0.7142857142857143</v>
      </c>
      <c r="AN45" s="91">
        <v>217</v>
      </c>
      <c r="AO45" s="88">
        <f t="shared" si="4"/>
        <v>107.77999999999997</v>
      </c>
      <c r="AP45" s="72">
        <f t="shared" si="5"/>
        <v>76.211968876285937</v>
      </c>
      <c r="AQ45" s="89">
        <f t="shared" si="6"/>
        <v>43.715000000000003</v>
      </c>
      <c r="AR45" s="76">
        <f>8/40</f>
        <v>0.2</v>
      </c>
      <c r="AS45" s="76">
        <f>4/40</f>
        <v>0.1</v>
      </c>
      <c r="AT45" s="76">
        <f>11/40</f>
        <v>0.27500000000000002</v>
      </c>
      <c r="AU45" s="76">
        <f>5/40</f>
        <v>0.125</v>
      </c>
      <c r="AV45" s="76">
        <f>1/40</f>
        <v>2.5000000000000001E-2</v>
      </c>
      <c r="AW45" s="76">
        <f>5/40</f>
        <v>0.125</v>
      </c>
      <c r="AX45" s="76">
        <f>7/8</f>
        <v>0.875</v>
      </c>
      <c r="AY45" s="76">
        <f>3/4</f>
        <v>0.75</v>
      </c>
      <c r="AZ45" s="76">
        <f>11/11</f>
        <v>1</v>
      </c>
      <c r="BA45" s="76">
        <f>5/5</f>
        <v>1</v>
      </c>
      <c r="BB45" s="76">
        <f>1/1</f>
        <v>1</v>
      </c>
      <c r="BC45" s="76">
        <f>5/5</f>
        <v>1</v>
      </c>
      <c r="BD45" s="74">
        <v>255</v>
      </c>
      <c r="BE45" s="72">
        <f t="shared" si="7"/>
        <v>-76.550000000000011</v>
      </c>
      <c r="BF45" s="72">
        <f t="shared" si="8"/>
        <v>54.129024099830197</v>
      </c>
      <c r="BG45" s="89">
        <f t="shared" si="9"/>
        <v>-10.775000000000006</v>
      </c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</row>
    <row r="46" spans="1:105" s="10" customFormat="1">
      <c r="A46" s="74" t="s">
        <v>134</v>
      </c>
      <c r="B46" s="74">
        <v>2001</v>
      </c>
      <c r="C46" s="74" t="s">
        <v>38</v>
      </c>
      <c r="D46" s="74">
        <v>0</v>
      </c>
      <c r="E46" s="72">
        <v>0.6</v>
      </c>
      <c r="F46" s="72">
        <v>0.65</v>
      </c>
      <c r="G46" s="74">
        <v>38</v>
      </c>
      <c r="H46" s="72">
        <f t="shared" si="14"/>
        <v>0.76</v>
      </c>
      <c r="I46" s="74">
        <v>12</v>
      </c>
      <c r="J46" s="72">
        <f t="shared" si="13"/>
        <v>0.24</v>
      </c>
      <c r="K46" s="74">
        <v>256.89</v>
      </c>
      <c r="L46" s="72">
        <f t="shared" si="1"/>
        <v>5.1377999999999995</v>
      </c>
      <c r="M46" s="74" t="s">
        <v>52</v>
      </c>
      <c r="N46" s="74" t="s">
        <v>50</v>
      </c>
      <c r="O46" s="74">
        <v>43</v>
      </c>
      <c r="P46" s="72">
        <f t="shared" si="12"/>
        <v>0.75438596491228072</v>
      </c>
      <c r="Q46" s="74">
        <v>14</v>
      </c>
      <c r="R46" s="72">
        <f t="shared" si="2"/>
        <v>0.24561403508771928</v>
      </c>
      <c r="S46" s="74">
        <v>351.02</v>
      </c>
      <c r="T46" s="72">
        <f t="shared" si="3"/>
        <v>6.1582456140350876</v>
      </c>
      <c r="U46" s="74" t="s">
        <v>52</v>
      </c>
      <c r="V46" s="74" t="s">
        <v>50</v>
      </c>
      <c r="W46" s="74">
        <v>215</v>
      </c>
      <c r="X46" s="72">
        <v>1.5</v>
      </c>
      <c r="Y46" s="72"/>
      <c r="Z46" s="72">
        <v>0.7977240352174656</v>
      </c>
      <c r="AA46" s="72"/>
      <c r="AB46" s="76">
        <f>14/50</f>
        <v>0.28000000000000003</v>
      </c>
      <c r="AC46" s="76">
        <f>9/50</f>
        <v>0.18</v>
      </c>
      <c r="AD46" s="76">
        <f>15/50</f>
        <v>0.3</v>
      </c>
      <c r="AE46" s="76">
        <f>2/50</f>
        <v>0.04</v>
      </c>
      <c r="AF46" s="76">
        <f>2/50</f>
        <v>0.04</v>
      </c>
      <c r="AG46" s="76">
        <f>8/50</f>
        <v>0.16</v>
      </c>
      <c r="AH46" s="76">
        <f>11/14</f>
        <v>0.7857142857142857</v>
      </c>
      <c r="AI46" s="76">
        <f>7/9</f>
        <v>0.77777777777777779</v>
      </c>
      <c r="AJ46" s="76">
        <f>11/15</f>
        <v>0.73333333333333328</v>
      </c>
      <c r="AK46" s="76">
        <f>1/2</f>
        <v>0.5</v>
      </c>
      <c r="AL46" s="76">
        <f>2/2</f>
        <v>1</v>
      </c>
      <c r="AM46" s="76">
        <f>6/8</f>
        <v>0.75</v>
      </c>
      <c r="AN46" s="91">
        <v>242</v>
      </c>
      <c r="AO46" s="88">
        <f t="shared" si="4"/>
        <v>14.889999999999986</v>
      </c>
      <c r="AP46" s="72">
        <f t="shared" si="5"/>
        <v>10.528819971867794</v>
      </c>
      <c r="AQ46" s="89">
        <f t="shared" si="6"/>
        <v>78.10499999999999</v>
      </c>
      <c r="AR46" s="76">
        <f>11/57</f>
        <v>0.19298245614035087</v>
      </c>
      <c r="AS46" s="76">
        <f>6/57</f>
        <v>0.10526315789473684</v>
      </c>
      <c r="AT46" s="76">
        <f>22/57</f>
        <v>0.38596491228070173</v>
      </c>
      <c r="AU46" s="76">
        <f>2/57</f>
        <v>3.5087719298245612E-2</v>
      </c>
      <c r="AV46" s="76">
        <f>3/57</f>
        <v>5.2631578947368418E-2</v>
      </c>
      <c r="AW46" s="76">
        <f>13/57</f>
        <v>0.22807017543859648</v>
      </c>
      <c r="AX46" s="76">
        <f>8/11</f>
        <v>0.72727272727272729</v>
      </c>
      <c r="AY46" s="76">
        <f>5/6</f>
        <v>0.83333333333333337</v>
      </c>
      <c r="AZ46" s="76">
        <f>16/22</f>
        <v>0.72727272727272729</v>
      </c>
      <c r="BA46" s="76">
        <f>1/2</f>
        <v>0.5</v>
      </c>
      <c r="BB46" s="76">
        <f>2/3</f>
        <v>0.66666666666666663</v>
      </c>
      <c r="BC46" s="76">
        <f>11/13</f>
        <v>0.84615384615384615</v>
      </c>
      <c r="BD46" s="74">
        <v>305</v>
      </c>
      <c r="BE46" s="72">
        <f t="shared" si="7"/>
        <v>46.019999999999982</v>
      </c>
      <c r="BF46" s="72">
        <f t="shared" si="8"/>
        <v>32.541054070205263</v>
      </c>
      <c r="BG46" s="89">
        <f t="shared" si="9"/>
        <v>75.509999999999991</v>
      </c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</row>
    <row r="47" spans="1:105" s="10" customFormat="1">
      <c r="A47" s="74" t="s">
        <v>135</v>
      </c>
      <c r="B47" s="74">
        <v>2001</v>
      </c>
      <c r="C47" s="74" t="s">
        <v>38</v>
      </c>
      <c r="D47" s="74">
        <v>0</v>
      </c>
      <c r="E47" s="72">
        <v>0.7</v>
      </c>
      <c r="F47" s="72">
        <v>0.6</v>
      </c>
      <c r="G47" s="74">
        <v>27</v>
      </c>
      <c r="H47" s="72">
        <f>G47/(G47+I47)</f>
        <v>0.79411764705882348</v>
      </c>
      <c r="I47" s="74">
        <v>7</v>
      </c>
      <c r="J47" s="72">
        <f t="shared" si="13"/>
        <v>0.20588235294117652</v>
      </c>
      <c r="K47" s="74">
        <v>178.56</v>
      </c>
      <c r="L47" s="72">
        <f t="shared" si="1"/>
        <v>5.2517647058823531</v>
      </c>
      <c r="M47" s="74" t="s">
        <v>49</v>
      </c>
      <c r="N47" s="74" t="s">
        <v>50</v>
      </c>
      <c r="O47" s="74">
        <v>32</v>
      </c>
      <c r="P47" s="72">
        <f>O47/(O47+Q47)</f>
        <v>0.7441860465116279</v>
      </c>
      <c r="Q47" s="74">
        <v>11</v>
      </c>
      <c r="R47" s="72">
        <f t="shared" si="2"/>
        <v>0.2558139534883721</v>
      </c>
      <c r="S47" s="74">
        <v>276.87</v>
      </c>
      <c r="T47" s="72">
        <f t="shared" si="3"/>
        <v>6.4388372093023261</v>
      </c>
      <c r="U47" s="74" t="s">
        <v>52</v>
      </c>
      <c r="V47" s="74" t="s">
        <v>50</v>
      </c>
      <c r="W47" s="74">
        <v>273</v>
      </c>
      <c r="X47" s="72">
        <v>0.25</v>
      </c>
      <c r="Y47" s="72"/>
      <c r="Z47" s="72">
        <v>1.6025547785276542</v>
      </c>
      <c r="AA47" s="72"/>
      <c r="AB47" s="76">
        <f>8/31</f>
        <v>0.25806451612903225</v>
      </c>
      <c r="AC47" s="76">
        <f>7/31</f>
        <v>0.22580645161290322</v>
      </c>
      <c r="AD47" s="76">
        <f>11/31</f>
        <v>0.35483870967741937</v>
      </c>
      <c r="AE47" s="76">
        <v>0</v>
      </c>
      <c r="AF47" s="76">
        <f>2/31</f>
        <v>6.4516129032258063E-2</v>
      </c>
      <c r="AG47" s="76">
        <f>3/31</f>
        <v>9.6774193548387094E-2</v>
      </c>
      <c r="AH47" s="76">
        <f>5/8</f>
        <v>0.625</v>
      </c>
      <c r="AI47" s="76">
        <f>6/7</f>
        <v>0.8571428571428571</v>
      </c>
      <c r="AJ47" s="76">
        <f>8/11</f>
        <v>0.72727272727272729</v>
      </c>
      <c r="AK47" s="76">
        <v>0</v>
      </c>
      <c r="AL47" s="76">
        <f>2/2</f>
        <v>1</v>
      </c>
      <c r="AM47" s="76">
        <f>1/3</f>
        <v>0.33333333333333331</v>
      </c>
      <c r="AN47" s="91">
        <v>165</v>
      </c>
      <c r="AO47" s="88">
        <f t="shared" si="4"/>
        <v>13.560000000000002</v>
      </c>
      <c r="AP47" s="72">
        <f t="shared" si="5"/>
        <v>9.5883679528897474</v>
      </c>
      <c r="AQ47" s="89">
        <f t="shared" si="6"/>
        <v>99.175000000000011</v>
      </c>
      <c r="AR47" s="76">
        <f>11/43</f>
        <v>0.2558139534883721</v>
      </c>
      <c r="AS47" s="76">
        <f>7/43</f>
        <v>0.16279069767441862</v>
      </c>
      <c r="AT47" s="76">
        <f>15/42</f>
        <v>0.35714285714285715</v>
      </c>
      <c r="AU47" s="76">
        <f>2/43</f>
        <v>4.6511627906976744E-2</v>
      </c>
      <c r="AV47" s="76">
        <f>1/43</f>
        <v>2.3255813953488372E-2</v>
      </c>
      <c r="AW47" s="76">
        <f>7/43</f>
        <v>0.16279069767441862</v>
      </c>
      <c r="AX47" s="76">
        <f>9/11</f>
        <v>0.81818181818181823</v>
      </c>
      <c r="AY47" s="76">
        <f>6/7</f>
        <v>0.8571428571428571</v>
      </c>
      <c r="AZ47" s="76">
        <f>10/15</f>
        <v>0.66666666666666663</v>
      </c>
      <c r="BA47" s="76">
        <f>2/2</f>
        <v>1</v>
      </c>
      <c r="BB47" s="76">
        <f>0/1</f>
        <v>0</v>
      </c>
      <c r="BC47" s="76">
        <f>4/7</f>
        <v>0.5714285714285714</v>
      </c>
      <c r="BD47" s="74">
        <v>230</v>
      </c>
      <c r="BE47" s="72">
        <f t="shared" si="7"/>
        <v>46.870000000000005</v>
      </c>
      <c r="BF47" s="72">
        <f t="shared" si="8"/>
        <v>33.142094834213381</v>
      </c>
      <c r="BG47" s="89">
        <f t="shared" si="9"/>
        <v>38.435000000000002</v>
      </c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</row>
    <row r="48" spans="1:105" s="10" customFormat="1">
      <c r="A48" s="74" t="s">
        <v>136</v>
      </c>
      <c r="B48" s="74">
        <v>2001</v>
      </c>
      <c r="C48" s="74" t="s">
        <v>38</v>
      </c>
      <c r="D48" s="74">
        <v>0</v>
      </c>
      <c r="E48" s="72">
        <v>0.8</v>
      </c>
      <c r="F48" s="72">
        <v>0.85</v>
      </c>
      <c r="G48" s="74">
        <v>36</v>
      </c>
      <c r="H48" s="72">
        <f t="shared" ref="H48:H51" si="15">G48/(G48+I48)</f>
        <v>0.83720930232558144</v>
      </c>
      <c r="I48" s="74">
        <v>7</v>
      </c>
      <c r="J48" s="72">
        <f t="shared" si="13"/>
        <v>0.16279069767441856</v>
      </c>
      <c r="K48" s="74">
        <v>206.35</v>
      </c>
      <c r="L48" s="72">
        <f t="shared" si="1"/>
        <v>4.7988372093023255</v>
      </c>
      <c r="M48" s="74" t="s">
        <v>49</v>
      </c>
      <c r="N48" s="74" t="s">
        <v>51</v>
      </c>
      <c r="O48" s="74">
        <v>28</v>
      </c>
      <c r="P48" s="72">
        <f t="shared" ref="P48:P50" si="16">O48/(O48+Q48)</f>
        <v>0.875</v>
      </c>
      <c r="Q48" s="74">
        <v>4</v>
      </c>
      <c r="R48" s="72">
        <f t="shared" si="2"/>
        <v>0.125</v>
      </c>
      <c r="S48" s="74">
        <v>201.34</v>
      </c>
      <c r="T48" s="72">
        <f t="shared" si="3"/>
        <v>6.2918750000000001</v>
      </c>
      <c r="U48" s="74" t="s">
        <v>49</v>
      </c>
      <c r="V48" s="74" t="s">
        <v>51</v>
      </c>
      <c r="W48" s="74">
        <v>324</v>
      </c>
      <c r="X48" s="72">
        <v>0.91666666666666663</v>
      </c>
      <c r="Y48" s="72"/>
      <c r="Z48" s="72">
        <v>0.99620491989562188</v>
      </c>
      <c r="AA48" s="72"/>
      <c r="AB48" s="76">
        <f>9/43</f>
        <v>0.20930232558139536</v>
      </c>
      <c r="AC48" s="76">
        <f>4/43</f>
        <v>9.3023255813953487E-2</v>
      </c>
      <c r="AD48" s="76">
        <f>16/43</f>
        <v>0.37209302325581395</v>
      </c>
      <c r="AE48" s="76">
        <f>3/43</f>
        <v>6.9767441860465115E-2</v>
      </c>
      <c r="AF48" s="76">
        <f>1/43</f>
        <v>2.3255813953488372E-2</v>
      </c>
      <c r="AG48" s="76">
        <f>10/43</f>
        <v>0.23255813953488372</v>
      </c>
      <c r="AH48" s="76">
        <f>8/9</f>
        <v>0.88888888888888884</v>
      </c>
      <c r="AI48" s="76">
        <f>4/4</f>
        <v>1</v>
      </c>
      <c r="AJ48" s="76">
        <f>14/16</f>
        <v>0.875</v>
      </c>
      <c r="AK48" s="76">
        <f>2/3</f>
        <v>0.66666666666666663</v>
      </c>
      <c r="AL48" s="76">
        <f>1/1</f>
        <v>1</v>
      </c>
      <c r="AM48" s="76">
        <f>8/10</f>
        <v>0.8</v>
      </c>
      <c r="AN48" s="91">
        <v>209</v>
      </c>
      <c r="AO48" s="88">
        <f t="shared" si="4"/>
        <v>-2.6500000000000057</v>
      </c>
      <c r="AP48" s="72">
        <f t="shared" si="5"/>
        <v>1.8738329701393808</v>
      </c>
      <c r="AQ48" s="89">
        <f t="shared" si="6"/>
        <v>-17.489999999999995</v>
      </c>
      <c r="AR48" s="76">
        <f>9/32</f>
        <v>0.28125</v>
      </c>
      <c r="AS48" s="76">
        <f>7/32</f>
        <v>0.21875</v>
      </c>
      <c r="AT48" s="76">
        <f>9/32</f>
        <v>0.28125</v>
      </c>
      <c r="AU48" s="76">
        <f>1/32</f>
        <v>3.125E-2</v>
      </c>
      <c r="AV48" s="76">
        <f>2/32</f>
        <v>6.25E-2</v>
      </c>
      <c r="AW48" s="76">
        <f>4/32</f>
        <v>0.125</v>
      </c>
      <c r="AX48" s="76">
        <f>8/9</f>
        <v>0.88888888888888884</v>
      </c>
      <c r="AY48" s="76">
        <f>7/7</f>
        <v>1</v>
      </c>
      <c r="AZ48" s="76">
        <f>8/9</f>
        <v>0.88888888888888884</v>
      </c>
      <c r="BA48" s="76">
        <f>1/1</f>
        <v>1</v>
      </c>
      <c r="BB48" s="76">
        <f>1/2</f>
        <v>0.5</v>
      </c>
      <c r="BC48" s="76">
        <f>3/4</f>
        <v>0.75</v>
      </c>
      <c r="BD48" s="74">
        <v>177</v>
      </c>
      <c r="BE48" s="72">
        <f t="shared" si="7"/>
        <v>24.340000000000003</v>
      </c>
      <c r="BF48" s="72">
        <f t="shared" si="8"/>
        <v>17.210979054080525</v>
      </c>
      <c r="BG48" s="89">
        <f t="shared" si="9"/>
        <v>0.67000000000000171</v>
      </c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</row>
    <row r="49" spans="1:105" s="10" customFormat="1">
      <c r="A49" s="74" t="s">
        <v>137</v>
      </c>
      <c r="B49" s="74">
        <v>2001</v>
      </c>
      <c r="C49" s="74" t="s">
        <v>38</v>
      </c>
      <c r="D49" s="74">
        <v>0</v>
      </c>
      <c r="E49" s="72">
        <v>0.65</v>
      </c>
      <c r="F49" s="72">
        <v>0.75</v>
      </c>
      <c r="G49" s="74">
        <v>43</v>
      </c>
      <c r="H49" s="72">
        <f t="shared" si="15"/>
        <v>0.84313725490196079</v>
      </c>
      <c r="I49" s="74">
        <v>8</v>
      </c>
      <c r="J49" s="72">
        <f t="shared" si="13"/>
        <v>0.15686274509803921</v>
      </c>
      <c r="K49" s="74">
        <v>421.04</v>
      </c>
      <c r="L49" s="72">
        <f t="shared" si="1"/>
        <v>8.2556862745098041</v>
      </c>
      <c r="M49" s="74" t="s">
        <v>54</v>
      </c>
      <c r="N49" s="74" t="s">
        <v>50</v>
      </c>
      <c r="O49" s="74">
        <v>26</v>
      </c>
      <c r="P49" s="72">
        <f t="shared" si="16"/>
        <v>0.78787878787878785</v>
      </c>
      <c r="Q49" s="74">
        <v>7</v>
      </c>
      <c r="R49" s="72">
        <f t="shared" si="2"/>
        <v>0.21212121212121215</v>
      </c>
      <c r="S49" s="74">
        <v>265.51</v>
      </c>
      <c r="T49" s="72">
        <f t="shared" si="3"/>
        <v>8.045757575757575</v>
      </c>
      <c r="U49" s="74" t="s">
        <v>54</v>
      </c>
      <c r="V49" s="74" t="s">
        <v>50</v>
      </c>
      <c r="W49" s="74">
        <v>270</v>
      </c>
      <c r="X49" s="72">
        <v>1.5</v>
      </c>
      <c r="Y49" s="72"/>
      <c r="Z49" s="72">
        <v>0.67419986246324204</v>
      </c>
      <c r="AA49" s="72"/>
      <c r="AB49" s="76">
        <f>16/51</f>
        <v>0.31372549019607843</v>
      </c>
      <c r="AC49" s="76">
        <f>12/51</f>
        <v>0.23529411764705882</v>
      </c>
      <c r="AD49" s="76">
        <f>26/51</f>
        <v>0.50980392156862742</v>
      </c>
      <c r="AE49" s="76">
        <f>2/51</f>
        <v>3.9215686274509803E-2</v>
      </c>
      <c r="AF49" s="76">
        <f>2/51</f>
        <v>3.9215686274509803E-2</v>
      </c>
      <c r="AG49" s="76">
        <f>9/51</f>
        <v>0.17647058823529413</v>
      </c>
      <c r="AH49" s="76">
        <f>11/16</f>
        <v>0.6875</v>
      </c>
      <c r="AI49" s="76">
        <f>9/12</f>
        <v>0.75</v>
      </c>
      <c r="AJ49" s="76">
        <f>21/26</f>
        <v>0.80769230769230771</v>
      </c>
      <c r="AK49" s="76">
        <f>1/1</f>
        <v>1</v>
      </c>
      <c r="AL49" s="76">
        <f>2/2</f>
        <v>1</v>
      </c>
      <c r="AM49" s="76">
        <f>7/9</f>
        <v>0.77777777777777779</v>
      </c>
      <c r="AN49" s="91">
        <v>248</v>
      </c>
      <c r="AO49" s="88">
        <f t="shared" si="4"/>
        <v>173.04000000000002</v>
      </c>
      <c r="AP49" s="72">
        <f t="shared" si="5"/>
        <v>122.35775741652027</v>
      </c>
      <c r="AQ49" s="89">
        <f t="shared" si="6"/>
        <v>3.6749999999999972</v>
      </c>
      <c r="AR49" s="76">
        <f>6/33</f>
        <v>0.18181818181818182</v>
      </c>
      <c r="AS49" s="76">
        <f>5/33</f>
        <v>0.15151515151515152</v>
      </c>
      <c r="AT49" s="76">
        <f>10/33</f>
        <v>0.30303030303030304</v>
      </c>
      <c r="AU49" s="76">
        <f>2/33</f>
        <v>6.0606060606060608E-2</v>
      </c>
      <c r="AV49" s="76">
        <f>1/33</f>
        <v>3.0303030303030304E-2</v>
      </c>
      <c r="AW49" s="76">
        <f>7/31</f>
        <v>0.22580645161290322</v>
      </c>
      <c r="AX49" s="76">
        <f>4/6</f>
        <v>0.66666666666666663</v>
      </c>
      <c r="AY49" s="76">
        <f>4/5</f>
        <v>0.8</v>
      </c>
      <c r="AZ49" s="76">
        <f>7/10</f>
        <v>0.7</v>
      </c>
      <c r="BA49" s="76">
        <v>0</v>
      </c>
      <c r="BB49" s="76">
        <f>1/1</f>
        <v>1</v>
      </c>
      <c r="BC49" s="76">
        <f>4/7</f>
        <v>0.5714285714285714</v>
      </c>
      <c r="BD49" s="74">
        <v>181</v>
      </c>
      <c r="BE49" s="72">
        <f t="shared" si="7"/>
        <v>84.509999999999991</v>
      </c>
      <c r="BF49" s="72">
        <f t="shared" si="8"/>
        <v>59.757594078075158</v>
      </c>
      <c r="BG49" s="89">
        <f t="shared" si="9"/>
        <v>32.754999999999995</v>
      </c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</row>
    <row r="50" spans="1:105" s="10" customFormat="1">
      <c r="A50" s="74" t="s">
        <v>138</v>
      </c>
      <c r="B50" s="74">
        <v>2001</v>
      </c>
      <c r="C50" s="74" t="s">
        <v>38</v>
      </c>
      <c r="D50" s="74">
        <v>0</v>
      </c>
      <c r="E50" s="72">
        <v>0.5</v>
      </c>
      <c r="F50" s="72">
        <v>0.6</v>
      </c>
      <c r="G50" s="74">
        <v>27</v>
      </c>
      <c r="H50" s="72">
        <f t="shared" si="15"/>
        <v>0.84375</v>
      </c>
      <c r="I50" s="74">
        <v>5</v>
      </c>
      <c r="J50" s="72">
        <f t="shared" si="13"/>
        <v>0.15625</v>
      </c>
      <c r="K50" s="74">
        <v>287.43</v>
      </c>
      <c r="L50" s="72">
        <f t="shared" si="1"/>
        <v>8.9821875000000002</v>
      </c>
      <c r="M50" s="74" t="s">
        <v>49</v>
      </c>
      <c r="N50" s="74" t="s">
        <v>51</v>
      </c>
      <c r="O50" s="74">
        <v>24</v>
      </c>
      <c r="P50" s="72">
        <f t="shared" si="16"/>
        <v>0.8</v>
      </c>
      <c r="Q50" s="74">
        <v>6</v>
      </c>
      <c r="R50" s="72">
        <f t="shared" si="2"/>
        <v>0.19999999999999996</v>
      </c>
      <c r="S50" s="74">
        <v>128.43</v>
      </c>
      <c r="T50" s="72">
        <f t="shared" si="3"/>
        <v>4.2810000000000006</v>
      </c>
      <c r="U50" s="74" t="s">
        <v>52</v>
      </c>
      <c r="V50" s="74" t="s">
        <v>51</v>
      </c>
      <c r="W50" s="74">
        <v>362</v>
      </c>
      <c r="X50" s="72">
        <v>0.83333333333333337</v>
      </c>
      <c r="Y50" s="72"/>
      <c r="Z50" s="72">
        <v>0.93743686656109204</v>
      </c>
      <c r="AA50" s="72"/>
      <c r="AB50" s="76">
        <f>12/32</f>
        <v>0.375</v>
      </c>
      <c r="AC50" s="76">
        <f>2/32</f>
        <v>6.25E-2</v>
      </c>
      <c r="AD50" s="76">
        <f>13/32</f>
        <v>0.40625</v>
      </c>
      <c r="AE50" s="76">
        <f>3/32</f>
        <v>9.375E-2</v>
      </c>
      <c r="AF50" s="76">
        <f>5/32</f>
        <v>0.15625</v>
      </c>
      <c r="AG50" s="76">
        <f>6/32</f>
        <v>0.1875</v>
      </c>
      <c r="AH50" s="76">
        <f>7/12</f>
        <v>0.58333333333333337</v>
      </c>
      <c r="AI50" s="76">
        <f>1/2</f>
        <v>0.5</v>
      </c>
      <c r="AJ50" s="76">
        <f>10/13</f>
        <v>0.76923076923076927</v>
      </c>
      <c r="AK50" s="76">
        <f>3/3</f>
        <v>1</v>
      </c>
      <c r="AL50" s="76">
        <f>4/5</f>
        <v>0.8</v>
      </c>
      <c r="AM50" s="76">
        <f>6/6</f>
        <v>1</v>
      </c>
      <c r="AN50" s="91">
        <v>198</v>
      </c>
      <c r="AO50" s="88">
        <f t="shared" si="4"/>
        <v>89.43</v>
      </c>
      <c r="AP50" s="72">
        <f t="shared" si="5"/>
        <v>63.236559441512952</v>
      </c>
      <c r="AQ50" s="89">
        <f t="shared" si="6"/>
        <v>97.740000000000009</v>
      </c>
      <c r="AR50" s="76">
        <f>8/30</f>
        <v>0.26666666666666666</v>
      </c>
      <c r="AS50" s="76">
        <f>2/30</f>
        <v>6.6666666666666666E-2</v>
      </c>
      <c r="AT50" s="76">
        <f>17/30</f>
        <v>0.56666666666666665</v>
      </c>
      <c r="AU50" s="76">
        <f>2/30</f>
        <v>6.6666666666666666E-2</v>
      </c>
      <c r="AV50" s="76">
        <f>1/30</f>
        <v>3.3333333333333333E-2</v>
      </c>
      <c r="AW50" s="76">
        <f>5/30</f>
        <v>0.16666666666666666</v>
      </c>
      <c r="AX50" s="76">
        <f>3/8</f>
        <v>0.375</v>
      </c>
      <c r="AY50" s="76">
        <f>2/2</f>
        <v>1</v>
      </c>
      <c r="AZ50" s="76">
        <f>17/17</f>
        <v>1</v>
      </c>
      <c r="BA50" s="76">
        <f>1/2</f>
        <v>0.5</v>
      </c>
      <c r="BB50" s="76">
        <f>1/1</f>
        <v>1</v>
      </c>
      <c r="BC50" s="76">
        <f>4/5</f>
        <v>0.8</v>
      </c>
      <c r="BD50" s="74">
        <v>186</v>
      </c>
      <c r="BE50" s="72">
        <f t="shared" si="7"/>
        <v>-57.569999999999993</v>
      </c>
      <c r="BF50" s="72">
        <f t="shared" si="8"/>
        <v>40.708137392909556</v>
      </c>
      <c r="BG50" s="89">
        <f t="shared" si="9"/>
        <v>-35.784999999999997</v>
      </c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</row>
    <row r="51" spans="1:105" s="10" customFormat="1">
      <c r="A51" s="74" t="s">
        <v>139</v>
      </c>
      <c r="B51" s="74">
        <v>2001</v>
      </c>
      <c r="C51" s="74" t="s">
        <v>38</v>
      </c>
      <c r="D51" s="74">
        <v>0</v>
      </c>
      <c r="E51" s="72">
        <v>0.8</v>
      </c>
      <c r="F51" s="72">
        <v>0.85</v>
      </c>
      <c r="G51" s="74">
        <v>39</v>
      </c>
      <c r="H51" s="72">
        <f t="shared" si="15"/>
        <v>0.76470588235294112</v>
      </c>
      <c r="I51" s="74">
        <v>12</v>
      </c>
      <c r="J51" s="72">
        <f t="shared" si="13"/>
        <v>0.23529411764705888</v>
      </c>
      <c r="K51" s="74">
        <v>356.21</v>
      </c>
      <c r="L51" s="72">
        <f t="shared" si="1"/>
        <v>6.9845098039215685</v>
      </c>
      <c r="M51" s="74" t="s">
        <v>52</v>
      </c>
      <c r="N51" s="74" t="s">
        <v>50</v>
      </c>
      <c r="O51" s="74">
        <v>28</v>
      </c>
      <c r="P51" s="72">
        <f>0.74</f>
        <v>0.74</v>
      </c>
      <c r="Q51" s="74">
        <v>10</v>
      </c>
      <c r="R51" s="72">
        <f t="shared" si="2"/>
        <v>0.26</v>
      </c>
      <c r="S51" s="74">
        <v>247.54</v>
      </c>
      <c r="T51" s="72">
        <f t="shared" si="3"/>
        <v>6.5142105263157895</v>
      </c>
      <c r="U51" s="74" t="s">
        <v>52</v>
      </c>
      <c r="V51" s="74" t="s">
        <v>50</v>
      </c>
      <c r="W51" s="74">
        <v>294</v>
      </c>
      <c r="X51" s="72">
        <v>8.3333333333333329E-2</v>
      </c>
      <c r="Y51" s="72"/>
      <c r="Z51" s="72">
        <v>1.0836246694508316</v>
      </c>
      <c r="AA51" s="72"/>
      <c r="AB51" s="76">
        <f>7/51</f>
        <v>0.13725490196078433</v>
      </c>
      <c r="AC51" s="76">
        <f>6/51</f>
        <v>0.11764705882352941</v>
      </c>
      <c r="AD51" s="76">
        <f>24/51</f>
        <v>0.47058823529411764</v>
      </c>
      <c r="AE51" s="76">
        <f>3/51</f>
        <v>5.8823529411764705E-2</v>
      </c>
      <c r="AF51" s="76">
        <f>2/51</f>
        <v>3.9215686274509803E-2</v>
      </c>
      <c r="AG51" s="76">
        <f>9/51</f>
        <v>0.17647058823529413</v>
      </c>
      <c r="AH51" s="76">
        <f>5/7</f>
        <v>0.7142857142857143</v>
      </c>
      <c r="AI51" s="76">
        <f>4/6</f>
        <v>0.66666666666666663</v>
      </c>
      <c r="AJ51" s="76">
        <f>18/24</f>
        <v>0.75</v>
      </c>
      <c r="AK51" s="76">
        <f>1/3</f>
        <v>0.33333333333333331</v>
      </c>
      <c r="AL51" s="76">
        <f>2/2</f>
        <v>1</v>
      </c>
      <c r="AM51" s="76">
        <f>6/9</f>
        <v>0.66666666666666663</v>
      </c>
      <c r="AN51" s="91">
        <v>246</v>
      </c>
      <c r="AO51" s="88">
        <f t="shared" si="4"/>
        <v>110.20999999999998</v>
      </c>
      <c r="AP51" s="72">
        <f t="shared" si="5"/>
        <v>77.930238354569255</v>
      </c>
      <c r="AQ51" s="89">
        <f t="shared" si="6"/>
        <v>63.175000000000011</v>
      </c>
      <c r="AR51" s="76">
        <f>9/38</f>
        <v>0.23684210526315788</v>
      </c>
      <c r="AS51" s="76">
        <f>6/38</f>
        <v>0.15789473684210525</v>
      </c>
      <c r="AT51" s="76">
        <f>10/38</f>
        <v>0.26315789473684209</v>
      </c>
      <c r="AU51" s="76">
        <f>2/38</f>
        <v>5.2631578947368418E-2</v>
      </c>
      <c r="AV51" s="76">
        <f>3/38</f>
        <v>7.8947368421052627E-2</v>
      </c>
      <c r="AW51" s="76">
        <f>8/38</f>
        <v>0.21052631578947367</v>
      </c>
      <c r="AX51" s="76">
        <f>6/9</f>
        <v>0.66666666666666663</v>
      </c>
      <c r="AY51" s="76">
        <f>5/6</f>
        <v>0.83333333333333337</v>
      </c>
      <c r="AZ51" s="76">
        <f>7/10</f>
        <v>0.7</v>
      </c>
      <c r="BA51" s="76">
        <f>1/2</f>
        <v>0.5</v>
      </c>
      <c r="BB51" s="76">
        <f>1/3</f>
        <v>0.33333333333333331</v>
      </c>
      <c r="BC51" s="76">
        <f>5/8</f>
        <v>0.625</v>
      </c>
      <c r="BD51" s="74">
        <v>203</v>
      </c>
      <c r="BE51" s="72">
        <f t="shared" si="7"/>
        <v>44.539999999999992</v>
      </c>
      <c r="BF51" s="72">
        <f t="shared" si="8"/>
        <v>31.49453603404918</v>
      </c>
      <c r="BG51" s="89">
        <f t="shared" si="9"/>
        <v>23.769999999999996</v>
      </c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</row>
    <row r="52" spans="1:105" s="10" customFormat="1">
      <c r="A52" s="74" t="s">
        <v>140</v>
      </c>
      <c r="B52" s="74">
        <v>3003</v>
      </c>
      <c r="C52" s="74" t="s">
        <v>141</v>
      </c>
      <c r="D52" s="74">
        <v>1</v>
      </c>
      <c r="E52" s="72">
        <f>12/20</f>
        <v>0.6</v>
      </c>
      <c r="F52" s="72">
        <f>15/20</f>
        <v>0.75</v>
      </c>
      <c r="G52" s="74">
        <v>30</v>
      </c>
      <c r="H52" s="72">
        <f t="shared" ref="H52:H76" si="17">G52/(G52+I52)</f>
        <v>0.88235294117647056</v>
      </c>
      <c r="I52" s="74">
        <v>4</v>
      </c>
      <c r="J52" s="72">
        <f t="shared" ref="J52:J101" si="18">1-H52</f>
        <v>0.11764705882352944</v>
      </c>
      <c r="K52" s="74">
        <v>398.35</v>
      </c>
      <c r="L52" s="72">
        <f t="shared" ref="L52:L67" si="19">K52/(G52+I52)</f>
        <v>11.716176470588236</v>
      </c>
      <c r="M52" s="74" t="s">
        <v>49</v>
      </c>
      <c r="N52" s="74" t="s">
        <v>51</v>
      </c>
      <c r="O52" s="74">
        <v>30</v>
      </c>
      <c r="P52" s="76">
        <f t="shared" ref="P52:P76" si="20">O52/(O52+Q52)</f>
        <v>0.9375</v>
      </c>
      <c r="Q52" s="74">
        <v>2</v>
      </c>
      <c r="R52" s="72">
        <f t="shared" ref="R52:R101" si="21">1-P52</f>
        <v>6.25E-2</v>
      </c>
      <c r="S52" s="74">
        <v>238.02</v>
      </c>
      <c r="T52" s="72">
        <f t="shared" ref="T52:T66" si="22">S52/(O52+Q52)</f>
        <v>7.4381250000000003</v>
      </c>
      <c r="U52" s="74" t="s">
        <v>51</v>
      </c>
      <c r="V52" s="74" t="s">
        <v>51</v>
      </c>
      <c r="W52" s="74">
        <v>291</v>
      </c>
      <c r="X52" s="72">
        <v>1.75</v>
      </c>
      <c r="Y52" s="72">
        <v>1.6666666666666667</v>
      </c>
      <c r="Z52" s="72">
        <v>0.45226701686664544</v>
      </c>
      <c r="AA52" s="72">
        <v>0.51639777949432208</v>
      </c>
      <c r="AB52" s="76">
        <f>8/34</f>
        <v>0.23529411764705882</v>
      </c>
      <c r="AC52" s="76">
        <v>0</v>
      </c>
      <c r="AD52" s="76">
        <f>13/34</f>
        <v>0.38235294117647056</v>
      </c>
      <c r="AE52" s="76">
        <f>2/34</f>
        <v>5.8823529411764705E-2</v>
      </c>
      <c r="AF52" s="76">
        <f>4/34</f>
        <v>0.11764705882352941</v>
      </c>
      <c r="AG52" s="76">
        <f>7/34</f>
        <v>0.20588235294117646</v>
      </c>
      <c r="AH52" s="76">
        <f>7/8</f>
        <v>0.875</v>
      </c>
      <c r="AI52" s="76">
        <v>0</v>
      </c>
      <c r="AJ52" s="76">
        <f>12/13</f>
        <v>0.92307692307692313</v>
      </c>
      <c r="AK52" s="76">
        <f>1/2</f>
        <v>0.5</v>
      </c>
      <c r="AL52" s="76">
        <f>3/4</f>
        <v>0.75</v>
      </c>
      <c r="AM52" s="76">
        <f>7/7</f>
        <v>1</v>
      </c>
      <c r="AN52" s="91">
        <v>175</v>
      </c>
      <c r="AO52" s="88">
        <f t="shared" si="4"/>
        <v>223.35000000000002</v>
      </c>
      <c r="AP52" s="72">
        <f t="shared" si="5"/>
        <v>157.93229957801543</v>
      </c>
      <c r="AQ52" s="89">
        <f t="shared" si="6"/>
        <v>-42.655000000000001</v>
      </c>
      <c r="AR52" s="76">
        <f>12/32</f>
        <v>0.375</v>
      </c>
      <c r="AS52" s="76">
        <f>4/32</f>
        <v>0.125</v>
      </c>
      <c r="AT52" s="76">
        <f>8/32</f>
        <v>0.25</v>
      </c>
      <c r="AU52" s="76">
        <v>0</v>
      </c>
      <c r="AV52" s="76">
        <f>2/32</f>
        <v>6.25E-2</v>
      </c>
      <c r="AW52" s="76">
        <f>6/32</f>
        <v>0.1875</v>
      </c>
      <c r="AX52" s="76">
        <f>10/12</f>
        <v>0.83333333333333337</v>
      </c>
      <c r="AY52" s="76">
        <f>4/4</f>
        <v>1</v>
      </c>
      <c r="AZ52" s="76">
        <f>8/8</f>
        <v>1</v>
      </c>
      <c r="BA52" s="76">
        <v>0</v>
      </c>
      <c r="BB52" s="76">
        <f>2/2</f>
        <v>1</v>
      </c>
      <c r="BC52" s="76">
        <f>6/6</f>
        <v>1</v>
      </c>
      <c r="BD52" s="74">
        <v>176</v>
      </c>
      <c r="BE52" s="72">
        <f t="shared" si="7"/>
        <v>62.02000000000001</v>
      </c>
      <c r="BF52" s="72">
        <f t="shared" si="8"/>
        <v>43.854762569189845</v>
      </c>
      <c r="BG52" s="89">
        <f t="shared" si="9"/>
        <v>19.010000000000005</v>
      </c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</row>
    <row r="53" spans="1:105" s="10" customFormat="1">
      <c r="A53" s="74" t="s">
        <v>142</v>
      </c>
      <c r="B53" s="74">
        <v>3003</v>
      </c>
      <c r="C53" s="74" t="s">
        <v>141</v>
      </c>
      <c r="D53" s="74">
        <v>1</v>
      </c>
      <c r="E53" s="72">
        <f>15/20</f>
        <v>0.75</v>
      </c>
      <c r="F53" s="72">
        <f>18/20</f>
        <v>0.9</v>
      </c>
      <c r="G53" s="74">
        <v>37</v>
      </c>
      <c r="H53" s="72">
        <f t="shared" si="17"/>
        <v>0.82222222222222219</v>
      </c>
      <c r="I53" s="74">
        <v>8</v>
      </c>
      <c r="J53" s="72">
        <f t="shared" si="18"/>
        <v>0.17777777777777781</v>
      </c>
      <c r="K53" s="74">
        <v>165.02</v>
      </c>
      <c r="L53" s="72">
        <f t="shared" si="19"/>
        <v>3.6671111111111112</v>
      </c>
      <c r="M53" s="74" t="s">
        <v>52</v>
      </c>
      <c r="N53" s="74" t="s">
        <v>51</v>
      </c>
      <c r="O53" s="74">
        <v>27</v>
      </c>
      <c r="P53" s="76">
        <f t="shared" si="20"/>
        <v>0.87096774193548387</v>
      </c>
      <c r="Q53" s="74">
        <v>4</v>
      </c>
      <c r="R53" s="72">
        <f t="shared" si="21"/>
        <v>0.12903225806451613</v>
      </c>
      <c r="S53" s="74">
        <v>87.69</v>
      </c>
      <c r="T53" s="72">
        <f t="shared" si="22"/>
        <v>2.8287096774193548</v>
      </c>
      <c r="U53" s="74" t="s">
        <v>51</v>
      </c>
      <c r="V53" s="74" t="s">
        <v>51</v>
      </c>
      <c r="W53" s="74">
        <v>276</v>
      </c>
      <c r="X53" s="72">
        <v>0.16666666666666666</v>
      </c>
      <c r="Y53" s="72">
        <v>1.6666666666666667</v>
      </c>
      <c r="Z53" s="72">
        <v>1.1146408580454255</v>
      </c>
      <c r="AA53" s="72">
        <v>0.51639777949432208</v>
      </c>
      <c r="AB53" s="76">
        <f>15/45</f>
        <v>0.33333333333333331</v>
      </c>
      <c r="AC53" s="76">
        <f>1/45</f>
        <v>2.2222222222222223E-2</v>
      </c>
      <c r="AD53" s="76">
        <f>18/45</f>
        <v>0.4</v>
      </c>
      <c r="AE53" s="76">
        <f>5/45</f>
        <v>0.1111111111111111</v>
      </c>
      <c r="AF53" s="76">
        <f>1/45</f>
        <v>2.2222222222222223E-2</v>
      </c>
      <c r="AG53" s="76">
        <f>5/45</f>
        <v>0.1111111111111111</v>
      </c>
      <c r="AH53" s="76">
        <f>12/15</f>
        <v>0.8</v>
      </c>
      <c r="AI53" s="76">
        <f>1/1</f>
        <v>1</v>
      </c>
      <c r="AJ53" s="76">
        <f>15/18</f>
        <v>0.83333333333333337</v>
      </c>
      <c r="AK53" s="76">
        <f>3/5</f>
        <v>0.6</v>
      </c>
      <c r="AL53" s="76">
        <f>1/1</f>
        <v>1</v>
      </c>
      <c r="AM53" s="76">
        <f>5/5</f>
        <v>1</v>
      </c>
      <c r="AN53" s="91">
        <v>232</v>
      </c>
      <c r="AO53" s="88">
        <f t="shared" si="4"/>
        <v>-66.97999999999999</v>
      </c>
      <c r="AP53" s="72">
        <f t="shared" si="5"/>
        <v>47.36201220387494</v>
      </c>
      <c r="AQ53" s="89">
        <f t="shared" si="6"/>
        <v>6.5100000000000051</v>
      </c>
      <c r="AR53" s="76">
        <f>8/31</f>
        <v>0.25806451612903225</v>
      </c>
      <c r="AS53" s="76">
        <f>3/31</f>
        <v>9.6774193548387094E-2</v>
      </c>
      <c r="AT53" s="76">
        <f>13/31</f>
        <v>0.41935483870967744</v>
      </c>
      <c r="AU53" s="76">
        <f>4/31</f>
        <v>0.12903225806451613</v>
      </c>
      <c r="AV53" s="76">
        <v>0</v>
      </c>
      <c r="AW53" s="76">
        <f>3/31</f>
        <v>9.6774193548387094E-2</v>
      </c>
      <c r="AX53" s="76">
        <f>6/8</f>
        <v>0.75</v>
      </c>
      <c r="AY53" s="76">
        <f>3/3</f>
        <v>1</v>
      </c>
      <c r="AZ53" s="76">
        <f>13/13</f>
        <v>1</v>
      </c>
      <c r="BA53" s="76">
        <f>2/4</f>
        <v>0.5</v>
      </c>
      <c r="BB53" s="76">
        <v>0</v>
      </c>
      <c r="BC53" s="76">
        <f>3/3</f>
        <v>1</v>
      </c>
      <c r="BD53" s="74">
        <v>168</v>
      </c>
      <c r="BE53" s="72">
        <f t="shared" si="7"/>
        <v>-80.31</v>
      </c>
      <c r="BF53" s="72">
        <f t="shared" si="8"/>
        <v>56.787745597091607</v>
      </c>
      <c r="BG53" s="89">
        <f t="shared" si="9"/>
        <v>-56.155000000000001</v>
      </c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</row>
    <row r="54" spans="1:105" s="10" customFormat="1">
      <c r="A54" s="74" t="s">
        <v>143</v>
      </c>
      <c r="B54" s="74">
        <v>3003</v>
      </c>
      <c r="C54" s="74" t="s">
        <v>141</v>
      </c>
      <c r="D54" s="74">
        <v>1</v>
      </c>
      <c r="E54" s="72">
        <f>17/20</f>
        <v>0.85</v>
      </c>
      <c r="F54" s="72">
        <f>14/20</f>
        <v>0.7</v>
      </c>
      <c r="G54" s="74">
        <v>24</v>
      </c>
      <c r="H54" s="72">
        <f t="shared" si="17"/>
        <v>0.8571428571428571</v>
      </c>
      <c r="I54" s="74">
        <v>4</v>
      </c>
      <c r="J54" s="72">
        <f t="shared" si="18"/>
        <v>0.1428571428571429</v>
      </c>
      <c r="K54" s="74">
        <v>207.35</v>
      </c>
      <c r="L54" s="72">
        <f t="shared" si="19"/>
        <v>7.4053571428571425</v>
      </c>
      <c r="M54" s="74" t="s">
        <v>51</v>
      </c>
      <c r="N54" s="74" t="s">
        <v>51</v>
      </c>
      <c r="O54" s="74">
        <v>33</v>
      </c>
      <c r="P54" s="76">
        <f t="shared" si="20"/>
        <v>0.91666666666666663</v>
      </c>
      <c r="Q54" s="74">
        <v>3</v>
      </c>
      <c r="R54" s="72">
        <f t="shared" si="21"/>
        <v>8.333333333333337E-2</v>
      </c>
      <c r="S54" s="74">
        <v>305.35000000000002</v>
      </c>
      <c r="T54" s="72">
        <f t="shared" si="22"/>
        <v>8.4819444444444443</v>
      </c>
      <c r="U54" s="74" t="s">
        <v>54</v>
      </c>
      <c r="V54" s="74" t="s">
        <v>51</v>
      </c>
      <c r="W54" s="74">
        <v>293</v>
      </c>
      <c r="X54" s="72">
        <v>1.4166666666666667</v>
      </c>
      <c r="Y54" s="72">
        <v>1.1666666666666667</v>
      </c>
      <c r="Z54" s="72">
        <v>0.79296146109875909</v>
      </c>
      <c r="AA54" s="72">
        <v>0.75277265270908111</v>
      </c>
      <c r="AB54" s="76">
        <f>8/28</f>
        <v>0.2857142857142857</v>
      </c>
      <c r="AC54" s="76">
        <f>3/28</f>
        <v>0.10714285714285714</v>
      </c>
      <c r="AD54" s="76">
        <f>7/28</f>
        <v>0.25</v>
      </c>
      <c r="AE54" s="76">
        <f>2/28</f>
        <v>7.1428571428571425E-2</v>
      </c>
      <c r="AF54" s="76">
        <f>1/28</f>
        <v>3.5714285714285712E-2</v>
      </c>
      <c r="AG54" s="76">
        <f>7/28</f>
        <v>0.25</v>
      </c>
      <c r="AH54" s="76">
        <f>7/8</f>
        <v>0.875</v>
      </c>
      <c r="AI54" s="76">
        <f>3/3</f>
        <v>1</v>
      </c>
      <c r="AJ54" s="76">
        <f>5/7</f>
        <v>0.7142857142857143</v>
      </c>
      <c r="AK54" s="76">
        <f>2/2</f>
        <v>1</v>
      </c>
      <c r="AL54" s="76">
        <f>0/1</f>
        <v>0</v>
      </c>
      <c r="AM54" s="76">
        <f>7/7</f>
        <v>1</v>
      </c>
      <c r="AN54" s="91">
        <v>172</v>
      </c>
      <c r="AO54" s="88">
        <f t="shared" si="4"/>
        <v>35.349999999999994</v>
      </c>
      <c r="AP54" s="72">
        <f t="shared" si="5"/>
        <v>24.996224714944141</v>
      </c>
      <c r="AQ54" s="89">
        <f t="shared" si="6"/>
        <v>-28.135000000000005</v>
      </c>
      <c r="AR54" s="76">
        <f>13/36</f>
        <v>0.3611111111111111</v>
      </c>
      <c r="AS54" s="76">
        <f>4/36</f>
        <v>0.1111111111111111</v>
      </c>
      <c r="AT54" s="76">
        <f>8/36</f>
        <v>0.22222222222222221</v>
      </c>
      <c r="AU54" s="76">
        <f>5/36</f>
        <v>0.1388888888888889</v>
      </c>
      <c r="AV54" s="76">
        <f>2/36</f>
        <v>5.5555555555555552E-2</v>
      </c>
      <c r="AW54" s="76">
        <f>4/36</f>
        <v>0.1111111111111111</v>
      </c>
      <c r="AX54" s="76">
        <f>11/13</f>
        <v>0.84615384615384615</v>
      </c>
      <c r="AY54" s="76">
        <f>4/4</f>
        <v>1</v>
      </c>
      <c r="AZ54" s="76">
        <f>7/8</f>
        <v>0.875</v>
      </c>
      <c r="BA54" s="76">
        <f>5/5</f>
        <v>1</v>
      </c>
      <c r="BB54" s="76">
        <f>2/2</f>
        <v>1</v>
      </c>
      <c r="BC54" s="76">
        <f>4/4</f>
        <v>1</v>
      </c>
      <c r="BD54" s="74">
        <v>178</v>
      </c>
      <c r="BE54" s="72">
        <f t="shared" si="7"/>
        <v>127.35000000000002</v>
      </c>
      <c r="BF54" s="72">
        <f t="shared" si="8"/>
        <v>90.050048584106804</v>
      </c>
      <c r="BG54" s="89">
        <f t="shared" si="9"/>
        <v>52.675000000000018</v>
      </c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</row>
    <row r="55" spans="1:105" s="10" customFormat="1">
      <c r="A55" s="74" t="s">
        <v>144</v>
      </c>
      <c r="B55" s="74">
        <v>3003</v>
      </c>
      <c r="C55" s="74" t="s">
        <v>141</v>
      </c>
      <c r="D55" s="74">
        <v>1</v>
      </c>
      <c r="E55" s="72">
        <f>17/20</f>
        <v>0.85</v>
      </c>
      <c r="F55" s="72">
        <f>15/20</f>
        <v>0.75</v>
      </c>
      <c r="G55" s="74">
        <v>32</v>
      </c>
      <c r="H55" s="72">
        <f t="shared" si="17"/>
        <v>0.91428571428571426</v>
      </c>
      <c r="I55" s="74">
        <v>3</v>
      </c>
      <c r="J55" s="72">
        <f t="shared" si="18"/>
        <v>8.5714285714285743E-2</v>
      </c>
      <c r="K55" s="74">
        <v>395.48</v>
      </c>
      <c r="L55" s="72">
        <f t="shared" si="19"/>
        <v>11.299428571428573</v>
      </c>
      <c r="M55" s="74" t="s">
        <v>51</v>
      </c>
      <c r="N55" s="74" t="s">
        <v>51</v>
      </c>
      <c r="O55" s="74">
        <v>30</v>
      </c>
      <c r="P55" s="76">
        <f t="shared" si="20"/>
        <v>0.75</v>
      </c>
      <c r="Q55" s="74">
        <v>10</v>
      </c>
      <c r="R55" s="72">
        <f t="shared" si="21"/>
        <v>0.25</v>
      </c>
      <c r="S55" s="74">
        <v>469.69</v>
      </c>
      <c r="T55" s="72">
        <f t="shared" si="22"/>
        <v>11.74225</v>
      </c>
      <c r="U55" s="74" t="s">
        <v>49</v>
      </c>
      <c r="V55" s="74" t="s">
        <v>50</v>
      </c>
      <c r="W55" s="74">
        <v>299</v>
      </c>
      <c r="X55" s="72">
        <v>0.58333333333333337</v>
      </c>
      <c r="Y55" s="72">
        <v>1.6666666666666667</v>
      </c>
      <c r="Z55" s="72">
        <v>1.4433756729740645</v>
      </c>
      <c r="AA55" s="72">
        <v>0.51639777949432208</v>
      </c>
      <c r="AB55" s="76">
        <f>7/35</f>
        <v>0.2</v>
      </c>
      <c r="AC55" s="76">
        <f>5/35</f>
        <v>0.14285714285714285</v>
      </c>
      <c r="AD55" s="76">
        <f>9/35</f>
        <v>0.25714285714285712</v>
      </c>
      <c r="AE55" s="76">
        <f>3/35</f>
        <v>8.5714285714285715E-2</v>
      </c>
      <c r="AF55" s="76">
        <f>3/35</f>
        <v>8.5714285714285715E-2</v>
      </c>
      <c r="AG55" s="76">
        <f>8/35</f>
        <v>0.22857142857142856</v>
      </c>
      <c r="AH55" s="76">
        <f>6/7</f>
        <v>0.8571428571428571</v>
      </c>
      <c r="AI55" s="76">
        <f>5/5</f>
        <v>1</v>
      </c>
      <c r="AJ55" s="76">
        <f>7/9</f>
        <v>0.77777777777777779</v>
      </c>
      <c r="AK55" s="76">
        <f>2/3</f>
        <v>0.66666666666666663</v>
      </c>
      <c r="AL55" s="76">
        <f>1/3</f>
        <v>0.33333333333333331</v>
      </c>
      <c r="AM55" s="76">
        <f>6/8</f>
        <v>0.75</v>
      </c>
      <c r="AN55" s="91">
        <v>204</v>
      </c>
      <c r="AO55" s="88">
        <f t="shared" si="4"/>
        <v>191.48000000000002</v>
      </c>
      <c r="AP55" s="72">
        <f t="shared" si="5"/>
        <v>135.39680646160011</v>
      </c>
      <c r="AQ55" s="89">
        <f t="shared" si="6"/>
        <v>133.67500000000001</v>
      </c>
      <c r="AR55" s="76">
        <f>11/40</f>
        <v>0.27500000000000002</v>
      </c>
      <c r="AS55" s="76">
        <f>7/40</f>
        <v>0.17499999999999999</v>
      </c>
      <c r="AT55" s="76">
        <f>15/40</f>
        <v>0.375</v>
      </c>
      <c r="AU55" s="76">
        <f>2/40</f>
        <v>0.05</v>
      </c>
      <c r="AV55" s="76">
        <v>0</v>
      </c>
      <c r="AW55" s="76">
        <f>5/40</f>
        <v>0.125</v>
      </c>
      <c r="AX55" s="76">
        <f>8/11</f>
        <v>0.72727272727272729</v>
      </c>
      <c r="AY55" s="76">
        <f>5/7</f>
        <v>0.7142857142857143</v>
      </c>
      <c r="AZ55" s="76">
        <f>13/15</f>
        <v>0.8666666666666667</v>
      </c>
      <c r="BA55" s="76">
        <f>1/2</f>
        <v>0.5</v>
      </c>
      <c r="BB55" s="76">
        <v>0</v>
      </c>
      <c r="BC55" s="76">
        <f>3/5</f>
        <v>0.6</v>
      </c>
      <c r="BD55" s="74">
        <v>215</v>
      </c>
      <c r="BE55" s="72">
        <f t="shared" si="7"/>
        <v>254.69</v>
      </c>
      <c r="BF55" s="72">
        <f t="shared" si="8"/>
        <v>180.09302610040169</v>
      </c>
      <c r="BG55" s="89">
        <f t="shared" si="9"/>
        <v>134.845</v>
      </c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05" s="10" customFormat="1">
      <c r="A56" s="74" t="s">
        <v>145</v>
      </c>
      <c r="B56" s="74">
        <v>3003</v>
      </c>
      <c r="C56" s="74" t="s">
        <v>141</v>
      </c>
      <c r="D56" s="74">
        <v>1</v>
      </c>
      <c r="E56" s="72">
        <f>13/20</f>
        <v>0.65</v>
      </c>
      <c r="F56" s="72">
        <f>15/20</f>
        <v>0.75</v>
      </c>
      <c r="G56" s="74">
        <v>30</v>
      </c>
      <c r="H56" s="72">
        <f t="shared" si="17"/>
        <v>0.81081081081081086</v>
      </c>
      <c r="I56" s="74">
        <v>7</v>
      </c>
      <c r="J56" s="72">
        <f t="shared" si="18"/>
        <v>0.18918918918918914</v>
      </c>
      <c r="K56" s="74">
        <v>326.35000000000002</v>
      </c>
      <c r="L56" s="72">
        <f t="shared" si="19"/>
        <v>8.8202702702702709</v>
      </c>
      <c r="M56" s="74" t="s">
        <v>50</v>
      </c>
      <c r="N56" s="74" t="s">
        <v>51</v>
      </c>
      <c r="O56" s="74">
        <v>28</v>
      </c>
      <c r="P56" s="76">
        <f t="shared" si="20"/>
        <v>0.93333333333333335</v>
      </c>
      <c r="Q56" s="74">
        <v>2</v>
      </c>
      <c r="R56" s="72">
        <f t="shared" si="21"/>
        <v>6.6666666666666652E-2</v>
      </c>
      <c r="S56" s="74">
        <v>218.69</v>
      </c>
      <c r="T56" s="72">
        <f t="shared" si="22"/>
        <v>7.2896666666666663</v>
      </c>
      <c r="U56" s="74" t="s">
        <v>51</v>
      </c>
      <c r="V56" s="74" t="s">
        <v>51</v>
      </c>
      <c r="W56" s="74">
        <v>294</v>
      </c>
      <c r="X56" s="72">
        <v>2</v>
      </c>
      <c r="Y56" s="72">
        <v>2</v>
      </c>
      <c r="Z56" s="72">
        <v>0</v>
      </c>
      <c r="AA56" s="72">
        <v>0</v>
      </c>
      <c r="AB56" s="76">
        <f>12/37</f>
        <v>0.32432432432432434</v>
      </c>
      <c r="AC56" s="76">
        <f>4/37</f>
        <v>0.10810810810810811</v>
      </c>
      <c r="AD56" s="76">
        <f>12/37</f>
        <v>0.32432432432432434</v>
      </c>
      <c r="AE56" s="76">
        <f>6/37</f>
        <v>0.16216216216216217</v>
      </c>
      <c r="AF56" s="76">
        <f>2/37</f>
        <v>5.4054054054054057E-2</v>
      </c>
      <c r="AG56" s="76">
        <f>1/37</f>
        <v>2.7027027027027029E-2</v>
      </c>
      <c r="AH56" s="76">
        <f>9/12</f>
        <v>0.75</v>
      </c>
      <c r="AI56" s="76">
        <f>3/4</f>
        <v>0.75</v>
      </c>
      <c r="AJ56" s="76">
        <f>9/12</f>
        <v>0.75</v>
      </c>
      <c r="AK56" s="76">
        <f>6/6</f>
        <v>1</v>
      </c>
      <c r="AL56" s="76">
        <f>2/2</f>
        <v>1</v>
      </c>
      <c r="AM56" s="76">
        <f>1/1</f>
        <v>1</v>
      </c>
      <c r="AN56" s="91">
        <v>186</v>
      </c>
      <c r="AO56" s="88">
        <f t="shared" si="4"/>
        <v>140.35000000000002</v>
      </c>
      <c r="AP56" s="72">
        <f t="shared" si="5"/>
        <v>99.242436739531939</v>
      </c>
      <c r="AQ56" s="89">
        <f t="shared" si="6"/>
        <v>208.84500000000003</v>
      </c>
      <c r="AR56" s="76">
        <f>11/30</f>
        <v>0.36666666666666664</v>
      </c>
      <c r="AS56" s="76">
        <f>3/30</f>
        <v>0.1</v>
      </c>
      <c r="AT56" s="76">
        <f>8/30</f>
        <v>0.26666666666666666</v>
      </c>
      <c r="AU56" s="76">
        <f>4/30</f>
        <v>0.13333333333333333</v>
      </c>
      <c r="AV56" s="76">
        <f>2/30</f>
        <v>6.6666666666666666E-2</v>
      </c>
      <c r="AW56" s="76">
        <f>2/30</f>
        <v>6.6666666666666666E-2</v>
      </c>
      <c r="AX56" s="76">
        <f>10/11</f>
        <v>0.90909090909090906</v>
      </c>
      <c r="AY56" s="76">
        <f>3/3</f>
        <v>1</v>
      </c>
      <c r="AZ56" s="76">
        <f>8/8</f>
        <v>1</v>
      </c>
      <c r="BA56" s="76">
        <f>4/4</f>
        <v>1</v>
      </c>
      <c r="BB56" s="76">
        <f>2/2</f>
        <v>1</v>
      </c>
      <c r="BC56" s="76">
        <f>1/2</f>
        <v>0.5</v>
      </c>
      <c r="BD56" s="74">
        <v>167</v>
      </c>
      <c r="BE56" s="72">
        <f t="shared" si="7"/>
        <v>51.69</v>
      </c>
      <c r="BF56" s="72">
        <f t="shared" si="8"/>
        <v>36.550349519532674</v>
      </c>
      <c r="BG56" s="89">
        <f t="shared" si="9"/>
        <v>9.3449999999999989</v>
      </c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</row>
    <row r="57" spans="1:105" s="10" customFormat="1">
      <c r="A57" s="74" t="s">
        <v>146</v>
      </c>
      <c r="B57" s="74">
        <v>3003</v>
      </c>
      <c r="C57" s="74" t="s">
        <v>141</v>
      </c>
      <c r="D57" s="74">
        <v>1</v>
      </c>
      <c r="E57" s="72">
        <f>15/20</f>
        <v>0.75</v>
      </c>
      <c r="F57" s="72">
        <f>14/20</f>
        <v>0.7</v>
      </c>
      <c r="G57" s="74">
        <v>26</v>
      </c>
      <c r="H57" s="72">
        <f t="shared" si="17"/>
        <v>0.89655172413793105</v>
      </c>
      <c r="I57" s="74">
        <v>3</v>
      </c>
      <c r="J57" s="72">
        <f t="shared" si="18"/>
        <v>0.10344827586206895</v>
      </c>
      <c r="K57" s="74">
        <v>114.69</v>
      </c>
      <c r="L57" s="72">
        <f t="shared" si="19"/>
        <v>3.9548275862068967</v>
      </c>
      <c r="M57" s="74" t="s">
        <v>49</v>
      </c>
      <c r="N57" s="74" t="s">
        <v>51</v>
      </c>
      <c r="O57" s="74">
        <v>30</v>
      </c>
      <c r="P57" s="76">
        <f t="shared" si="20"/>
        <v>0.8571428571428571</v>
      </c>
      <c r="Q57" s="74">
        <v>5</v>
      </c>
      <c r="R57" s="72">
        <f t="shared" si="21"/>
        <v>0.1428571428571429</v>
      </c>
      <c r="S57" s="74">
        <v>124.35</v>
      </c>
      <c r="T57" s="72">
        <f t="shared" si="22"/>
        <v>3.5528571428571425</v>
      </c>
      <c r="U57" s="74" t="s">
        <v>49</v>
      </c>
      <c r="V57" s="74" t="s">
        <v>51</v>
      </c>
      <c r="W57" s="74">
        <v>282</v>
      </c>
      <c r="X57" s="72">
        <v>2</v>
      </c>
      <c r="Y57" s="72">
        <v>2</v>
      </c>
      <c r="Z57" s="72">
        <v>0</v>
      </c>
      <c r="AA57" s="72">
        <v>0</v>
      </c>
      <c r="AB57" s="76">
        <f>5/29</f>
        <v>0.17241379310344829</v>
      </c>
      <c r="AC57" s="76">
        <f>1/29</f>
        <v>3.4482758620689655E-2</v>
      </c>
      <c r="AD57" s="76">
        <f>13/29</f>
        <v>0.44827586206896552</v>
      </c>
      <c r="AE57" s="76">
        <f>1/29</f>
        <v>3.4482758620689655E-2</v>
      </c>
      <c r="AF57" s="76">
        <v>0</v>
      </c>
      <c r="AG57" s="76">
        <f>8/29</f>
        <v>0.27586206896551724</v>
      </c>
      <c r="AH57" s="76">
        <f>5/5</f>
        <v>1</v>
      </c>
      <c r="AI57" s="76">
        <f>1/1</f>
        <v>1</v>
      </c>
      <c r="AJ57" s="76">
        <f>10/13</f>
        <v>0.76923076923076927</v>
      </c>
      <c r="AK57" s="76">
        <f>2/2</f>
        <v>1</v>
      </c>
      <c r="AL57" s="76">
        <v>0</v>
      </c>
      <c r="AM57" s="76">
        <f>8/8</f>
        <v>1</v>
      </c>
      <c r="AN57" s="91">
        <v>146</v>
      </c>
      <c r="AO57" s="88">
        <f t="shared" si="4"/>
        <v>-31.310000000000002</v>
      </c>
      <c r="AP57" s="72">
        <f t="shared" si="5"/>
        <v>22.139513318950762</v>
      </c>
      <c r="AQ57" s="89">
        <f t="shared" si="6"/>
        <v>62.175000000000011</v>
      </c>
      <c r="AR57" s="76">
        <f>9/35</f>
        <v>0.25714285714285712</v>
      </c>
      <c r="AS57" s="76">
        <f>4/35</f>
        <v>0.11428571428571428</v>
      </c>
      <c r="AT57" s="76">
        <f>14/35</f>
        <v>0.4</v>
      </c>
      <c r="AU57" s="76">
        <f>3/35</f>
        <v>8.5714285714285715E-2</v>
      </c>
      <c r="AV57" s="76">
        <v>0</v>
      </c>
      <c r="AW57" s="76">
        <f>5/35</f>
        <v>0.14285714285714285</v>
      </c>
      <c r="AX57" s="76">
        <f>7/9</f>
        <v>0.77777777777777779</v>
      </c>
      <c r="AY57" s="76">
        <f>4/4</f>
        <v>1</v>
      </c>
      <c r="AZ57" s="76">
        <f>13/14</f>
        <v>0.9285714285714286</v>
      </c>
      <c r="BA57" s="76">
        <f>1/3</f>
        <v>0.33333333333333331</v>
      </c>
      <c r="BB57" s="76">
        <v>0</v>
      </c>
      <c r="BC57" s="76">
        <f>5/5</f>
        <v>1</v>
      </c>
      <c r="BD57" s="74">
        <v>176</v>
      </c>
      <c r="BE57" s="72">
        <f t="shared" si="7"/>
        <v>-51.650000000000006</v>
      </c>
      <c r="BF57" s="72">
        <f t="shared" si="8"/>
        <v>36.522065248285102</v>
      </c>
      <c r="BG57" s="89">
        <f t="shared" si="9"/>
        <v>-37.825000000000003</v>
      </c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</row>
    <row r="58" spans="1:105" s="10" customFormat="1">
      <c r="A58" s="74" t="s">
        <v>147</v>
      </c>
      <c r="B58" s="74">
        <v>3003</v>
      </c>
      <c r="C58" s="74" t="s">
        <v>141</v>
      </c>
      <c r="D58" s="74">
        <v>1</v>
      </c>
      <c r="E58" s="72">
        <f>17/20</f>
        <v>0.85</v>
      </c>
      <c r="F58" s="72">
        <f>15/20</f>
        <v>0.75</v>
      </c>
      <c r="G58" s="74">
        <v>24</v>
      </c>
      <c r="H58" s="72">
        <f t="shared" si="17"/>
        <v>0.92307692307692313</v>
      </c>
      <c r="I58" s="74">
        <v>2</v>
      </c>
      <c r="J58" s="72">
        <f t="shared" si="18"/>
        <v>7.6923076923076872E-2</v>
      </c>
      <c r="K58" s="74">
        <v>213.02</v>
      </c>
      <c r="L58" s="72">
        <f t="shared" si="19"/>
        <v>8.1930769230769229</v>
      </c>
      <c r="M58" s="74" t="s">
        <v>49</v>
      </c>
      <c r="N58" s="74" t="s">
        <v>51</v>
      </c>
      <c r="O58" s="74">
        <v>31</v>
      </c>
      <c r="P58" s="76">
        <f t="shared" si="20"/>
        <v>0.96875</v>
      </c>
      <c r="Q58" s="74">
        <v>1</v>
      </c>
      <c r="R58" s="72">
        <f t="shared" si="21"/>
        <v>3.125E-2</v>
      </c>
      <c r="S58" s="74">
        <v>182.02</v>
      </c>
      <c r="T58" s="72">
        <f t="shared" si="22"/>
        <v>5.6881250000000003</v>
      </c>
      <c r="U58" s="74" t="s">
        <v>49</v>
      </c>
      <c r="V58" s="74" t="s">
        <v>51</v>
      </c>
      <c r="W58" s="74">
        <v>299</v>
      </c>
      <c r="X58" s="72">
        <v>2</v>
      </c>
      <c r="Y58" s="72">
        <v>2</v>
      </c>
      <c r="Z58" s="72">
        <v>0</v>
      </c>
      <c r="AA58" s="72">
        <v>0</v>
      </c>
      <c r="AB58" s="76">
        <f>10/26</f>
        <v>0.38461538461538464</v>
      </c>
      <c r="AC58" s="76">
        <f>2/26</f>
        <v>7.6923076923076927E-2</v>
      </c>
      <c r="AD58" s="76">
        <f>6/26</f>
        <v>0.23076923076923078</v>
      </c>
      <c r="AE58" s="76">
        <f>1/26</f>
        <v>3.8461538461538464E-2</v>
      </c>
      <c r="AF58" s="76">
        <f>1/26</f>
        <v>3.8461538461538464E-2</v>
      </c>
      <c r="AG58" s="76">
        <f>6/26</f>
        <v>0.23076923076923078</v>
      </c>
      <c r="AH58" s="76">
        <f>10/10</f>
        <v>1</v>
      </c>
      <c r="AI58" s="76">
        <f>2/2</f>
        <v>1</v>
      </c>
      <c r="AJ58" s="76">
        <f>6/6</f>
        <v>1</v>
      </c>
      <c r="AK58" s="76">
        <f>0/1</f>
        <v>0</v>
      </c>
      <c r="AL58" s="76">
        <f>1/1</f>
        <v>1</v>
      </c>
      <c r="AM58" s="76">
        <f>5/6</f>
        <v>0.83333333333333337</v>
      </c>
      <c r="AN58" s="91">
        <v>142</v>
      </c>
      <c r="AO58" s="88">
        <f t="shared" si="4"/>
        <v>71.02000000000001</v>
      </c>
      <c r="AP58" s="72">
        <f t="shared" si="5"/>
        <v>50.218723599868753</v>
      </c>
      <c r="AQ58" s="89">
        <f t="shared" si="6"/>
        <v>13.349999999999994</v>
      </c>
      <c r="AR58" s="76">
        <f>12/32</f>
        <v>0.375</v>
      </c>
      <c r="AS58" s="76">
        <f>3/32</f>
        <v>9.375E-2</v>
      </c>
      <c r="AT58" s="76">
        <f>9/32</f>
        <v>0.28125</v>
      </c>
      <c r="AU58" s="76">
        <f>3/32</f>
        <v>9.375E-2</v>
      </c>
      <c r="AV58" s="76">
        <f>2/32</f>
        <v>6.25E-2</v>
      </c>
      <c r="AW58" s="76">
        <f>3/32</f>
        <v>9.375E-2</v>
      </c>
      <c r="AX58" s="76">
        <f>11/12</f>
        <v>0.91666666666666663</v>
      </c>
      <c r="AY58" s="76">
        <f>3/3</f>
        <v>1</v>
      </c>
      <c r="AZ58" s="76">
        <f>9/9</f>
        <v>1</v>
      </c>
      <c r="BA58" s="76">
        <f>3/3</f>
        <v>1</v>
      </c>
      <c r="BB58" s="76">
        <f>2/2</f>
        <v>1</v>
      </c>
      <c r="BC58" s="76">
        <f>3/3</f>
        <v>1</v>
      </c>
      <c r="BD58" s="74">
        <v>189</v>
      </c>
      <c r="BE58" s="72">
        <f t="shared" si="7"/>
        <v>-6.9799999999999898</v>
      </c>
      <c r="BF58" s="72">
        <f t="shared" si="8"/>
        <v>4.9356053326831226</v>
      </c>
      <c r="BG58" s="89">
        <f t="shared" si="9"/>
        <v>-8.9899999999999949</v>
      </c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</row>
    <row r="59" spans="1:105" s="10" customFormat="1">
      <c r="A59" s="74" t="s">
        <v>148</v>
      </c>
      <c r="B59" s="74">
        <v>3003</v>
      </c>
      <c r="C59" s="74" t="s">
        <v>141</v>
      </c>
      <c r="D59" s="74">
        <v>1</v>
      </c>
      <c r="E59" s="72">
        <f>15/20</f>
        <v>0.75</v>
      </c>
      <c r="F59" s="72">
        <f>11/20</f>
        <v>0.55000000000000004</v>
      </c>
      <c r="G59" s="74">
        <v>27</v>
      </c>
      <c r="H59" s="72">
        <f t="shared" si="17"/>
        <v>0.84375</v>
      </c>
      <c r="I59" s="74">
        <v>5</v>
      </c>
      <c r="J59" s="72">
        <f t="shared" si="18"/>
        <v>0.15625</v>
      </c>
      <c r="K59" s="74">
        <v>143.72999999999999</v>
      </c>
      <c r="L59" s="72">
        <f t="shared" si="19"/>
        <v>4.4915624999999997</v>
      </c>
      <c r="M59" s="74" t="s">
        <v>49</v>
      </c>
      <c r="N59" s="74" t="s">
        <v>51</v>
      </c>
      <c r="O59" s="74">
        <v>34</v>
      </c>
      <c r="P59" s="76">
        <f t="shared" si="20"/>
        <v>0.80952380952380953</v>
      </c>
      <c r="Q59" s="74">
        <v>8</v>
      </c>
      <c r="R59" s="72">
        <f t="shared" si="21"/>
        <v>0.19047619047619047</v>
      </c>
      <c r="S59" s="74">
        <v>169.35</v>
      </c>
      <c r="T59" s="72">
        <f t="shared" si="22"/>
        <v>4.0321428571428566</v>
      </c>
      <c r="U59" s="74" t="s">
        <v>49</v>
      </c>
      <c r="V59" s="74" t="s">
        <v>51</v>
      </c>
      <c r="W59" s="74">
        <v>299</v>
      </c>
      <c r="X59" s="72">
        <v>2</v>
      </c>
      <c r="Y59" s="72">
        <v>2</v>
      </c>
      <c r="Z59" s="72">
        <v>0</v>
      </c>
      <c r="AA59" s="72">
        <v>0</v>
      </c>
      <c r="AB59" s="76">
        <f>8/32</f>
        <v>0.25</v>
      </c>
      <c r="AC59" s="76">
        <f>1/32</f>
        <v>3.125E-2</v>
      </c>
      <c r="AD59" s="76">
        <f>9/32</f>
        <v>0.28125</v>
      </c>
      <c r="AE59" s="76">
        <f>5/32</f>
        <v>0.15625</v>
      </c>
      <c r="AF59" s="76">
        <f>2/32</f>
        <v>6.25E-2</v>
      </c>
      <c r="AG59" s="76">
        <f>7/32</f>
        <v>0.21875</v>
      </c>
      <c r="AH59" s="76">
        <f>5/8</f>
        <v>0.625</v>
      </c>
      <c r="AI59" s="76">
        <f>1/1</f>
        <v>1</v>
      </c>
      <c r="AJ59" s="76">
        <f>9/9</f>
        <v>1</v>
      </c>
      <c r="AK59" s="76">
        <f>5/5</f>
        <v>1</v>
      </c>
      <c r="AL59" s="76">
        <f>1/2</f>
        <v>0.5</v>
      </c>
      <c r="AM59" s="76">
        <f>6/7</f>
        <v>0.8571428571428571</v>
      </c>
      <c r="AN59" s="88">
        <v>158</v>
      </c>
      <c r="AO59" s="88">
        <f t="shared" si="4"/>
        <v>-14.27000000000001</v>
      </c>
      <c r="AP59" s="72">
        <f t="shared" si="5"/>
        <v>10.090413767531595</v>
      </c>
      <c r="AQ59" s="89">
        <f t="shared" si="6"/>
        <v>-10.840000000000003</v>
      </c>
      <c r="AR59" s="76">
        <f>12/42</f>
        <v>0.2857142857142857</v>
      </c>
      <c r="AS59" s="76">
        <f>5/42</f>
        <v>0.11904761904761904</v>
      </c>
      <c r="AT59" s="76">
        <f>15/42</f>
        <v>0.35714285714285715</v>
      </c>
      <c r="AU59" s="76">
        <f>3/42</f>
        <v>7.1428571428571425E-2</v>
      </c>
      <c r="AV59" s="76">
        <v>0</v>
      </c>
      <c r="AW59" s="76">
        <f>7/42</f>
        <v>0.16666666666666666</v>
      </c>
      <c r="AX59" s="76">
        <f>8/12</f>
        <v>0.66666666666666663</v>
      </c>
      <c r="AY59" s="76">
        <f>4/5</f>
        <v>0.8</v>
      </c>
      <c r="AZ59" s="76">
        <f>14/15</f>
        <v>0.93333333333333335</v>
      </c>
      <c r="BA59" s="76">
        <f>2/3</f>
        <v>0.66666666666666663</v>
      </c>
      <c r="BB59" s="76">
        <v>0</v>
      </c>
      <c r="BC59" s="76">
        <f>6/7</f>
        <v>0.8571428571428571</v>
      </c>
      <c r="BD59" s="74">
        <v>207</v>
      </c>
      <c r="BE59" s="72">
        <f t="shared" si="7"/>
        <v>-37.650000000000006</v>
      </c>
      <c r="BF59" s="72">
        <f t="shared" si="8"/>
        <v>26.622570311673439</v>
      </c>
      <c r="BG59" s="89">
        <f t="shared" si="9"/>
        <v>-15.325000000000003</v>
      </c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</row>
    <row r="60" spans="1:105" s="10" customFormat="1">
      <c r="A60" s="74" t="s">
        <v>149</v>
      </c>
      <c r="B60" s="74">
        <v>3003</v>
      </c>
      <c r="C60" s="74" t="s">
        <v>141</v>
      </c>
      <c r="D60" s="74">
        <v>1</v>
      </c>
      <c r="E60" s="72">
        <f>15/20</f>
        <v>0.75</v>
      </c>
      <c r="F60" s="72">
        <f>13/20</f>
        <v>0.65</v>
      </c>
      <c r="G60" s="74">
        <v>31</v>
      </c>
      <c r="H60" s="72">
        <f t="shared" si="17"/>
        <v>0.88571428571428568</v>
      </c>
      <c r="I60" s="74">
        <v>4</v>
      </c>
      <c r="J60" s="72">
        <f t="shared" si="18"/>
        <v>0.11428571428571432</v>
      </c>
      <c r="K60" s="74">
        <v>467.35</v>
      </c>
      <c r="L60" s="72">
        <f t="shared" si="19"/>
        <v>13.352857142857143</v>
      </c>
      <c r="M60" s="74" t="s">
        <v>49</v>
      </c>
      <c r="N60" s="74" t="s">
        <v>51</v>
      </c>
      <c r="O60" s="74">
        <v>30</v>
      </c>
      <c r="P60" s="76">
        <f t="shared" si="20"/>
        <v>0.9375</v>
      </c>
      <c r="Q60" s="74">
        <v>2</v>
      </c>
      <c r="R60" s="72">
        <f t="shared" si="21"/>
        <v>6.25E-2</v>
      </c>
      <c r="S60" s="74">
        <v>201.69</v>
      </c>
      <c r="T60" s="72">
        <f t="shared" si="22"/>
        <v>6.3028124999999999</v>
      </c>
      <c r="U60" s="74" t="s">
        <v>51</v>
      </c>
      <c r="V60" s="74" t="s">
        <v>51</v>
      </c>
      <c r="W60" s="74">
        <v>291</v>
      </c>
      <c r="X60" s="72">
        <v>0.91666666666666663</v>
      </c>
      <c r="Y60" s="72">
        <v>1</v>
      </c>
      <c r="Z60" s="72">
        <v>1.164500152881315</v>
      </c>
      <c r="AA60" s="72">
        <v>0.89442719099991586</v>
      </c>
      <c r="AB60" s="76">
        <f>9/35</f>
        <v>0.25714285714285712</v>
      </c>
      <c r="AC60" s="76">
        <f>1/35</f>
        <v>2.8571428571428571E-2</v>
      </c>
      <c r="AD60" s="76">
        <f>16/35</f>
        <v>0.45714285714285713</v>
      </c>
      <c r="AE60" s="76">
        <v>0</v>
      </c>
      <c r="AF60" s="76">
        <f>1/35</f>
        <v>2.8571428571428571E-2</v>
      </c>
      <c r="AG60" s="76">
        <f>8/35</f>
        <v>0.22857142857142856</v>
      </c>
      <c r="AH60" s="76">
        <f>9/9</f>
        <v>1</v>
      </c>
      <c r="AI60" s="76">
        <f>1/1</f>
        <v>1</v>
      </c>
      <c r="AJ60" s="76">
        <f>13/16</f>
        <v>0.8125</v>
      </c>
      <c r="AK60" s="76">
        <v>0</v>
      </c>
      <c r="AL60" s="76">
        <f>1/1</f>
        <v>1</v>
      </c>
      <c r="AM60" s="76">
        <f>7/8</f>
        <v>0.875</v>
      </c>
      <c r="AN60" s="88">
        <v>204</v>
      </c>
      <c r="AO60" s="88">
        <f t="shared" si="4"/>
        <v>263.35000000000002</v>
      </c>
      <c r="AP60" s="72">
        <f t="shared" si="5"/>
        <v>186.21657082547733</v>
      </c>
      <c r="AQ60" s="89">
        <f t="shared" si="6"/>
        <v>55.175000000000004</v>
      </c>
      <c r="AR60" s="76">
        <f>6/32</f>
        <v>0.1875</v>
      </c>
      <c r="AS60" s="76">
        <f>1/32</f>
        <v>3.125E-2</v>
      </c>
      <c r="AT60" s="76">
        <f>12/32</f>
        <v>0.375</v>
      </c>
      <c r="AU60" s="76">
        <f>4/32</f>
        <v>0.125</v>
      </c>
      <c r="AV60" s="76">
        <f>2/32</f>
        <v>6.25E-2</v>
      </c>
      <c r="AW60" s="76">
        <f>7/32</f>
        <v>0.21875</v>
      </c>
      <c r="AX60" s="76">
        <f>6/6</f>
        <v>1</v>
      </c>
      <c r="AY60" s="76">
        <f>0/1</f>
        <v>0</v>
      </c>
      <c r="AZ60" s="76">
        <f>12/12</f>
        <v>1</v>
      </c>
      <c r="BA60" s="76">
        <f>3/4</f>
        <v>0.75</v>
      </c>
      <c r="BB60" s="76">
        <f>2/2</f>
        <v>1</v>
      </c>
      <c r="BC60" s="76">
        <f>7/7</f>
        <v>1</v>
      </c>
      <c r="BD60" s="74">
        <v>184</v>
      </c>
      <c r="BE60" s="72">
        <f t="shared" si="7"/>
        <v>17.689999999999998</v>
      </c>
      <c r="BF60" s="72">
        <f t="shared" si="8"/>
        <v>12.508718959190441</v>
      </c>
      <c r="BG60" s="89">
        <f t="shared" si="9"/>
        <v>0.84499999999999886</v>
      </c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</row>
    <row r="61" spans="1:105" s="10" customFormat="1">
      <c r="A61" s="72" t="s">
        <v>150</v>
      </c>
      <c r="B61" s="74">
        <v>3003</v>
      </c>
      <c r="C61" s="72" t="s">
        <v>141</v>
      </c>
      <c r="D61" s="74">
        <v>1</v>
      </c>
      <c r="E61" s="72">
        <f>12/20</f>
        <v>0.6</v>
      </c>
      <c r="F61" s="72">
        <f>15/20</f>
        <v>0.75</v>
      </c>
      <c r="G61" s="74">
        <v>37</v>
      </c>
      <c r="H61" s="72">
        <f t="shared" si="17"/>
        <v>0.72549019607843135</v>
      </c>
      <c r="I61" s="74">
        <v>14</v>
      </c>
      <c r="J61" s="72">
        <f t="shared" si="18"/>
        <v>0.27450980392156865</v>
      </c>
      <c r="K61" s="74">
        <v>617.69000000000005</v>
      </c>
      <c r="L61" s="72">
        <f t="shared" si="19"/>
        <v>12.111568627450982</v>
      </c>
      <c r="M61" s="74" t="s">
        <v>52</v>
      </c>
      <c r="N61" s="74" t="s">
        <v>50</v>
      </c>
      <c r="O61" s="74">
        <v>28</v>
      </c>
      <c r="P61" s="76">
        <f t="shared" si="20"/>
        <v>0.84848484848484851</v>
      </c>
      <c r="Q61" s="74">
        <v>5</v>
      </c>
      <c r="R61" s="72">
        <f t="shared" si="21"/>
        <v>0.15151515151515149</v>
      </c>
      <c r="S61" s="74">
        <v>304.02</v>
      </c>
      <c r="T61" s="72">
        <f t="shared" si="22"/>
        <v>9.2127272727272729</v>
      </c>
      <c r="U61" s="74" t="s">
        <v>50</v>
      </c>
      <c r="V61" s="74" t="s">
        <v>51</v>
      </c>
      <c r="W61" s="74">
        <v>282</v>
      </c>
      <c r="X61" s="72">
        <v>1.75</v>
      </c>
      <c r="Y61" s="72">
        <v>1.8333333333333333</v>
      </c>
      <c r="Z61" s="72">
        <v>0.45226701686664544</v>
      </c>
      <c r="AA61" s="72">
        <v>0.40824829046386274</v>
      </c>
      <c r="AB61" s="76">
        <f>16/51</f>
        <v>0.31372549019607843</v>
      </c>
      <c r="AC61" s="76">
        <f>3/51</f>
        <v>5.8823529411764705E-2</v>
      </c>
      <c r="AD61" s="76">
        <f>23/51</f>
        <v>0.45098039215686275</v>
      </c>
      <c r="AE61" s="76">
        <f>3/51</f>
        <v>5.8823529411764705E-2</v>
      </c>
      <c r="AF61" s="76">
        <f>2/51</f>
        <v>3.9215686274509803E-2</v>
      </c>
      <c r="AG61" s="76">
        <f>4/51</f>
        <v>7.8431372549019607E-2</v>
      </c>
      <c r="AH61" s="76">
        <f>11/16</f>
        <v>0.6875</v>
      </c>
      <c r="AI61" s="76">
        <f>3/3</f>
        <v>1</v>
      </c>
      <c r="AJ61" s="76">
        <f>16/23</f>
        <v>0.69565217391304346</v>
      </c>
      <c r="AK61" s="76">
        <f>2/3</f>
        <v>0.66666666666666663</v>
      </c>
      <c r="AL61" s="76">
        <f>2/2</f>
        <v>1</v>
      </c>
      <c r="AM61" s="76">
        <f>3/4</f>
        <v>0.75</v>
      </c>
      <c r="AN61" s="88">
        <v>285</v>
      </c>
      <c r="AO61" s="88">
        <f t="shared" si="4"/>
        <v>332.69000000000005</v>
      </c>
      <c r="AP61" s="72">
        <f t="shared" si="5"/>
        <v>235.2473550329525</v>
      </c>
      <c r="AQ61" s="89">
        <f t="shared" si="6"/>
        <v>103.13</v>
      </c>
      <c r="AR61" s="76">
        <f>10/43</f>
        <v>0.23255813953488372</v>
      </c>
      <c r="AS61" s="76">
        <f>3/43</f>
        <v>6.9767441860465115E-2</v>
      </c>
      <c r="AT61" s="76">
        <f>15/43</f>
        <v>0.34883720930232559</v>
      </c>
      <c r="AU61" s="76">
        <f>1/43</f>
        <v>2.3255813953488372E-2</v>
      </c>
      <c r="AV61" s="76">
        <v>0</v>
      </c>
      <c r="AW61" s="76">
        <f>4/43</f>
        <v>9.3023255813953487E-2</v>
      </c>
      <c r="AX61" s="76">
        <f>7/10</f>
        <v>0.7</v>
      </c>
      <c r="AY61" s="76">
        <f>3/3</f>
        <v>1</v>
      </c>
      <c r="AZ61" s="76">
        <f>13/15</f>
        <v>0.8666666666666667</v>
      </c>
      <c r="BA61" s="76">
        <f>1/1</f>
        <v>1</v>
      </c>
      <c r="BB61" s="76">
        <v>0</v>
      </c>
      <c r="BC61" s="76">
        <f>4/4</f>
        <v>1</v>
      </c>
      <c r="BD61" s="74">
        <v>152</v>
      </c>
      <c r="BE61" s="72">
        <f t="shared" si="7"/>
        <v>152.01999999999998</v>
      </c>
      <c r="BF61" s="72">
        <f t="shared" si="8"/>
        <v>107.49437287597897</v>
      </c>
      <c r="BG61" s="89">
        <f t="shared" si="9"/>
        <v>52.009999999999991</v>
      </c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</row>
    <row r="62" spans="1:105" s="10" customFormat="1">
      <c r="A62" s="72" t="s">
        <v>151</v>
      </c>
      <c r="B62" s="74">
        <v>3003</v>
      </c>
      <c r="C62" s="72" t="s">
        <v>141</v>
      </c>
      <c r="D62" s="74">
        <v>1</v>
      </c>
      <c r="E62" s="72">
        <f>14/20</f>
        <v>0.7</v>
      </c>
      <c r="F62" s="72">
        <f>15/20</f>
        <v>0.75</v>
      </c>
      <c r="G62" s="74">
        <v>29</v>
      </c>
      <c r="H62" s="72">
        <f t="shared" si="17"/>
        <v>0.70731707317073167</v>
      </c>
      <c r="I62" s="74">
        <v>12</v>
      </c>
      <c r="J62" s="72">
        <f t="shared" si="18"/>
        <v>0.29268292682926833</v>
      </c>
      <c r="K62" s="74">
        <v>324.35000000000002</v>
      </c>
      <c r="L62" s="72">
        <f t="shared" si="19"/>
        <v>7.9109756097560977</v>
      </c>
      <c r="M62" s="74" t="s">
        <v>52</v>
      </c>
      <c r="N62" s="74" t="s">
        <v>50</v>
      </c>
      <c r="O62" s="74">
        <v>25</v>
      </c>
      <c r="P62" s="76">
        <f t="shared" si="20"/>
        <v>0.80645161290322576</v>
      </c>
      <c r="Q62" s="74">
        <v>6</v>
      </c>
      <c r="R62" s="72">
        <f t="shared" si="21"/>
        <v>0.19354838709677424</v>
      </c>
      <c r="S62" s="74">
        <v>190.47</v>
      </c>
      <c r="T62" s="72">
        <f t="shared" si="22"/>
        <v>6.1441935483870971</v>
      </c>
      <c r="U62" s="74" t="s">
        <v>51</v>
      </c>
      <c r="V62" s="74" t="s">
        <v>51</v>
      </c>
      <c r="W62" s="74">
        <v>218</v>
      </c>
      <c r="X62" s="72">
        <v>1.9166666666666667</v>
      </c>
      <c r="Y62" s="72">
        <v>2</v>
      </c>
      <c r="Z62" s="72">
        <v>0.28867513459481253</v>
      </c>
      <c r="AA62" s="72">
        <v>0</v>
      </c>
      <c r="AB62" s="76">
        <f>12/31</f>
        <v>0.38709677419354838</v>
      </c>
      <c r="AC62" s="76">
        <f>4/31</f>
        <v>0.12903225806451613</v>
      </c>
      <c r="AD62" s="76">
        <f>15/31</f>
        <v>0.4838709677419355</v>
      </c>
      <c r="AE62" s="76">
        <f>1/31</f>
        <v>3.2258064516129031E-2</v>
      </c>
      <c r="AF62" s="76">
        <f>1/31</f>
        <v>3.2258064516129031E-2</v>
      </c>
      <c r="AG62" s="76">
        <f>8/31</f>
        <v>0.25806451612903225</v>
      </c>
      <c r="AH62" s="76">
        <f>9/11</f>
        <v>0.81818181818181823</v>
      </c>
      <c r="AI62" s="76">
        <f>3/4</f>
        <v>0.75</v>
      </c>
      <c r="AJ62" s="76">
        <f>12/15</f>
        <v>0.8</v>
      </c>
      <c r="AK62" s="76">
        <f>0/1</f>
        <v>0</v>
      </c>
      <c r="AL62" s="76">
        <v>0</v>
      </c>
      <c r="AM62" s="76">
        <f>4/8</f>
        <v>0.5</v>
      </c>
      <c r="AN62" s="88">
        <v>209</v>
      </c>
      <c r="AO62" s="88">
        <f t="shared" si="4"/>
        <v>115.35000000000002</v>
      </c>
      <c r="AP62" s="72">
        <f t="shared" si="5"/>
        <v>81.564767209868251</v>
      </c>
      <c r="AQ62" s="89">
        <f t="shared" si="6"/>
        <v>33.735000000000014</v>
      </c>
      <c r="AR62" s="76">
        <f>7/31</f>
        <v>0.22580645161290322</v>
      </c>
      <c r="AS62" s="76">
        <f>3/31</f>
        <v>9.6774193548387094E-2</v>
      </c>
      <c r="AT62" s="76">
        <f>11/31</f>
        <v>0.35483870967741937</v>
      </c>
      <c r="AU62" s="76">
        <f>3/31</f>
        <v>9.6774193548387094E-2</v>
      </c>
      <c r="AV62" s="76">
        <f>1/31</f>
        <v>3.2258064516129031E-2</v>
      </c>
      <c r="AW62" s="76">
        <f>6/31</f>
        <v>0.19354838709677419</v>
      </c>
      <c r="AX62" s="76">
        <f>6/7</f>
        <v>0.8571428571428571</v>
      </c>
      <c r="AY62" s="76">
        <f>2/3</f>
        <v>0.66666666666666663</v>
      </c>
      <c r="AZ62" s="76">
        <f>11/11</f>
        <v>1</v>
      </c>
      <c r="BA62" s="76">
        <f>2/3</f>
        <v>0.66666666666666663</v>
      </c>
      <c r="BB62" s="76">
        <f>0/1</f>
        <v>0</v>
      </c>
      <c r="BC62" s="76">
        <f>4/6</f>
        <v>0.66666666666666663</v>
      </c>
      <c r="BD62" s="74">
        <v>138</v>
      </c>
      <c r="BE62" s="72">
        <f t="shared" si="7"/>
        <v>52.47</v>
      </c>
      <c r="BF62" s="72">
        <f t="shared" si="8"/>
        <v>37.101892808857983</v>
      </c>
      <c r="BG62" s="89">
        <f t="shared" si="9"/>
        <v>-4.7650000000000006</v>
      </c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</row>
    <row r="63" spans="1:105" s="10" customFormat="1">
      <c r="A63" s="72" t="s">
        <v>152</v>
      </c>
      <c r="B63" s="74">
        <v>3003</v>
      </c>
      <c r="C63" s="72" t="s">
        <v>141</v>
      </c>
      <c r="D63" s="74">
        <v>1</v>
      </c>
      <c r="E63" s="72">
        <f>16/20</f>
        <v>0.8</v>
      </c>
      <c r="F63" s="72">
        <f>13/20</f>
        <v>0.65</v>
      </c>
      <c r="G63" s="74">
        <v>28</v>
      </c>
      <c r="H63" s="72">
        <f t="shared" si="17"/>
        <v>0.73684210526315785</v>
      </c>
      <c r="I63" s="74">
        <v>10</v>
      </c>
      <c r="J63" s="72">
        <f t="shared" si="18"/>
        <v>0.26315789473684215</v>
      </c>
      <c r="K63" s="72">
        <v>226.7</v>
      </c>
      <c r="L63" s="72">
        <f t="shared" si="19"/>
        <v>5.9657894736842101</v>
      </c>
      <c r="M63" s="74" t="s">
        <v>49</v>
      </c>
      <c r="N63" s="74" t="s">
        <v>50</v>
      </c>
      <c r="O63" s="74">
        <v>25</v>
      </c>
      <c r="P63" s="76">
        <f t="shared" si="20"/>
        <v>0.80645161290322576</v>
      </c>
      <c r="Q63" s="74">
        <v>6</v>
      </c>
      <c r="R63" s="72">
        <f t="shared" si="21"/>
        <v>0.19354838709677424</v>
      </c>
      <c r="S63" s="74">
        <v>140.69</v>
      </c>
      <c r="T63" s="72">
        <f t="shared" si="22"/>
        <v>4.5383870967741933</v>
      </c>
      <c r="U63" s="74" t="s">
        <v>49</v>
      </c>
      <c r="V63" s="74" t="s">
        <v>51</v>
      </c>
      <c r="W63" s="74">
        <v>249</v>
      </c>
      <c r="X63" s="72">
        <v>2</v>
      </c>
      <c r="Y63" s="72">
        <v>2</v>
      </c>
      <c r="Z63" s="72">
        <v>0</v>
      </c>
      <c r="AA63" s="72">
        <v>0</v>
      </c>
      <c r="AB63" s="76">
        <f>15/38</f>
        <v>0.39473684210526316</v>
      </c>
      <c r="AC63" s="76">
        <f>1/38</f>
        <v>2.6315789473684209E-2</v>
      </c>
      <c r="AD63" s="76">
        <f>15/38</f>
        <v>0.39473684210526316</v>
      </c>
      <c r="AE63" s="76">
        <f>1/38</f>
        <v>2.6315789473684209E-2</v>
      </c>
      <c r="AF63" s="76">
        <f>2/38</f>
        <v>5.2631578947368418E-2</v>
      </c>
      <c r="AG63" s="76">
        <f>4/38</f>
        <v>0.10526315789473684</v>
      </c>
      <c r="AH63" s="76">
        <f>13/15</f>
        <v>0.8666666666666667</v>
      </c>
      <c r="AI63" s="76">
        <f>1/1</f>
        <v>1</v>
      </c>
      <c r="AJ63" s="76">
        <f>10/15</f>
        <v>0.66666666666666663</v>
      </c>
      <c r="AK63" s="76">
        <f>0/1</f>
        <v>0</v>
      </c>
      <c r="AL63" s="76">
        <f>1/2</f>
        <v>0.5</v>
      </c>
      <c r="AM63" s="76">
        <f>3/4</f>
        <v>0.75</v>
      </c>
      <c r="AN63" s="88">
        <v>170</v>
      </c>
      <c r="AO63" s="88">
        <f t="shared" si="4"/>
        <v>56.699999999999989</v>
      </c>
      <c r="AP63" s="72">
        <f t="shared" si="5"/>
        <v>40.092954493277148</v>
      </c>
      <c r="AQ63" s="89">
        <f t="shared" si="6"/>
        <v>-39.659999999999997</v>
      </c>
      <c r="AR63" s="76">
        <f>8/31</f>
        <v>0.25806451612903225</v>
      </c>
      <c r="AS63" s="76">
        <f>1/31</f>
        <v>3.2258064516129031E-2</v>
      </c>
      <c r="AT63" s="76">
        <f>10/31</f>
        <v>0.32258064516129031</v>
      </c>
      <c r="AU63" s="76">
        <f>6/31</f>
        <v>0.19354838709677419</v>
      </c>
      <c r="AV63" s="76">
        <f>1/31</f>
        <v>3.2258064516129031E-2</v>
      </c>
      <c r="AW63" s="76">
        <f>5/31</f>
        <v>0.16129032258064516</v>
      </c>
      <c r="AX63" s="76">
        <f>8/8</f>
        <v>1</v>
      </c>
      <c r="AY63" s="76">
        <f>1/1</f>
        <v>1</v>
      </c>
      <c r="AZ63" s="76">
        <f>7/10</f>
        <v>0.7</v>
      </c>
      <c r="BA63" s="76">
        <f>3/6</f>
        <v>0.5</v>
      </c>
      <c r="BB63" s="76">
        <f>1/1</f>
        <v>1</v>
      </c>
      <c r="BC63" s="76">
        <f>5/5</f>
        <v>1</v>
      </c>
      <c r="BD63" s="74">
        <v>168</v>
      </c>
      <c r="BE63" s="72">
        <f t="shared" si="7"/>
        <v>-27.310000000000002</v>
      </c>
      <c r="BF63" s="72">
        <f t="shared" si="8"/>
        <v>19.31108619420462</v>
      </c>
      <c r="BG63" s="89">
        <f t="shared" si="9"/>
        <v>-29.655000000000005</v>
      </c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  <c r="CU63" s="64"/>
      <c r="CV63" s="64"/>
      <c r="CW63" s="64"/>
      <c r="CX63" s="64"/>
      <c r="CY63" s="64"/>
      <c r="CZ63" s="64"/>
      <c r="DA63" s="64"/>
    </row>
    <row r="64" spans="1:105" s="10" customFormat="1">
      <c r="A64" s="72" t="s">
        <v>153</v>
      </c>
      <c r="B64" s="74">
        <v>3002</v>
      </c>
      <c r="C64" s="72" t="s">
        <v>141</v>
      </c>
      <c r="D64" s="74">
        <v>1</v>
      </c>
      <c r="E64" s="72">
        <v>0.6</v>
      </c>
      <c r="F64" s="72">
        <v>0.65</v>
      </c>
      <c r="G64" s="74">
        <v>12</v>
      </c>
      <c r="H64" s="72">
        <f t="shared" si="17"/>
        <v>0.54545454545454541</v>
      </c>
      <c r="I64" s="74">
        <v>10</v>
      </c>
      <c r="J64" s="72">
        <f t="shared" si="18"/>
        <v>0.45454545454545459</v>
      </c>
      <c r="K64" s="74">
        <v>178.32</v>
      </c>
      <c r="L64" s="72">
        <f t="shared" si="19"/>
        <v>8.1054545454545455</v>
      </c>
      <c r="M64" s="74" t="s">
        <v>49</v>
      </c>
      <c r="N64" s="74" t="s">
        <v>52</v>
      </c>
      <c r="O64" s="74">
        <v>23</v>
      </c>
      <c r="P64" s="76">
        <f t="shared" si="20"/>
        <v>0.71875</v>
      </c>
      <c r="Q64" s="74">
        <v>9</v>
      </c>
      <c r="R64" s="75">
        <f t="shared" si="21"/>
        <v>0.28125</v>
      </c>
      <c r="S64" s="74">
        <v>319.20999999999998</v>
      </c>
      <c r="T64" s="72">
        <f t="shared" si="22"/>
        <v>9.9753124999999994</v>
      </c>
      <c r="U64" s="74" t="s">
        <v>50</v>
      </c>
      <c r="V64" s="74" t="s">
        <v>50</v>
      </c>
      <c r="W64" s="74">
        <v>277</v>
      </c>
      <c r="X64" s="72">
        <v>1.4166666666666667</v>
      </c>
      <c r="Y64" s="72">
        <v>2</v>
      </c>
      <c r="Z64" s="72">
        <v>0.79296146109875909</v>
      </c>
      <c r="AA64" s="72">
        <v>0</v>
      </c>
      <c r="AB64" s="76">
        <f>10/22</f>
        <v>0.45454545454545453</v>
      </c>
      <c r="AC64" s="76">
        <v>0</v>
      </c>
      <c r="AD64" s="76">
        <f>7/22</f>
        <v>0.31818181818181818</v>
      </c>
      <c r="AE64" s="76">
        <f>3/22</f>
        <v>0.13636363636363635</v>
      </c>
      <c r="AF64" s="76">
        <f>1/22</f>
        <v>4.5454545454545456E-2</v>
      </c>
      <c r="AG64" s="76">
        <f>1/22</f>
        <v>4.5454545454545456E-2</v>
      </c>
      <c r="AH64" s="76">
        <f>7/10</f>
        <v>0.7</v>
      </c>
      <c r="AI64" s="76">
        <v>0</v>
      </c>
      <c r="AJ64" s="76">
        <f>4/7</f>
        <v>0.5714285714285714</v>
      </c>
      <c r="AK64" s="76">
        <f>1/3</f>
        <v>0.33333333333333331</v>
      </c>
      <c r="AL64" s="76">
        <f>0/1</f>
        <v>0</v>
      </c>
      <c r="AM64" s="76">
        <f>0/1</f>
        <v>0</v>
      </c>
      <c r="AN64" s="88">
        <v>119</v>
      </c>
      <c r="AO64" s="88">
        <f t="shared" si="4"/>
        <v>59.319999999999993</v>
      </c>
      <c r="AP64" s="72">
        <f t="shared" si="5"/>
        <v>41.945574259986074</v>
      </c>
      <c r="AQ64" s="89">
        <f t="shared" si="6"/>
        <v>32.77000000000001</v>
      </c>
      <c r="AR64" s="76">
        <f>9/32</f>
        <v>0.28125</v>
      </c>
      <c r="AS64" s="76">
        <f>6/32</f>
        <v>0.1875</v>
      </c>
      <c r="AT64" s="76">
        <f>9/32</f>
        <v>0.28125</v>
      </c>
      <c r="AU64" s="76">
        <f>1/32</f>
        <v>3.125E-2</v>
      </c>
      <c r="AV64" s="76">
        <f>1/32</f>
        <v>3.125E-2</v>
      </c>
      <c r="AW64" s="76">
        <f>6/32</f>
        <v>0.1875</v>
      </c>
      <c r="AX64" s="76">
        <f>6/9</f>
        <v>0.66666666666666663</v>
      </c>
      <c r="AY64" s="76">
        <f>5/6</f>
        <v>0.83333333333333337</v>
      </c>
      <c r="AZ64" s="76">
        <f>9/9</f>
        <v>1</v>
      </c>
      <c r="BA64" s="76">
        <f>1/1</f>
        <v>1</v>
      </c>
      <c r="BB64" s="76">
        <f>1/1</f>
        <v>1</v>
      </c>
      <c r="BC64" s="76">
        <f>6/6</f>
        <v>1</v>
      </c>
      <c r="BD64" s="74">
        <v>173</v>
      </c>
      <c r="BE64" s="72">
        <f t="shared" si="7"/>
        <v>146.20999999999998</v>
      </c>
      <c r="BF64" s="72">
        <f t="shared" si="8"/>
        <v>103.38608247728506</v>
      </c>
      <c r="BG64" s="89">
        <f t="shared" si="9"/>
        <v>59.604999999999983</v>
      </c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</row>
    <row r="65" spans="1:105" s="10" customFormat="1">
      <c r="A65" s="72" t="s">
        <v>154</v>
      </c>
      <c r="B65" s="74">
        <v>3006</v>
      </c>
      <c r="C65" s="72" t="s">
        <v>141</v>
      </c>
      <c r="D65" s="74">
        <v>1</v>
      </c>
      <c r="E65" s="72">
        <v>0.5</v>
      </c>
      <c r="F65" s="72">
        <v>0.65</v>
      </c>
      <c r="G65" s="74">
        <v>29</v>
      </c>
      <c r="H65" s="72">
        <f t="shared" si="17"/>
        <v>0.76315789473684215</v>
      </c>
      <c r="I65" s="74">
        <v>9</v>
      </c>
      <c r="J65" s="72">
        <f t="shared" si="18"/>
        <v>0.23684210526315785</v>
      </c>
      <c r="K65" s="74">
        <v>310.35000000000002</v>
      </c>
      <c r="L65" s="72">
        <f t="shared" si="19"/>
        <v>8.1671052631578949</v>
      </c>
      <c r="M65" s="74" t="s">
        <v>52</v>
      </c>
      <c r="N65" s="74" t="s">
        <v>50</v>
      </c>
      <c r="O65" s="74">
        <v>26</v>
      </c>
      <c r="P65" s="76">
        <f t="shared" si="20"/>
        <v>0.72222222222222221</v>
      </c>
      <c r="Q65" s="74">
        <v>10</v>
      </c>
      <c r="R65" s="75">
        <f t="shared" si="21"/>
        <v>0.27777777777777779</v>
      </c>
      <c r="S65" s="74">
        <v>202.69</v>
      </c>
      <c r="T65" s="72">
        <f t="shared" si="22"/>
        <v>5.6302777777777777</v>
      </c>
      <c r="U65" s="74" t="s">
        <v>49</v>
      </c>
      <c r="V65" s="74" t="s">
        <v>50</v>
      </c>
      <c r="W65" s="74">
        <v>354</v>
      </c>
      <c r="X65" s="72">
        <v>-2.4166666666666665</v>
      </c>
      <c r="Y65" s="72">
        <v>1.3333333333333333</v>
      </c>
      <c r="Z65" s="72">
        <v>1.3789543689024493</v>
      </c>
      <c r="AA65" s="72">
        <v>1.2110601416389968</v>
      </c>
      <c r="AB65" s="76">
        <f>12/38</f>
        <v>0.31578947368421051</v>
      </c>
      <c r="AC65" s="76">
        <f>4/38</f>
        <v>0.10526315789473684</v>
      </c>
      <c r="AD65" s="76">
        <f>14/38</f>
        <v>0.36842105263157893</v>
      </c>
      <c r="AE65" s="76">
        <v>0</v>
      </c>
      <c r="AF65" s="76">
        <f>3/38</f>
        <v>7.8947368421052627E-2</v>
      </c>
      <c r="AG65" s="76">
        <f>5/38</f>
        <v>0.13157894736842105</v>
      </c>
      <c r="AH65" s="76">
        <f>9/12</f>
        <v>0.75</v>
      </c>
      <c r="AI65" s="76">
        <f>4/4</f>
        <v>1</v>
      </c>
      <c r="AJ65" s="76">
        <f>8/14</f>
        <v>0.5714285714285714</v>
      </c>
      <c r="AK65" s="76">
        <v>0</v>
      </c>
      <c r="AL65" s="76">
        <f>2/3</f>
        <v>0.66666666666666663</v>
      </c>
      <c r="AM65" s="76">
        <f>3/5</f>
        <v>0.6</v>
      </c>
      <c r="AN65" s="88">
        <v>184</v>
      </c>
      <c r="AO65" s="88">
        <f t="shared" si="4"/>
        <v>126.35000000000002</v>
      </c>
      <c r="AP65" s="72">
        <f t="shared" si="5"/>
        <v>89.342941802920308</v>
      </c>
      <c r="AQ65" s="89">
        <f t="shared" si="6"/>
        <v>3.8449999999999993</v>
      </c>
      <c r="AR65" s="76">
        <f>7/36</f>
        <v>0.19444444444444445</v>
      </c>
      <c r="AS65" s="76">
        <f>4/36</f>
        <v>0.1111111111111111</v>
      </c>
      <c r="AT65" s="76">
        <f>17/36</f>
        <v>0.47222222222222221</v>
      </c>
      <c r="AU65" s="76">
        <f>2/36</f>
        <v>5.5555555555555552E-2</v>
      </c>
      <c r="AV65" s="76">
        <f>2/36</f>
        <v>5.5555555555555552E-2</v>
      </c>
      <c r="AW65" s="76">
        <f>4/36</f>
        <v>0.1111111111111111</v>
      </c>
      <c r="AX65" s="76">
        <f>4/7</f>
        <v>0.5714285714285714</v>
      </c>
      <c r="AY65" s="76">
        <f>3/4</f>
        <v>0.75</v>
      </c>
      <c r="AZ65" s="76">
        <f>13/17</f>
        <v>0.76470588235294112</v>
      </c>
      <c r="BA65" s="76">
        <f>1/2</f>
        <v>0.5</v>
      </c>
      <c r="BB65" s="76">
        <f>0/2</f>
        <v>0</v>
      </c>
      <c r="BC65" s="76">
        <f>2/4</f>
        <v>0.5</v>
      </c>
      <c r="BD65" s="74">
        <v>192</v>
      </c>
      <c r="BE65" s="72">
        <f t="shared" si="7"/>
        <v>10.689999999999998</v>
      </c>
      <c r="BF65" s="72">
        <f t="shared" si="8"/>
        <v>7.5589714908847663</v>
      </c>
      <c r="BG65" s="89">
        <f t="shared" si="9"/>
        <v>1.3449999999999989</v>
      </c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</row>
    <row r="66" spans="1:105" s="10" customFormat="1">
      <c r="A66" s="72" t="s">
        <v>155</v>
      </c>
      <c r="B66" s="74">
        <v>3006</v>
      </c>
      <c r="C66" s="72" t="s">
        <v>141</v>
      </c>
      <c r="D66" s="74">
        <v>1</v>
      </c>
      <c r="E66" s="72">
        <v>0.4</v>
      </c>
      <c r="F66" s="72">
        <v>0.75</v>
      </c>
      <c r="G66" s="74">
        <v>32</v>
      </c>
      <c r="H66" s="72">
        <f t="shared" si="17"/>
        <v>0.69565217391304346</v>
      </c>
      <c r="I66" s="74">
        <v>14</v>
      </c>
      <c r="J66" s="72">
        <f t="shared" si="18"/>
        <v>0.30434782608695654</v>
      </c>
      <c r="K66" s="74">
        <v>406.26</v>
      </c>
      <c r="L66" s="72">
        <f t="shared" si="19"/>
        <v>8.8317391304347819</v>
      </c>
      <c r="M66" s="74" t="s">
        <v>52</v>
      </c>
      <c r="N66" s="74" t="s">
        <v>50</v>
      </c>
      <c r="O66" s="74">
        <v>21</v>
      </c>
      <c r="P66" s="76">
        <f t="shared" si="20"/>
        <v>0.7</v>
      </c>
      <c r="Q66" s="74">
        <v>9</v>
      </c>
      <c r="R66" s="75">
        <f t="shared" si="21"/>
        <v>0.30000000000000004</v>
      </c>
      <c r="S66" s="74">
        <v>308.35000000000002</v>
      </c>
      <c r="T66" s="72">
        <f t="shared" si="22"/>
        <v>10.278333333333334</v>
      </c>
      <c r="U66" s="74" t="s">
        <v>49</v>
      </c>
      <c r="V66" s="74" t="s">
        <v>50</v>
      </c>
      <c r="W66" s="74">
        <v>312</v>
      </c>
      <c r="X66" s="72">
        <v>0.58333333333333337</v>
      </c>
      <c r="Y66" s="72">
        <v>1.8333333333333333</v>
      </c>
      <c r="Z66" s="72">
        <v>1.0836246694508318</v>
      </c>
      <c r="AA66" s="72">
        <v>0.40824829046386274</v>
      </c>
      <c r="AB66" s="76">
        <f>11/38</f>
        <v>0.28947368421052633</v>
      </c>
      <c r="AC66" s="76">
        <f>3/38</f>
        <v>7.8947368421052627E-2</v>
      </c>
      <c r="AD66" s="76">
        <f>11/38</f>
        <v>0.28947368421052633</v>
      </c>
      <c r="AE66" s="76">
        <f>3/38</f>
        <v>7.8947368421052627E-2</v>
      </c>
      <c r="AF66" s="76">
        <f>3/38</f>
        <v>7.8947368421052627E-2</v>
      </c>
      <c r="AG66" s="76">
        <f>7/38</f>
        <v>0.18421052631578946</v>
      </c>
      <c r="AH66" s="76">
        <f>7/11</f>
        <v>0.63636363636363635</v>
      </c>
      <c r="AI66" s="76">
        <f>2/3</f>
        <v>0.66666666666666663</v>
      </c>
      <c r="AJ66" s="76">
        <f>8/11</f>
        <v>0.72727272727272729</v>
      </c>
      <c r="AK66" s="76">
        <f>2/3</f>
        <v>0.66666666666666663</v>
      </c>
      <c r="AL66" s="76">
        <f>0/3</f>
        <v>0</v>
      </c>
      <c r="AM66" s="76">
        <f>5/7</f>
        <v>0.7142857142857143</v>
      </c>
      <c r="AN66" s="88">
        <v>223</v>
      </c>
      <c r="AO66" s="88">
        <f t="shared" si="4"/>
        <v>183.26</v>
      </c>
      <c r="AP66" s="72">
        <f t="shared" si="5"/>
        <v>129.58438872024678</v>
      </c>
      <c r="AQ66" s="89">
        <f t="shared" si="6"/>
        <v>104.67500000000001</v>
      </c>
      <c r="AR66" s="76">
        <f>9/36</f>
        <v>0.25</v>
      </c>
      <c r="AS66" s="76">
        <f>5/36</f>
        <v>0.1388888888888889</v>
      </c>
      <c r="AT66" s="76">
        <f>12/36</f>
        <v>0.33333333333333331</v>
      </c>
      <c r="AU66" s="76">
        <f>3/36</f>
        <v>8.3333333333333329E-2</v>
      </c>
      <c r="AV66" s="76">
        <f>1/36</f>
        <v>2.7777777777777776E-2</v>
      </c>
      <c r="AW66" s="76">
        <f>6/36</f>
        <v>0.16666666666666666</v>
      </c>
      <c r="AX66" s="76">
        <f>6/9</f>
        <v>0.66666666666666663</v>
      </c>
      <c r="AY66" s="76">
        <f>3/5</f>
        <v>0.6</v>
      </c>
      <c r="AZ66" s="76">
        <f>9/12</f>
        <v>0.75</v>
      </c>
      <c r="BA66" s="76">
        <f>1/3</f>
        <v>0.33333333333333331</v>
      </c>
      <c r="BB66" s="76">
        <f>0/1</f>
        <v>0</v>
      </c>
      <c r="BC66" s="76">
        <f>4/6</f>
        <v>0.66666666666666663</v>
      </c>
      <c r="BD66" s="74">
        <v>161</v>
      </c>
      <c r="BE66" s="72">
        <f t="shared" si="7"/>
        <v>147.35000000000002</v>
      </c>
      <c r="BF66" s="72">
        <f t="shared" si="8"/>
        <v>104.19218420783783</v>
      </c>
      <c r="BG66" s="89">
        <f t="shared" si="9"/>
        <v>54.175000000000004</v>
      </c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</row>
    <row r="67" spans="1:105" s="10" customFormat="1">
      <c r="A67" s="72" t="s">
        <v>156</v>
      </c>
      <c r="B67" s="74">
        <v>3006</v>
      </c>
      <c r="C67" s="72" t="s">
        <v>141</v>
      </c>
      <c r="D67" s="74">
        <v>1</v>
      </c>
      <c r="E67" s="72">
        <v>0.75</v>
      </c>
      <c r="F67" s="72">
        <v>0.9</v>
      </c>
      <c r="G67" s="74">
        <v>29</v>
      </c>
      <c r="H67" s="72">
        <f t="shared" si="17"/>
        <v>0.82857142857142863</v>
      </c>
      <c r="I67" s="74">
        <v>6</v>
      </c>
      <c r="J67" s="72">
        <f t="shared" si="18"/>
        <v>0.17142857142857137</v>
      </c>
      <c r="K67" s="74">
        <v>267.47000000000003</v>
      </c>
      <c r="L67" s="72">
        <f t="shared" si="19"/>
        <v>7.6420000000000003</v>
      </c>
      <c r="M67" s="74" t="s">
        <v>49</v>
      </c>
      <c r="N67" s="74" t="s">
        <v>51</v>
      </c>
      <c r="O67" s="74">
        <v>33</v>
      </c>
      <c r="P67" s="76">
        <f t="shared" si="20"/>
        <v>0.7857142857142857</v>
      </c>
      <c r="Q67" s="74">
        <v>9</v>
      </c>
      <c r="R67" s="75">
        <f t="shared" si="21"/>
        <v>0.2142857142857143</v>
      </c>
      <c r="S67" s="74">
        <v>392.67</v>
      </c>
      <c r="T67" s="72">
        <f t="shared" ref="T67:T101" si="23">S67/(O67+Q67)</f>
        <v>9.3492857142857151</v>
      </c>
      <c r="U67" s="74" t="s">
        <v>49</v>
      </c>
      <c r="V67" s="74" t="s">
        <v>50</v>
      </c>
      <c r="W67" s="74">
        <v>252</v>
      </c>
      <c r="X67" s="72">
        <v>1.75</v>
      </c>
      <c r="Y67" s="72">
        <v>1.8333333333333333</v>
      </c>
      <c r="Z67" s="72">
        <v>0.45226701686664544</v>
      </c>
      <c r="AA67" s="72">
        <v>0.40824829046386274</v>
      </c>
      <c r="AB67" s="76">
        <f>10/35</f>
        <v>0.2857142857142857</v>
      </c>
      <c r="AC67" s="76">
        <f>1/35</f>
        <v>2.8571428571428571E-2</v>
      </c>
      <c r="AD67" s="76">
        <f>13/35</f>
        <v>0.37142857142857144</v>
      </c>
      <c r="AE67" s="76">
        <f>6/35</f>
        <v>0.17142857142857143</v>
      </c>
      <c r="AF67" s="76">
        <f>1/35</f>
        <v>2.8571428571428571E-2</v>
      </c>
      <c r="AG67" s="76">
        <f>4/35</f>
        <v>0.11428571428571428</v>
      </c>
      <c r="AH67" s="76">
        <f>7/10</f>
        <v>0.7</v>
      </c>
      <c r="AI67" s="76">
        <f>1/1</f>
        <v>1</v>
      </c>
      <c r="AJ67" s="76">
        <f>12/13</f>
        <v>0.92307692307692313</v>
      </c>
      <c r="AK67" s="76">
        <f>4/6</f>
        <v>0.66666666666666663</v>
      </c>
      <c r="AL67" s="76">
        <f>1/1</f>
        <v>1</v>
      </c>
      <c r="AM67" s="76">
        <f>4/4</f>
        <v>1</v>
      </c>
      <c r="AN67" s="88">
        <v>186</v>
      </c>
      <c r="AO67" s="88">
        <f t="shared" ref="AO67:AO101" si="24">K67-AN67</f>
        <v>81.470000000000027</v>
      </c>
      <c r="AP67" s="72">
        <f t="shared" ref="AP67:AP101" si="25">STDEV(K67,AN67)</f>
        <v>57.607989463268026</v>
      </c>
      <c r="AQ67" s="89">
        <f t="shared" ref="AQ67:AQ101" si="26">(K72 - 200) / 200 * 100</f>
        <v>26.510000000000005</v>
      </c>
      <c r="AR67" s="76">
        <f>11/42</f>
        <v>0.26190476190476192</v>
      </c>
      <c r="AS67" s="76">
        <f>1/42</f>
        <v>2.3809523809523808E-2</v>
      </c>
      <c r="AT67" s="76">
        <f>24/42</f>
        <v>0.5714285714285714</v>
      </c>
      <c r="AU67" s="76">
        <f>2/42</f>
        <v>4.7619047619047616E-2</v>
      </c>
      <c r="AV67" s="76">
        <f>1/42</f>
        <v>2.3809523809523808E-2</v>
      </c>
      <c r="AW67" s="76">
        <f>3/42</f>
        <v>7.1428571428571425E-2</v>
      </c>
      <c r="AX67" s="76">
        <f>6/11</f>
        <v>0.54545454545454541</v>
      </c>
      <c r="AY67" s="76">
        <f>1/1</f>
        <v>1</v>
      </c>
      <c r="AZ67" s="76">
        <f>20/24</f>
        <v>0.83333333333333337</v>
      </c>
      <c r="BA67" s="76">
        <f>2/2</f>
        <v>1</v>
      </c>
      <c r="BB67" s="76">
        <f>1/1</f>
        <v>1</v>
      </c>
      <c r="BC67" s="76">
        <f>3/3</f>
        <v>1</v>
      </c>
      <c r="BD67" s="74">
        <v>215</v>
      </c>
      <c r="BE67" s="72">
        <f t="shared" ref="BE67:BE101" si="27">S67-BD67</f>
        <v>177.67000000000002</v>
      </c>
      <c r="BF67" s="72">
        <f t="shared" ref="BF67:BF101" si="28">STDEV(S67,BD67)</f>
        <v>125.6316618134138</v>
      </c>
      <c r="BG67" s="89">
        <f t="shared" ref="BG67:BG101" si="29">(S67 - 200) / 200 * 100</f>
        <v>96.335000000000008</v>
      </c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</row>
    <row r="68" spans="1:105" s="10" customFormat="1">
      <c r="A68" s="72" t="s">
        <v>157</v>
      </c>
      <c r="B68" s="74">
        <v>3006</v>
      </c>
      <c r="C68" s="72" t="s">
        <v>141</v>
      </c>
      <c r="D68" s="74">
        <v>1</v>
      </c>
      <c r="E68" s="72">
        <v>0.7</v>
      </c>
      <c r="F68" s="72">
        <v>0.65</v>
      </c>
      <c r="G68" s="74">
        <v>30</v>
      </c>
      <c r="H68" s="72">
        <f t="shared" si="17"/>
        <v>0.8571428571428571</v>
      </c>
      <c r="I68" s="74">
        <v>5</v>
      </c>
      <c r="J68" s="72">
        <f t="shared" si="18"/>
        <v>0.1428571428571429</v>
      </c>
      <c r="K68" s="74">
        <v>120.68</v>
      </c>
      <c r="L68" s="72">
        <f t="shared" ref="L68:L101" si="30">K68/(G68+I68)</f>
        <v>3.4480000000000004</v>
      </c>
      <c r="M68" s="74" t="s">
        <v>50</v>
      </c>
      <c r="N68" s="74" t="s">
        <v>51</v>
      </c>
      <c r="O68" s="74">
        <v>39</v>
      </c>
      <c r="P68" s="76">
        <f t="shared" si="20"/>
        <v>0.82978723404255317</v>
      </c>
      <c r="Q68" s="74">
        <v>8</v>
      </c>
      <c r="R68" s="75">
        <f t="shared" si="21"/>
        <v>0.17021276595744683</v>
      </c>
      <c r="S68" s="74">
        <v>164.71</v>
      </c>
      <c r="T68" s="72">
        <f t="shared" si="23"/>
        <v>3.504468085106383</v>
      </c>
      <c r="U68" s="74" t="s">
        <v>49</v>
      </c>
      <c r="V68" s="74" t="s">
        <v>51</v>
      </c>
      <c r="W68" s="74">
        <v>294</v>
      </c>
      <c r="X68" s="72">
        <v>1.3333333333333333</v>
      </c>
      <c r="Y68" s="72">
        <v>1.3333333333333333</v>
      </c>
      <c r="Z68" s="72">
        <v>1.556997888323046</v>
      </c>
      <c r="AA68" s="72">
        <v>1.6329931618554521</v>
      </c>
      <c r="AB68" s="76">
        <f>5/35</f>
        <v>0.14285714285714285</v>
      </c>
      <c r="AC68" s="76">
        <f>2/35</f>
        <v>5.7142857142857141E-2</v>
      </c>
      <c r="AD68" s="76">
        <f>21/35</f>
        <v>0.6</v>
      </c>
      <c r="AE68" s="76">
        <f>1/35</f>
        <v>2.8571428571428571E-2</v>
      </c>
      <c r="AF68" s="76">
        <f>1/35</f>
        <v>2.8571428571428571E-2</v>
      </c>
      <c r="AG68" s="76">
        <f>5/35</f>
        <v>0.14285714285714285</v>
      </c>
      <c r="AH68" s="76">
        <f>3/5</f>
        <v>0.6</v>
      </c>
      <c r="AI68" s="76">
        <f>2/2</f>
        <v>1</v>
      </c>
      <c r="AJ68" s="76">
        <f>19/21</f>
        <v>0.90476190476190477</v>
      </c>
      <c r="AK68" s="76">
        <f>1/1</f>
        <v>1</v>
      </c>
      <c r="AL68" s="76">
        <f>1/1</f>
        <v>1</v>
      </c>
      <c r="AM68" s="76">
        <f>4/5</f>
        <v>0.8</v>
      </c>
      <c r="AN68" s="88">
        <v>227</v>
      </c>
      <c r="AO68" s="88">
        <f t="shared" si="24"/>
        <v>-106.32</v>
      </c>
      <c r="AP68" s="72">
        <f t="shared" si="25"/>
        <v>75.179592975753735</v>
      </c>
      <c r="AQ68" s="89">
        <f t="shared" si="26"/>
        <v>69.509999999999991</v>
      </c>
      <c r="AR68" s="76">
        <f>9/47</f>
        <v>0.19148936170212766</v>
      </c>
      <c r="AS68" s="76">
        <f>3/47</f>
        <v>6.3829787234042548E-2</v>
      </c>
      <c r="AT68" s="76">
        <f>19/47</f>
        <v>0.40425531914893614</v>
      </c>
      <c r="AU68" s="76">
        <f>2/47</f>
        <v>4.2553191489361701E-2</v>
      </c>
      <c r="AV68" s="76">
        <f>3/47</f>
        <v>6.3829787234042548E-2</v>
      </c>
      <c r="AW68" s="76">
        <f>11/47</f>
        <v>0.23404255319148937</v>
      </c>
      <c r="AX68" s="76">
        <f>5/9</f>
        <v>0.55555555555555558</v>
      </c>
      <c r="AY68" s="76">
        <f>2/3</f>
        <v>0.66666666666666663</v>
      </c>
      <c r="AZ68" s="76">
        <f>18/19</f>
        <v>0.94736842105263153</v>
      </c>
      <c r="BA68" s="76">
        <f>2/2</f>
        <v>1</v>
      </c>
      <c r="BB68" s="76">
        <f>2/3</f>
        <v>0.66666666666666663</v>
      </c>
      <c r="BC68" s="76">
        <f>9/11</f>
        <v>0.81818181818181823</v>
      </c>
      <c r="BD68" s="74">
        <v>250</v>
      </c>
      <c r="BE68" s="72">
        <f t="shared" si="27"/>
        <v>-85.289999999999992</v>
      </c>
      <c r="BF68" s="72">
        <f t="shared" si="28"/>
        <v>60.309137367400503</v>
      </c>
      <c r="BG68" s="89">
        <f t="shared" si="29"/>
        <v>-17.644999999999996</v>
      </c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</row>
    <row r="69" spans="1:105" s="10" customFormat="1">
      <c r="A69" s="72" t="s">
        <v>158</v>
      </c>
      <c r="B69" s="74">
        <v>3006</v>
      </c>
      <c r="C69" s="72" t="s">
        <v>141</v>
      </c>
      <c r="D69" s="74">
        <v>1</v>
      </c>
      <c r="E69" s="72">
        <v>0.7</v>
      </c>
      <c r="F69" s="72">
        <v>0.8</v>
      </c>
      <c r="G69" s="74">
        <v>29</v>
      </c>
      <c r="H69" s="72">
        <f t="shared" si="17"/>
        <v>0.82857142857142863</v>
      </c>
      <c r="I69" s="74">
        <v>6</v>
      </c>
      <c r="J69" s="72">
        <f t="shared" si="18"/>
        <v>0.17142857142857137</v>
      </c>
      <c r="K69" s="74">
        <v>265.54000000000002</v>
      </c>
      <c r="L69" s="72">
        <f t="shared" si="30"/>
        <v>7.5868571428571432</v>
      </c>
      <c r="M69" s="74" t="s">
        <v>51</v>
      </c>
      <c r="N69" s="74" t="s">
        <v>51</v>
      </c>
      <c r="O69" s="74">
        <v>34</v>
      </c>
      <c r="P69" s="76">
        <f t="shared" si="20"/>
        <v>0.91891891891891897</v>
      </c>
      <c r="Q69" s="74">
        <v>3</v>
      </c>
      <c r="R69" s="75">
        <f t="shared" si="21"/>
        <v>8.108108108108103E-2</v>
      </c>
      <c r="S69" s="74">
        <v>248.86</v>
      </c>
      <c r="T69" s="72">
        <f t="shared" si="23"/>
        <v>6.7259459459459467</v>
      </c>
      <c r="U69" s="74" t="s">
        <v>52</v>
      </c>
      <c r="V69" s="74" t="s">
        <v>51</v>
      </c>
      <c r="W69" s="74">
        <v>309</v>
      </c>
      <c r="X69" s="72">
        <v>2</v>
      </c>
      <c r="Y69" s="72">
        <v>2</v>
      </c>
      <c r="Z69" s="72">
        <v>0</v>
      </c>
      <c r="AA69" s="72">
        <v>0</v>
      </c>
      <c r="AB69" s="76">
        <f>8/35</f>
        <v>0.22857142857142856</v>
      </c>
      <c r="AC69" s="76">
        <f>3/35</f>
        <v>8.5714285714285715E-2</v>
      </c>
      <c r="AD69" s="76">
        <f>13/35</f>
        <v>0.37142857142857144</v>
      </c>
      <c r="AE69" s="76">
        <f>2/35</f>
        <v>5.7142857142857141E-2</v>
      </c>
      <c r="AF69" s="76">
        <f>1/35</f>
        <v>2.8571428571428571E-2</v>
      </c>
      <c r="AG69" s="76">
        <f>8/35</f>
        <v>0.22857142857142856</v>
      </c>
      <c r="AH69" s="76">
        <f>8/8</f>
        <v>1</v>
      </c>
      <c r="AI69" s="76">
        <f>2/3</f>
        <v>0.66666666666666663</v>
      </c>
      <c r="AJ69" s="76">
        <f>10/13</f>
        <v>0.76923076923076927</v>
      </c>
      <c r="AK69" s="76">
        <f>2/2</f>
        <v>1</v>
      </c>
      <c r="AL69" s="76">
        <f>0/1</f>
        <v>0</v>
      </c>
      <c r="AM69" s="76">
        <f>7/8</f>
        <v>0.875</v>
      </c>
      <c r="AN69" s="88">
        <v>177</v>
      </c>
      <c r="AO69" s="88">
        <f t="shared" si="24"/>
        <v>88.54000000000002</v>
      </c>
      <c r="AP69" s="72">
        <f t="shared" si="25"/>
        <v>62.607234406256936</v>
      </c>
      <c r="AQ69" s="89">
        <f t="shared" si="26"/>
        <v>97.175000000000011</v>
      </c>
      <c r="AR69" s="76">
        <f>12/37</f>
        <v>0.32432432432432434</v>
      </c>
      <c r="AS69" s="76">
        <f>3/37</f>
        <v>8.1081081081081086E-2</v>
      </c>
      <c r="AT69" s="76">
        <f>14/37</f>
        <v>0.3783783783783784</v>
      </c>
      <c r="AU69" s="76">
        <f>4/37</f>
        <v>0.10810810810810811</v>
      </c>
      <c r="AV69" s="76">
        <f>2/37</f>
        <v>5.4054054054054057E-2</v>
      </c>
      <c r="AW69" s="76">
        <f>2/37</f>
        <v>5.4054054054054057E-2</v>
      </c>
      <c r="AX69" s="76">
        <f>11/12</f>
        <v>0.91666666666666663</v>
      </c>
      <c r="AY69" s="76">
        <f>3/3</f>
        <v>1</v>
      </c>
      <c r="AZ69" s="76">
        <f>13/14</f>
        <v>0.9285714285714286</v>
      </c>
      <c r="BA69" s="76">
        <f>4/4</f>
        <v>1</v>
      </c>
      <c r="BB69" s="76">
        <f>1/2</f>
        <v>0.5</v>
      </c>
      <c r="BC69" s="76">
        <f>2/2</f>
        <v>1</v>
      </c>
      <c r="BD69" s="74">
        <v>211</v>
      </c>
      <c r="BE69" s="72">
        <f t="shared" si="27"/>
        <v>37.860000000000014</v>
      </c>
      <c r="BF69" s="72">
        <f t="shared" si="28"/>
        <v>26.771062735722555</v>
      </c>
      <c r="BG69" s="89">
        <f t="shared" si="29"/>
        <v>24.430000000000007</v>
      </c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</row>
    <row r="70" spans="1:105" s="10" customFormat="1">
      <c r="A70" s="72" t="s">
        <v>159</v>
      </c>
      <c r="B70" s="74">
        <v>3006</v>
      </c>
      <c r="C70" s="72" t="s">
        <v>141</v>
      </c>
      <c r="D70" s="74">
        <v>1</v>
      </c>
      <c r="E70" s="72">
        <v>0.65</v>
      </c>
      <c r="F70" s="72">
        <v>0.6</v>
      </c>
      <c r="G70" s="74">
        <v>25</v>
      </c>
      <c r="H70" s="72">
        <f t="shared" si="17"/>
        <v>0.78125</v>
      </c>
      <c r="I70" s="74">
        <v>7</v>
      </c>
      <c r="J70" s="72">
        <f t="shared" si="18"/>
        <v>0.21875</v>
      </c>
      <c r="K70" s="74">
        <v>207.69</v>
      </c>
      <c r="L70" s="72">
        <f t="shared" si="30"/>
        <v>6.4903124999999999</v>
      </c>
      <c r="M70" s="74" t="s">
        <v>51</v>
      </c>
      <c r="N70" s="74" t="s">
        <v>50</v>
      </c>
      <c r="O70" s="74">
        <v>23</v>
      </c>
      <c r="P70" s="76">
        <f t="shared" si="20"/>
        <v>0.8214285714285714</v>
      </c>
      <c r="Q70" s="74">
        <v>5</v>
      </c>
      <c r="R70" s="75">
        <f t="shared" si="21"/>
        <v>0.1785714285714286</v>
      </c>
      <c r="S70" s="74">
        <v>144.09</v>
      </c>
      <c r="T70" s="72">
        <f t="shared" si="23"/>
        <v>5.1460714285714291</v>
      </c>
      <c r="U70" s="74" t="s">
        <v>52</v>
      </c>
      <c r="V70" s="74" t="s">
        <v>51</v>
      </c>
      <c r="W70" s="74">
        <v>276</v>
      </c>
      <c r="X70" s="72">
        <v>-3</v>
      </c>
      <c r="Y70" s="72">
        <v>1.3333333333333333</v>
      </c>
      <c r="Z70" s="72">
        <v>0</v>
      </c>
      <c r="AA70" s="72">
        <v>1.2110601416389968</v>
      </c>
      <c r="AB70" s="76">
        <f>8/32</f>
        <v>0.25</v>
      </c>
      <c r="AC70" s="76">
        <f>7/32</f>
        <v>0.21875</v>
      </c>
      <c r="AD70" s="76">
        <f>11/32</f>
        <v>0.34375</v>
      </c>
      <c r="AE70" s="76">
        <f>1/32</f>
        <v>3.125E-2</v>
      </c>
      <c r="AF70" s="76">
        <v>0</v>
      </c>
      <c r="AG70" s="76">
        <f>5/32</f>
        <v>0.15625</v>
      </c>
      <c r="AH70" s="76">
        <f>5/8</f>
        <v>0.625</v>
      </c>
      <c r="AI70" s="76">
        <f>7/7</f>
        <v>1</v>
      </c>
      <c r="AJ70" s="76">
        <f>7/11</f>
        <v>0.63636363636363635</v>
      </c>
      <c r="AK70" s="76">
        <f>1/1</f>
        <v>1</v>
      </c>
      <c r="AL70" s="76">
        <v>0</v>
      </c>
      <c r="AM70" s="76">
        <f>5/5</f>
        <v>1</v>
      </c>
      <c r="AN70" s="88">
        <v>168</v>
      </c>
      <c r="AO70" s="88">
        <f t="shared" si="24"/>
        <v>39.69</v>
      </c>
      <c r="AP70" s="72">
        <f t="shared" si="25"/>
        <v>28.065068145294131</v>
      </c>
      <c r="AQ70" s="89">
        <f t="shared" si="26"/>
        <v>61.175000000000011</v>
      </c>
      <c r="AR70" s="76">
        <f>13/28</f>
        <v>0.4642857142857143</v>
      </c>
      <c r="AS70" s="76">
        <f>2/28</f>
        <v>7.1428571428571425E-2</v>
      </c>
      <c r="AT70" s="76">
        <f>7/28</f>
        <v>0.25</v>
      </c>
      <c r="AU70" s="76">
        <f>1/28</f>
        <v>3.5714285714285712E-2</v>
      </c>
      <c r="AV70" s="76">
        <v>0</v>
      </c>
      <c r="AW70" s="76">
        <f>5/28</f>
        <v>0.17857142857142858</v>
      </c>
      <c r="AX70" s="76">
        <f>12/13</f>
        <v>0.92307692307692313</v>
      </c>
      <c r="AY70" s="76">
        <f>1/2</f>
        <v>0.5</v>
      </c>
      <c r="AZ70" s="76">
        <f>6/7</f>
        <v>0.8571428571428571</v>
      </c>
      <c r="BA70" s="76">
        <f>1/1</f>
        <v>1</v>
      </c>
      <c r="BB70" s="76">
        <v>0</v>
      </c>
      <c r="BC70" s="76">
        <f>3/5</f>
        <v>0.6</v>
      </c>
      <c r="BD70" s="74">
        <v>136</v>
      </c>
      <c r="BE70" s="72">
        <f t="shared" si="27"/>
        <v>8.0900000000000034</v>
      </c>
      <c r="BF70" s="72">
        <f t="shared" si="28"/>
        <v>5.7204938597989141</v>
      </c>
      <c r="BG70" s="89">
        <f t="shared" si="29"/>
        <v>-27.954999999999998</v>
      </c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</row>
    <row r="71" spans="1:105" s="10" customFormat="1">
      <c r="A71" s="72" t="s">
        <v>160</v>
      </c>
      <c r="B71" s="74">
        <v>3006</v>
      </c>
      <c r="C71" s="72" t="s">
        <v>141</v>
      </c>
      <c r="D71" s="74">
        <v>1</v>
      </c>
      <c r="E71" s="76">
        <v>0.7</v>
      </c>
      <c r="F71" s="76">
        <v>0.9</v>
      </c>
      <c r="G71" s="74">
        <v>35</v>
      </c>
      <c r="H71" s="72">
        <f t="shared" si="17"/>
        <v>0.68627450980392157</v>
      </c>
      <c r="I71" s="74">
        <v>16</v>
      </c>
      <c r="J71" s="72">
        <f t="shared" si="18"/>
        <v>0.31372549019607843</v>
      </c>
      <c r="K71" s="74">
        <v>409.35</v>
      </c>
      <c r="L71" s="72">
        <f t="shared" si="30"/>
        <v>8.0264705882352949</v>
      </c>
      <c r="M71" s="74" t="s">
        <v>49</v>
      </c>
      <c r="N71" s="74" t="s">
        <v>50</v>
      </c>
      <c r="O71" s="74">
        <v>28</v>
      </c>
      <c r="P71" s="76">
        <f t="shared" si="20"/>
        <v>0.63636363636363635</v>
      </c>
      <c r="Q71" s="74">
        <v>16</v>
      </c>
      <c r="R71" s="75">
        <f t="shared" si="21"/>
        <v>0.36363636363636365</v>
      </c>
      <c r="S71" s="74">
        <v>223.69</v>
      </c>
      <c r="T71" s="72">
        <f t="shared" si="23"/>
        <v>5.0838636363636365</v>
      </c>
      <c r="U71" s="74" t="s">
        <v>49</v>
      </c>
      <c r="V71" s="74" t="s">
        <v>50</v>
      </c>
      <c r="W71" s="74">
        <v>309</v>
      </c>
      <c r="X71" s="72">
        <v>1.75</v>
      </c>
      <c r="Y71" s="72">
        <v>1.3333333333333333</v>
      </c>
      <c r="Z71" s="72">
        <v>0.45226701686664544</v>
      </c>
      <c r="AA71" s="72">
        <v>0.51639777949432231</v>
      </c>
      <c r="AB71" s="76">
        <f>12/51</f>
        <v>0.23529411764705882</v>
      </c>
      <c r="AC71" s="76">
        <f>6/51</f>
        <v>0.11764705882352941</v>
      </c>
      <c r="AD71" s="76">
        <f>20/51</f>
        <v>0.39215686274509803</v>
      </c>
      <c r="AE71" s="76">
        <f>4/51</f>
        <v>7.8431372549019607E-2</v>
      </c>
      <c r="AF71" s="76">
        <f>2/51</f>
        <v>3.9215686274509803E-2</v>
      </c>
      <c r="AG71" s="76">
        <f>7/51</f>
        <v>0.13725490196078433</v>
      </c>
      <c r="AH71" s="76">
        <f>9/12</f>
        <v>0.75</v>
      </c>
      <c r="AI71" s="76">
        <f>5/6</f>
        <v>0.83333333333333337</v>
      </c>
      <c r="AJ71" s="76">
        <f>14/20</f>
        <v>0.7</v>
      </c>
      <c r="AK71" s="76">
        <f>3/4</f>
        <v>0.75</v>
      </c>
      <c r="AL71" s="76">
        <f>1/2</f>
        <v>0.5</v>
      </c>
      <c r="AM71" s="76">
        <f>3/7</f>
        <v>0.42857142857142855</v>
      </c>
      <c r="AN71" s="88">
        <v>264</v>
      </c>
      <c r="AO71" s="88">
        <f t="shared" si="24"/>
        <v>145.35000000000002</v>
      </c>
      <c r="AP71" s="72">
        <f t="shared" si="25"/>
        <v>102.77797064546468</v>
      </c>
      <c r="AQ71" s="89">
        <f t="shared" si="26"/>
        <v>8.3449999999999989</v>
      </c>
      <c r="AR71" s="76">
        <f>16/44</f>
        <v>0.36363636363636365</v>
      </c>
      <c r="AS71" s="76">
        <f>2/44</f>
        <v>4.5454545454545456E-2</v>
      </c>
      <c r="AT71" s="76">
        <f>14/44</f>
        <v>0.31818181818181818</v>
      </c>
      <c r="AU71" s="76">
        <f>2/44</f>
        <v>4.5454545454545456E-2</v>
      </c>
      <c r="AV71" s="76">
        <f>1/44</f>
        <v>2.2727272727272728E-2</v>
      </c>
      <c r="AW71" s="76">
        <f>9/44</f>
        <v>0.20454545454545456</v>
      </c>
      <c r="AX71" s="76">
        <f>10/16</f>
        <v>0.625</v>
      </c>
      <c r="AY71" s="76">
        <f>2/2</f>
        <v>1</v>
      </c>
      <c r="AZ71" s="76">
        <f>8/14</f>
        <v>0.5714285714285714</v>
      </c>
      <c r="BA71" s="76">
        <f>1/2</f>
        <v>0.5</v>
      </c>
      <c r="BB71" s="76">
        <f>0/1</f>
        <v>0</v>
      </c>
      <c r="BC71" s="76">
        <f>7/9</f>
        <v>0.77777777777777779</v>
      </c>
      <c r="BD71" s="74">
        <v>238</v>
      </c>
      <c r="BE71" s="72">
        <f t="shared" si="27"/>
        <v>-14.310000000000002</v>
      </c>
      <c r="BF71" s="72">
        <f t="shared" si="28"/>
        <v>10.118698038779204</v>
      </c>
      <c r="BG71" s="89">
        <f t="shared" si="29"/>
        <v>11.844999999999999</v>
      </c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</row>
    <row r="72" spans="1:105" s="10" customFormat="1">
      <c r="A72" s="72" t="s">
        <v>161</v>
      </c>
      <c r="B72" s="74">
        <v>3006</v>
      </c>
      <c r="C72" s="72" t="s">
        <v>141</v>
      </c>
      <c r="D72" s="74">
        <v>1</v>
      </c>
      <c r="E72" s="76">
        <v>0.7</v>
      </c>
      <c r="F72" s="76">
        <v>0.8</v>
      </c>
      <c r="G72" s="74">
        <v>30</v>
      </c>
      <c r="H72" s="72">
        <f t="shared" si="17"/>
        <v>0.8571428571428571</v>
      </c>
      <c r="I72" s="74">
        <v>5</v>
      </c>
      <c r="J72" s="72">
        <f t="shared" si="18"/>
        <v>0.1428571428571429</v>
      </c>
      <c r="K72" s="74">
        <v>253.02</v>
      </c>
      <c r="L72" s="72">
        <f t="shared" si="30"/>
        <v>7.2291428571428575</v>
      </c>
      <c r="M72" s="74" t="s">
        <v>52</v>
      </c>
      <c r="N72" s="74" t="s">
        <v>51</v>
      </c>
      <c r="O72" s="74">
        <v>28</v>
      </c>
      <c r="P72" s="76">
        <f t="shared" si="20"/>
        <v>0.82352941176470584</v>
      </c>
      <c r="Q72" s="74">
        <v>6</v>
      </c>
      <c r="R72" s="75">
        <f t="shared" si="21"/>
        <v>0.17647058823529416</v>
      </c>
      <c r="S72" s="74">
        <v>92.69</v>
      </c>
      <c r="T72" s="72">
        <f t="shared" si="23"/>
        <v>2.7261764705882352</v>
      </c>
      <c r="U72" s="74" t="s">
        <v>49</v>
      </c>
      <c r="V72" s="74" t="s">
        <v>51</v>
      </c>
      <c r="W72" s="74">
        <v>250</v>
      </c>
      <c r="X72" s="72">
        <v>0.83333333333333337</v>
      </c>
      <c r="Y72" s="72">
        <v>1.1666666666666667</v>
      </c>
      <c r="Z72" s="72">
        <v>1.1146408580454255</v>
      </c>
      <c r="AA72" s="72">
        <v>0.75277265270908111</v>
      </c>
      <c r="AB72" s="76">
        <f>10/35</f>
        <v>0.2857142857142857</v>
      </c>
      <c r="AC72" s="76">
        <f>3/35</f>
        <v>8.5714285714285715E-2</v>
      </c>
      <c r="AD72" s="76">
        <f>15/35</f>
        <v>0.42857142857142855</v>
      </c>
      <c r="AE72" s="76">
        <f>1/35</f>
        <v>2.8571428571428571E-2</v>
      </c>
      <c r="AF72" s="76">
        <f>1/35</f>
        <v>2.8571428571428571E-2</v>
      </c>
      <c r="AG72" s="76">
        <f>5/35</f>
        <v>0.14285714285714285</v>
      </c>
      <c r="AH72" s="76">
        <f>8/10</f>
        <v>0.8</v>
      </c>
      <c r="AI72" s="76">
        <f>3/3</f>
        <v>1</v>
      </c>
      <c r="AJ72" s="76">
        <f>13/15</f>
        <v>0.8666666666666667</v>
      </c>
      <c r="AK72" s="76">
        <f>1/1</f>
        <v>1</v>
      </c>
      <c r="AL72" s="76">
        <f>0/1</f>
        <v>0</v>
      </c>
      <c r="AM72" s="76">
        <f>5/5</f>
        <v>1</v>
      </c>
      <c r="AN72" s="88">
        <v>169</v>
      </c>
      <c r="AO72" s="88">
        <f t="shared" si="24"/>
        <v>84.02000000000001</v>
      </c>
      <c r="AP72" s="72">
        <f t="shared" si="25"/>
        <v>59.411111755293867</v>
      </c>
      <c r="AQ72" s="89">
        <f t="shared" si="26"/>
        <v>106.05500000000001</v>
      </c>
      <c r="AR72" s="76">
        <f>9/34</f>
        <v>0.26470588235294118</v>
      </c>
      <c r="AS72" s="76">
        <f>4/34</f>
        <v>0.11764705882352941</v>
      </c>
      <c r="AT72" s="76">
        <f>10/34</f>
        <v>0.29411764705882354</v>
      </c>
      <c r="AU72" s="76">
        <f>4/34</f>
        <v>0.11764705882352941</v>
      </c>
      <c r="AV72" s="76">
        <f>1/34</f>
        <v>2.9411764705882353E-2</v>
      </c>
      <c r="AW72" s="76">
        <f>6/34</f>
        <v>0.17647058823529413</v>
      </c>
      <c r="AX72" s="76">
        <f>9/9</f>
        <v>1</v>
      </c>
      <c r="AY72" s="76">
        <f>3/4</f>
        <v>0.75</v>
      </c>
      <c r="AZ72" s="76">
        <f>8/10</f>
        <v>0.8</v>
      </c>
      <c r="BA72" s="76">
        <f>2/4</f>
        <v>0.5</v>
      </c>
      <c r="BB72" s="76">
        <f>0/1</f>
        <v>0</v>
      </c>
      <c r="BC72" s="76">
        <f>6/6</f>
        <v>1</v>
      </c>
      <c r="BD72" s="74">
        <v>207</v>
      </c>
      <c r="BE72" s="72">
        <f t="shared" si="27"/>
        <v>-114.31</v>
      </c>
      <c r="BF72" s="72">
        <f t="shared" si="28"/>
        <v>80.829376157434254</v>
      </c>
      <c r="BG72" s="89">
        <f t="shared" si="29"/>
        <v>-53.654999999999994</v>
      </c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</row>
    <row r="73" spans="1:105" s="10" customFormat="1">
      <c r="A73" s="72" t="s">
        <v>162</v>
      </c>
      <c r="B73" s="74">
        <v>3006</v>
      </c>
      <c r="C73" s="72" t="s">
        <v>141</v>
      </c>
      <c r="D73" s="74">
        <v>1</v>
      </c>
      <c r="E73" s="76">
        <v>0.7</v>
      </c>
      <c r="F73" s="76">
        <v>0.7</v>
      </c>
      <c r="G73" s="74">
        <v>43</v>
      </c>
      <c r="H73" s="72">
        <f t="shared" si="17"/>
        <v>0.87755102040816324</v>
      </c>
      <c r="I73" s="74">
        <v>6</v>
      </c>
      <c r="J73" s="72">
        <f t="shared" si="18"/>
        <v>0.12244897959183676</v>
      </c>
      <c r="K73" s="74">
        <v>339.02</v>
      </c>
      <c r="L73" s="72">
        <f t="shared" si="30"/>
        <v>6.9187755102040809</v>
      </c>
      <c r="M73" s="74" t="s">
        <v>52</v>
      </c>
      <c r="N73" s="74" t="s">
        <v>51</v>
      </c>
      <c r="O73" s="74">
        <v>32</v>
      </c>
      <c r="P73" s="76">
        <f t="shared" si="20"/>
        <v>0.86486486486486491</v>
      </c>
      <c r="Q73" s="74">
        <v>5</v>
      </c>
      <c r="R73" s="75">
        <f t="shared" si="21"/>
        <v>0.13513513513513509</v>
      </c>
      <c r="S73" s="74">
        <v>173.69</v>
      </c>
      <c r="T73" s="72">
        <f t="shared" si="23"/>
        <v>4.6943243243243247</v>
      </c>
      <c r="U73" s="74" t="s">
        <v>52</v>
      </c>
      <c r="V73" s="74" t="s">
        <v>51</v>
      </c>
      <c r="W73" s="74">
        <v>294</v>
      </c>
      <c r="X73" s="72">
        <v>1.0833333333333333</v>
      </c>
      <c r="Y73" s="72">
        <v>1.1666666666666667</v>
      </c>
      <c r="Z73" s="72">
        <v>1.378954368902449</v>
      </c>
      <c r="AA73" s="72">
        <v>0.75277265270908111</v>
      </c>
      <c r="AB73" s="76">
        <f>14/49</f>
        <v>0.2857142857142857</v>
      </c>
      <c r="AC73" s="76">
        <f>7/49</f>
        <v>0.14285714285714285</v>
      </c>
      <c r="AD73" s="76">
        <f>18/49</f>
        <v>0.36734693877551022</v>
      </c>
      <c r="AE73" s="76">
        <f>8/49</f>
        <v>0.16326530612244897</v>
      </c>
      <c r="AF73" s="76">
        <v>0</v>
      </c>
      <c r="AG73" s="76">
        <f>2/49</f>
        <v>4.0816326530612242E-2</v>
      </c>
      <c r="AH73" s="76">
        <f>13/14</f>
        <v>0.9285714285714286</v>
      </c>
      <c r="AI73" s="76">
        <f>6/7</f>
        <v>0.8571428571428571</v>
      </c>
      <c r="AJ73" s="76">
        <f>15/18</f>
        <v>0.83333333333333337</v>
      </c>
      <c r="AK73" s="76">
        <f>7/8</f>
        <v>0.875</v>
      </c>
      <c r="AL73" s="76">
        <v>0</v>
      </c>
      <c r="AM73" s="76">
        <f>2/2</f>
        <v>1</v>
      </c>
      <c r="AN73" s="88">
        <v>269</v>
      </c>
      <c r="AO73" s="88">
        <f t="shared" si="24"/>
        <v>70.019999999999982</v>
      </c>
      <c r="AP73" s="72">
        <f t="shared" si="25"/>
        <v>49.511616818682093</v>
      </c>
      <c r="AQ73" s="89">
        <f t="shared" si="26"/>
        <v>171.755</v>
      </c>
      <c r="AR73" s="76">
        <f>8/37</f>
        <v>0.21621621621621623</v>
      </c>
      <c r="AS73" s="76">
        <f>4/37</f>
        <v>0.10810810810810811</v>
      </c>
      <c r="AT73" s="76">
        <f>18/37</f>
        <v>0.48648648648648651</v>
      </c>
      <c r="AU73" s="76">
        <f>4/37</f>
        <v>0.10810810810810811</v>
      </c>
      <c r="AV73" s="76">
        <f>2/37</f>
        <v>5.4054054054054057E-2</v>
      </c>
      <c r="AW73" s="76">
        <f>1/37</f>
        <v>2.7027027027027029E-2</v>
      </c>
      <c r="AX73" s="76">
        <f>6/8</f>
        <v>0.75</v>
      </c>
      <c r="AY73" s="76">
        <f>3/4</f>
        <v>0.75</v>
      </c>
      <c r="AZ73" s="76">
        <f>18/18</f>
        <v>1</v>
      </c>
      <c r="BA73" s="76">
        <f>3/4</f>
        <v>0.75</v>
      </c>
      <c r="BB73" s="76">
        <f>1/2</f>
        <v>0.5</v>
      </c>
      <c r="BC73" s="76">
        <f>1/1</f>
        <v>1</v>
      </c>
      <c r="BD73" s="74">
        <v>187</v>
      </c>
      <c r="BE73" s="72">
        <f t="shared" si="27"/>
        <v>-13.310000000000002</v>
      </c>
      <c r="BF73" s="72">
        <f t="shared" si="28"/>
        <v>9.4115912575927592</v>
      </c>
      <c r="BG73" s="89">
        <f t="shared" si="29"/>
        <v>-13.154999999999999</v>
      </c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</row>
    <row r="74" spans="1:105" s="10" customFormat="1">
      <c r="A74" s="72" t="s">
        <v>163</v>
      </c>
      <c r="B74" s="74">
        <v>3006</v>
      </c>
      <c r="C74" s="72" t="s">
        <v>141</v>
      </c>
      <c r="D74" s="74">
        <v>1</v>
      </c>
      <c r="E74" s="76">
        <v>0.7</v>
      </c>
      <c r="F74" s="76">
        <v>0.8</v>
      </c>
      <c r="G74" s="74">
        <v>30</v>
      </c>
      <c r="H74" s="72">
        <f t="shared" si="17"/>
        <v>0.625</v>
      </c>
      <c r="I74" s="74">
        <v>18</v>
      </c>
      <c r="J74" s="72">
        <f t="shared" si="18"/>
        <v>0.375</v>
      </c>
      <c r="K74" s="74">
        <v>394.35</v>
      </c>
      <c r="L74" s="72">
        <f t="shared" si="30"/>
        <v>8.2156250000000011</v>
      </c>
      <c r="M74" s="74" t="s">
        <v>54</v>
      </c>
      <c r="N74" s="74" t="s">
        <v>50</v>
      </c>
      <c r="O74" s="74">
        <v>23</v>
      </c>
      <c r="P74" s="76">
        <f t="shared" si="20"/>
        <v>0.74193548387096775</v>
      </c>
      <c r="Q74" s="74">
        <v>8</v>
      </c>
      <c r="R74" s="75">
        <f t="shared" si="21"/>
        <v>0.25806451612903225</v>
      </c>
      <c r="S74" s="74">
        <v>138.38</v>
      </c>
      <c r="T74" s="72">
        <f t="shared" si="23"/>
        <v>4.4638709677419355</v>
      </c>
      <c r="U74" s="74" t="s">
        <v>52</v>
      </c>
      <c r="V74" s="74" t="s">
        <v>50</v>
      </c>
      <c r="W74" s="74">
        <v>294</v>
      </c>
      <c r="X74" s="72">
        <v>0.83333333333333337</v>
      </c>
      <c r="Y74" s="72">
        <v>1.8333333333333333</v>
      </c>
      <c r="Z74" s="72">
        <v>0.93743686656109204</v>
      </c>
      <c r="AA74" s="72">
        <v>0.40824829046386274</v>
      </c>
      <c r="AB74" s="76">
        <f>13/48</f>
        <v>0.27083333333333331</v>
      </c>
      <c r="AC74" s="76">
        <f>5/48</f>
        <v>0.10416666666666667</v>
      </c>
      <c r="AD74" s="76">
        <f>15/48</f>
        <v>0.3125</v>
      </c>
      <c r="AE74" s="76">
        <f>7/48</f>
        <v>0.14583333333333334</v>
      </c>
      <c r="AF74" s="76">
        <f>2/48</f>
        <v>4.1666666666666664E-2</v>
      </c>
      <c r="AG74" s="76">
        <f>6/48</f>
        <v>0.125</v>
      </c>
      <c r="AH74" s="76">
        <f>6/13</f>
        <v>0.46153846153846156</v>
      </c>
      <c r="AI74" s="76">
        <f>3/5</f>
        <v>0.6</v>
      </c>
      <c r="AJ74" s="76">
        <f>10/15</f>
        <v>0.66666666666666663</v>
      </c>
      <c r="AK74" s="76">
        <f>4/7</f>
        <v>0.5714285714285714</v>
      </c>
      <c r="AL74" s="76">
        <f>1/2</f>
        <v>0.5</v>
      </c>
      <c r="AM74" s="76">
        <f>6/6</f>
        <v>1</v>
      </c>
      <c r="AN74" s="88">
        <v>286</v>
      </c>
      <c r="AO74" s="88">
        <f t="shared" si="24"/>
        <v>108.35000000000002</v>
      </c>
      <c r="AP74" s="72">
        <f t="shared" si="25"/>
        <v>76.615019741562335</v>
      </c>
      <c r="AQ74" s="89">
        <f t="shared" si="26"/>
        <v>155.61500000000001</v>
      </c>
      <c r="AR74" s="76">
        <f>9/31</f>
        <v>0.29032258064516131</v>
      </c>
      <c r="AS74" s="76">
        <f>3/31</f>
        <v>9.6774193548387094E-2</v>
      </c>
      <c r="AT74" s="76">
        <f>13/31</f>
        <v>0.41935483870967744</v>
      </c>
      <c r="AU74" s="76">
        <v>0</v>
      </c>
      <c r="AV74" s="76">
        <v>0</v>
      </c>
      <c r="AW74" s="76">
        <f>6/31</f>
        <v>0.19354838709677419</v>
      </c>
      <c r="AX74" s="76">
        <f>7/9</f>
        <v>0.77777777777777779</v>
      </c>
      <c r="AY74" s="76">
        <f>2/3</f>
        <v>0.66666666666666663</v>
      </c>
      <c r="AZ74" s="76">
        <f>10/13</f>
        <v>0.76923076923076927</v>
      </c>
      <c r="BA74" s="76">
        <v>0</v>
      </c>
      <c r="BB74" s="76">
        <v>0</v>
      </c>
      <c r="BC74" s="76">
        <f>4/6</f>
        <v>0.66666666666666663</v>
      </c>
      <c r="BD74" s="74">
        <v>155</v>
      </c>
      <c r="BE74" s="72">
        <f t="shared" si="27"/>
        <v>-16.620000000000005</v>
      </c>
      <c r="BF74" s="72">
        <f t="shared" si="28"/>
        <v>11.752114703320247</v>
      </c>
      <c r="BG74" s="89">
        <f t="shared" si="29"/>
        <v>-30.810000000000002</v>
      </c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</row>
    <row r="75" spans="1:105" s="10" customFormat="1">
      <c r="A75" s="72" t="s">
        <v>164</v>
      </c>
      <c r="B75" s="74">
        <v>3006</v>
      </c>
      <c r="C75" s="72" t="s">
        <v>141</v>
      </c>
      <c r="D75" s="74">
        <v>1</v>
      </c>
      <c r="E75" s="76">
        <v>0.85</v>
      </c>
      <c r="F75" s="76">
        <v>0.9</v>
      </c>
      <c r="G75" s="74">
        <v>36</v>
      </c>
      <c r="H75" s="72">
        <f t="shared" si="17"/>
        <v>0.87804878048780488</v>
      </c>
      <c r="I75" s="74">
        <v>5</v>
      </c>
      <c r="J75" s="72">
        <f t="shared" si="18"/>
        <v>0.12195121951219512</v>
      </c>
      <c r="K75" s="74">
        <v>322.35000000000002</v>
      </c>
      <c r="L75" s="72">
        <f t="shared" si="30"/>
        <v>7.8621951219512205</v>
      </c>
      <c r="M75" s="74" t="s">
        <v>49</v>
      </c>
      <c r="N75" s="74" t="s">
        <v>51</v>
      </c>
      <c r="O75" s="74">
        <v>36</v>
      </c>
      <c r="P75" s="76">
        <f t="shared" si="20"/>
        <v>0.94736842105263153</v>
      </c>
      <c r="Q75" s="74">
        <v>2</v>
      </c>
      <c r="R75" s="75">
        <f t="shared" si="21"/>
        <v>5.2631578947368474E-2</v>
      </c>
      <c r="S75" s="74">
        <v>172.69</v>
      </c>
      <c r="T75" s="72">
        <f t="shared" si="23"/>
        <v>4.5444736842105264</v>
      </c>
      <c r="U75" s="74" t="s">
        <v>49</v>
      </c>
      <c r="V75" s="74" t="s">
        <v>51</v>
      </c>
      <c r="W75" s="74">
        <v>309</v>
      </c>
      <c r="X75" s="72">
        <v>-1.4166666666666667</v>
      </c>
      <c r="Y75" s="72">
        <v>-1.8333333333333333</v>
      </c>
      <c r="Z75" s="72">
        <v>0.79296146109875909</v>
      </c>
      <c r="AA75" s="72">
        <v>0.40824829046386274</v>
      </c>
      <c r="AB75" s="76">
        <f>12/41</f>
        <v>0.29268292682926828</v>
      </c>
      <c r="AC75" s="76">
        <f>3/41</f>
        <v>7.3170731707317069E-2</v>
      </c>
      <c r="AD75" s="76">
        <f>11/41</f>
        <v>0.26829268292682928</v>
      </c>
      <c r="AE75" s="76">
        <f>2/41</f>
        <v>4.878048780487805E-2</v>
      </c>
      <c r="AF75" s="76">
        <f>4/41</f>
        <v>9.7560975609756101E-2</v>
      </c>
      <c r="AG75" s="76">
        <f>9/41</f>
        <v>0.21951219512195122</v>
      </c>
      <c r="AH75" s="76">
        <f>12/12</f>
        <v>1</v>
      </c>
      <c r="AI75" s="76">
        <f>3/3</f>
        <v>1</v>
      </c>
      <c r="AJ75" s="76">
        <f>9/11</f>
        <v>0.81818181818181823</v>
      </c>
      <c r="AK75" s="76">
        <f>2/2</f>
        <v>1</v>
      </c>
      <c r="AL75" s="76">
        <f>3/4</f>
        <v>0.75</v>
      </c>
      <c r="AM75" s="76">
        <f>7/9</f>
        <v>0.77777777777777779</v>
      </c>
      <c r="AN75" s="88">
        <v>242</v>
      </c>
      <c r="AO75" s="88">
        <f t="shared" si="24"/>
        <v>80.350000000000023</v>
      </c>
      <c r="AP75" s="72">
        <f t="shared" si="25"/>
        <v>56.816029868339086</v>
      </c>
      <c r="AQ75" s="89">
        <f t="shared" si="26"/>
        <v>88.435000000000002</v>
      </c>
      <c r="AR75" s="76">
        <f>7/38</f>
        <v>0.18421052631578946</v>
      </c>
      <c r="AS75" s="76">
        <f>2/38</f>
        <v>5.2631578947368418E-2</v>
      </c>
      <c r="AT75" s="76">
        <f>18/38</f>
        <v>0.47368421052631576</v>
      </c>
      <c r="AU75" s="76">
        <f>2/38</f>
        <v>5.2631578947368418E-2</v>
      </c>
      <c r="AV75" s="76">
        <f>1/38</f>
        <v>2.6315789473684209E-2</v>
      </c>
      <c r="AW75" s="76">
        <f>8/38</f>
        <v>0.21052631578947367</v>
      </c>
      <c r="AX75" s="76">
        <f>7/7</f>
        <v>1</v>
      </c>
      <c r="AY75" s="76">
        <f>2/2</f>
        <v>1</v>
      </c>
      <c r="AZ75" s="76">
        <f>16/18</f>
        <v>0.88888888888888884</v>
      </c>
      <c r="BA75" s="76">
        <f>2/2</f>
        <v>1</v>
      </c>
      <c r="BB75" s="76">
        <f>1/1</f>
        <v>1</v>
      </c>
      <c r="BC75" s="76">
        <f>8/8</f>
        <v>1</v>
      </c>
      <c r="BD75" s="74">
        <v>193</v>
      </c>
      <c r="BE75" s="72">
        <f t="shared" si="27"/>
        <v>-20.310000000000002</v>
      </c>
      <c r="BF75" s="72">
        <f t="shared" si="28"/>
        <v>14.361338725898596</v>
      </c>
      <c r="BG75" s="89">
        <f t="shared" si="29"/>
        <v>-13.655000000000001</v>
      </c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</row>
    <row r="76" spans="1:105" s="10" customFormat="1">
      <c r="A76" s="72" t="s">
        <v>165</v>
      </c>
      <c r="B76" s="74">
        <v>3001</v>
      </c>
      <c r="C76" s="72" t="s">
        <v>141</v>
      </c>
      <c r="D76" s="74">
        <v>1</v>
      </c>
      <c r="E76" s="76">
        <v>0.65</v>
      </c>
      <c r="F76" s="76">
        <v>0.65</v>
      </c>
      <c r="G76" s="74">
        <v>32</v>
      </c>
      <c r="H76" s="72">
        <f t="shared" si="17"/>
        <v>0.71111111111111114</v>
      </c>
      <c r="I76" s="74">
        <v>13</v>
      </c>
      <c r="J76" s="72">
        <f t="shared" si="18"/>
        <v>0.28888888888888886</v>
      </c>
      <c r="K76" s="74">
        <v>216.69</v>
      </c>
      <c r="L76" s="72">
        <f t="shared" si="30"/>
        <v>4.8153333333333332</v>
      </c>
      <c r="M76" s="74" t="s">
        <v>50</v>
      </c>
      <c r="N76" s="74" t="s">
        <v>50</v>
      </c>
      <c r="O76" s="74">
        <v>30</v>
      </c>
      <c r="P76" s="76">
        <f t="shared" si="20"/>
        <v>0.6</v>
      </c>
      <c r="Q76" s="74">
        <v>20</v>
      </c>
      <c r="R76" s="75">
        <f t="shared" si="21"/>
        <v>0.4</v>
      </c>
      <c r="S76" s="74">
        <v>210.35</v>
      </c>
      <c r="T76" s="72">
        <f t="shared" si="23"/>
        <v>4.2069999999999999</v>
      </c>
      <c r="U76" s="74" t="s">
        <v>49</v>
      </c>
      <c r="V76" s="74" t="s">
        <v>52</v>
      </c>
      <c r="W76" s="74">
        <v>270</v>
      </c>
      <c r="X76" s="72">
        <v>0.25</v>
      </c>
      <c r="Y76" s="72">
        <v>1</v>
      </c>
      <c r="Z76" s="72">
        <v>1.6025547785276542</v>
      </c>
      <c r="AA76" s="72">
        <v>0.89442719099991586</v>
      </c>
      <c r="AB76" s="76">
        <f>13/45</f>
        <v>0.28888888888888886</v>
      </c>
      <c r="AC76" s="76">
        <f>5/45</f>
        <v>0.1111111111111111</v>
      </c>
      <c r="AD76" s="76">
        <f>17/45</f>
        <v>0.37777777777777777</v>
      </c>
      <c r="AE76" s="76">
        <f>3/45</f>
        <v>6.6666666666666666E-2</v>
      </c>
      <c r="AF76" s="76">
        <v>0</v>
      </c>
      <c r="AG76" s="76">
        <f>7/45</f>
        <v>0.15555555555555556</v>
      </c>
      <c r="AH76" s="76">
        <f>6/13</f>
        <v>0.46153846153846156</v>
      </c>
      <c r="AI76" s="76">
        <f>5/5</f>
        <v>1</v>
      </c>
      <c r="AJ76" s="76">
        <f>13/17</f>
        <v>0.76470588235294112</v>
      </c>
      <c r="AK76" s="76">
        <f>1/3</f>
        <v>0.33333333333333331</v>
      </c>
      <c r="AL76" s="76">
        <v>0</v>
      </c>
      <c r="AM76" s="76">
        <f>7/7</f>
        <v>1</v>
      </c>
      <c r="AN76" s="88">
        <v>242</v>
      </c>
      <c r="AO76" s="88">
        <f t="shared" si="24"/>
        <v>-25.310000000000002</v>
      </c>
      <c r="AP76" s="72">
        <f t="shared" si="25"/>
        <v>17.896872631831449</v>
      </c>
      <c r="AQ76" s="89">
        <f t="shared" si="26"/>
        <v>43.60499999999999</v>
      </c>
      <c r="AR76" s="76">
        <f>14/50</f>
        <v>0.28000000000000003</v>
      </c>
      <c r="AS76" s="76">
        <f>2/50</f>
        <v>0.04</v>
      </c>
      <c r="AT76" s="76">
        <f>24/50</f>
        <v>0.48</v>
      </c>
      <c r="AU76" s="76">
        <f>4/50</f>
        <v>0.08</v>
      </c>
      <c r="AV76" s="76">
        <f>2/50</f>
        <v>0.04</v>
      </c>
      <c r="AW76" s="76">
        <f>4/50</f>
        <v>0.08</v>
      </c>
      <c r="AX76" s="76">
        <f>10/14</f>
        <v>0.7142857142857143</v>
      </c>
      <c r="AY76" s="76">
        <f>1/2</f>
        <v>0.5</v>
      </c>
      <c r="AZ76" s="76">
        <f>11/24</f>
        <v>0.45833333333333331</v>
      </c>
      <c r="BA76" s="76">
        <f>3/4</f>
        <v>0.75</v>
      </c>
      <c r="BB76" s="76">
        <f>1/2</f>
        <v>0.5</v>
      </c>
      <c r="BC76" s="76">
        <f>4/4</f>
        <v>1</v>
      </c>
      <c r="BD76" s="74">
        <v>254</v>
      </c>
      <c r="BE76" s="72">
        <f t="shared" si="27"/>
        <v>-43.650000000000006</v>
      </c>
      <c r="BF76" s="72">
        <f t="shared" si="28"/>
        <v>30.865210998792641</v>
      </c>
      <c r="BG76" s="89">
        <f t="shared" si="29"/>
        <v>5.1749999999999972</v>
      </c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</row>
    <row r="77" spans="1:105" s="10" customFormat="1">
      <c r="A77" s="72" t="s">
        <v>166</v>
      </c>
      <c r="B77" s="74">
        <v>3001</v>
      </c>
      <c r="C77" s="72" t="s">
        <v>141</v>
      </c>
      <c r="D77" s="74">
        <v>0</v>
      </c>
      <c r="E77" s="72">
        <v>0.65</v>
      </c>
      <c r="F77" s="72">
        <v>0.85</v>
      </c>
      <c r="G77" s="74">
        <v>26</v>
      </c>
      <c r="H77" s="72">
        <v>0.76</v>
      </c>
      <c r="I77" s="74">
        <v>8</v>
      </c>
      <c r="J77" s="72">
        <f t="shared" si="18"/>
        <v>0.24</v>
      </c>
      <c r="K77" s="72">
        <v>412.11</v>
      </c>
      <c r="L77" s="72">
        <f t="shared" si="30"/>
        <v>12.120882352941177</v>
      </c>
      <c r="M77" s="74" t="s">
        <v>51</v>
      </c>
      <c r="N77" s="74" t="s">
        <v>50</v>
      </c>
      <c r="O77" s="74">
        <v>31</v>
      </c>
      <c r="P77" s="72">
        <v>0.86</v>
      </c>
      <c r="Q77" s="74">
        <v>5</v>
      </c>
      <c r="R77" s="75">
        <f t="shared" si="21"/>
        <v>0.14000000000000001</v>
      </c>
      <c r="S77" s="74">
        <v>387.27</v>
      </c>
      <c r="T77" s="72">
        <f t="shared" si="23"/>
        <v>10.7575</v>
      </c>
      <c r="U77" s="74" t="s">
        <v>51</v>
      </c>
      <c r="V77" s="74" t="s">
        <v>51</v>
      </c>
      <c r="W77" s="74">
        <v>354</v>
      </c>
      <c r="X77" s="72">
        <v>1.4166666666666667</v>
      </c>
      <c r="Y77" s="72"/>
      <c r="Z77" s="72">
        <v>0.66855792342152154</v>
      </c>
      <c r="AA77" s="72"/>
      <c r="AB77" s="76">
        <f>9/34</f>
        <v>0.26470588235294118</v>
      </c>
      <c r="AC77" s="76">
        <f>3/34</f>
        <v>8.8235294117647065E-2</v>
      </c>
      <c r="AD77" s="76">
        <f>13/34</f>
        <v>0.38235294117647056</v>
      </c>
      <c r="AE77" s="76">
        <f>1/34</f>
        <v>2.9411764705882353E-2</v>
      </c>
      <c r="AF77" s="76">
        <f>1/34</f>
        <v>2.9411764705882353E-2</v>
      </c>
      <c r="AG77" s="76">
        <f>7/34</f>
        <v>0.20588235294117646</v>
      </c>
      <c r="AH77" s="76">
        <f>6/9</f>
        <v>0.66666666666666663</v>
      </c>
      <c r="AI77" s="76">
        <f>2/3</f>
        <v>0.66666666666666663</v>
      </c>
      <c r="AJ77" s="76">
        <f>7/13</f>
        <v>0.53846153846153844</v>
      </c>
      <c r="AK77" s="76">
        <f>0/1</f>
        <v>0</v>
      </c>
      <c r="AL77" s="76">
        <f>1/1</f>
        <v>1</v>
      </c>
      <c r="AM77" s="76">
        <f>4/7</f>
        <v>0.5714285714285714</v>
      </c>
      <c r="AN77" s="88">
        <v>186</v>
      </c>
      <c r="AO77" s="88">
        <f t="shared" si="24"/>
        <v>226.11</v>
      </c>
      <c r="AP77" s="72">
        <f t="shared" si="25"/>
        <v>159.88391429409029</v>
      </c>
      <c r="AQ77" s="89">
        <f t="shared" si="26"/>
        <v>103.36000000000001</v>
      </c>
      <c r="AR77" s="76">
        <f>12/36</f>
        <v>0.33333333333333331</v>
      </c>
      <c r="AS77" s="76">
        <f>4/36</f>
        <v>0.1111111111111111</v>
      </c>
      <c r="AT77" s="76">
        <f>9/36</f>
        <v>0.25</v>
      </c>
      <c r="AU77" s="76">
        <f>3/36</f>
        <v>8.3333333333333329E-2</v>
      </c>
      <c r="AV77" s="76">
        <f>2/36</f>
        <v>5.5555555555555552E-2</v>
      </c>
      <c r="AW77" s="76">
        <f>6/36</f>
        <v>0.16666666666666666</v>
      </c>
      <c r="AX77" s="76">
        <f>11/12</f>
        <v>0.91666666666666663</v>
      </c>
      <c r="AY77" s="76">
        <f>3/4</f>
        <v>0.75</v>
      </c>
      <c r="AZ77" s="76">
        <f>7/9</f>
        <v>0.77777777777777779</v>
      </c>
      <c r="BA77" s="76">
        <f>2/3</f>
        <v>0.66666666666666663</v>
      </c>
      <c r="BB77" s="76">
        <f>2/2</f>
        <v>1</v>
      </c>
      <c r="BC77" s="76">
        <f>4/6</f>
        <v>0.66666666666666663</v>
      </c>
      <c r="BD77" s="74">
        <v>217</v>
      </c>
      <c r="BE77" s="72">
        <f t="shared" si="27"/>
        <v>170.26999999999998</v>
      </c>
      <c r="BF77" s="72">
        <f t="shared" si="28"/>
        <v>120.39907163263337</v>
      </c>
      <c r="BG77" s="89">
        <f t="shared" si="29"/>
        <v>93.634999999999991</v>
      </c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</row>
    <row r="78" spans="1:105" s="10" customFormat="1">
      <c r="A78" s="72" t="s">
        <v>167</v>
      </c>
      <c r="B78" s="74">
        <v>3001</v>
      </c>
      <c r="C78" s="72" t="s">
        <v>141</v>
      </c>
      <c r="D78" s="74">
        <v>0</v>
      </c>
      <c r="E78" s="72">
        <v>0.75</v>
      </c>
      <c r="F78" s="72">
        <v>0.85</v>
      </c>
      <c r="G78" s="74">
        <v>36</v>
      </c>
      <c r="H78" s="72">
        <v>0.84</v>
      </c>
      <c r="I78" s="74">
        <v>7</v>
      </c>
      <c r="J78" s="72">
        <f t="shared" si="18"/>
        <v>0.16000000000000003</v>
      </c>
      <c r="K78" s="74">
        <v>543.51</v>
      </c>
      <c r="L78" s="72">
        <f t="shared" si="30"/>
        <v>12.639767441860466</v>
      </c>
      <c r="M78" s="74" t="s">
        <v>51</v>
      </c>
      <c r="N78" s="74" t="s">
        <v>51</v>
      </c>
      <c r="O78" s="74">
        <v>28</v>
      </c>
      <c r="P78" s="72">
        <v>0.88</v>
      </c>
      <c r="Q78" s="74">
        <v>4</v>
      </c>
      <c r="R78" s="75">
        <f t="shared" si="21"/>
        <v>0.12</v>
      </c>
      <c r="S78" s="74">
        <v>296.32</v>
      </c>
      <c r="T78" s="72">
        <f t="shared" si="23"/>
        <v>9.26</v>
      </c>
      <c r="U78" s="74" t="s">
        <v>50</v>
      </c>
      <c r="V78" s="74" t="s">
        <v>51</v>
      </c>
      <c r="W78" s="74">
        <v>274</v>
      </c>
      <c r="X78" s="72">
        <v>1.0833333333333333</v>
      </c>
      <c r="Y78" s="72"/>
      <c r="Z78" s="72">
        <v>0.79296146109875909</v>
      </c>
      <c r="AA78" s="72"/>
      <c r="AB78" s="76">
        <f>19/43</f>
        <v>0.44186046511627908</v>
      </c>
      <c r="AC78" s="76">
        <f>4/43</f>
        <v>9.3023255813953487E-2</v>
      </c>
      <c r="AD78" s="76">
        <f>8/43</f>
        <v>0.18604651162790697</v>
      </c>
      <c r="AE78" s="76">
        <f>2/43</f>
        <v>4.6511627906976744E-2</v>
      </c>
      <c r="AF78" s="76">
        <f>1/43</f>
        <v>2.3255813953488372E-2</v>
      </c>
      <c r="AG78" s="76">
        <f>9/43</f>
        <v>0.20930232558139536</v>
      </c>
      <c r="AH78" s="76">
        <f>16/19</f>
        <v>0.84210526315789469</v>
      </c>
      <c r="AI78" s="76">
        <f>4/4</f>
        <v>1</v>
      </c>
      <c r="AJ78" s="76">
        <f>7/8</f>
        <v>0.875</v>
      </c>
      <c r="AK78" s="76">
        <f>1/2</f>
        <v>0.5</v>
      </c>
      <c r="AL78" s="76">
        <f>1/1</f>
        <v>1</v>
      </c>
      <c r="AM78" s="76">
        <f>8/9</f>
        <v>0.88888888888888884</v>
      </c>
      <c r="AN78" s="88">
        <v>221</v>
      </c>
      <c r="AO78" s="88">
        <f t="shared" si="24"/>
        <v>322.51</v>
      </c>
      <c r="AP78" s="72">
        <f t="shared" si="25"/>
        <v>228.04900800047346</v>
      </c>
      <c r="AQ78" s="89">
        <f t="shared" si="26"/>
        <v>49.164999999999992</v>
      </c>
      <c r="AR78" s="76">
        <f>8/32</f>
        <v>0.25</v>
      </c>
      <c r="AS78" s="76">
        <f>5/32</f>
        <v>0.15625</v>
      </c>
      <c r="AT78" s="76">
        <f>9/32</f>
        <v>0.28125</v>
      </c>
      <c r="AU78" s="76">
        <f>2/32</f>
        <v>6.25E-2</v>
      </c>
      <c r="AV78" s="76">
        <f>3/32</f>
        <v>9.375E-2</v>
      </c>
      <c r="AW78" s="76">
        <f>5/32</f>
        <v>0.15625</v>
      </c>
      <c r="AX78" s="76">
        <f>6/8</f>
        <v>0.75</v>
      </c>
      <c r="AY78" s="76">
        <f>5/5</f>
        <v>1</v>
      </c>
      <c r="AZ78" s="76">
        <f>8/9</f>
        <v>0.88888888888888884</v>
      </c>
      <c r="BA78" s="76">
        <f>1/2</f>
        <v>0.5</v>
      </c>
      <c r="BB78" s="76">
        <f>3/3</f>
        <v>1</v>
      </c>
      <c r="BC78" s="76">
        <f>4/5</f>
        <v>0.8</v>
      </c>
      <c r="BD78" s="74">
        <v>164</v>
      </c>
      <c r="BE78" s="72">
        <f t="shared" si="27"/>
        <v>132.32</v>
      </c>
      <c r="BF78" s="72">
        <f t="shared" si="28"/>
        <v>93.564369286603934</v>
      </c>
      <c r="BG78" s="89">
        <f t="shared" si="29"/>
        <v>48.16</v>
      </c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</row>
    <row r="79" spans="1:105" s="10" customFormat="1">
      <c r="A79" s="72" t="s">
        <v>168</v>
      </c>
      <c r="B79" s="74">
        <v>3001</v>
      </c>
      <c r="C79" s="72" t="s">
        <v>141</v>
      </c>
      <c r="D79" s="74">
        <v>0</v>
      </c>
      <c r="E79" s="72">
        <v>0.5</v>
      </c>
      <c r="F79" s="72">
        <v>0.75</v>
      </c>
      <c r="G79" s="74">
        <v>32</v>
      </c>
      <c r="H79" s="72">
        <v>0.82</v>
      </c>
      <c r="I79" s="74">
        <v>7</v>
      </c>
      <c r="J79" s="72">
        <f t="shared" si="18"/>
        <v>0.18000000000000005</v>
      </c>
      <c r="K79" s="74">
        <v>511.23</v>
      </c>
      <c r="L79" s="72">
        <f t="shared" si="30"/>
        <v>13.108461538461539</v>
      </c>
      <c r="M79" s="74" t="s">
        <v>49</v>
      </c>
      <c r="N79" s="74" t="s">
        <v>51</v>
      </c>
      <c r="O79" s="74">
        <v>27</v>
      </c>
      <c r="P79" s="72">
        <f>O79/(O79+Q79)</f>
        <v>0.84375</v>
      </c>
      <c r="Q79" s="74">
        <v>5</v>
      </c>
      <c r="R79" s="75">
        <f t="shared" si="21"/>
        <v>0.15625</v>
      </c>
      <c r="S79" s="74">
        <v>267.45</v>
      </c>
      <c r="T79" s="72">
        <f t="shared" si="23"/>
        <v>8.3578124999999996</v>
      </c>
      <c r="U79" s="74" t="s">
        <v>54</v>
      </c>
      <c r="V79" s="74" t="s">
        <v>51</v>
      </c>
      <c r="W79" s="74">
        <v>220</v>
      </c>
      <c r="X79" s="72">
        <v>0.83333333333333337</v>
      </c>
      <c r="Y79" s="72"/>
      <c r="Z79" s="72">
        <v>0.93743686656109204</v>
      </c>
      <c r="AA79" s="72"/>
      <c r="AB79" s="76">
        <f>4/39</f>
        <v>0.10256410256410256</v>
      </c>
      <c r="AC79" s="76">
        <f>6/39</f>
        <v>0.15384615384615385</v>
      </c>
      <c r="AD79" s="76">
        <f>16/39</f>
        <v>0.41025641025641024</v>
      </c>
      <c r="AE79" s="76">
        <f>1/39</f>
        <v>2.564102564102564E-2</v>
      </c>
      <c r="AF79" s="76">
        <f>2/37</f>
        <v>5.4054054054054057E-2</v>
      </c>
      <c r="AG79" s="76">
        <f>8/37</f>
        <v>0.21621621621621623</v>
      </c>
      <c r="AH79" s="76">
        <f>3/4</f>
        <v>0.75</v>
      </c>
      <c r="AI79" s="76">
        <f>5/6</f>
        <v>0.83333333333333337</v>
      </c>
      <c r="AJ79" s="76">
        <f>14/16</f>
        <v>0.875</v>
      </c>
      <c r="AK79" s="76">
        <f>0/1</f>
        <v>0</v>
      </c>
      <c r="AL79" s="76">
        <f>2/2</f>
        <v>1</v>
      </c>
      <c r="AM79" s="76">
        <f>6/8</f>
        <v>0.75</v>
      </c>
      <c r="AN79" s="88">
        <v>187</v>
      </c>
      <c r="AO79" s="88">
        <f t="shared" si="24"/>
        <v>324.23</v>
      </c>
      <c r="AP79" s="72">
        <f t="shared" si="25"/>
        <v>229.26523166411428</v>
      </c>
      <c r="AQ79" s="89">
        <f t="shared" si="26"/>
        <v>89.294999999999987</v>
      </c>
      <c r="AR79" s="76">
        <f>6/32</f>
        <v>0.1875</v>
      </c>
      <c r="AS79" s="76">
        <f>4/32</f>
        <v>0.125</v>
      </c>
      <c r="AT79" s="76">
        <f>16/32</f>
        <v>0.5</v>
      </c>
      <c r="AU79" s="76">
        <f>2/32</f>
        <v>6.25E-2</v>
      </c>
      <c r="AV79" s="76">
        <v>0</v>
      </c>
      <c r="AW79" s="76">
        <f>4/32</f>
        <v>0.125</v>
      </c>
      <c r="AX79" s="76">
        <f>5/6</f>
        <v>0.83333333333333337</v>
      </c>
      <c r="AY79" s="76">
        <f>4/4</f>
        <v>1</v>
      </c>
      <c r="AZ79" s="76">
        <f>14/16</f>
        <v>0.875</v>
      </c>
      <c r="BA79" s="76">
        <f>1/2</f>
        <v>0.5</v>
      </c>
      <c r="BB79" s="76">
        <v>0</v>
      </c>
      <c r="BC79" s="76">
        <f>3/4</f>
        <v>0.75</v>
      </c>
      <c r="BD79" s="74">
        <v>153</v>
      </c>
      <c r="BE79" s="72">
        <f t="shared" si="27"/>
        <v>114.44999999999999</v>
      </c>
      <c r="BF79" s="72">
        <f t="shared" si="28"/>
        <v>80.928371106800341</v>
      </c>
      <c r="BG79" s="89">
        <f t="shared" si="29"/>
        <v>33.724999999999994</v>
      </c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</row>
    <row r="80" spans="1:105" s="10" customFormat="1">
      <c r="A80" s="72" t="s">
        <v>169</v>
      </c>
      <c r="B80" s="74">
        <v>3001</v>
      </c>
      <c r="C80" s="72" t="s">
        <v>141</v>
      </c>
      <c r="D80" s="74">
        <v>0</v>
      </c>
      <c r="E80" s="72">
        <v>0.85</v>
      </c>
      <c r="F80" s="72">
        <v>0.9</v>
      </c>
      <c r="G80" s="74">
        <v>35</v>
      </c>
      <c r="H80" s="72">
        <v>0.88</v>
      </c>
      <c r="I80" s="74">
        <v>5</v>
      </c>
      <c r="J80" s="72">
        <f t="shared" si="18"/>
        <v>0.12</v>
      </c>
      <c r="K80" s="74">
        <v>376.87</v>
      </c>
      <c r="L80" s="72">
        <f t="shared" si="30"/>
        <v>9.4217499999999994</v>
      </c>
      <c r="M80" s="74" t="s">
        <v>52</v>
      </c>
      <c r="N80" s="74" t="s">
        <v>51</v>
      </c>
      <c r="O80" s="74">
        <v>40</v>
      </c>
      <c r="P80" s="72">
        <f>O80/(O80+Q80)</f>
        <v>0.90909090909090906</v>
      </c>
      <c r="Q80" s="74">
        <v>4</v>
      </c>
      <c r="R80" s="75">
        <f t="shared" si="21"/>
        <v>9.0909090909090939E-2</v>
      </c>
      <c r="S80" s="74">
        <v>437.86</v>
      </c>
      <c r="T80" s="72">
        <f t="shared" si="23"/>
        <v>9.9513636363636362</v>
      </c>
      <c r="U80" s="74" t="s">
        <v>49</v>
      </c>
      <c r="V80" s="74" t="s">
        <v>51</v>
      </c>
      <c r="W80" s="74">
        <v>293</v>
      </c>
      <c r="X80" s="72">
        <v>1.75</v>
      </c>
      <c r="Y80" s="72"/>
      <c r="Z80" s="72">
        <v>0.62158156050806102</v>
      </c>
      <c r="AA80" s="72"/>
      <c r="AB80" s="76">
        <f>14/40</f>
        <v>0.35</v>
      </c>
      <c r="AC80" s="76">
        <f>4/40</f>
        <v>0.1</v>
      </c>
      <c r="AD80" s="76">
        <f>14/40</f>
        <v>0.35</v>
      </c>
      <c r="AE80" s="76">
        <f>2/40</f>
        <v>0.05</v>
      </c>
      <c r="AF80" s="76">
        <f>3/40</f>
        <v>7.4999999999999997E-2</v>
      </c>
      <c r="AG80" s="76">
        <f>3/40</f>
        <v>7.4999999999999997E-2</v>
      </c>
      <c r="AH80" s="76">
        <f>14/14</f>
        <v>1</v>
      </c>
      <c r="AI80" s="76">
        <f>3/4</f>
        <v>0.75</v>
      </c>
      <c r="AJ80" s="76">
        <f>12/14</f>
        <v>0.8571428571428571</v>
      </c>
      <c r="AK80" s="76">
        <f>1/2</f>
        <v>0.5</v>
      </c>
      <c r="AL80" s="76">
        <f>3/3</f>
        <v>1</v>
      </c>
      <c r="AM80" s="76">
        <f>2/3</f>
        <v>0.66666666666666663</v>
      </c>
      <c r="AN80" s="88">
        <v>193</v>
      </c>
      <c r="AO80" s="88">
        <f t="shared" si="24"/>
        <v>183.87</v>
      </c>
      <c r="AP80" s="72">
        <f t="shared" si="25"/>
        <v>130.01572385677053</v>
      </c>
      <c r="AQ80" s="89">
        <f t="shared" si="26"/>
        <v>33.944999999999993</v>
      </c>
      <c r="AR80" s="76">
        <f>16/44</f>
        <v>0.36363636363636365</v>
      </c>
      <c r="AS80" s="76">
        <f>4/44</f>
        <v>9.0909090909090912E-2</v>
      </c>
      <c r="AT80" s="76">
        <f>9/44</f>
        <v>0.20454545454545456</v>
      </c>
      <c r="AU80" s="76">
        <f>4/44</f>
        <v>9.0909090909090912E-2</v>
      </c>
      <c r="AV80" s="76">
        <f>3/44</f>
        <v>6.8181818181818177E-2</v>
      </c>
      <c r="AW80" s="76">
        <f>8/44</f>
        <v>0.18181818181818182</v>
      </c>
      <c r="AX80" s="76">
        <f>16/16</f>
        <v>1</v>
      </c>
      <c r="AY80" s="76">
        <f>4/4</f>
        <v>1</v>
      </c>
      <c r="AZ80" s="76">
        <f>8/9</f>
        <v>0.88888888888888884</v>
      </c>
      <c r="BA80" s="76">
        <f>4/4</f>
        <v>1</v>
      </c>
      <c r="BB80" s="76">
        <f>2/3</f>
        <v>0.66666666666666663</v>
      </c>
      <c r="BC80" s="76">
        <f>8/8</f>
        <v>1</v>
      </c>
      <c r="BD80" s="74">
        <v>214</v>
      </c>
      <c r="BE80" s="72">
        <f t="shared" si="27"/>
        <v>223.86</v>
      </c>
      <c r="BF80" s="72">
        <f t="shared" si="28"/>
        <v>158.29292403642057</v>
      </c>
      <c r="BG80" s="89">
        <f t="shared" si="29"/>
        <v>118.93</v>
      </c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</row>
    <row r="81" spans="1:105" s="10" customFormat="1">
      <c r="A81" s="72" t="s">
        <v>170</v>
      </c>
      <c r="B81" s="74">
        <v>3001</v>
      </c>
      <c r="C81" s="72" t="s">
        <v>141</v>
      </c>
      <c r="D81" s="74">
        <v>0</v>
      </c>
      <c r="E81" s="72">
        <v>0.35</v>
      </c>
      <c r="F81" s="72">
        <v>0.65</v>
      </c>
      <c r="G81" s="74">
        <v>29</v>
      </c>
      <c r="H81" s="72">
        <v>0.78</v>
      </c>
      <c r="I81" s="74">
        <v>8</v>
      </c>
      <c r="J81" s="72">
        <f t="shared" si="18"/>
        <v>0.21999999999999997</v>
      </c>
      <c r="K81" s="74">
        <v>287.20999999999998</v>
      </c>
      <c r="L81" s="72">
        <f t="shared" si="30"/>
        <v>7.7624324324324316</v>
      </c>
      <c r="M81" s="74" t="s">
        <v>49</v>
      </c>
      <c r="N81" s="74" t="s">
        <v>50</v>
      </c>
      <c r="O81" s="74">
        <v>30</v>
      </c>
      <c r="P81" s="72">
        <v>0.65</v>
      </c>
      <c r="Q81" s="74">
        <v>16</v>
      </c>
      <c r="R81" s="75">
        <f t="shared" si="21"/>
        <v>0.35</v>
      </c>
      <c r="S81" s="74">
        <v>321.45</v>
      </c>
      <c r="T81" s="72">
        <f t="shared" si="23"/>
        <v>6.9880434782608694</v>
      </c>
      <c r="U81" s="74" t="s">
        <v>49</v>
      </c>
      <c r="V81" s="74" t="s">
        <v>50</v>
      </c>
      <c r="W81" s="74">
        <v>274</v>
      </c>
      <c r="X81" s="72">
        <v>1.0833333333333333</v>
      </c>
      <c r="Y81" s="72"/>
      <c r="Z81" s="72">
        <v>1.3113721705515065</v>
      </c>
      <c r="AA81" s="72"/>
      <c r="AB81" s="76">
        <f>10/37</f>
        <v>0.27027027027027029</v>
      </c>
      <c r="AC81" s="76">
        <f>3/37</f>
        <v>8.1081081081081086E-2</v>
      </c>
      <c r="AD81" s="76">
        <f>11/37</f>
        <v>0.29729729729729731</v>
      </c>
      <c r="AE81" s="76">
        <f>6/37</f>
        <v>0.16216216216216217</v>
      </c>
      <c r="AF81" s="76">
        <f>3/37</f>
        <v>8.1081081081081086E-2</v>
      </c>
      <c r="AG81" s="76">
        <f>4/37</f>
        <v>0.10810810810810811</v>
      </c>
      <c r="AH81" s="76">
        <f>9/10</f>
        <v>0.9</v>
      </c>
      <c r="AI81" s="76">
        <f>3/3</f>
        <v>1</v>
      </c>
      <c r="AJ81" s="76">
        <f>7/11</f>
        <v>0.63636363636363635</v>
      </c>
      <c r="AK81" s="76">
        <f>4/6</f>
        <v>0.66666666666666663</v>
      </c>
      <c r="AL81" s="76">
        <f>2/3</f>
        <v>0.66666666666666663</v>
      </c>
      <c r="AM81" s="76">
        <f>4/4</f>
        <v>1</v>
      </c>
      <c r="AN81" s="88">
        <v>206</v>
      </c>
      <c r="AO81" s="88">
        <f t="shared" si="24"/>
        <v>81.20999999999998</v>
      </c>
      <c r="AP81" s="72">
        <f t="shared" si="25"/>
        <v>57.424141700159602</v>
      </c>
      <c r="AQ81" s="89">
        <f t="shared" si="26"/>
        <v>70.935000000000002</v>
      </c>
      <c r="AR81" s="76">
        <f>15/46</f>
        <v>0.32608695652173914</v>
      </c>
      <c r="AS81" s="76">
        <f>2/46</f>
        <v>4.3478260869565216E-2</v>
      </c>
      <c r="AT81" s="76">
        <f>21/46</f>
        <v>0.45652173913043476</v>
      </c>
      <c r="AU81" s="76">
        <f>3/46</f>
        <v>6.5217391304347824E-2</v>
      </c>
      <c r="AV81" s="76">
        <f>1/46</f>
        <v>2.1739130434782608E-2</v>
      </c>
      <c r="AW81" s="76">
        <f>4/46</f>
        <v>8.6956521739130432E-2</v>
      </c>
      <c r="AX81" s="76">
        <f>11/15</f>
        <v>0.73333333333333328</v>
      </c>
      <c r="AY81" s="76">
        <f>1/2</f>
        <v>0.5</v>
      </c>
      <c r="AZ81" s="76">
        <f>12/21</f>
        <v>0.5714285714285714</v>
      </c>
      <c r="BA81" s="76">
        <f>2/3</f>
        <v>0.66666666666666663</v>
      </c>
      <c r="BB81" s="76">
        <f>1/1</f>
        <v>1</v>
      </c>
      <c r="BC81" s="76">
        <f>3/4</f>
        <v>0.75</v>
      </c>
      <c r="BD81" s="74">
        <v>243</v>
      </c>
      <c r="BE81" s="72">
        <f t="shared" si="27"/>
        <v>78.449999999999989</v>
      </c>
      <c r="BF81" s="72">
        <f t="shared" si="28"/>
        <v>55.472526984084247</v>
      </c>
      <c r="BG81" s="89">
        <f t="shared" si="29"/>
        <v>60.724999999999994</v>
      </c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</row>
    <row r="82" spans="1:105" s="10" customFormat="1">
      <c r="A82" s="72" t="s">
        <v>171</v>
      </c>
      <c r="B82" s="74">
        <v>3006</v>
      </c>
      <c r="C82" s="72" t="s">
        <v>141</v>
      </c>
      <c r="D82" s="74">
        <v>0</v>
      </c>
      <c r="E82" s="72">
        <v>0.55000000000000004</v>
      </c>
      <c r="F82" s="72">
        <v>0.6</v>
      </c>
      <c r="G82" s="74">
        <v>26</v>
      </c>
      <c r="H82" s="72">
        <v>0.44</v>
      </c>
      <c r="I82" s="74">
        <v>33</v>
      </c>
      <c r="J82" s="72">
        <f t="shared" si="18"/>
        <v>0.56000000000000005</v>
      </c>
      <c r="K82" s="74">
        <v>406.72</v>
      </c>
      <c r="L82" s="72">
        <f t="shared" si="30"/>
        <v>6.8935593220338989</v>
      </c>
      <c r="M82" s="74" t="s">
        <v>50</v>
      </c>
      <c r="N82" s="74" t="s">
        <v>49</v>
      </c>
      <c r="O82" s="74">
        <v>31</v>
      </c>
      <c r="P82" s="72">
        <f>O82/(O82+Q82)</f>
        <v>0.70454545454545459</v>
      </c>
      <c r="Q82" s="74">
        <v>13</v>
      </c>
      <c r="R82" s="75">
        <f t="shared" si="21"/>
        <v>0.29545454545454541</v>
      </c>
      <c r="S82" s="74">
        <v>287.91000000000003</v>
      </c>
      <c r="T82" s="72">
        <f t="shared" si="23"/>
        <v>6.5434090909090914</v>
      </c>
      <c r="U82" s="74" t="s">
        <v>52</v>
      </c>
      <c r="V82" s="74" t="s">
        <v>50</v>
      </c>
      <c r="W82" s="74">
        <v>309</v>
      </c>
      <c r="X82" s="72">
        <v>1.5833333333333333</v>
      </c>
      <c r="Y82" s="72"/>
      <c r="Z82" s="72">
        <v>0.51492865054443737</v>
      </c>
      <c r="AA82" s="72"/>
      <c r="AB82" s="76">
        <f>18/59</f>
        <v>0.30508474576271188</v>
      </c>
      <c r="AC82" s="76">
        <f>7/59</f>
        <v>0.11864406779661017</v>
      </c>
      <c r="AD82" s="76">
        <f>17/59</f>
        <v>0.28813559322033899</v>
      </c>
      <c r="AE82" s="76">
        <f>3/59</f>
        <v>5.0847457627118647E-2</v>
      </c>
      <c r="AF82" s="76">
        <f>2/59</f>
        <v>3.3898305084745763E-2</v>
      </c>
      <c r="AG82" s="76">
        <f>12/59</f>
        <v>0.20338983050847459</v>
      </c>
      <c r="AH82" s="76">
        <f>12/18</f>
        <v>0.66666666666666663</v>
      </c>
      <c r="AI82" s="76">
        <f>4/7</f>
        <v>0.5714285714285714</v>
      </c>
      <c r="AJ82" s="76">
        <f>10/17</f>
        <v>0.58823529411764708</v>
      </c>
      <c r="AK82" s="76">
        <f>1/3</f>
        <v>0.33333333333333331</v>
      </c>
      <c r="AL82" s="76">
        <f>0/2</f>
        <v>0</v>
      </c>
      <c r="AM82" s="76">
        <f>7/12</f>
        <v>0.58333333333333337</v>
      </c>
      <c r="AN82" s="88">
        <v>296</v>
      </c>
      <c r="AO82" s="88">
        <f t="shared" si="24"/>
        <v>110.72000000000003</v>
      </c>
      <c r="AP82" s="72">
        <f t="shared" si="25"/>
        <v>78.290862812974439</v>
      </c>
      <c r="AQ82" s="89">
        <f t="shared" si="26"/>
        <v>188.10500000000002</v>
      </c>
      <c r="AR82" s="76">
        <f>11/44</f>
        <v>0.25</v>
      </c>
      <c r="AS82" s="76">
        <f>6/44</f>
        <v>0.13636363636363635</v>
      </c>
      <c r="AT82" s="76">
        <f>13/44</f>
        <v>0.29545454545454547</v>
      </c>
      <c r="AU82" s="76">
        <f>3/44</f>
        <v>6.8181818181818177E-2</v>
      </c>
      <c r="AV82" s="76">
        <f>2/44</f>
        <v>4.5454545454545456E-2</v>
      </c>
      <c r="AW82" s="76">
        <f>9/44</f>
        <v>0.20454545454545456</v>
      </c>
      <c r="AX82" s="76">
        <f>7/11</f>
        <v>0.63636363636363635</v>
      </c>
      <c r="AY82" s="76">
        <f>4/6</f>
        <v>0.66666666666666663</v>
      </c>
      <c r="AZ82" s="76">
        <f>9/13</f>
        <v>0.69230769230769229</v>
      </c>
      <c r="BA82" s="76">
        <f>1/3</f>
        <v>0.33333333333333331</v>
      </c>
      <c r="BB82" s="76">
        <f>2/2</f>
        <v>1</v>
      </c>
      <c r="BC82" s="76">
        <f>7/9</f>
        <v>0.77777777777777779</v>
      </c>
      <c r="BD82" s="74">
        <v>239</v>
      </c>
      <c r="BE82" s="72">
        <f t="shared" si="27"/>
        <v>48.910000000000025</v>
      </c>
      <c r="BF82" s="72">
        <f t="shared" si="28"/>
        <v>34.584592667833405</v>
      </c>
      <c r="BG82" s="89">
        <f t="shared" si="29"/>
        <v>43.955000000000013</v>
      </c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</row>
    <row r="83" spans="1:105" s="10" customFormat="1">
      <c r="A83" s="72" t="s">
        <v>172</v>
      </c>
      <c r="B83" s="74">
        <v>3006</v>
      </c>
      <c r="C83" s="72" t="s">
        <v>141</v>
      </c>
      <c r="D83" s="74">
        <v>0</v>
      </c>
      <c r="E83" s="72">
        <v>0.45</v>
      </c>
      <c r="F83" s="72">
        <v>0.6</v>
      </c>
      <c r="G83" s="74">
        <v>28</v>
      </c>
      <c r="H83" s="72">
        <v>0.8</v>
      </c>
      <c r="I83" s="74">
        <v>7</v>
      </c>
      <c r="J83" s="72">
        <f t="shared" si="18"/>
        <v>0.19999999999999996</v>
      </c>
      <c r="K83" s="74">
        <v>298.33</v>
      </c>
      <c r="L83" s="72">
        <f t="shared" si="30"/>
        <v>8.523714285714286</v>
      </c>
      <c r="M83" s="74" t="s">
        <v>50</v>
      </c>
      <c r="N83" s="74" t="s">
        <v>51</v>
      </c>
      <c r="O83" s="74">
        <v>35</v>
      </c>
      <c r="P83" s="72">
        <v>0.88</v>
      </c>
      <c r="Q83" s="74">
        <v>5</v>
      </c>
      <c r="R83" s="75">
        <f t="shared" si="21"/>
        <v>0.12</v>
      </c>
      <c r="S83" s="74">
        <v>293.45</v>
      </c>
      <c r="T83" s="72">
        <f t="shared" si="23"/>
        <v>7.3362499999999997</v>
      </c>
      <c r="U83" s="74" t="s">
        <v>54</v>
      </c>
      <c r="V83" s="74" t="s">
        <v>51</v>
      </c>
      <c r="W83" s="74">
        <v>299</v>
      </c>
      <c r="X83" s="72">
        <v>1.6666666666666667</v>
      </c>
      <c r="Y83" s="72"/>
      <c r="Z83" s="72">
        <v>0.49236596391733073</v>
      </c>
      <c r="AA83" s="72"/>
      <c r="AB83" s="76">
        <f>13/35</f>
        <v>0.37142857142857144</v>
      </c>
      <c r="AC83" s="76">
        <f>1/35</f>
        <v>2.8571428571428571E-2</v>
      </c>
      <c r="AD83" s="76">
        <f>13/35</f>
        <v>0.37142857142857144</v>
      </c>
      <c r="AE83" s="76">
        <f>1/35</f>
        <v>2.8571428571428571E-2</v>
      </c>
      <c r="AF83" s="76">
        <v>0</v>
      </c>
      <c r="AG83" s="76">
        <f>7/35</f>
        <v>0.2</v>
      </c>
      <c r="AH83" s="76">
        <f>11/13</f>
        <v>0.84615384615384615</v>
      </c>
      <c r="AI83" s="76">
        <f>1/1</f>
        <v>1</v>
      </c>
      <c r="AJ83" s="76">
        <f>9/13</f>
        <v>0.69230769230769229</v>
      </c>
      <c r="AK83" s="76">
        <f>1/1</f>
        <v>1</v>
      </c>
      <c r="AL83" s="76">
        <v>0</v>
      </c>
      <c r="AM83" s="76">
        <f>6/7</f>
        <v>0.8571428571428571</v>
      </c>
      <c r="AN83" s="91">
        <v>186</v>
      </c>
      <c r="AO83" s="88">
        <f t="shared" si="24"/>
        <v>112.32999999999998</v>
      </c>
      <c r="AP83" s="72">
        <f t="shared" si="25"/>
        <v>79.429304730684805</v>
      </c>
      <c r="AQ83" s="89">
        <f t="shared" si="26"/>
        <v>77.28</v>
      </c>
      <c r="AR83" s="76">
        <f>11/40</f>
        <v>0.27500000000000002</v>
      </c>
      <c r="AS83" s="76">
        <f>1/40</f>
        <v>2.5000000000000001E-2</v>
      </c>
      <c r="AT83" s="76">
        <f>13/40</f>
        <v>0.32500000000000001</v>
      </c>
      <c r="AU83" s="76">
        <f>5/40</f>
        <v>0.125</v>
      </c>
      <c r="AV83" s="76">
        <f>3/40</f>
        <v>7.4999999999999997E-2</v>
      </c>
      <c r="AW83" s="76">
        <f>7/40</f>
        <v>0.17499999999999999</v>
      </c>
      <c r="AX83" s="76">
        <f>11/11</f>
        <v>1</v>
      </c>
      <c r="AY83" s="76">
        <f>1/1</f>
        <v>1</v>
      </c>
      <c r="AZ83" s="76">
        <f>11/13</f>
        <v>0.84615384615384615</v>
      </c>
      <c r="BA83" s="76">
        <f>4/5</f>
        <v>0.8</v>
      </c>
      <c r="BB83" s="76">
        <f>2/3</f>
        <v>0.66666666666666663</v>
      </c>
      <c r="BC83" s="76">
        <f>6/7</f>
        <v>0.8571428571428571</v>
      </c>
      <c r="BD83" s="74">
        <v>212</v>
      </c>
      <c r="BE83" s="72">
        <f t="shared" si="27"/>
        <v>81.449999999999989</v>
      </c>
      <c r="BF83" s="72">
        <f t="shared" si="28"/>
        <v>57.593847327644333</v>
      </c>
      <c r="BG83" s="89">
        <f t="shared" si="29"/>
        <v>46.724999999999994</v>
      </c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</row>
    <row r="84" spans="1:105" s="10" customFormat="1">
      <c r="A84" s="72" t="s">
        <v>173</v>
      </c>
      <c r="B84" s="74">
        <v>3006</v>
      </c>
      <c r="C84" s="72" t="s">
        <v>141</v>
      </c>
      <c r="D84" s="74">
        <v>0</v>
      </c>
      <c r="E84" s="72">
        <v>0.4</v>
      </c>
      <c r="F84" s="72">
        <v>0.65</v>
      </c>
      <c r="G84" s="74">
        <v>36</v>
      </c>
      <c r="H84" s="72">
        <v>0.82</v>
      </c>
      <c r="I84" s="74">
        <v>8</v>
      </c>
      <c r="J84" s="72">
        <f t="shared" si="18"/>
        <v>0.18000000000000005</v>
      </c>
      <c r="K84" s="74">
        <v>378.59</v>
      </c>
      <c r="L84" s="72">
        <f t="shared" si="30"/>
        <v>8.6043181818181811</v>
      </c>
      <c r="M84" s="74" t="s">
        <v>52</v>
      </c>
      <c r="N84" s="74" t="s">
        <v>51</v>
      </c>
      <c r="O84" s="74">
        <v>41</v>
      </c>
      <c r="P84" s="72">
        <v>0.79</v>
      </c>
      <c r="Q84" s="74">
        <v>11</v>
      </c>
      <c r="R84" s="75">
        <f t="shared" si="21"/>
        <v>0.20999999999999996</v>
      </c>
      <c r="S84" s="74">
        <v>307.54000000000002</v>
      </c>
      <c r="T84" s="72">
        <f t="shared" si="23"/>
        <v>5.9142307692307696</v>
      </c>
      <c r="U84" s="74" t="s">
        <v>50</v>
      </c>
      <c r="V84" s="74" t="s">
        <v>50</v>
      </c>
      <c r="W84" s="74">
        <v>249</v>
      </c>
      <c r="X84" s="72">
        <v>0.91666666666666663</v>
      </c>
      <c r="Y84" s="72"/>
      <c r="Z84" s="72">
        <v>0.79296146109875909</v>
      </c>
      <c r="AA84" s="72"/>
      <c r="AB84" s="76">
        <f>19/44</f>
        <v>0.43181818181818182</v>
      </c>
      <c r="AC84" s="76">
        <f>3/44</f>
        <v>6.8181818181818177E-2</v>
      </c>
      <c r="AD84" s="76">
        <f>13/44</f>
        <v>0.29545454545454547</v>
      </c>
      <c r="AE84" s="76">
        <f>1/44</f>
        <v>2.2727272727272728E-2</v>
      </c>
      <c r="AF84" s="76">
        <f>1/44</f>
        <v>2.2727272727272728E-2</v>
      </c>
      <c r="AG84" s="76">
        <f>7/44</f>
        <v>0.15909090909090909</v>
      </c>
      <c r="AH84" s="76">
        <f>18/19</f>
        <v>0.94736842105263153</v>
      </c>
      <c r="AI84" s="76">
        <f>2/3</f>
        <v>0.66666666666666663</v>
      </c>
      <c r="AJ84" s="76">
        <f>8/13</f>
        <v>0.61538461538461542</v>
      </c>
      <c r="AK84" s="76">
        <f>1/1</f>
        <v>1</v>
      </c>
      <c r="AL84" s="76">
        <f>0/1</f>
        <v>0</v>
      </c>
      <c r="AM84" s="76">
        <f>7/7</f>
        <v>1</v>
      </c>
      <c r="AN84" s="91">
        <v>233</v>
      </c>
      <c r="AO84" s="88">
        <f t="shared" si="24"/>
        <v>145.58999999999997</v>
      </c>
      <c r="AP84" s="72">
        <f t="shared" si="25"/>
        <v>102.94767627294955</v>
      </c>
      <c r="AQ84" s="89">
        <f t="shared" si="26"/>
        <v>106.65500000000002</v>
      </c>
      <c r="AR84" s="76">
        <f>12/52</f>
        <v>0.23076923076923078</v>
      </c>
      <c r="AS84" s="76">
        <f>5/52</f>
        <v>9.6153846153846159E-2</v>
      </c>
      <c r="AT84" s="76">
        <f>25/52</f>
        <v>0.48076923076923078</v>
      </c>
      <c r="AU84" s="76">
        <f>2/52</f>
        <v>3.8461538461538464E-2</v>
      </c>
      <c r="AV84" s="76">
        <f>1/52</f>
        <v>1.9230769230769232E-2</v>
      </c>
      <c r="AW84" s="76">
        <f>8/52</f>
        <v>0.15384615384615385</v>
      </c>
      <c r="AX84" s="76">
        <f>9/12</f>
        <v>0.75</v>
      </c>
      <c r="AY84" s="76">
        <f>5/5</f>
        <v>1</v>
      </c>
      <c r="AZ84" s="76">
        <f>18/25</f>
        <v>0.72</v>
      </c>
      <c r="BA84" s="76">
        <f>2/2</f>
        <v>1</v>
      </c>
      <c r="BB84" s="76">
        <f>1/1</f>
        <v>1</v>
      </c>
      <c r="BC84" s="76">
        <f>7/8</f>
        <v>0.875</v>
      </c>
      <c r="BD84" s="74">
        <v>248</v>
      </c>
      <c r="BE84" s="72">
        <f t="shared" si="27"/>
        <v>59.54000000000002</v>
      </c>
      <c r="BF84" s="72">
        <f t="shared" si="28"/>
        <v>42.101137751847197</v>
      </c>
      <c r="BG84" s="89">
        <f t="shared" si="29"/>
        <v>53.77000000000001</v>
      </c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</row>
    <row r="85" spans="1:105" s="10" customFormat="1">
      <c r="A85" s="72" t="s">
        <v>174</v>
      </c>
      <c r="B85" s="74">
        <v>3006</v>
      </c>
      <c r="C85" s="72" t="s">
        <v>141</v>
      </c>
      <c r="D85" s="74">
        <v>0</v>
      </c>
      <c r="E85" s="72">
        <v>0.6</v>
      </c>
      <c r="F85" s="72">
        <v>0.55000000000000004</v>
      </c>
      <c r="G85" s="74">
        <v>28</v>
      </c>
      <c r="H85" s="72">
        <v>0.76</v>
      </c>
      <c r="I85" s="74">
        <v>9</v>
      </c>
      <c r="J85" s="72">
        <f t="shared" si="18"/>
        <v>0.24</v>
      </c>
      <c r="K85" s="74">
        <v>267.89</v>
      </c>
      <c r="L85" s="72">
        <f t="shared" si="30"/>
        <v>7.2402702702702699</v>
      </c>
      <c r="M85" s="74" t="s">
        <v>49</v>
      </c>
      <c r="N85" s="74" t="s">
        <v>50</v>
      </c>
      <c r="O85" s="74">
        <v>27</v>
      </c>
      <c r="P85" s="72">
        <v>0.79</v>
      </c>
      <c r="Q85" s="74">
        <v>7</v>
      </c>
      <c r="R85" s="75">
        <f t="shared" si="21"/>
        <v>0.20999999999999996</v>
      </c>
      <c r="S85" s="74">
        <v>178.67</v>
      </c>
      <c r="T85" s="72">
        <f t="shared" si="23"/>
        <v>5.2549999999999999</v>
      </c>
      <c r="U85" s="74" t="s">
        <v>50</v>
      </c>
      <c r="V85" s="74" t="s">
        <v>50</v>
      </c>
      <c r="W85" s="74">
        <v>294</v>
      </c>
      <c r="X85" s="72">
        <v>1.5</v>
      </c>
      <c r="Y85" s="72"/>
      <c r="Z85" s="72">
        <v>0.5222329678670935</v>
      </c>
      <c r="AA85" s="72"/>
      <c r="AB85" s="76">
        <f>13/37</f>
        <v>0.35135135135135137</v>
      </c>
      <c r="AC85" s="76">
        <f>4/37</f>
        <v>0.10810810810810811</v>
      </c>
      <c r="AD85" s="76">
        <f>12/37</f>
        <v>0.32432432432432434</v>
      </c>
      <c r="AE85" s="76">
        <f>3/37</f>
        <v>8.1081081081081086E-2</v>
      </c>
      <c r="AF85" s="76">
        <v>0</v>
      </c>
      <c r="AG85" s="76">
        <f>5/37</f>
        <v>0.13513513513513514</v>
      </c>
      <c r="AH85" s="76">
        <f>10/13</f>
        <v>0.76923076923076927</v>
      </c>
      <c r="AI85" s="76">
        <f>3/4</f>
        <v>0.75</v>
      </c>
      <c r="AJ85" s="76">
        <f>11/12</f>
        <v>0.91666666666666663</v>
      </c>
      <c r="AK85" s="76">
        <f>3/3</f>
        <v>1</v>
      </c>
      <c r="AL85" s="76">
        <v>0</v>
      </c>
      <c r="AM85" s="76">
        <f>2/3</f>
        <v>0.66666666666666663</v>
      </c>
      <c r="AN85" s="91">
        <v>206</v>
      </c>
      <c r="AO85" s="88">
        <f t="shared" si="24"/>
        <v>61.889999999999986</v>
      </c>
      <c r="AP85" s="72">
        <f t="shared" si="25"/>
        <v>43.762838687635302</v>
      </c>
      <c r="AQ85" s="89">
        <f t="shared" si="26"/>
        <v>7.6599999999999957</v>
      </c>
      <c r="AR85" s="76">
        <f>9/34</f>
        <v>0.26470588235294118</v>
      </c>
      <c r="AS85" s="76">
        <f>4/34</f>
        <v>0.11764705882352941</v>
      </c>
      <c r="AT85" s="76">
        <f>10/34</f>
        <v>0.29411764705882354</v>
      </c>
      <c r="AU85" s="76">
        <f>5/34</f>
        <v>0.14705882352941177</v>
      </c>
      <c r="AV85" s="76">
        <f>1/34</f>
        <v>2.9411764705882353E-2</v>
      </c>
      <c r="AW85" s="76">
        <f>5/34</f>
        <v>0.14705882352941177</v>
      </c>
      <c r="AX85" s="76">
        <f>6/8</f>
        <v>0.75</v>
      </c>
      <c r="AY85" s="76">
        <f>2/4</f>
        <v>0.5</v>
      </c>
      <c r="AZ85" s="76">
        <f>9/10</f>
        <v>0.9</v>
      </c>
      <c r="BA85" s="76">
        <f>4/5</f>
        <v>0.8</v>
      </c>
      <c r="BB85" s="76">
        <f>1/1</f>
        <v>1</v>
      </c>
      <c r="BC85" s="76">
        <f>4/5</f>
        <v>0.8</v>
      </c>
      <c r="BD85" s="74">
        <v>182</v>
      </c>
      <c r="BE85" s="72">
        <f t="shared" si="27"/>
        <v>-3.3300000000000125</v>
      </c>
      <c r="BF85" s="72">
        <f t="shared" si="28"/>
        <v>2.3546655813530104</v>
      </c>
      <c r="BG85" s="89">
        <f t="shared" si="29"/>
        <v>-10.665000000000006</v>
      </c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</row>
    <row r="86" spans="1:105" s="10" customFormat="1">
      <c r="A86" s="72" t="s">
        <v>175</v>
      </c>
      <c r="B86" s="74">
        <v>3006</v>
      </c>
      <c r="C86" s="72" t="s">
        <v>141</v>
      </c>
      <c r="D86" s="74">
        <v>0</v>
      </c>
      <c r="E86" s="72">
        <v>0.65</v>
      </c>
      <c r="F86" s="72">
        <v>0.6</v>
      </c>
      <c r="G86" s="74">
        <v>33</v>
      </c>
      <c r="H86" s="72">
        <v>0.92</v>
      </c>
      <c r="I86" s="74">
        <v>3</v>
      </c>
      <c r="J86" s="72">
        <f t="shared" si="18"/>
        <v>7.999999999999996E-2</v>
      </c>
      <c r="K86" s="74">
        <v>341.87</v>
      </c>
      <c r="L86" s="72">
        <f t="shared" si="30"/>
        <v>9.4963888888888892</v>
      </c>
      <c r="M86" s="74" t="s">
        <v>54</v>
      </c>
      <c r="N86" s="74" t="s">
        <v>51</v>
      </c>
      <c r="O86" s="74">
        <v>35</v>
      </c>
      <c r="P86" s="72">
        <v>0.83</v>
      </c>
      <c r="Q86" s="74">
        <v>7</v>
      </c>
      <c r="R86" s="75">
        <f t="shared" si="21"/>
        <v>0.17000000000000004</v>
      </c>
      <c r="S86" s="74">
        <v>511.54</v>
      </c>
      <c r="T86" s="72">
        <f t="shared" si="23"/>
        <v>12.179523809523809</v>
      </c>
      <c r="U86" s="74" t="s">
        <v>49</v>
      </c>
      <c r="V86" s="74" t="s">
        <v>51</v>
      </c>
      <c r="W86" s="74">
        <v>254</v>
      </c>
      <c r="X86" s="72">
        <v>1.0833333333333333</v>
      </c>
      <c r="Y86" s="72"/>
      <c r="Z86" s="72">
        <v>0.66855792342152143</v>
      </c>
      <c r="AA86" s="72"/>
      <c r="AB86" s="76">
        <f>10/36</f>
        <v>0.27777777777777779</v>
      </c>
      <c r="AC86" s="76">
        <f>6/36</f>
        <v>0.16666666666666666</v>
      </c>
      <c r="AD86" s="76">
        <f>13/36</f>
        <v>0.3611111111111111</v>
      </c>
      <c r="AE86" s="76">
        <f>1/36</f>
        <v>2.7777777777777776E-2</v>
      </c>
      <c r="AF86" s="76">
        <v>0</v>
      </c>
      <c r="AG86" s="76">
        <f>6/36</f>
        <v>0.16666666666666666</v>
      </c>
      <c r="AH86" s="76">
        <f>7/10</f>
        <v>0.7</v>
      </c>
      <c r="AI86" s="76">
        <f>5/6</f>
        <v>0.83333333333333337</v>
      </c>
      <c r="AJ86" s="76">
        <f>10/13</f>
        <v>0.76923076923076927</v>
      </c>
      <c r="AK86" s="76">
        <f>1/1</f>
        <v>1</v>
      </c>
      <c r="AL86" s="76">
        <v>0</v>
      </c>
      <c r="AM86" s="76">
        <f>5/6</f>
        <v>0.83333333333333337</v>
      </c>
      <c r="AN86" s="91">
        <v>174</v>
      </c>
      <c r="AO86" s="88">
        <f t="shared" si="24"/>
        <v>167.87</v>
      </c>
      <c r="AP86" s="72">
        <f t="shared" si="25"/>
        <v>118.70201535778573</v>
      </c>
      <c r="AQ86" s="89">
        <f t="shared" si="26"/>
        <v>15.510000000000005</v>
      </c>
      <c r="AR86" s="76">
        <f>14/42</f>
        <v>0.33333333333333331</v>
      </c>
      <c r="AS86" s="76">
        <f>5/42</f>
        <v>0.11904761904761904</v>
      </c>
      <c r="AT86" s="76">
        <f>15/42</f>
        <v>0.35714285714285715</v>
      </c>
      <c r="AU86" s="76">
        <f>1/42</f>
        <v>2.3809523809523808E-2</v>
      </c>
      <c r="AV86" s="76">
        <f>1/42</f>
        <v>2.3809523809523808E-2</v>
      </c>
      <c r="AW86" s="76">
        <f>6/42</f>
        <v>0.14285714285714285</v>
      </c>
      <c r="AX86" s="76">
        <f>12/14</f>
        <v>0.8571428571428571</v>
      </c>
      <c r="AY86" s="76">
        <f>5/5</f>
        <v>1</v>
      </c>
      <c r="AZ86" s="76">
        <f>13/15</f>
        <v>0.8666666666666667</v>
      </c>
      <c r="BA86" s="76">
        <f>1/1</f>
        <v>1</v>
      </c>
      <c r="BB86" s="76">
        <f>0/1</f>
        <v>0</v>
      </c>
      <c r="BC86" s="76">
        <f>4/6</f>
        <v>0.66666666666666663</v>
      </c>
      <c r="BD86" s="74">
        <v>204</v>
      </c>
      <c r="BE86" s="72">
        <f t="shared" si="27"/>
        <v>307.54000000000002</v>
      </c>
      <c r="BF86" s="72">
        <f t="shared" si="28"/>
        <v>217.4636194861109</v>
      </c>
      <c r="BG86" s="89">
        <f t="shared" si="29"/>
        <v>155.77000000000001</v>
      </c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</row>
    <row r="87" spans="1:105" s="10" customFormat="1">
      <c r="A87" s="72" t="s">
        <v>176</v>
      </c>
      <c r="B87" s="74">
        <v>3006</v>
      </c>
      <c r="C87" s="72" t="s">
        <v>141</v>
      </c>
      <c r="D87" s="74">
        <v>0</v>
      </c>
      <c r="E87" s="72">
        <v>0.5</v>
      </c>
      <c r="F87" s="72">
        <v>0.65</v>
      </c>
      <c r="G87" s="74">
        <v>22</v>
      </c>
      <c r="H87" s="72">
        <v>0.54</v>
      </c>
      <c r="I87" s="74">
        <v>19</v>
      </c>
      <c r="J87" s="72">
        <f t="shared" si="18"/>
        <v>0.45999999999999996</v>
      </c>
      <c r="K87" s="74">
        <v>576.21</v>
      </c>
      <c r="L87" s="72">
        <f t="shared" si="30"/>
        <v>14.053902439024391</v>
      </c>
      <c r="M87" s="74" t="s">
        <v>52</v>
      </c>
      <c r="N87" s="74" t="s">
        <v>52</v>
      </c>
      <c r="O87" s="74">
        <v>17</v>
      </c>
      <c r="P87" s="72">
        <v>0.56999999999999995</v>
      </c>
      <c r="Q87" s="74">
        <v>13</v>
      </c>
      <c r="R87" s="75">
        <f t="shared" si="21"/>
        <v>0.43000000000000005</v>
      </c>
      <c r="S87" s="74">
        <v>387.21</v>
      </c>
      <c r="T87" s="72">
        <f t="shared" si="23"/>
        <v>12.907</v>
      </c>
      <c r="U87" s="74" t="s">
        <v>51</v>
      </c>
      <c r="V87" s="74" t="s">
        <v>52</v>
      </c>
      <c r="W87" s="74">
        <v>390</v>
      </c>
      <c r="X87" s="72">
        <v>0.16666666666666666</v>
      </c>
      <c r="Y87" s="72"/>
      <c r="Z87" s="72">
        <v>0.71774056256527341</v>
      </c>
      <c r="AA87" s="72"/>
      <c r="AB87" s="76">
        <f>13/41</f>
        <v>0.31707317073170732</v>
      </c>
      <c r="AC87" s="76">
        <f>3/41</f>
        <v>7.3170731707317069E-2</v>
      </c>
      <c r="AD87" s="76">
        <f>11/41</f>
        <v>0.26829268292682928</v>
      </c>
      <c r="AE87" s="76">
        <f>5/41</f>
        <v>0.12195121951219512</v>
      </c>
      <c r="AF87" s="76">
        <f>1/41</f>
        <v>2.4390243902439025E-2</v>
      </c>
      <c r="AG87" s="76">
        <f>8/41</f>
        <v>0.1951219512195122</v>
      </c>
      <c r="AH87" s="76">
        <f>8/13</f>
        <v>0.61538461538461542</v>
      </c>
      <c r="AI87" s="76">
        <f>2/3</f>
        <v>0.66666666666666663</v>
      </c>
      <c r="AJ87" s="76">
        <f>4/11</f>
        <v>0.36363636363636365</v>
      </c>
      <c r="AK87" s="76">
        <f>5/5</f>
        <v>1</v>
      </c>
      <c r="AL87" s="76">
        <f>0/1</f>
        <v>0</v>
      </c>
      <c r="AM87" s="76">
        <f>4/8</f>
        <v>0.5</v>
      </c>
      <c r="AN87" s="91">
        <v>230</v>
      </c>
      <c r="AO87" s="88">
        <f t="shared" si="24"/>
        <v>346.21000000000004</v>
      </c>
      <c r="AP87" s="72">
        <f t="shared" si="25"/>
        <v>244.80743871459464</v>
      </c>
      <c r="AQ87" s="89">
        <f t="shared" si="26"/>
        <v>81.844999999999999</v>
      </c>
      <c r="AR87" s="76">
        <f>8/30</f>
        <v>0.26666666666666666</v>
      </c>
      <c r="AS87" s="76">
        <f>1/30</f>
        <v>3.3333333333333333E-2</v>
      </c>
      <c r="AT87" s="76">
        <f>13/30</f>
        <v>0.43333333333333335</v>
      </c>
      <c r="AU87" s="76">
        <f>1/30</f>
        <v>3.3333333333333333E-2</v>
      </c>
      <c r="AV87" s="76">
        <f>2/30</f>
        <v>6.6666666666666666E-2</v>
      </c>
      <c r="AW87" s="76">
        <f>5/30</f>
        <v>0.16666666666666666</v>
      </c>
      <c r="AX87" s="76">
        <f>5/8</f>
        <v>0.625</v>
      </c>
      <c r="AY87" s="76">
        <f>0/1</f>
        <v>0</v>
      </c>
      <c r="AZ87" s="76">
        <f>6/13</f>
        <v>0.46153846153846156</v>
      </c>
      <c r="BA87" s="76">
        <f>1/1</f>
        <v>1</v>
      </c>
      <c r="BB87" s="76">
        <f>0/2</f>
        <v>0</v>
      </c>
      <c r="BC87" s="76">
        <f>5/5</f>
        <v>1</v>
      </c>
      <c r="BD87" s="74">
        <v>172</v>
      </c>
      <c r="BE87" s="72">
        <f t="shared" si="27"/>
        <v>215.20999999999998</v>
      </c>
      <c r="BF87" s="72">
        <f t="shared" si="28"/>
        <v>152.17645037915679</v>
      </c>
      <c r="BG87" s="89">
        <f t="shared" si="29"/>
        <v>93.60499999999999</v>
      </c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</row>
    <row r="88" spans="1:105" s="10" customFormat="1">
      <c r="A88" s="72" t="s">
        <v>177</v>
      </c>
      <c r="B88" s="74">
        <v>3003</v>
      </c>
      <c r="C88" s="72" t="s">
        <v>141</v>
      </c>
      <c r="D88" s="74">
        <v>0</v>
      </c>
      <c r="E88" s="72">
        <v>0.7</v>
      </c>
      <c r="F88" s="72">
        <v>0.7</v>
      </c>
      <c r="G88" s="74">
        <v>27</v>
      </c>
      <c r="H88" s="72">
        <f>G88/(G88+I88)</f>
        <v>0.77142857142857146</v>
      </c>
      <c r="I88" s="74">
        <v>8</v>
      </c>
      <c r="J88" s="72">
        <f t="shared" si="18"/>
        <v>0.22857142857142854</v>
      </c>
      <c r="K88" s="74">
        <v>354.56</v>
      </c>
      <c r="L88" s="72">
        <f t="shared" si="30"/>
        <v>10.130285714285714</v>
      </c>
      <c r="M88" s="74" t="s">
        <v>52</v>
      </c>
      <c r="N88" s="74" t="s">
        <v>50</v>
      </c>
      <c r="O88" s="74">
        <v>33</v>
      </c>
      <c r="P88" s="72">
        <f>O88/(O88+Q88)</f>
        <v>0.86842105263157898</v>
      </c>
      <c r="Q88" s="74">
        <v>5</v>
      </c>
      <c r="R88" s="75">
        <f t="shared" si="21"/>
        <v>0.13157894736842102</v>
      </c>
      <c r="S88" s="74">
        <v>185.18</v>
      </c>
      <c r="T88" s="72">
        <f t="shared" si="23"/>
        <v>4.8731578947368419</v>
      </c>
      <c r="U88" s="74" t="s">
        <v>51</v>
      </c>
      <c r="V88" s="74" t="s">
        <v>51</v>
      </c>
      <c r="W88" s="74">
        <v>282</v>
      </c>
      <c r="X88" s="72">
        <v>-0.66666666666666663</v>
      </c>
      <c r="Y88" s="72"/>
      <c r="Z88" s="72">
        <v>0.88762536459859454</v>
      </c>
      <c r="AA88" s="72"/>
      <c r="AB88" s="76">
        <f>6/35</f>
        <v>0.17142857142857143</v>
      </c>
      <c r="AC88" s="76">
        <f>5/35</f>
        <v>0.14285714285714285</v>
      </c>
      <c r="AD88" s="76">
        <f>13/35</f>
        <v>0.37142857142857144</v>
      </c>
      <c r="AE88" s="76">
        <f>2/35</f>
        <v>5.7142857142857141E-2</v>
      </c>
      <c r="AF88" s="76">
        <v>0</v>
      </c>
      <c r="AG88" s="76">
        <f>9/35</f>
        <v>0.25714285714285712</v>
      </c>
      <c r="AH88" s="76">
        <f>4/6</f>
        <v>0.66666666666666663</v>
      </c>
      <c r="AI88" s="76">
        <f>4/5</f>
        <v>0.8</v>
      </c>
      <c r="AJ88" s="76">
        <f>10/13</f>
        <v>0.76923076923076927</v>
      </c>
      <c r="AK88" s="76">
        <f>1/2</f>
        <v>0.5</v>
      </c>
      <c r="AL88" s="76">
        <v>0</v>
      </c>
      <c r="AM88" s="76">
        <f>8/9</f>
        <v>0.88888888888888884</v>
      </c>
      <c r="AN88" s="91">
        <v>165</v>
      </c>
      <c r="AO88" s="88">
        <f t="shared" si="24"/>
        <v>189.56</v>
      </c>
      <c r="AP88" s="72">
        <f t="shared" si="25"/>
        <v>134.03916144172203</v>
      </c>
      <c r="AQ88" s="89">
        <f t="shared" si="26"/>
        <v>14.019999999999996</v>
      </c>
      <c r="AR88" s="76">
        <f>19/38</f>
        <v>0.5</v>
      </c>
      <c r="AS88" s="76">
        <f>3/38</f>
        <v>7.8947368421052627E-2</v>
      </c>
      <c r="AT88" s="76">
        <f>12/38</f>
        <v>0.31578947368421051</v>
      </c>
      <c r="AU88" s="76">
        <f>1/38</f>
        <v>2.6315789473684209E-2</v>
      </c>
      <c r="AV88" s="76">
        <f>1/38</f>
        <v>2.6315789473684209E-2</v>
      </c>
      <c r="AW88" s="76">
        <f>2/38</f>
        <v>5.2631578947368418E-2</v>
      </c>
      <c r="AX88" s="76">
        <f>18/19</f>
        <v>0.94736842105263153</v>
      </c>
      <c r="AY88" s="76">
        <f>3/3</f>
        <v>1</v>
      </c>
      <c r="AZ88" s="76">
        <f>9/12</f>
        <v>0.75</v>
      </c>
      <c r="BA88" s="76">
        <f>1/1</f>
        <v>1</v>
      </c>
      <c r="BB88" s="76">
        <f>1/1</f>
        <v>1</v>
      </c>
      <c r="BC88" s="76">
        <f>1/2</f>
        <v>0.5</v>
      </c>
      <c r="BD88" s="74">
        <v>187</v>
      </c>
      <c r="BE88" s="72">
        <f t="shared" si="27"/>
        <v>-1.8199999999999932</v>
      </c>
      <c r="BF88" s="72">
        <f t="shared" si="28"/>
        <v>1.2869343417585939</v>
      </c>
      <c r="BG88" s="89">
        <f t="shared" si="29"/>
        <v>-7.4099999999999975</v>
      </c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</row>
    <row r="89" spans="1:105" s="10" customFormat="1">
      <c r="A89" s="72" t="s">
        <v>178</v>
      </c>
      <c r="B89" s="74">
        <v>3003</v>
      </c>
      <c r="C89" s="72" t="s">
        <v>141</v>
      </c>
      <c r="D89" s="74">
        <v>0</v>
      </c>
      <c r="E89" s="72">
        <v>0.7</v>
      </c>
      <c r="F89" s="72">
        <v>0.75</v>
      </c>
      <c r="G89" s="74">
        <v>31</v>
      </c>
      <c r="H89" s="72">
        <f>G89/(G89+I89)</f>
        <v>0.73809523809523814</v>
      </c>
      <c r="I89" s="74">
        <v>11</v>
      </c>
      <c r="J89" s="72">
        <f t="shared" si="18"/>
        <v>0.26190476190476186</v>
      </c>
      <c r="K89" s="74">
        <v>413.31</v>
      </c>
      <c r="L89" s="72">
        <f t="shared" si="30"/>
        <v>9.8407142857142862</v>
      </c>
      <c r="M89" s="74" t="s">
        <v>50</v>
      </c>
      <c r="N89" s="74" t="s">
        <v>50</v>
      </c>
      <c r="O89" s="74">
        <v>27</v>
      </c>
      <c r="P89" s="72">
        <f>O89/(O89+Q89)</f>
        <v>0.75</v>
      </c>
      <c r="Q89" s="74">
        <v>9</v>
      </c>
      <c r="R89" s="75">
        <f t="shared" si="21"/>
        <v>0.25</v>
      </c>
      <c r="S89" s="74">
        <v>347.89</v>
      </c>
      <c r="T89" s="72">
        <f t="shared" si="23"/>
        <v>9.6636111111111109</v>
      </c>
      <c r="U89" s="74" t="s">
        <v>49</v>
      </c>
      <c r="V89" s="74" t="s">
        <v>50</v>
      </c>
      <c r="W89" s="74">
        <v>219</v>
      </c>
      <c r="X89" s="72">
        <v>-0.16666666666666666</v>
      </c>
      <c r="Y89" s="72"/>
      <c r="Z89" s="72">
        <v>1.1934162828797101</v>
      </c>
      <c r="AA89" s="72"/>
      <c r="AB89" s="76">
        <f>15/42</f>
        <v>0.35714285714285715</v>
      </c>
      <c r="AC89" s="76">
        <f>3/42</f>
        <v>7.1428571428571425E-2</v>
      </c>
      <c r="AD89" s="76">
        <f>14/42</f>
        <v>0.33333333333333331</v>
      </c>
      <c r="AE89" s="76">
        <f>5/42</f>
        <v>0.11904761904761904</v>
      </c>
      <c r="AF89" s="76">
        <f>1/42</f>
        <v>2.3809523809523808E-2</v>
      </c>
      <c r="AG89" s="76">
        <f>4/42</f>
        <v>9.5238095238095233E-2</v>
      </c>
      <c r="AH89" s="76">
        <f>12/15</f>
        <v>0.8</v>
      </c>
      <c r="AI89" s="76">
        <f>3/3</f>
        <v>1</v>
      </c>
      <c r="AJ89" s="76">
        <f>13/14</f>
        <v>0.9285714285714286</v>
      </c>
      <c r="AK89" s="76">
        <f>3/5</f>
        <v>0.6</v>
      </c>
      <c r="AL89" s="76">
        <f>1/1</f>
        <v>1</v>
      </c>
      <c r="AM89" s="76">
        <f>3/4</f>
        <v>0.75</v>
      </c>
      <c r="AN89" s="91">
        <v>217</v>
      </c>
      <c r="AO89" s="88">
        <f t="shared" si="24"/>
        <v>196.31</v>
      </c>
      <c r="AP89" s="72">
        <f t="shared" si="25"/>
        <v>138.81213221473124</v>
      </c>
      <c r="AQ89" s="89">
        <f t="shared" si="26"/>
        <v>71.509999999999991</v>
      </c>
      <c r="AR89" s="76">
        <f>8/36</f>
        <v>0.22222222222222221</v>
      </c>
      <c r="AS89" s="76">
        <f>5/36</f>
        <v>0.1388888888888889</v>
      </c>
      <c r="AT89" s="76">
        <f>13/36</f>
        <v>0.3611111111111111</v>
      </c>
      <c r="AU89" s="76">
        <f>2/36</f>
        <v>5.5555555555555552E-2</v>
      </c>
      <c r="AV89" s="76">
        <f>1/36</f>
        <v>2.7777777777777776E-2</v>
      </c>
      <c r="AW89" s="76">
        <f>7/36</f>
        <v>0.19444444444444445</v>
      </c>
      <c r="AX89" s="76">
        <f>5/8</f>
        <v>0.625</v>
      </c>
      <c r="AY89" s="76">
        <f>4/5</f>
        <v>0.8</v>
      </c>
      <c r="AZ89" s="76">
        <f>9/13</f>
        <v>0.69230769230769229</v>
      </c>
      <c r="BA89" s="76">
        <f>1/2</f>
        <v>0.5</v>
      </c>
      <c r="BB89" s="76">
        <f>1/1</f>
        <v>1</v>
      </c>
      <c r="BC89" s="76">
        <f>5/7</f>
        <v>0.7142857142857143</v>
      </c>
      <c r="BD89" s="74">
        <v>169</v>
      </c>
      <c r="BE89" s="72">
        <f t="shared" si="27"/>
        <v>178.89</v>
      </c>
      <c r="BF89" s="72">
        <f t="shared" si="28"/>
        <v>126.49433208646147</v>
      </c>
      <c r="BG89" s="89">
        <f t="shared" si="29"/>
        <v>73.944999999999993</v>
      </c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</row>
    <row r="90" spans="1:105" s="10" customFormat="1">
      <c r="A90" s="72" t="s">
        <v>179</v>
      </c>
      <c r="B90" s="74">
        <v>3003</v>
      </c>
      <c r="C90" s="72" t="s">
        <v>141</v>
      </c>
      <c r="D90" s="74">
        <v>0</v>
      </c>
      <c r="E90" s="72">
        <v>0.55000000000000004</v>
      </c>
      <c r="F90" s="72">
        <v>0.75</v>
      </c>
      <c r="G90" s="74">
        <v>26</v>
      </c>
      <c r="H90" s="72">
        <f t="shared" ref="H90:H101" si="31">G90/(G90+I90)</f>
        <v>0.76470588235294112</v>
      </c>
      <c r="I90" s="74">
        <v>8</v>
      </c>
      <c r="J90" s="72">
        <f t="shared" si="18"/>
        <v>0.23529411764705888</v>
      </c>
      <c r="K90" s="74">
        <v>215.32</v>
      </c>
      <c r="L90" s="72">
        <f t="shared" si="30"/>
        <v>6.3329411764705883</v>
      </c>
      <c r="M90" s="74" t="s">
        <v>54</v>
      </c>
      <c r="N90" s="74" t="s">
        <v>50</v>
      </c>
      <c r="O90" s="74">
        <v>28</v>
      </c>
      <c r="P90" s="72">
        <f t="shared" ref="P90:P100" si="32">O90/(O90+Q90)</f>
        <v>0.7567567567567568</v>
      </c>
      <c r="Q90" s="74">
        <v>9</v>
      </c>
      <c r="R90" s="75">
        <f t="shared" si="21"/>
        <v>0.2432432432432432</v>
      </c>
      <c r="S90" s="74">
        <v>120.02</v>
      </c>
      <c r="T90" s="72">
        <f t="shared" si="23"/>
        <v>3.2437837837837837</v>
      </c>
      <c r="U90" s="74" t="s">
        <v>52</v>
      </c>
      <c r="V90" s="74" t="s">
        <v>50</v>
      </c>
      <c r="W90" s="74">
        <v>294</v>
      </c>
      <c r="X90" s="72">
        <v>2</v>
      </c>
      <c r="Y90" s="72"/>
      <c r="Z90" s="72">
        <v>0</v>
      </c>
      <c r="AA90" s="72"/>
      <c r="AB90" s="76">
        <f>9/34</f>
        <v>0.26470588235294118</v>
      </c>
      <c r="AC90" s="76">
        <f>1/34</f>
        <v>2.9411764705882353E-2</v>
      </c>
      <c r="AD90" s="76">
        <f>12/34</f>
        <v>0.35294117647058826</v>
      </c>
      <c r="AE90" s="76">
        <f>4/34</f>
        <v>0.11764705882352941</v>
      </c>
      <c r="AF90" s="76">
        <f>4/34</f>
        <v>0.11764705882352941</v>
      </c>
      <c r="AG90" s="76">
        <f>4/34</f>
        <v>0.11764705882352941</v>
      </c>
      <c r="AH90" s="76">
        <f>9/9</f>
        <v>1</v>
      </c>
      <c r="AI90" s="76">
        <f>1/1</f>
        <v>1</v>
      </c>
      <c r="AJ90" s="76">
        <f>9/12</f>
        <v>0.75</v>
      </c>
      <c r="AK90" s="76">
        <f>2/4</f>
        <v>0.5</v>
      </c>
      <c r="AL90" s="76">
        <f>2/4</f>
        <v>0.5</v>
      </c>
      <c r="AM90" s="76">
        <f>3/4</f>
        <v>0.75</v>
      </c>
      <c r="AN90" s="91">
        <v>167</v>
      </c>
      <c r="AO90" s="88">
        <f t="shared" si="24"/>
        <v>48.319999999999993</v>
      </c>
      <c r="AP90" s="72">
        <f t="shared" si="25"/>
        <v>34.16739966693401</v>
      </c>
      <c r="AQ90" s="89">
        <f t="shared" si="26"/>
        <v>-36.965000000000003</v>
      </c>
      <c r="AR90" s="76">
        <f>12/37</f>
        <v>0.32432432432432434</v>
      </c>
      <c r="AS90" s="76">
        <f>2/37</f>
        <v>5.4054054054054057E-2</v>
      </c>
      <c r="AT90" s="76">
        <f>9/37</f>
        <v>0.24324324324324326</v>
      </c>
      <c r="AU90" s="76">
        <f>8/37</f>
        <v>0.21621621621621623</v>
      </c>
      <c r="AV90" s="76">
        <v>0</v>
      </c>
      <c r="AW90" s="76">
        <f>6/37</f>
        <v>0.16216216216216217</v>
      </c>
      <c r="AX90" s="76">
        <f>9/12</f>
        <v>0.75</v>
      </c>
      <c r="AY90" s="76">
        <f>1/2</f>
        <v>0.5</v>
      </c>
      <c r="AZ90" s="76">
        <f>3/9</f>
        <v>0.33333333333333331</v>
      </c>
      <c r="BA90" s="76">
        <f>6/8</f>
        <v>0.75</v>
      </c>
      <c r="BB90" s="76">
        <v>0</v>
      </c>
      <c r="BC90" s="76">
        <f>4/6</f>
        <v>0.66666666666666663</v>
      </c>
      <c r="BD90" s="74">
        <v>210</v>
      </c>
      <c r="BE90" s="72">
        <f t="shared" si="27"/>
        <v>-89.98</v>
      </c>
      <c r="BF90" s="72">
        <f t="shared" si="28"/>
        <v>63.6254681711656</v>
      </c>
      <c r="BG90" s="89">
        <f t="shared" si="29"/>
        <v>-39.99</v>
      </c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</row>
    <row r="91" spans="1:105" s="10" customFormat="1">
      <c r="A91" s="72" t="s">
        <v>180</v>
      </c>
      <c r="B91" s="74">
        <v>3003</v>
      </c>
      <c r="C91" s="72" t="s">
        <v>141</v>
      </c>
      <c r="D91" s="74">
        <v>0</v>
      </c>
      <c r="E91" s="72">
        <v>0.7</v>
      </c>
      <c r="F91" s="72">
        <v>0.65</v>
      </c>
      <c r="G91" s="74">
        <v>43</v>
      </c>
      <c r="H91" s="72">
        <f t="shared" si="31"/>
        <v>0.78181818181818186</v>
      </c>
      <c r="I91" s="74">
        <v>12</v>
      </c>
      <c r="J91" s="72">
        <f t="shared" si="18"/>
        <v>0.21818181818181814</v>
      </c>
      <c r="K91" s="74">
        <v>231.02</v>
      </c>
      <c r="L91" s="72">
        <f t="shared" si="30"/>
        <v>4.2003636363636367</v>
      </c>
      <c r="M91" s="74" t="s">
        <v>49</v>
      </c>
      <c r="N91" s="74" t="s">
        <v>50</v>
      </c>
      <c r="O91" s="74">
        <v>33</v>
      </c>
      <c r="P91" s="72">
        <f t="shared" si="32"/>
        <v>0.94285714285714284</v>
      </c>
      <c r="Q91" s="74">
        <v>2</v>
      </c>
      <c r="R91" s="75">
        <f t="shared" si="21"/>
        <v>5.7142857142857162E-2</v>
      </c>
      <c r="S91" s="74">
        <v>134.05000000000001</v>
      </c>
      <c r="T91" s="72">
        <f t="shared" si="23"/>
        <v>3.8300000000000005</v>
      </c>
      <c r="U91" s="74" t="s">
        <v>50</v>
      </c>
      <c r="V91" s="74" t="s">
        <v>51</v>
      </c>
      <c r="W91" s="74">
        <v>309</v>
      </c>
      <c r="X91" s="72">
        <v>0.16666666666666666</v>
      </c>
      <c r="Y91" s="72"/>
      <c r="Z91" s="72">
        <v>1.1934162828797101</v>
      </c>
      <c r="AA91" s="72"/>
      <c r="AB91" s="76">
        <f>17/55</f>
        <v>0.30909090909090908</v>
      </c>
      <c r="AC91" s="76">
        <f>1/55</f>
        <v>1.8181818181818181E-2</v>
      </c>
      <c r="AD91" s="76">
        <f>27/55</f>
        <v>0.49090909090909091</v>
      </c>
      <c r="AE91" s="76">
        <f>1/55</f>
        <v>1.8181818181818181E-2</v>
      </c>
      <c r="AF91" s="76">
        <f>1/55</f>
        <v>1.8181818181818181E-2</v>
      </c>
      <c r="AG91" s="76">
        <f>8/55</f>
        <v>0.14545454545454545</v>
      </c>
      <c r="AH91" s="76">
        <f>11/17</f>
        <v>0.6470588235294118</v>
      </c>
      <c r="AI91" s="76">
        <f>1/1</f>
        <v>1</v>
      </c>
      <c r="AJ91" s="76">
        <f>21/27</f>
        <v>0.77777777777777779</v>
      </c>
      <c r="AK91" s="76">
        <f>1/1</f>
        <v>1</v>
      </c>
      <c r="AL91" s="76">
        <f>1/1</f>
        <v>1</v>
      </c>
      <c r="AM91" s="76">
        <f>8/8</f>
        <v>1</v>
      </c>
      <c r="AN91" s="91">
        <v>299</v>
      </c>
      <c r="AO91" s="88">
        <f t="shared" si="24"/>
        <v>-67.97999999999999</v>
      </c>
      <c r="AP91" s="72">
        <f t="shared" si="25"/>
        <v>48.069118985061742</v>
      </c>
      <c r="AQ91" s="89">
        <f t="shared" si="26"/>
        <v>60.19</v>
      </c>
      <c r="AR91" s="76">
        <f>10/35</f>
        <v>0.2857142857142857</v>
      </c>
      <c r="AS91" s="76">
        <f>4/35</f>
        <v>0.11428571428571428</v>
      </c>
      <c r="AT91" s="76">
        <f>12/35</f>
        <v>0.34285714285714286</v>
      </c>
      <c r="AU91" s="76">
        <f>3/35</f>
        <v>8.5714285714285715E-2</v>
      </c>
      <c r="AV91" s="76">
        <f>2/35</f>
        <v>5.7142857142857141E-2</v>
      </c>
      <c r="AW91" s="76">
        <f>4/35</f>
        <v>0.11428571428571428</v>
      </c>
      <c r="AX91" s="76">
        <f>9/10</f>
        <v>0.9</v>
      </c>
      <c r="AY91" s="76">
        <f>4/4</f>
        <v>1</v>
      </c>
      <c r="AZ91" s="76">
        <f>11/12</f>
        <v>0.91666666666666663</v>
      </c>
      <c r="BA91" s="76">
        <f>3/3</f>
        <v>1</v>
      </c>
      <c r="BB91" s="76">
        <f>2/2</f>
        <v>1</v>
      </c>
      <c r="BC91" s="76">
        <f>4/4</f>
        <v>1</v>
      </c>
      <c r="BD91" s="74">
        <v>190</v>
      </c>
      <c r="BE91" s="72">
        <f t="shared" si="27"/>
        <v>-55.949999999999989</v>
      </c>
      <c r="BF91" s="72">
        <f t="shared" si="28"/>
        <v>39.562624407387311</v>
      </c>
      <c r="BG91" s="89">
        <f t="shared" si="29"/>
        <v>-32.974999999999994</v>
      </c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</row>
    <row r="92" spans="1:105" s="10" customFormat="1">
      <c r="A92" s="72" t="s">
        <v>181</v>
      </c>
      <c r="B92" s="74">
        <v>3003</v>
      </c>
      <c r="C92" s="72" t="s">
        <v>141</v>
      </c>
      <c r="D92" s="74">
        <v>0</v>
      </c>
      <c r="E92" s="72">
        <v>0.7</v>
      </c>
      <c r="F92" s="72">
        <v>0.7</v>
      </c>
      <c r="G92" s="74">
        <v>37</v>
      </c>
      <c r="H92" s="72">
        <f t="shared" si="31"/>
        <v>0.80434782608695654</v>
      </c>
      <c r="I92" s="74">
        <v>9</v>
      </c>
      <c r="J92" s="72">
        <f t="shared" si="18"/>
        <v>0.19565217391304346</v>
      </c>
      <c r="K92" s="74">
        <v>363.69</v>
      </c>
      <c r="L92" s="72">
        <f t="shared" si="30"/>
        <v>7.9063043478260866</v>
      </c>
      <c r="M92" s="74" t="s">
        <v>49</v>
      </c>
      <c r="N92" s="74" t="s">
        <v>51</v>
      </c>
      <c r="O92" s="74">
        <v>30</v>
      </c>
      <c r="P92" s="72">
        <f t="shared" si="32"/>
        <v>0.81081081081081086</v>
      </c>
      <c r="Q92" s="74">
        <v>7</v>
      </c>
      <c r="R92" s="75">
        <f t="shared" si="21"/>
        <v>0.18918918918918914</v>
      </c>
      <c r="S92" s="74">
        <v>173.02</v>
      </c>
      <c r="T92" s="72">
        <f t="shared" si="23"/>
        <v>4.6762162162162166</v>
      </c>
      <c r="U92" s="74" t="s">
        <v>54</v>
      </c>
      <c r="V92" s="74" t="s">
        <v>51</v>
      </c>
      <c r="W92" s="74">
        <v>250</v>
      </c>
      <c r="X92" s="72">
        <v>1.4166666666666667</v>
      </c>
      <c r="Y92" s="72"/>
      <c r="Z92" s="72">
        <v>0.79296146109875909</v>
      </c>
      <c r="AA92" s="72"/>
      <c r="AB92" s="76">
        <f>13/46</f>
        <v>0.28260869565217389</v>
      </c>
      <c r="AC92" s="76">
        <f>5/46</f>
        <v>0.10869565217391304</v>
      </c>
      <c r="AD92" s="76">
        <f>15/46</f>
        <v>0.32608695652173914</v>
      </c>
      <c r="AE92" s="76">
        <f>4/46</f>
        <v>8.6956521739130432E-2</v>
      </c>
      <c r="AF92" s="76">
        <f>3/46</f>
        <v>6.5217391304347824E-2</v>
      </c>
      <c r="AG92" s="76">
        <f>6/46</f>
        <v>0.13043478260869565</v>
      </c>
      <c r="AH92" s="76">
        <f>12/13</f>
        <v>0.92307692307692313</v>
      </c>
      <c r="AI92" s="76">
        <f>4/5</f>
        <v>0.8</v>
      </c>
      <c r="AJ92" s="76">
        <f>11/15</f>
        <v>0.73333333333333328</v>
      </c>
      <c r="AK92" s="76">
        <f>4/4</f>
        <v>1</v>
      </c>
      <c r="AL92" s="76">
        <f>2/3</f>
        <v>0.66666666666666663</v>
      </c>
      <c r="AM92" s="76">
        <f>4/6</f>
        <v>0.66666666666666663</v>
      </c>
      <c r="AN92" s="91">
        <v>245</v>
      </c>
      <c r="AO92" s="88">
        <f t="shared" si="24"/>
        <v>118.69</v>
      </c>
      <c r="AP92" s="72">
        <f t="shared" si="25"/>
        <v>83.926503859031143</v>
      </c>
      <c r="AQ92" s="89">
        <f t="shared" si="26"/>
        <v>-29.825000000000003</v>
      </c>
      <c r="AR92" s="76">
        <f>10/37</f>
        <v>0.27027027027027029</v>
      </c>
      <c r="AS92" s="76">
        <f>4/37</f>
        <v>0.10810810810810811</v>
      </c>
      <c r="AT92" s="76">
        <f>15/37</f>
        <v>0.40540540540540543</v>
      </c>
      <c r="AU92" s="76">
        <f>2/37</f>
        <v>5.4054054054054057E-2</v>
      </c>
      <c r="AV92" s="76">
        <f>1/37</f>
        <v>2.7027027027027029E-2</v>
      </c>
      <c r="AW92" s="76">
        <f>5/37</f>
        <v>0.13513513513513514</v>
      </c>
      <c r="AX92" s="76">
        <f>8/10</f>
        <v>0.8</v>
      </c>
      <c r="AY92" s="76">
        <f>4/4</f>
        <v>1</v>
      </c>
      <c r="AZ92" s="76">
        <f>13/15</f>
        <v>0.8666666666666667</v>
      </c>
      <c r="BA92" s="76">
        <f>1/2</f>
        <v>0.5</v>
      </c>
      <c r="BB92" s="76">
        <f>0/1</f>
        <v>0</v>
      </c>
      <c r="BC92" s="76">
        <f>4/5</f>
        <v>0.8</v>
      </c>
      <c r="BD92" s="74">
        <v>196</v>
      </c>
      <c r="BE92" s="72">
        <f t="shared" si="27"/>
        <v>-22.97999999999999</v>
      </c>
      <c r="BF92" s="72">
        <f t="shared" si="28"/>
        <v>16.249313831666957</v>
      </c>
      <c r="BG92" s="89">
        <f t="shared" si="29"/>
        <v>-13.489999999999993</v>
      </c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</row>
    <row r="93" spans="1:105" s="10" customFormat="1">
      <c r="A93" s="72" t="s">
        <v>182</v>
      </c>
      <c r="B93" s="74">
        <v>3003</v>
      </c>
      <c r="C93" s="72" t="s">
        <v>141</v>
      </c>
      <c r="D93" s="74">
        <v>0</v>
      </c>
      <c r="E93" s="72">
        <v>0.65</v>
      </c>
      <c r="F93" s="72">
        <v>0.6</v>
      </c>
      <c r="G93" s="74">
        <v>31</v>
      </c>
      <c r="H93" s="72">
        <f t="shared" si="31"/>
        <v>0.83783783783783783</v>
      </c>
      <c r="I93" s="74">
        <v>6</v>
      </c>
      <c r="J93" s="72">
        <f t="shared" si="18"/>
        <v>0.16216216216216217</v>
      </c>
      <c r="K93" s="74">
        <v>228.04</v>
      </c>
      <c r="L93" s="72">
        <f t="shared" si="30"/>
        <v>6.1632432432432429</v>
      </c>
      <c r="M93" s="74" t="s">
        <v>52</v>
      </c>
      <c r="N93" s="74" t="s">
        <v>51</v>
      </c>
      <c r="O93" s="74">
        <v>27</v>
      </c>
      <c r="P93" s="72">
        <f t="shared" si="32"/>
        <v>0.81818181818181823</v>
      </c>
      <c r="Q93" s="74">
        <v>6</v>
      </c>
      <c r="R93" s="75">
        <f t="shared" si="21"/>
        <v>0.18181818181818177</v>
      </c>
      <c r="S93" s="74">
        <v>156.69</v>
      </c>
      <c r="T93" s="72">
        <f t="shared" si="23"/>
        <v>4.7481818181818181</v>
      </c>
      <c r="U93" s="74" t="s">
        <v>49</v>
      </c>
      <c r="V93" s="74" t="s">
        <v>51</v>
      </c>
      <c r="W93" s="74">
        <v>309</v>
      </c>
      <c r="X93" s="72">
        <v>1.75</v>
      </c>
      <c r="Y93" s="72"/>
      <c r="Z93" s="72">
        <v>0.62158156050806102</v>
      </c>
      <c r="AA93" s="72"/>
      <c r="AB93" s="76">
        <f>5/37</f>
        <v>0.13513513513513514</v>
      </c>
      <c r="AC93" s="76">
        <f>2/37</f>
        <v>5.4054054054054057E-2</v>
      </c>
      <c r="AD93" s="76">
        <f>18/37</f>
        <v>0.48648648648648651</v>
      </c>
      <c r="AE93" s="76">
        <f>5/37</f>
        <v>0.13513513513513514</v>
      </c>
      <c r="AF93" s="76">
        <f>2/37</f>
        <v>5.4054054054054057E-2</v>
      </c>
      <c r="AG93" s="76">
        <f>5/37</f>
        <v>0.13513513513513514</v>
      </c>
      <c r="AH93" s="76">
        <f>4/5</f>
        <v>0.8</v>
      </c>
      <c r="AI93" s="76">
        <f>2/2</f>
        <v>1</v>
      </c>
      <c r="AJ93" s="76">
        <f>15/18</f>
        <v>0.83333333333333337</v>
      </c>
      <c r="AK93" s="76">
        <f>3/5</f>
        <v>0.6</v>
      </c>
      <c r="AL93" s="76">
        <f>2/2</f>
        <v>1</v>
      </c>
      <c r="AM93" s="76">
        <f>5/5</f>
        <v>1</v>
      </c>
      <c r="AN93" s="91">
        <v>191</v>
      </c>
      <c r="AO93" s="88">
        <f t="shared" si="24"/>
        <v>37.039999999999992</v>
      </c>
      <c r="AP93" s="72">
        <f t="shared" si="25"/>
        <v>26.191235175149814</v>
      </c>
      <c r="AQ93" s="89">
        <f t="shared" si="26"/>
        <v>29.849999999999994</v>
      </c>
      <c r="AR93" s="76">
        <f>12/33</f>
        <v>0.36363636363636365</v>
      </c>
      <c r="AS93" s="76">
        <f>5/33</f>
        <v>0.15151515151515152</v>
      </c>
      <c r="AT93" s="76">
        <f>9/33</f>
        <v>0.27272727272727271</v>
      </c>
      <c r="AU93" s="76">
        <f>2/33</f>
        <v>6.0606060606060608E-2</v>
      </c>
      <c r="AV93" s="76">
        <f>1/33</f>
        <v>3.0303030303030304E-2</v>
      </c>
      <c r="AW93" s="76">
        <f>4/33</f>
        <v>0.12121212121212122</v>
      </c>
      <c r="AX93" s="76">
        <f>7/12</f>
        <v>0.58333333333333337</v>
      </c>
      <c r="AY93" s="76">
        <f>4/5</f>
        <v>0.8</v>
      </c>
      <c r="AZ93" s="76">
        <f>9/9</f>
        <v>1</v>
      </c>
      <c r="BA93" s="76">
        <f>2/2</f>
        <v>1</v>
      </c>
      <c r="BB93" s="76">
        <f>1/1</f>
        <v>1</v>
      </c>
      <c r="BC93" s="76">
        <f>4/4</f>
        <v>1</v>
      </c>
      <c r="BD93" s="74">
        <v>170</v>
      </c>
      <c r="BE93" s="72">
        <f t="shared" si="27"/>
        <v>-13.310000000000002</v>
      </c>
      <c r="BF93" s="72">
        <f t="shared" si="28"/>
        <v>9.4115912575927592</v>
      </c>
      <c r="BG93" s="89">
        <f t="shared" si="29"/>
        <v>-21.655000000000001</v>
      </c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</row>
    <row r="94" spans="1:105" s="10" customFormat="1">
      <c r="A94" s="72" t="s">
        <v>183</v>
      </c>
      <c r="B94" s="74">
        <v>3003</v>
      </c>
      <c r="C94" s="72" t="s">
        <v>141</v>
      </c>
      <c r="D94" s="74">
        <v>0</v>
      </c>
      <c r="E94" s="72">
        <v>0.65</v>
      </c>
      <c r="F94" s="72">
        <v>0.7</v>
      </c>
      <c r="G94" s="74">
        <v>31</v>
      </c>
      <c r="H94" s="72">
        <f t="shared" si="31"/>
        <v>0.88571428571428568</v>
      </c>
      <c r="I94" s="74">
        <v>4</v>
      </c>
      <c r="J94" s="72">
        <f t="shared" si="18"/>
        <v>0.11428571428571432</v>
      </c>
      <c r="K94" s="74">
        <v>343.02</v>
      </c>
      <c r="L94" s="72">
        <f t="shared" si="30"/>
        <v>9.8005714285714287</v>
      </c>
      <c r="M94" s="74" t="s">
        <v>51</v>
      </c>
      <c r="N94" s="74" t="s">
        <v>51</v>
      </c>
      <c r="O94" s="74">
        <v>26</v>
      </c>
      <c r="P94" s="72">
        <f t="shared" si="32"/>
        <v>0.8666666666666667</v>
      </c>
      <c r="Q94" s="74">
        <v>4</v>
      </c>
      <c r="R94" s="75">
        <f t="shared" si="21"/>
        <v>0.1333333333333333</v>
      </c>
      <c r="S94" s="74">
        <v>159.02000000000001</v>
      </c>
      <c r="T94" s="72">
        <f t="shared" si="23"/>
        <v>5.3006666666666673</v>
      </c>
      <c r="U94" s="74" t="s">
        <v>52</v>
      </c>
      <c r="V94" s="74" t="s">
        <v>51</v>
      </c>
      <c r="W94" s="74">
        <v>252</v>
      </c>
      <c r="X94" s="72">
        <v>0.91666666666666663</v>
      </c>
      <c r="Y94" s="72"/>
      <c r="Z94" s="72">
        <v>1.6213537179739277</v>
      </c>
      <c r="AA94" s="72"/>
      <c r="AB94" s="76">
        <f>13/35</f>
        <v>0.37142857142857144</v>
      </c>
      <c r="AC94" s="76">
        <f>3/35</f>
        <v>8.5714285714285715E-2</v>
      </c>
      <c r="AD94" s="76">
        <f>13/35</f>
        <v>0.37142857142857144</v>
      </c>
      <c r="AE94" s="76">
        <v>0</v>
      </c>
      <c r="AF94" s="76">
        <f>3/35</f>
        <v>8.5714285714285715E-2</v>
      </c>
      <c r="AG94" s="76">
        <f>4/35</f>
        <v>0.11428571428571428</v>
      </c>
      <c r="AH94" s="76">
        <f>10/13</f>
        <v>0.76923076923076927</v>
      </c>
      <c r="AI94" s="76">
        <f>3/3</f>
        <v>1</v>
      </c>
      <c r="AJ94" s="76">
        <f>12/13</f>
        <v>0.92307692307692313</v>
      </c>
      <c r="AK94" s="76">
        <v>0</v>
      </c>
      <c r="AL94" s="76">
        <f>3/3</f>
        <v>1</v>
      </c>
      <c r="AM94" s="76">
        <f>3/4</f>
        <v>0.75</v>
      </c>
      <c r="AN94" s="91">
        <v>187</v>
      </c>
      <c r="AO94" s="88">
        <f t="shared" si="24"/>
        <v>156.01999999999998</v>
      </c>
      <c r="AP94" s="72">
        <f t="shared" si="25"/>
        <v>110.32280000072517</v>
      </c>
      <c r="AQ94" s="89">
        <f t="shared" si="26"/>
        <v>-30.129999999999995</v>
      </c>
      <c r="AR94" s="76">
        <f>11/30</f>
        <v>0.36666666666666664</v>
      </c>
      <c r="AS94" s="76">
        <f>3/30</f>
        <v>0.1</v>
      </c>
      <c r="AT94" s="76">
        <f>12/30</f>
        <v>0.4</v>
      </c>
      <c r="AU94" s="76">
        <v>0</v>
      </c>
      <c r="AV94" s="76">
        <f>2/30</f>
        <v>6.6666666666666666E-2</v>
      </c>
      <c r="AW94" s="76">
        <f>2/30</f>
        <v>6.6666666666666666E-2</v>
      </c>
      <c r="AX94" s="76">
        <f>10/11</f>
        <v>0.90909090909090906</v>
      </c>
      <c r="AY94" s="76">
        <f>3/3</f>
        <v>1</v>
      </c>
      <c r="AZ94" s="76">
        <f>9/12</f>
        <v>0.75</v>
      </c>
      <c r="BA94" s="76">
        <v>0</v>
      </c>
      <c r="BB94" s="76">
        <f>2/2</f>
        <v>1</v>
      </c>
      <c r="BC94" s="76">
        <f>2/2</f>
        <v>1</v>
      </c>
      <c r="BD94" s="74">
        <v>150</v>
      </c>
      <c r="BE94" s="72">
        <f t="shared" si="27"/>
        <v>9.0200000000000102</v>
      </c>
      <c r="BF94" s="72">
        <f t="shared" si="28"/>
        <v>6.3781031663034264</v>
      </c>
      <c r="BG94" s="89">
        <f t="shared" si="29"/>
        <v>-20.489999999999995</v>
      </c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</row>
    <row r="95" spans="1:105" s="10" customFormat="1">
      <c r="A95" s="72" t="s">
        <v>184</v>
      </c>
      <c r="B95" s="74">
        <v>3003</v>
      </c>
      <c r="C95" s="72" t="s">
        <v>141</v>
      </c>
      <c r="D95" s="74">
        <v>0</v>
      </c>
      <c r="E95" s="72">
        <v>0.65</v>
      </c>
      <c r="F95" s="72">
        <v>0.65</v>
      </c>
      <c r="G95" s="74">
        <v>28</v>
      </c>
      <c r="H95" s="72">
        <f t="shared" si="31"/>
        <v>0.62222222222222223</v>
      </c>
      <c r="I95" s="74">
        <v>17</v>
      </c>
      <c r="J95" s="72">
        <f t="shared" si="18"/>
        <v>0.37777777777777777</v>
      </c>
      <c r="K95" s="74">
        <v>126.07</v>
      </c>
      <c r="L95" s="72">
        <f t="shared" si="30"/>
        <v>2.8015555555555554</v>
      </c>
      <c r="M95" s="74" t="s">
        <v>50</v>
      </c>
      <c r="N95" s="74" t="s">
        <v>50</v>
      </c>
      <c r="O95" s="74">
        <v>24</v>
      </c>
      <c r="P95" s="72">
        <f t="shared" si="32"/>
        <v>0.66666666666666663</v>
      </c>
      <c r="Q95" s="74">
        <v>12</v>
      </c>
      <c r="R95" s="75">
        <f t="shared" si="21"/>
        <v>0.33333333333333337</v>
      </c>
      <c r="S95" s="74">
        <v>68.349999999999994</v>
      </c>
      <c r="T95" s="72">
        <f t="shared" si="23"/>
        <v>1.898611111111111</v>
      </c>
      <c r="U95" s="74" t="s">
        <v>52</v>
      </c>
      <c r="V95" s="74" t="s">
        <v>50</v>
      </c>
      <c r="W95" s="74">
        <v>309</v>
      </c>
      <c r="X95" s="72">
        <v>2</v>
      </c>
      <c r="Y95" s="72"/>
      <c r="Z95" s="72">
        <v>0</v>
      </c>
      <c r="AA95" s="72"/>
      <c r="AB95" s="76">
        <f>18/45</f>
        <v>0.4</v>
      </c>
      <c r="AC95" s="76">
        <f>3/45</f>
        <v>6.6666666666666666E-2</v>
      </c>
      <c r="AD95" s="76">
        <f>12/45</f>
        <v>0.26666666666666666</v>
      </c>
      <c r="AE95" s="76">
        <f>2/45</f>
        <v>4.4444444444444446E-2</v>
      </c>
      <c r="AF95" s="76">
        <f>2/45</f>
        <v>4.4444444444444446E-2</v>
      </c>
      <c r="AG95" s="76">
        <f>8/45</f>
        <v>0.17777777777777778</v>
      </c>
      <c r="AH95" s="76">
        <f>10/18</f>
        <v>0.55555555555555558</v>
      </c>
      <c r="AI95" s="76">
        <f>3/3</f>
        <v>1</v>
      </c>
      <c r="AJ95" s="76">
        <f>5/12</f>
        <v>0.41666666666666669</v>
      </c>
      <c r="AK95" s="76">
        <f>2/2</f>
        <v>1</v>
      </c>
      <c r="AL95" s="76">
        <f>1/2</f>
        <v>0.5</v>
      </c>
      <c r="AM95" s="76">
        <f>7/8</f>
        <v>0.875</v>
      </c>
      <c r="AN95" s="91">
        <v>222</v>
      </c>
      <c r="AO95" s="88">
        <f t="shared" si="24"/>
        <v>-95.93</v>
      </c>
      <c r="AP95" s="72">
        <f t="shared" si="25"/>
        <v>67.832753519225491</v>
      </c>
      <c r="AQ95" s="89">
        <f t="shared" si="26"/>
        <v>76.844999999999999</v>
      </c>
      <c r="AR95" s="76">
        <f>7/36</f>
        <v>0.19444444444444445</v>
      </c>
      <c r="AS95" s="76">
        <f>1/36</f>
        <v>2.7777777777777776E-2</v>
      </c>
      <c r="AT95" s="76">
        <f>16/36</f>
        <v>0.44444444444444442</v>
      </c>
      <c r="AU95" s="76">
        <f>6/36</f>
        <v>0.16666666666666666</v>
      </c>
      <c r="AV95" s="76">
        <f>1/36</f>
        <v>2.7777777777777776E-2</v>
      </c>
      <c r="AW95" s="76">
        <f>5/36</f>
        <v>0.1388888888888889</v>
      </c>
      <c r="AX95" s="76">
        <f>6/7</f>
        <v>0.8571428571428571</v>
      </c>
      <c r="AY95" s="76">
        <f>0/1</f>
        <v>0</v>
      </c>
      <c r="AZ95" s="76">
        <f>14/16</f>
        <v>0.875</v>
      </c>
      <c r="BA95" s="76">
        <f>4/6</f>
        <v>0.66666666666666663</v>
      </c>
      <c r="BB95" s="76">
        <f>0/1</f>
        <v>0</v>
      </c>
      <c r="BC95" s="76">
        <f>5/5</f>
        <v>1</v>
      </c>
      <c r="BD95" s="74">
        <v>178</v>
      </c>
      <c r="BE95" s="72">
        <f t="shared" si="27"/>
        <v>-109.65</v>
      </c>
      <c r="BF95" s="72">
        <f t="shared" si="28"/>
        <v>77.534258557104934</v>
      </c>
      <c r="BG95" s="89">
        <f t="shared" si="29"/>
        <v>-65.825000000000003</v>
      </c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</row>
    <row r="96" spans="1:105" s="10" customFormat="1">
      <c r="A96" s="72" t="s">
        <v>185</v>
      </c>
      <c r="B96" s="74">
        <v>3006</v>
      </c>
      <c r="C96" s="72" t="s">
        <v>141</v>
      </c>
      <c r="D96" s="74">
        <v>0</v>
      </c>
      <c r="E96" s="72">
        <v>0.75</v>
      </c>
      <c r="F96" s="72">
        <v>0.6</v>
      </c>
      <c r="G96" s="74">
        <v>29</v>
      </c>
      <c r="H96" s="72">
        <f t="shared" si="31"/>
        <v>0.80555555555555558</v>
      </c>
      <c r="I96" s="74">
        <v>7</v>
      </c>
      <c r="J96" s="72">
        <f t="shared" si="18"/>
        <v>0.19444444444444442</v>
      </c>
      <c r="K96" s="74">
        <v>320.38</v>
      </c>
      <c r="L96" s="72">
        <f t="shared" si="30"/>
        <v>8.8994444444444447</v>
      </c>
      <c r="M96" s="74" t="s">
        <v>49</v>
      </c>
      <c r="N96" s="74" t="s">
        <v>51</v>
      </c>
      <c r="O96" s="74">
        <v>31</v>
      </c>
      <c r="P96" s="72">
        <f t="shared" si="32"/>
        <v>0.79487179487179482</v>
      </c>
      <c r="Q96" s="74">
        <v>8</v>
      </c>
      <c r="R96" s="75">
        <f t="shared" si="21"/>
        <v>0.20512820512820518</v>
      </c>
      <c r="S96" s="74">
        <v>227.69</v>
      </c>
      <c r="T96" s="72">
        <f t="shared" si="23"/>
        <v>5.8382051282051277</v>
      </c>
      <c r="U96" s="74" t="s">
        <v>51</v>
      </c>
      <c r="V96" s="74" t="s">
        <v>50</v>
      </c>
      <c r="W96" s="74">
        <v>362</v>
      </c>
      <c r="X96" s="72">
        <v>1.6666666666666667</v>
      </c>
      <c r="Y96" s="72"/>
      <c r="Z96" s="72">
        <v>1.1547005383792515</v>
      </c>
      <c r="AA96" s="72"/>
      <c r="AB96" s="76">
        <f>13/36</f>
        <v>0.3611111111111111</v>
      </c>
      <c r="AC96" s="76">
        <f>3/36</f>
        <v>8.3333333333333329E-2</v>
      </c>
      <c r="AD96" s="76">
        <f>11/36</f>
        <v>0.30555555555555558</v>
      </c>
      <c r="AE96" s="76">
        <f>2/36</f>
        <v>5.5555555555555552E-2</v>
      </c>
      <c r="AF96" s="76">
        <f>1/36</f>
        <v>2.7777777777777776E-2</v>
      </c>
      <c r="AG96" s="76">
        <f>6/36</f>
        <v>0.16666666666666666</v>
      </c>
      <c r="AH96" s="76">
        <f>11/13</f>
        <v>0.84615384615384615</v>
      </c>
      <c r="AI96" s="76">
        <f>2/3</f>
        <v>0.66666666666666663</v>
      </c>
      <c r="AJ96" s="76">
        <f>9/11</f>
        <v>0.81818181818181823</v>
      </c>
      <c r="AK96" s="76">
        <f>2/2</f>
        <v>1</v>
      </c>
      <c r="AL96" s="76">
        <f>1/1</f>
        <v>1</v>
      </c>
      <c r="AM96" s="76">
        <f>4/6</f>
        <v>0.66666666666666663</v>
      </c>
      <c r="AN96" s="91">
        <v>174</v>
      </c>
      <c r="AO96" s="88">
        <f t="shared" si="24"/>
        <v>146.38</v>
      </c>
      <c r="AP96" s="72">
        <f t="shared" si="25"/>
        <v>103.50629063008685</v>
      </c>
      <c r="AQ96" s="89">
        <f t="shared" si="26"/>
        <v>-17.635000000000005</v>
      </c>
      <c r="AR96" s="76">
        <f>12/39</f>
        <v>0.30769230769230771</v>
      </c>
      <c r="AS96" s="76">
        <f>1/39</f>
        <v>2.564102564102564E-2</v>
      </c>
      <c r="AT96" s="76">
        <f>16/39</f>
        <v>0.41025641025641024</v>
      </c>
      <c r="AU96" s="76">
        <f>2/39</f>
        <v>5.128205128205128E-2</v>
      </c>
      <c r="AV96" s="76">
        <f>3/39</f>
        <v>7.6923076923076927E-2</v>
      </c>
      <c r="AW96" s="76">
        <f>5/39</f>
        <v>0.12820512820512819</v>
      </c>
      <c r="AX96" s="76">
        <f>9/12</f>
        <v>0.75</v>
      </c>
      <c r="AY96" s="76">
        <f>1/1</f>
        <v>1</v>
      </c>
      <c r="AZ96" s="76">
        <f>14/16</f>
        <v>0.875</v>
      </c>
      <c r="BA96" s="76">
        <f>1/2</f>
        <v>0.5</v>
      </c>
      <c r="BB96" s="76">
        <f>2/3</f>
        <v>0.66666666666666663</v>
      </c>
      <c r="BC96" s="76">
        <f>4/5</f>
        <v>0.8</v>
      </c>
      <c r="BD96" s="74">
        <v>183</v>
      </c>
      <c r="BE96" s="72">
        <f t="shared" si="27"/>
        <v>44.69</v>
      </c>
      <c r="BF96" s="72">
        <f t="shared" si="28"/>
        <v>31.600602051227046</v>
      </c>
      <c r="BG96" s="89">
        <f t="shared" si="29"/>
        <v>13.844999999999999</v>
      </c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</row>
    <row r="97" spans="1:105" s="10" customFormat="1">
      <c r="A97" s="72" t="s">
        <v>186</v>
      </c>
      <c r="B97" s="74">
        <v>3006</v>
      </c>
      <c r="C97" s="72" t="s">
        <v>141</v>
      </c>
      <c r="D97" s="74">
        <v>0</v>
      </c>
      <c r="E97" s="72">
        <v>0.55000000000000004</v>
      </c>
      <c r="F97" s="72">
        <v>0.7</v>
      </c>
      <c r="G97" s="74">
        <v>32</v>
      </c>
      <c r="H97" s="72">
        <f>G97/(G97+I97)</f>
        <v>0.76190476190476186</v>
      </c>
      <c r="I97" s="74">
        <v>10</v>
      </c>
      <c r="J97" s="72">
        <f t="shared" si="18"/>
        <v>0.23809523809523814</v>
      </c>
      <c r="K97" s="74">
        <v>140.35</v>
      </c>
      <c r="L97" s="72">
        <f t="shared" si="30"/>
        <v>3.3416666666666663</v>
      </c>
      <c r="M97" s="74" t="s">
        <v>49</v>
      </c>
      <c r="N97" s="74" t="s">
        <v>50</v>
      </c>
      <c r="O97" s="74">
        <v>28</v>
      </c>
      <c r="P97" s="72">
        <f t="shared" si="32"/>
        <v>0.8</v>
      </c>
      <c r="Q97" s="74">
        <v>7</v>
      </c>
      <c r="R97" s="75">
        <f t="shared" si="21"/>
        <v>0.19999999999999996</v>
      </c>
      <c r="S97" s="74">
        <v>78.69</v>
      </c>
      <c r="T97" s="72">
        <f t="shared" si="23"/>
        <v>2.2482857142857142</v>
      </c>
      <c r="U97" s="74" t="s">
        <v>50</v>
      </c>
      <c r="V97" s="74" t="s">
        <v>50</v>
      </c>
      <c r="W97" s="74">
        <v>362</v>
      </c>
      <c r="X97" s="72">
        <v>0</v>
      </c>
      <c r="Y97" s="72"/>
      <c r="Z97" s="72">
        <v>1.1281521496355325</v>
      </c>
      <c r="AA97" s="72"/>
      <c r="AB97" s="76">
        <f>13/42</f>
        <v>0.30952380952380953</v>
      </c>
      <c r="AC97" s="76">
        <f>2/42</f>
        <v>4.7619047619047616E-2</v>
      </c>
      <c r="AD97" s="76">
        <f>13/42</f>
        <v>0.30952380952380953</v>
      </c>
      <c r="AE97" s="76">
        <f>3/42</f>
        <v>7.1428571428571425E-2</v>
      </c>
      <c r="AF97" s="76">
        <f>5/42</f>
        <v>0.11904761904761904</v>
      </c>
      <c r="AG97" s="76">
        <f>6/42</f>
        <v>0.14285714285714285</v>
      </c>
      <c r="AH97" s="76">
        <f>8/13</f>
        <v>0.61538461538461542</v>
      </c>
      <c r="AI97" s="76">
        <f>1/2</f>
        <v>0.5</v>
      </c>
      <c r="AJ97" s="76">
        <f>10/13</f>
        <v>0.76923076923076927</v>
      </c>
      <c r="AK97" s="76">
        <f>3/3</f>
        <v>1</v>
      </c>
      <c r="AL97" s="76">
        <f>4/5</f>
        <v>0.8</v>
      </c>
      <c r="AM97" s="76">
        <f>6/6</f>
        <v>1</v>
      </c>
      <c r="AN97" s="91">
        <v>253</v>
      </c>
      <c r="AO97" s="88">
        <f t="shared" si="24"/>
        <v>-112.65</v>
      </c>
      <c r="AP97" s="72">
        <f t="shared" si="25"/>
        <v>79.655578900664551</v>
      </c>
      <c r="AQ97" s="89">
        <f t="shared" si="26"/>
        <v>-100</v>
      </c>
      <c r="AR97" s="76">
        <f>12/35</f>
        <v>0.34285714285714286</v>
      </c>
      <c r="AS97" s="76">
        <f>1/35</f>
        <v>2.8571428571428571E-2</v>
      </c>
      <c r="AT97" s="76">
        <f>18/35</f>
        <v>0.51428571428571423</v>
      </c>
      <c r="AU97" s="76">
        <f>2/35</f>
        <v>5.7142857142857141E-2</v>
      </c>
      <c r="AV97" s="76">
        <f>1/35</f>
        <v>2.8571428571428571E-2</v>
      </c>
      <c r="AW97" s="76">
        <f>3/35</f>
        <v>8.5714285714285715E-2</v>
      </c>
      <c r="AX97" s="76">
        <f>9/12</f>
        <v>0.75</v>
      </c>
      <c r="AY97" s="76">
        <f>0/1</f>
        <v>0</v>
      </c>
      <c r="AZ97" s="76">
        <f>14/18</f>
        <v>0.77777777777777779</v>
      </c>
      <c r="BA97" s="76">
        <f>1/2</f>
        <v>0.5</v>
      </c>
      <c r="BB97" s="76">
        <f>1/1</f>
        <v>1</v>
      </c>
      <c r="BC97" s="76">
        <f>3/3</f>
        <v>1</v>
      </c>
      <c r="BD97" s="74">
        <v>210</v>
      </c>
      <c r="BE97" s="72">
        <f t="shared" si="27"/>
        <v>-131.31</v>
      </c>
      <c r="BF97" s="72">
        <f t="shared" si="28"/>
        <v>92.850191437605545</v>
      </c>
      <c r="BG97" s="89">
        <f t="shared" si="29"/>
        <v>-60.655000000000001</v>
      </c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</row>
    <row r="98" spans="1:105" s="10" customFormat="1">
      <c r="A98" s="72" t="s">
        <v>187</v>
      </c>
      <c r="B98" s="74">
        <v>3006</v>
      </c>
      <c r="C98" s="72" t="s">
        <v>141</v>
      </c>
      <c r="D98" s="74">
        <v>0</v>
      </c>
      <c r="E98" s="72">
        <v>0.8</v>
      </c>
      <c r="F98" s="72">
        <v>0.85</v>
      </c>
      <c r="G98" s="74">
        <v>27</v>
      </c>
      <c r="H98" s="72">
        <f t="shared" si="31"/>
        <v>0.9</v>
      </c>
      <c r="I98" s="74">
        <v>3</v>
      </c>
      <c r="J98" s="72">
        <f t="shared" si="18"/>
        <v>9.9999999999999978E-2</v>
      </c>
      <c r="K98" s="72">
        <v>259.7</v>
      </c>
      <c r="L98" s="72">
        <f t="shared" si="30"/>
        <v>8.6566666666666663</v>
      </c>
      <c r="M98" s="74" t="s">
        <v>52</v>
      </c>
      <c r="N98" s="74" t="s">
        <v>51</v>
      </c>
      <c r="O98" s="74">
        <v>47</v>
      </c>
      <c r="P98" s="72">
        <f t="shared" si="32"/>
        <v>0.92156862745098034</v>
      </c>
      <c r="Q98" s="74">
        <v>4</v>
      </c>
      <c r="R98" s="75">
        <f t="shared" si="21"/>
        <v>7.8431372549019662E-2</v>
      </c>
      <c r="S98" s="74">
        <v>299.02</v>
      </c>
      <c r="T98" s="72">
        <f t="shared" si="23"/>
        <v>5.86313725490196</v>
      </c>
      <c r="U98" s="74" t="s">
        <v>50</v>
      </c>
      <c r="V98" s="74" t="s">
        <v>51</v>
      </c>
      <c r="W98" s="74">
        <v>299</v>
      </c>
      <c r="X98" s="72">
        <v>1.4166666666666667</v>
      </c>
      <c r="Y98" s="72"/>
      <c r="Z98" s="72">
        <v>1.0836246694508318</v>
      </c>
      <c r="AA98" s="72"/>
      <c r="AB98" s="76">
        <f>14/30</f>
        <v>0.46666666666666667</v>
      </c>
      <c r="AC98" s="76">
        <f>3/30</f>
        <v>0.1</v>
      </c>
      <c r="AD98" s="76">
        <f>7/30</f>
        <v>0.23333333333333334</v>
      </c>
      <c r="AE98" s="76">
        <f>1/30</f>
        <v>3.3333333333333333E-2</v>
      </c>
      <c r="AF98" s="76">
        <f>2/30</f>
        <v>6.6666666666666666E-2</v>
      </c>
      <c r="AG98" s="76">
        <f>3/30</f>
        <v>0.1</v>
      </c>
      <c r="AH98" s="76">
        <f>13/14</f>
        <v>0.9285714285714286</v>
      </c>
      <c r="AI98" s="76">
        <f>3/3</f>
        <v>1</v>
      </c>
      <c r="AJ98" s="76">
        <f>6/7</f>
        <v>0.8571428571428571</v>
      </c>
      <c r="AK98" s="76">
        <f>1/1</f>
        <v>1</v>
      </c>
      <c r="AL98" s="76">
        <f>2/2</f>
        <v>1</v>
      </c>
      <c r="AM98" s="76">
        <f>2/3</f>
        <v>0.66666666666666663</v>
      </c>
      <c r="AN98" s="91">
        <v>158</v>
      </c>
      <c r="AO98" s="88">
        <f t="shared" si="24"/>
        <v>101.69999999999999</v>
      </c>
      <c r="AP98" s="72">
        <f t="shared" si="25"/>
        <v>71.91275964667193</v>
      </c>
      <c r="AQ98" s="89">
        <f t="shared" si="26"/>
        <v>-100</v>
      </c>
      <c r="AR98" s="76">
        <f>11/51</f>
        <v>0.21568627450980393</v>
      </c>
      <c r="AS98" s="76">
        <f>5/51</f>
        <v>9.8039215686274508E-2</v>
      </c>
      <c r="AT98" s="76">
        <f>20/51</f>
        <v>0.39215686274509803</v>
      </c>
      <c r="AU98" s="76">
        <f>4/51</f>
        <v>7.8431372549019607E-2</v>
      </c>
      <c r="AV98" s="76">
        <f>2/51</f>
        <v>3.9215686274509803E-2</v>
      </c>
      <c r="AW98" s="76">
        <f>9/51</f>
        <v>0.17647058823529413</v>
      </c>
      <c r="AX98" s="76">
        <f>11/11</f>
        <v>1</v>
      </c>
      <c r="AY98" s="76">
        <f>3/5</f>
        <v>0.6</v>
      </c>
      <c r="AZ98" s="76">
        <f>18/20</f>
        <v>0.9</v>
      </c>
      <c r="BA98" s="76">
        <f>3/4</f>
        <v>0.75</v>
      </c>
      <c r="BB98" s="76">
        <f>2/2</f>
        <v>1</v>
      </c>
      <c r="BC98" s="76">
        <f>9/9</f>
        <v>1</v>
      </c>
      <c r="BD98" s="74">
        <v>283</v>
      </c>
      <c r="BE98" s="72">
        <f t="shared" si="27"/>
        <v>16.019999999999982</v>
      </c>
      <c r="BF98" s="72">
        <f t="shared" si="28"/>
        <v>11.327850634607934</v>
      </c>
      <c r="BG98" s="89">
        <f t="shared" si="29"/>
        <v>49.509999999999991</v>
      </c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</row>
    <row r="99" spans="1:105" s="10" customFormat="1">
      <c r="A99" s="72" t="s">
        <v>188</v>
      </c>
      <c r="B99" s="74">
        <v>3001</v>
      </c>
      <c r="C99" s="72" t="s">
        <v>141</v>
      </c>
      <c r="D99" s="74">
        <v>0</v>
      </c>
      <c r="E99" s="72">
        <v>0.8</v>
      </c>
      <c r="F99" s="72">
        <v>0.65</v>
      </c>
      <c r="G99" s="74">
        <v>28</v>
      </c>
      <c r="H99" s="72">
        <f t="shared" si="31"/>
        <v>0.84848484848484851</v>
      </c>
      <c r="I99" s="74">
        <v>5</v>
      </c>
      <c r="J99" s="72">
        <f t="shared" si="18"/>
        <v>0.15151515151515149</v>
      </c>
      <c r="K99" s="74">
        <v>139.74</v>
      </c>
      <c r="L99" s="72">
        <f t="shared" si="30"/>
        <v>4.2345454545454544</v>
      </c>
      <c r="M99" s="74" t="s">
        <v>52</v>
      </c>
      <c r="N99" s="74" t="s">
        <v>51</v>
      </c>
      <c r="O99" s="74">
        <v>40</v>
      </c>
      <c r="P99" s="72">
        <f t="shared" si="32"/>
        <v>0.75471698113207553</v>
      </c>
      <c r="Q99" s="74">
        <v>13</v>
      </c>
      <c r="R99" s="75">
        <f t="shared" si="21"/>
        <v>0.24528301886792447</v>
      </c>
      <c r="S99" s="74">
        <v>221.02</v>
      </c>
      <c r="T99" s="72">
        <f t="shared" si="23"/>
        <v>4.1701886792452836</v>
      </c>
      <c r="U99" s="74" t="s">
        <v>51</v>
      </c>
      <c r="V99" s="74" t="s">
        <v>50</v>
      </c>
      <c r="W99" s="74">
        <v>352</v>
      </c>
      <c r="X99" s="72">
        <v>1.8333333333333333</v>
      </c>
      <c r="Y99" s="72"/>
      <c r="Z99" s="72">
        <v>0.38924947208076122</v>
      </c>
      <c r="AA99" s="72"/>
      <c r="AB99" s="76">
        <f>9/33</f>
        <v>0.27272727272727271</v>
      </c>
      <c r="AC99" s="76">
        <f>5/33</f>
        <v>0.15151515151515152</v>
      </c>
      <c r="AD99" s="76">
        <f>13/33</f>
        <v>0.39393939393939392</v>
      </c>
      <c r="AE99" s="76">
        <f>1/33</f>
        <v>3.0303030303030304E-2</v>
      </c>
      <c r="AF99" s="76">
        <v>0</v>
      </c>
      <c r="AG99" s="76">
        <f>5/33</f>
        <v>0.15151515151515152</v>
      </c>
      <c r="AH99" s="76">
        <f>5/9</f>
        <v>0.55555555555555558</v>
      </c>
      <c r="AI99" s="76">
        <f>3/5</f>
        <v>0.6</v>
      </c>
      <c r="AJ99" s="76">
        <f>8/13</f>
        <v>0.61538461538461542</v>
      </c>
      <c r="AK99" s="76">
        <f>0/1</f>
        <v>0</v>
      </c>
      <c r="AL99" s="76">
        <v>0</v>
      </c>
      <c r="AM99" s="76">
        <f>3/5</f>
        <v>0.6</v>
      </c>
      <c r="AN99" s="91">
        <v>160</v>
      </c>
      <c r="AO99" s="88">
        <f t="shared" si="24"/>
        <v>-20.259999999999991</v>
      </c>
      <c r="AP99" s="72">
        <f t="shared" si="25"/>
        <v>14.325983386839516</v>
      </c>
      <c r="AQ99" s="89">
        <f t="shared" si="26"/>
        <v>-100</v>
      </c>
      <c r="AR99" s="76">
        <f>17/53</f>
        <v>0.32075471698113206</v>
      </c>
      <c r="AS99" s="76">
        <f>8/53</f>
        <v>0.15094339622641509</v>
      </c>
      <c r="AT99" s="76">
        <f>15/53</f>
        <v>0.28301886792452829</v>
      </c>
      <c r="AU99" s="76">
        <f>3/53</f>
        <v>5.6603773584905662E-2</v>
      </c>
      <c r="AV99" s="76">
        <f>2/53</f>
        <v>3.7735849056603772E-2</v>
      </c>
      <c r="AW99" s="76">
        <f>8/53</f>
        <v>0.15094339622641509</v>
      </c>
      <c r="AX99" s="76">
        <f>13/17</f>
        <v>0.76470588235294112</v>
      </c>
      <c r="AY99" s="76">
        <f>5/8</f>
        <v>0.625</v>
      </c>
      <c r="AZ99" s="76">
        <f>9/15</f>
        <v>0.6</v>
      </c>
      <c r="BA99" s="76">
        <f>1/3</f>
        <v>0.33333333333333331</v>
      </c>
      <c r="BB99" s="76">
        <f>2/2</f>
        <v>1</v>
      </c>
      <c r="BC99" s="76">
        <f>5/8</f>
        <v>0.625</v>
      </c>
      <c r="BD99" s="74">
        <v>284</v>
      </c>
      <c r="BE99" s="72">
        <f t="shared" si="27"/>
        <v>-62.97999999999999</v>
      </c>
      <c r="BF99" s="72">
        <f t="shared" si="28"/>
        <v>44.533585079128926</v>
      </c>
      <c r="BG99" s="89">
        <f t="shared" si="29"/>
        <v>10.510000000000005</v>
      </c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</row>
    <row r="100" spans="1:105" s="10" customFormat="1">
      <c r="A100" s="78" t="s">
        <v>189</v>
      </c>
      <c r="B100" s="77">
        <v>3001</v>
      </c>
      <c r="C100" s="78" t="s">
        <v>141</v>
      </c>
      <c r="D100" s="77">
        <v>0</v>
      </c>
      <c r="E100" s="78">
        <v>0.75</v>
      </c>
      <c r="F100" s="78">
        <v>0.7</v>
      </c>
      <c r="G100" s="77">
        <v>46</v>
      </c>
      <c r="H100" s="78">
        <f t="shared" si="31"/>
        <v>0.77966101694915257</v>
      </c>
      <c r="I100" s="77">
        <v>13</v>
      </c>
      <c r="J100" s="78">
        <f t="shared" si="18"/>
        <v>0.22033898305084743</v>
      </c>
      <c r="K100" s="77">
        <v>353.69</v>
      </c>
      <c r="L100" s="78">
        <f t="shared" si="30"/>
        <v>5.9947457627118643</v>
      </c>
      <c r="M100" s="77" t="s">
        <v>49</v>
      </c>
      <c r="N100" s="77" t="s">
        <v>50</v>
      </c>
      <c r="O100" s="77">
        <v>30</v>
      </c>
      <c r="P100" s="78">
        <f t="shared" si="32"/>
        <v>0.88235294117647056</v>
      </c>
      <c r="Q100" s="77">
        <v>4</v>
      </c>
      <c r="R100" s="79">
        <f t="shared" si="21"/>
        <v>0.11764705882352944</v>
      </c>
      <c r="S100" s="77">
        <v>148.35</v>
      </c>
      <c r="T100" s="78">
        <f t="shared" si="23"/>
        <v>4.3632352941176471</v>
      </c>
      <c r="U100" s="77" t="s">
        <v>52</v>
      </c>
      <c r="V100" s="77" t="s">
        <v>51</v>
      </c>
      <c r="W100" s="77">
        <v>229</v>
      </c>
      <c r="X100" s="78">
        <v>0.75</v>
      </c>
      <c r="Y100" s="78"/>
      <c r="Z100" s="78">
        <v>0.8660254037844386</v>
      </c>
      <c r="AA100" s="78"/>
      <c r="AB100" s="82">
        <f>18/59</f>
        <v>0.30508474576271188</v>
      </c>
      <c r="AC100" s="82">
        <f>4/59</f>
        <v>6.7796610169491525E-2</v>
      </c>
      <c r="AD100" s="82">
        <f>20/59</f>
        <v>0.33898305084745761</v>
      </c>
      <c r="AE100" s="82">
        <f>4/59</f>
        <v>6.7796610169491525E-2</v>
      </c>
      <c r="AF100" s="82">
        <f>2/59</f>
        <v>3.3898305084745763E-2</v>
      </c>
      <c r="AG100" s="82">
        <f>11/59</f>
        <v>0.1864406779661017</v>
      </c>
      <c r="AH100" s="82">
        <f>12/18</f>
        <v>0.66666666666666663</v>
      </c>
      <c r="AI100" s="82">
        <f>4/4</f>
        <v>1</v>
      </c>
      <c r="AJ100" s="82">
        <f>18/20</f>
        <v>0.9</v>
      </c>
      <c r="AK100" s="82">
        <f>4/4</f>
        <v>1</v>
      </c>
      <c r="AL100" s="82">
        <f>2/2</f>
        <v>1</v>
      </c>
      <c r="AM100" s="82">
        <f>6/11</f>
        <v>0.54545454545454541</v>
      </c>
      <c r="AN100" s="92">
        <v>306</v>
      </c>
      <c r="AO100" s="93">
        <f t="shared" si="24"/>
        <v>47.69</v>
      </c>
      <c r="AP100" s="78">
        <f t="shared" si="25"/>
        <v>33.7219223947857</v>
      </c>
      <c r="AQ100" s="89">
        <f t="shared" si="26"/>
        <v>-100</v>
      </c>
      <c r="AR100" s="82">
        <f>10/34</f>
        <v>0.29411764705882354</v>
      </c>
      <c r="AS100" s="82">
        <f>5/34</f>
        <v>0.14705882352941177</v>
      </c>
      <c r="AT100" s="82">
        <f>12/34</f>
        <v>0.35294117647058826</v>
      </c>
      <c r="AU100" s="82">
        <f>3/34</f>
        <v>8.8235294117647065E-2</v>
      </c>
      <c r="AV100" s="82">
        <f>1/34</f>
        <v>2.9411764705882353E-2</v>
      </c>
      <c r="AW100" s="82">
        <f>3/34</f>
        <v>8.8235294117647065E-2</v>
      </c>
      <c r="AX100" s="82">
        <f>8/10</f>
        <v>0.8</v>
      </c>
      <c r="AY100" s="82">
        <f>5/5</f>
        <v>1</v>
      </c>
      <c r="AZ100" s="82">
        <f>11/12</f>
        <v>0.91666666666666663</v>
      </c>
      <c r="BA100" s="82">
        <f>3/3</f>
        <v>1</v>
      </c>
      <c r="BB100" s="82">
        <f>0/1</f>
        <v>0</v>
      </c>
      <c r="BC100" s="82">
        <f>3/3</f>
        <v>1</v>
      </c>
      <c r="BD100" s="77">
        <v>168</v>
      </c>
      <c r="BE100" s="78">
        <f t="shared" si="27"/>
        <v>-19.650000000000006</v>
      </c>
      <c r="BF100" s="78">
        <f t="shared" si="28"/>
        <v>13.894648250315617</v>
      </c>
      <c r="BG100" s="89">
        <f t="shared" si="29"/>
        <v>-25.825000000000003</v>
      </c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</row>
    <row r="101" spans="1:105" s="9" customFormat="1">
      <c r="A101" s="72" t="s">
        <v>190</v>
      </c>
      <c r="B101" s="74">
        <v>3001</v>
      </c>
      <c r="C101" s="72" t="s">
        <v>141</v>
      </c>
      <c r="D101" s="74">
        <v>0</v>
      </c>
      <c r="E101" s="72">
        <v>0.75</v>
      </c>
      <c r="F101" s="72">
        <v>0.8</v>
      </c>
      <c r="G101" s="74">
        <v>33</v>
      </c>
      <c r="H101" s="72">
        <f t="shared" si="31"/>
        <v>0.89189189189189189</v>
      </c>
      <c r="I101" s="74">
        <v>4</v>
      </c>
      <c r="J101" s="72">
        <f t="shared" si="18"/>
        <v>0.10810810810810811</v>
      </c>
      <c r="K101" s="74">
        <v>164.73</v>
      </c>
      <c r="L101" s="72">
        <f t="shared" si="30"/>
        <v>4.4521621621621623</v>
      </c>
      <c r="M101" s="74" t="s">
        <v>50</v>
      </c>
      <c r="N101" s="74" t="s">
        <v>51</v>
      </c>
      <c r="O101" s="74">
        <v>38</v>
      </c>
      <c r="P101" s="72">
        <f>O101/(O101+Q101)</f>
        <v>0.90476190476190477</v>
      </c>
      <c r="Q101" s="74">
        <v>4</v>
      </c>
      <c r="R101" s="75">
        <f t="shared" si="21"/>
        <v>9.5238095238095233E-2</v>
      </c>
      <c r="S101" s="74">
        <v>102.69</v>
      </c>
      <c r="T101" s="72">
        <f t="shared" si="23"/>
        <v>2.4449999999999998</v>
      </c>
      <c r="U101" s="74" t="s">
        <v>52</v>
      </c>
      <c r="V101" s="74" t="s">
        <v>51</v>
      </c>
      <c r="W101" s="74">
        <v>276</v>
      </c>
      <c r="X101" s="72">
        <v>1.3333333333333333</v>
      </c>
      <c r="Y101" s="72"/>
      <c r="Z101" s="72">
        <v>0.7784989441615231</v>
      </c>
      <c r="AA101" s="72"/>
      <c r="AB101" s="76">
        <f>15/37</f>
        <v>0.40540540540540543</v>
      </c>
      <c r="AC101" s="76">
        <f>3/37</f>
        <v>8.1081081081081086E-2</v>
      </c>
      <c r="AD101" s="76">
        <f>9/37</f>
        <v>0.24324324324324326</v>
      </c>
      <c r="AE101" s="76">
        <f>3/37</f>
        <v>8.1081081081081086E-2</v>
      </c>
      <c r="AF101" s="76">
        <f>2/37</f>
        <v>5.4054054054054057E-2</v>
      </c>
      <c r="AG101" s="76">
        <f>5/37</f>
        <v>0.13513513513513514</v>
      </c>
      <c r="AH101" s="76">
        <f>12/15</f>
        <v>0.8</v>
      </c>
      <c r="AI101" s="76">
        <f>3/3</f>
        <v>1</v>
      </c>
      <c r="AJ101" s="76">
        <f>9/9</f>
        <v>1</v>
      </c>
      <c r="AK101" s="76">
        <f>3/3</f>
        <v>1</v>
      </c>
      <c r="AL101" s="76">
        <f>1/2</f>
        <v>0.5</v>
      </c>
      <c r="AM101" s="76">
        <f>5/5</f>
        <v>1</v>
      </c>
      <c r="AN101" s="91">
        <v>179</v>
      </c>
      <c r="AO101" s="88">
        <f t="shared" si="24"/>
        <v>-14.27000000000001</v>
      </c>
      <c r="AP101" s="72">
        <f t="shared" si="25"/>
        <v>10.090413767531235</v>
      </c>
      <c r="AQ101" s="89">
        <f t="shared" si="26"/>
        <v>-100</v>
      </c>
      <c r="AR101" s="76">
        <f>13/42</f>
        <v>0.30952380952380953</v>
      </c>
      <c r="AS101" s="76">
        <f>3/42</f>
        <v>7.1428571428571425E-2</v>
      </c>
      <c r="AT101" s="76">
        <f>16/42</f>
        <v>0.38095238095238093</v>
      </c>
      <c r="AU101" s="76">
        <f>5/42</f>
        <v>0.11904761904761904</v>
      </c>
      <c r="AV101" s="76">
        <v>0</v>
      </c>
      <c r="AW101" s="76">
        <f>5/42</f>
        <v>0.11904761904761904</v>
      </c>
      <c r="AX101" s="76">
        <f>11/12</f>
        <v>0.91666666666666663</v>
      </c>
      <c r="AY101" s="76">
        <f>3/3</f>
        <v>1</v>
      </c>
      <c r="AZ101" s="76">
        <f>14/16</f>
        <v>0.875</v>
      </c>
      <c r="BA101" s="76">
        <f>4/5</f>
        <v>0.8</v>
      </c>
      <c r="BB101" s="76">
        <v>0</v>
      </c>
      <c r="BC101" s="76">
        <f>5/5</f>
        <v>1</v>
      </c>
      <c r="BD101" s="74">
        <v>200</v>
      </c>
      <c r="BE101" s="72">
        <f t="shared" si="27"/>
        <v>-97.31</v>
      </c>
      <c r="BF101" s="72">
        <f t="shared" si="28"/>
        <v>68.808560877262977</v>
      </c>
      <c r="BG101" s="89">
        <f t="shared" si="29"/>
        <v>-48.655000000000001</v>
      </c>
      <c r="BH101" s="9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</row>
    <row r="102" spans="1:105" s="64" customFormat="1">
      <c r="A102" s="62"/>
      <c r="B102" s="62"/>
      <c r="C102" s="62"/>
      <c r="D102" s="62"/>
      <c r="E102" s="67"/>
      <c r="F102" s="67"/>
      <c r="G102" s="62"/>
      <c r="H102" s="67"/>
      <c r="I102" s="62"/>
      <c r="J102" s="67"/>
      <c r="K102" s="62"/>
      <c r="L102" s="62"/>
      <c r="M102" s="62"/>
      <c r="N102" s="62"/>
      <c r="O102" s="62"/>
      <c r="P102" s="69"/>
      <c r="Q102" s="62"/>
      <c r="R102" s="62"/>
      <c r="S102" s="62"/>
      <c r="T102" s="62"/>
      <c r="U102" s="62"/>
      <c r="V102" s="62"/>
      <c r="W102" s="62"/>
      <c r="Z102" s="67"/>
      <c r="AA102" s="62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2"/>
      <c r="AM102" s="62"/>
      <c r="AN102" s="69"/>
      <c r="AO102" s="69"/>
      <c r="AP102" s="70"/>
      <c r="AQ102" s="62"/>
      <c r="BD102" s="62"/>
      <c r="BE102" s="69"/>
      <c r="BF102" s="70"/>
      <c r="BG102" s="62"/>
    </row>
    <row r="103" spans="1:105" s="10" customFormat="1">
      <c r="A103" s="62"/>
      <c r="B103" s="62"/>
      <c r="C103" s="62"/>
      <c r="D103" s="62"/>
      <c r="E103" s="67"/>
      <c r="F103" s="67"/>
      <c r="G103" s="62"/>
      <c r="H103" s="67"/>
      <c r="I103" s="62"/>
      <c r="J103" s="67"/>
      <c r="K103" s="62"/>
      <c r="L103" s="62"/>
      <c r="M103" s="62"/>
      <c r="N103" s="62"/>
      <c r="O103" s="62"/>
      <c r="P103" s="69"/>
      <c r="Q103" s="62"/>
      <c r="R103" s="62"/>
      <c r="S103" s="62"/>
      <c r="T103" s="62"/>
      <c r="U103" s="62"/>
      <c r="V103" s="62"/>
      <c r="W103" s="62"/>
      <c r="X103" s="64"/>
      <c r="Y103" s="64"/>
      <c r="Z103" s="62"/>
      <c r="AA103" s="62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2"/>
      <c r="AM103" s="62"/>
      <c r="AN103" s="69"/>
      <c r="AO103" s="69"/>
      <c r="AP103" s="70"/>
      <c r="AQ103" s="62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2"/>
      <c r="BE103" s="69"/>
      <c r="BF103" s="70"/>
      <c r="BG103" s="62"/>
      <c r="BH103" s="64"/>
      <c r="BI103" s="64"/>
    </row>
    <row r="104" spans="1:105" s="10" customFormat="1">
      <c r="A104" s="62"/>
      <c r="B104" s="62"/>
      <c r="C104" s="62"/>
      <c r="D104" s="62"/>
      <c r="E104" s="67"/>
      <c r="F104" s="67"/>
      <c r="G104" s="62"/>
      <c r="H104" s="67"/>
      <c r="I104" s="62"/>
      <c r="J104" s="67"/>
      <c r="K104" s="62"/>
      <c r="L104" s="62"/>
      <c r="M104" s="62"/>
      <c r="N104" s="62"/>
      <c r="O104" s="62"/>
      <c r="P104" s="69"/>
      <c r="Q104" s="62"/>
      <c r="R104" s="62"/>
      <c r="S104" s="62"/>
      <c r="T104" s="62"/>
      <c r="U104" s="62"/>
      <c r="V104" s="62"/>
      <c r="W104" s="62"/>
      <c r="X104" s="64"/>
      <c r="Y104" s="64"/>
      <c r="Z104" s="62"/>
      <c r="AA104" s="62"/>
      <c r="AB104" s="62"/>
      <c r="AC104" s="62"/>
      <c r="AD104" s="71"/>
      <c r="AE104" s="62"/>
      <c r="AF104" s="62"/>
      <c r="AG104" s="71"/>
      <c r="AH104" s="65"/>
      <c r="AI104" s="65"/>
      <c r="AJ104" s="66"/>
      <c r="AK104" s="66"/>
      <c r="AL104" s="66"/>
      <c r="AM104" s="65"/>
      <c r="AN104" s="69"/>
      <c r="AO104" s="69"/>
      <c r="AP104" s="70"/>
      <c r="AQ104" s="62"/>
      <c r="AR104" s="64"/>
      <c r="AS104" s="64"/>
      <c r="AT104" s="64"/>
      <c r="AU104" s="64"/>
      <c r="AV104" s="64"/>
      <c r="AW104" s="64"/>
      <c r="AX104" s="66"/>
      <c r="AY104" s="65"/>
      <c r="AZ104" s="65"/>
      <c r="BA104" s="66"/>
      <c r="BB104" s="66"/>
      <c r="BC104" s="65"/>
      <c r="BD104" s="62"/>
      <c r="BE104" s="69"/>
      <c r="BF104" s="70"/>
      <c r="BG104" s="62"/>
      <c r="BH104" s="64"/>
      <c r="BI104" s="64"/>
    </row>
    <row r="105" spans="1:105" s="10" customFormat="1">
      <c r="A105" s="62"/>
      <c r="B105" s="62"/>
      <c r="C105" s="62"/>
      <c r="D105" s="62"/>
      <c r="E105" s="67"/>
      <c r="F105" s="67"/>
      <c r="G105" s="62"/>
      <c r="H105" s="67"/>
      <c r="I105" s="62"/>
      <c r="J105" s="67"/>
      <c r="K105" s="62"/>
      <c r="L105" s="62"/>
      <c r="M105" s="62"/>
      <c r="N105" s="62"/>
      <c r="O105" s="62"/>
      <c r="P105" s="69"/>
      <c r="Q105" s="62"/>
      <c r="R105" s="62"/>
      <c r="S105" s="62"/>
      <c r="T105" s="62"/>
      <c r="U105" s="62"/>
      <c r="V105" s="62"/>
      <c r="W105" s="62"/>
      <c r="X105" s="64"/>
      <c r="Y105" s="64"/>
      <c r="Z105" s="62"/>
      <c r="AA105" s="62"/>
      <c r="AB105" s="62"/>
      <c r="AC105" s="62"/>
      <c r="AD105" s="71"/>
      <c r="AE105" s="62"/>
      <c r="AF105" s="62"/>
      <c r="AG105" s="71"/>
      <c r="AH105" s="62"/>
      <c r="AI105" s="62"/>
      <c r="AJ105" s="62"/>
      <c r="AK105" s="61"/>
      <c r="AL105" s="62"/>
      <c r="AM105" s="62"/>
      <c r="AN105" s="69"/>
      <c r="AO105" s="69"/>
      <c r="AP105" s="70"/>
      <c r="AQ105" s="62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2"/>
      <c r="BE105" s="69"/>
      <c r="BF105" s="70"/>
      <c r="BG105" s="62"/>
      <c r="BH105" s="64"/>
      <c r="BI105" s="64"/>
    </row>
    <row r="106" spans="1:105">
      <c r="A106" s="62"/>
      <c r="B106" s="62"/>
      <c r="C106" s="62"/>
      <c r="D106" s="62"/>
      <c r="E106" s="67"/>
      <c r="F106" s="67"/>
      <c r="G106" s="62"/>
      <c r="H106" s="67"/>
      <c r="I106" s="62"/>
      <c r="J106" s="67"/>
      <c r="K106" s="62"/>
      <c r="L106" s="62"/>
      <c r="M106" s="62"/>
      <c r="N106" s="62"/>
      <c r="O106" s="62"/>
      <c r="P106" s="69"/>
      <c r="Q106" s="62"/>
      <c r="R106" s="62"/>
      <c r="S106" s="63"/>
      <c r="T106" s="62"/>
      <c r="U106" s="62"/>
      <c r="V106" s="62"/>
      <c r="W106" s="62"/>
      <c r="X106" s="64"/>
      <c r="Y106" s="64"/>
      <c r="Z106" s="62"/>
      <c r="AA106" s="62"/>
      <c r="AB106" s="62"/>
      <c r="AC106" s="62"/>
      <c r="AD106" s="71"/>
      <c r="AE106" s="62"/>
      <c r="AF106" s="62"/>
      <c r="AG106" s="71"/>
      <c r="AH106" s="62"/>
      <c r="AI106" s="62"/>
      <c r="AJ106" s="62"/>
      <c r="AK106" s="62"/>
      <c r="AL106" s="62"/>
      <c r="AM106" s="62"/>
      <c r="AN106" s="69"/>
      <c r="AO106" s="69"/>
      <c r="AP106" s="70"/>
      <c r="AQ106" s="62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2"/>
      <c r="BE106" s="69"/>
      <c r="BF106" s="70"/>
      <c r="BG106" s="62"/>
      <c r="BH106" s="64"/>
      <c r="BI106" s="64"/>
    </row>
    <row r="107" spans="1:105">
      <c r="A107" s="62"/>
      <c r="B107" s="62"/>
      <c r="C107" s="62"/>
      <c r="D107" s="62"/>
      <c r="E107" s="67"/>
      <c r="F107" s="67"/>
      <c r="G107" s="62"/>
      <c r="H107" s="67"/>
      <c r="I107" s="62"/>
      <c r="J107" s="67"/>
      <c r="K107" s="62"/>
      <c r="L107" s="62"/>
      <c r="M107" s="62"/>
      <c r="N107" s="62"/>
      <c r="O107" s="62"/>
      <c r="P107" s="69"/>
      <c r="Q107" s="62"/>
      <c r="R107" s="62"/>
      <c r="S107" s="63"/>
      <c r="T107" s="62"/>
      <c r="U107" s="62"/>
      <c r="V107" s="62"/>
      <c r="W107" s="62"/>
      <c r="X107" s="64"/>
      <c r="Y107" s="64"/>
      <c r="Z107" s="62"/>
      <c r="AA107" s="62"/>
      <c r="AB107" s="62"/>
      <c r="AC107" s="62"/>
      <c r="AD107" s="71"/>
      <c r="AE107" s="62"/>
      <c r="AF107" s="62"/>
      <c r="AG107" s="71"/>
      <c r="AH107" s="62"/>
      <c r="AI107" s="62"/>
      <c r="AJ107" s="62"/>
      <c r="AK107" s="62"/>
      <c r="AL107" s="62"/>
      <c r="AM107" s="62"/>
      <c r="AN107" s="69"/>
      <c r="AO107" s="69"/>
      <c r="AP107" s="70"/>
      <c r="AQ107" s="62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2"/>
      <c r="BE107" s="69"/>
      <c r="BF107" s="70"/>
      <c r="BG107" s="62"/>
      <c r="BH107" s="64"/>
      <c r="BI107" s="64"/>
    </row>
    <row r="108" spans="1:105">
      <c r="A108" s="62"/>
      <c r="B108" s="62"/>
      <c r="C108" s="62"/>
      <c r="D108" s="62"/>
      <c r="E108" s="67"/>
      <c r="F108" s="67"/>
      <c r="G108" s="62"/>
      <c r="H108" s="67"/>
      <c r="I108" s="62"/>
      <c r="J108" s="67"/>
      <c r="K108" s="62"/>
      <c r="L108" s="62"/>
      <c r="M108" s="62"/>
      <c r="N108" s="62"/>
      <c r="O108" s="62"/>
      <c r="P108" s="69"/>
      <c r="Q108" s="62"/>
      <c r="R108" s="62"/>
      <c r="S108" s="63"/>
      <c r="T108" s="62"/>
      <c r="U108" s="62"/>
      <c r="V108" s="62"/>
      <c r="W108" s="62"/>
      <c r="X108" s="64"/>
      <c r="Y108" s="64"/>
      <c r="Z108" s="62"/>
      <c r="AA108" s="62"/>
      <c r="AB108" s="62"/>
      <c r="AC108" s="62"/>
      <c r="AD108" s="71"/>
      <c r="AE108" s="62"/>
      <c r="AF108" s="62"/>
      <c r="AG108" s="71"/>
      <c r="AH108" s="62"/>
      <c r="AI108" s="62"/>
      <c r="AJ108" s="62"/>
      <c r="AK108" s="62"/>
      <c r="AL108" s="62"/>
      <c r="AM108" s="62"/>
      <c r="AN108" s="69"/>
      <c r="AO108" s="69"/>
      <c r="AP108" s="70"/>
      <c r="AQ108" s="62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2"/>
      <c r="BE108" s="69"/>
      <c r="BF108" s="70"/>
      <c r="BG108" s="62"/>
      <c r="BH108" s="64"/>
      <c r="BI108" s="64"/>
    </row>
    <row r="109" spans="1:105">
      <c r="A109" s="62"/>
      <c r="B109" s="62"/>
      <c r="C109" s="62"/>
      <c r="D109" s="62"/>
      <c r="E109" s="67"/>
      <c r="F109" s="67"/>
      <c r="G109" s="62"/>
      <c r="H109" s="67"/>
      <c r="I109" s="62"/>
      <c r="J109" s="67"/>
      <c r="K109" s="62"/>
      <c r="L109" s="62"/>
      <c r="M109" s="62"/>
      <c r="N109" s="62"/>
      <c r="O109" s="62"/>
      <c r="P109" s="69"/>
      <c r="Q109" s="62"/>
      <c r="R109" s="62"/>
      <c r="S109" s="63"/>
      <c r="T109" s="62"/>
      <c r="U109" s="62"/>
      <c r="V109" s="62"/>
      <c r="W109" s="62"/>
      <c r="X109" s="64"/>
      <c r="Y109" s="64"/>
      <c r="Z109" s="62"/>
      <c r="AA109" s="62"/>
      <c r="AB109" s="62"/>
      <c r="AC109" s="62"/>
      <c r="AD109" s="71"/>
      <c r="AE109" s="62"/>
      <c r="AF109" s="62"/>
      <c r="AG109" s="71"/>
      <c r="AH109" s="62"/>
      <c r="AI109" s="62"/>
      <c r="AJ109" s="62"/>
      <c r="AK109" s="62"/>
      <c r="AL109" s="62"/>
      <c r="AM109" s="62"/>
      <c r="AN109" s="69"/>
      <c r="AO109" s="69"/>
      <c r="AP109" s="70"/>
      <c r="AQ109" s="62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2"/>
      <c r="BE109" s="69"/>
      <c r="BF109" s="70"/>
      <c r="BG109" s="62"/>
      <c r="BH109" s="64"/>
      <c r="BI109" s="64"/>
    </row>
    <row r="110" spans="1:105">
      <c r="A110" s="62"/>
      <c r="B110" s="62"/>
      <c r="C110" s="62"/>
      <c r="D110" s="62"/>
      <c r="E110" s="67"/>
      <c r="F110" s="67"/>
      <c r="G110" s="62"/>
      <c r="H110" s="67"/>
      <c r="I110" s="62"/>
      <c r="J110" s="67"/>
      <c r="K110" s="62"/>
      <c r="L110" s="62"/>
      <c r="M110" s="62"/>
      <c r="N110" s="62"/>
      <c r="O110" s="62"/>
      <c r="P110" s="69"/>
      <c r="Q110" s="62"/>
      <c r="R110" s="62"/>
      <c r="S110" s="63"/>
      <c r="T110" s="62"/>
      <c r="U110" s="62"/>
      <c r="V110" s="62"/>
      <c r="W110" s="62"/>
      <c r="X110" s="64"/>
      <c r="Y110" s="64"/>
      <c r="Z110" s="62"/>
      <c r="AA110" s="62"/>
      <c r="AB110" s="62"/>
      <c r="AC110" s="62"/>
      <c r="AD110" s="71"/>
      <c r="AE110" s="62"/>
      <c r="AF110" s="62"/>
      <c r="AG110" s="71"/>
      <c r="AH110" s="62"/>
      <c r="AI110" s="62"/>
      <c r="AJ110" s="62"/>
      <c r="AK110" s="62"/>
      <c r="AL110" s="62"/>
      <c r="AM110" s="62"/>
      <c r="AN110" s="69"/>
      <c r="AO110" s="69"/>
      <c r="AP110" s="70"/>
      <c r="AQ110" s="62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2"/>
      <c r="BE110" s="69"/>
      <c r="BF110" s="70"/>
      <c r="BG110" s="62"/>
      <c r="BH110" s="64"/>
      <c r="BI110" s="64"/>
    </row>
    <row r="111" spans="1:105">
      <c r="A111" s="62"/>
      <c r="B111" s="62"/>
      <c r="C111" s="62"/>
      <c r="D111" s="62"/>
      <c r="E111" s="67"/>
      <c r="F111" s="67"/>
      <c r="G111" s="62"/>
      <c r="H111" s="67"/>
      <c r="I111" s="62"/>
      <c r="J111" s="67"/>
      <c r="K111" s="62"/>
      <c r="L111" s="62"/>
      <c r="M111" s="62"/>
      <c r="N111" s="62"/>
      <c r="O111" s="62"/>
      <c r="P111" s="69"/>
      <c r="Q111" s="62"/>
      <c r="R111" s="62"/>
      <c r="S111" s="63"/>
      <c r="T111" s="62"/>
      <c r="U111" s="62"/>
      <c r="V111" s="62"/>
      <c r="W111" s="62"/>
      <c r="X111" s="64"/>
      <c r="Y111" s="64"/>
      <c r="Z111" s="62"/>
      <c r="AA111" s="62"/>
      <c r="AB111" s="62"/>
      <c r="AC111" s="62"/>
      <c r="AD111" s="71"/>
      <c r="AE111" s="62"/>
      <c r="AF111" s="62"/>
      <c r="AG111" s="71"/>
      <c r="AH111" s="62"/>
      <c r="AI111" s="62"/>
      <c r="AJ111" s="62"/>
      <c r="AK111" s="62"/>
      <c r="AL111" s="62"/>
      <c r="AM111" s="62"/>
      <c r="AN111" s="69"/>
      <c r="AO111" s="69"/>
      <c r="AP111" s="70"/>
      <c r="AQ111" s="62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2"/>
      <c r="BE111" s="69"/>
      <c r="BF111" s="70"/>
      <c r="BG111" s="62"/>
      <c r="BH111" s="64"/>
      <c r="BI111" s="64"/>
    </row>
    <row r="112" spans="1:105">
      <c r="A112" s="62"/>
      <c r="B112" s="62"/>
      <c r="C112" s="62"/>
      <c r="D112" s="62"/>
      <c r="E112" s="67"/>
      <c r="F112" s="67"/>
      <c r="G112" s="62"/>
      <c r="H112" s="67"/>
      <c r="I112" s="62"/>
      <c r="J112" s="67"/>
      <c r="K112" s="62"/>
      <c r="L112" s="62"/>
      <c r="M112" s="62"/>
      <c r="N112" s="62"/>
      <c r="O112" s="62"/>
      <c r="P112" s="69"/>
      <c r="Q112" s="62"/>
      <c r="R112" s="62"/>
      <c r="S112" s="63"/>
      <c r="T112" s="62"/>
      <c r="U112" s="62"/>
      <c r="V112" s="62"/>
      <c r="W112" s="62"/>
      <c r="X112" s="64"/>
      <c r="Y112" s="64"/>
      <c r="Z112" s="62"/>
      <c r="AA112" s="62"/>
      <c r="AB112" s="62"/>
      <c r="AC112" s="62"/>
      <c r="AD112" s="71"/>
      <c r="AE112" s="62"/>
      <c r="AF112" s="62"/>
      <c r="AG112" s="71"/>
      <c r="AH112" s="62"/>
      <c r="AI112" s="62"/>
      <c r="AJ112" s="62"/>
      <c r="AK112" s="62"/>
      <c r="AL112" s="62"/>
      <c r="AM112" s="62"/>
      <c r="AN112" s="69"/>
      <c r="AO112" s="69"/>
      <c r="AP112" s="70"/>
      <c r="AQ112" s="62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2"/>
      <c r="BE112" s="69"/>
      <c r="BF112" s="70"/>
      <c r="BG112" s="62"/>
      <c r="BH112" s="64"/>
      <c r="BI112" s="64"/>
    </row>
    <row r="113" spans="1:61">
      <c r="A113" s="62"/>
      <c r="B113" s="62"/>
      <c r="C113" s="62"/>
      <c r="D113" s="62"/>
      <c r="E113" s="67"/>
      <c r="F113" s="67"/>
      <c r="G113" s="62"/>
      <c r="H113" s="67"/>
      <c r="I113" s="62"/>
      <c r="J113" s="67"/>
      <c r="K113" s="62"/>
      <c r="L113" s="62"/>
      <c r="M113" s="62"/>
      <c r="N113" s="62"/>
      <c r="O113" s="62"/>
      <c r="P113" s="69"/>
      <c r="Q113" s="62"/>
      <c r="R113" s="62"/>
      <c r="S113" s="63"/>
      <c r="T113" s="62"/>
      <c r="U113" s="62"/>
      <c r="V113" s="62"/>
      <c r="W113" s="62"/>
      <c r="X113" s="64"/>
      <c r="Y113" s="64"/>
      <c r="Z113" s="62"/>
      <c r="AA113" s="62"/>
      <c r="AB113" s="62"/>
      <c r="AC113" s="62"/>
      <c r="AD113" s="71"/>
      <c r="AE113" s="62"/>
      <c r="AF113" s="62"/>
      <c r="AG113" s="71"/>
      <c r="AH113" s="62"/>
      <c r="AI113" s="62"/>
      <c r="AJ113" s="62"/>
      <c r="AK113" s="62"/>
      <c r="AL113" s="62"/>
      <c r="AM113" s="62"/>
      <c r="AN113" s="69"/>
      <c r="AO113" s="69"/>
      <c r="AP113" s="70"/>
      <c r="AQ113" s="62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2"/>
      <c r="BE113" s="69"/>
      <c r="BF113" s="70"/>
      <c r="BG113" s="62"/>
      <c r="BH113" s="64"/>
      <c r="BI113" s="64"/>
    </row>
    <row r="114" spans="1:61">
      <c r="A114" s="62"/>
      <c r="B114" s="62"/>
      <c r="C114" s="62"/>
      <c r="D114" s="62"/>
      <c r="E114" s="67"/>
      <c r="F114" s="67"/>
      <c r="G114" s="62"/>
      <c r="H114" s="67"/>
      <c r="I114" s="62"/>
      <c r="J114" s="67"/>
      <c r="K114" s="62"/>
      <c r="L114" s="62"/>
      <c r="M114" s="62"/>
      <c r="N114" s="62"/>
      <c r="O114" s="62"/>
      <c r="P114" s="69"/>
      <c r="Q114" s="62"/>
      <c r="R114" s="62"/>
      <c r="S114" s="63"/>
      <c r="T114" s="62"/>
      <c r="U114" s="62"/>
      <c r="V114" s="62"/>
      <c r="W114" s="62"/>
      <c r="X114" s="64"/>
      <c r="Y114" s="64"/>
      <c r="Z114" s="62"/>
      <c r="AA114" s="62"/>
      <c r="AB114" s="62"/>
      <c r="AC114" s="62"/>
      <c r="AD114" s="71"/>
      <c r="AE114" s="62"/>
      <c r="AF114" s="62"/>
      <c r="AG114" s="71"/>
      <c r="AH114" s="62"/>
      <c r="AI114" s="62"/>
      <c r="AJ114" s="62"/>
      <c r="AK114" s="62"/>
      <c r="AL114" s="62"/>
      <c r="AM114" s="62"/>
      <c r="AN114" s="69"/>
      <c r="AO114" s="69"/>
      <c r="AP114" s="70"/>
      <c r="AQ114" s="62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2"/>
      <c r="BE114" s="69"/>
      <c r="BF114" s="70"/>
      <c r="BG114" s="62"/>
      <c r="BH114" s="64"/>
      <c r="BI114" s="64"/>
    </row>
    <row r="115" spans="1:61">
      <c r="A115" s="62"/>
      <c r="B115" s="62"/>
      <c r="C115" s="62"/>
      <c r="D115" s="62"/>
      <c r="E115" s="67"/>
      <c r="F115" s="67"/>
      <c r="G115" s="62"/>
      <c r="H115" s="67"/>
      <c r="I115" s="62"/>
      <c r="J115" s="67"/>
      <c r="K115" s="62"/>
      <c r="L115" s="62"/>
      <c r="M115" s="62"/>
      <c r="N115" s="62"/>
      <c r="O115" s="62"/>
      <c r="P115" s="69"/>
      <c r="Q115" s="62"/>
      <c r="R115" s="62"/>
      <c r="S115" s="63"/>
      <c r="T115" s="62"/>
      <c r="U115" s="62"/>
      <c r="V115" s="62"/>
      <c r="W115" s="62"/>
      <c r="X115" s="64"/>
      <c r="Y115" s="64"/>
      <c r="Z115" s="62"/>
      <c r="AA115" s="62"/>
      <c r="AB115" s="62"/>
      <c r="AC115" s="62"/>
      <c r="AD115" s="71"/>
      <c r="AE115" s="62"/>
      <c r="AF115" s="62"/>
      <c r="AG115" s="71"/>
      <c r="AH115" s="62"/>
      <c r="AI115" s="62"/>
      <c r="AJ115" s="62"/>
      <c r="AK115" s="62"/>
      <c r="AL115" s="62"/>
      <c r="AM115" s="62"/>
      <c r="AN115" s="69"/>
      <c r="AO115" s="69"/>
      <c r="AP115" s="70"/>
      <c r="AQ115" s="62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2"/>
      <c r="BE115" s="69"/>
      <c r="BF115" s="70"/>
      <c r="BG115" s="62"/>
      <c r="BH115" s="64"/>
      <c r="BI115" s="64"/>
    </row>
    <row r="116" spans="1:61">
      <c r="A116" s="62"/>
      <c r="B116" s="62"/>
      <c r="C116" s="62"/>
      <c r="D116" s="62"/>
      <c r="E116" s="67"/>
      <c r="F116" s="67"/>
      <c r="G116" s="62"/>
      <c r="H116" s="67"/>
      <c r="I116" s="62"/>
      <c r="J116" s="67"/>
      <c r="K116" s="62"/>
      <c r="L116" s="62"/>
      <c r="M116" s="62"/>
      <c r="N116" s="62"/>
      <c r="O116" s="62"/>
      <c r="P116" s="69"/>
      <c r="Q116" s="62"/>
      <c r="R116" s="62"/>
      <c r="S116" s="63"/>
      <c r="T116" s="62"/>
      <c r="U116" s="62"/>
      <c r="V116" s="62"/>
      <c r="W116" s="62"/>
      <c r="X116" s="64"/>
      <c r="Y116" s="64"/>
      <c r="Z116" s="62"/>
      <c r="AA116" s="62"/>
      <c r="AB116" s="62"/>
      <c r="AC116" s="62"/>
      <c r="AD116" s="71"/>
      <c r="AE116" s="62"/>
      <c r="AF116" s="62"/>
      <c r="AG116" s="71"/>
      <c r="AH116" s="62"/>
      <c r="AI116" s="62"/>
      <c r="AJ116" s="62"/>
      <c r="AK116" s="62"/>
      <c r="AL116" s="62"/>
      <c r="AM116" s="62"/>
      <c r="AN116" s="69"/>
      <c r="AO116" s="69"/>
      <c r="AP116" s="70"/>
      <c r="AQ116" s="62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2"/>
      <c r="BE116" s="69"/>
      <c r="BF116" s="70"/>
      <c r="BG116" s="62"/>
      <c r="BH116" s="64"/>
      <c r="BI116" s="64"/>
    </row>
    <row r="117" spans="1:61">
      <c r="A117" s="62"/>
      <c r="B117" s="62"/>
      <c r="C117" s="62"/>
      <c r="D117" s="62"/>
      <c r="E117" s="67"/>
      <c r="F117" s="67"/>
      <c r="G117" s="62"/>
      <c r="H117" s="67"/>
      <c r="I117" s="62"/>
      <c r="J117" s="67"/>
      <c r="K117" s="62"/>
      <c r="L117" s="62"/>
      <c r="M117" s="62"/>
      <c r="N117" s="62"/>
      <c r="O117" s="62"/>
      <c r="P117" s="69"/>
      <c r="Q117" s="62"/>
      <c r="R117" s="62"/>
      <c r="S117" s="63"/>
      <c r="T117" s="62"/>
      <c r="U117" s="62"/>
      <c r="V117" s="62"/>
      <c r="W117" s="62"/>
      <c r="X117" s="64"/>
      <c r="Y117" s="64"/>
      <c r="Z117" s="62"/>
      <c r="AA117" s="62"/>
      <c r="AB117" s="62"/>
      <c r="AC117" s="62"/>
      <c r="AD117" s="71"/>
      <c r="AE117" s="62"/>
      <c r="AF117" s="62"/>
      <c r="AG117" s="71"/>
      <c r="AH117" s="62"/>
      <c r="AI117" s="62"/>
      <c r="AJ117" s="62"/>
      <c r="AK117" s="62"/>
      <c r="AL117" s="62"/>
      <c r="AM117" s="62"/>
      <c r="AN117" s="69"/>
      <c r="AO117" s="69"/>
      <c r="AP117" s="70"/>
      <c r="AQ117" s="62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2"/>
      <c r="BE117" s="69"/>
      <c r="BF117" s="70"/>
      <c r="BG117" s="62"/>
      <c r="BH117" s="64"/>
      <c r="BI117" s="64"/>
    </row>
    <row r="118" spans="1:61">
      <c r="A118" s="62"/>
      <c r="B118" s="62"/>
      <c r="C118" s="62"/>
      <c r="D118" s="62"/>
      <c r="E118" s="67"/>
      <c r="F118" s="67"/>
      <c r="G118" s="62"/>
      <c r="H118" s="67"/>
      <c r="I118" s="62"/>
      <c r="J118" s="67"/>
      <c r="K118" s="62"/>
      <c r="L118" s="62"/>
      <c r="M118" s="62"/>
      <c r="N118" s="62"/>
      <c r="O118" s="62"/>
      <c r="P118" s="69"/>
      <c r="Q118" s="62"/>
      <c r="R118" s="62"/>
      <c r="S118" s="63"/>
      <c r="T118" s="62"/>
      <c r="U118" s="62"/>
      <c r="V118" s="62"/>
      <c r="W118" s="62"/>
      <c r="X118" s="64"/>
      <c r="Y118" s="64"/>
      <c r="Z118" s="62"/>
      <c r="AA118" s="62"/>
      <c r="AB118" s="62"/>
      <c r="AC118" s="62"/>
      <c r="AD118" s="71"/>
      <c r="AE118" s="62"/>
      <c r="AF118" s="62"/>
      <c r="AG118" s="71"/>
      <c r="AH118" s="62"/>
      <c r="AI118" s="62"/>
      <c r="AJ118" s="62"/>
      <c r="AK118" s="62"/>
      <c r="AL118" s="62"/>
      <c r="AM118" s="62"/>
      <c r="AN118" s="69"/>
      <c r="AO118" s="69"/>
      <c r="AP118" s="70"/>
      <c r="AQ118" s="62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2"/>
      <c r="BE118" s="69"/>
      <c r="BF118" s="70"/>
      <c r="BG118" s="62"/>
      <c r="BH118" s="64"/>
      <c r="BI118" s="64"/>
    </row>
    <row r="119" spans="1:61">
      <c r="A119" s="62"/>
      <c r="B119" s="62"/>
      <c r="C119" s="62"/>
      <c r="D119" s="62"/>
      <c r="E119" s="69"/>
      <c r="F119" s="67"/>
      <c r="G119" s="62"/>
      <c r="H119" s="68"/>
      <c r="I119" s="62"/>
      <c r="J119" s="68"/>
      <c r="K119" s="62"/>
      <c r="L119" s="62"/>
      <c r="M119" s="62"/>
      <c r="N119" s="62"/>
      <c r="O119" s="62"/>
      <c r="P119" s="69"/>
      <c r="Q119" s="62"/>
      <c r="R119" s="62"/>
      <c r="S119" s="63"/>
      <c r="T119" s="62"/>
      <c r="U119" s="62"/>
      <c r="V119" s="62"/>
      <c r="W119" s="62"/>
      <c r="X119" s="64"/>
      <c r="Y119" s="64"/>
      <c r="Z119" s="62"/>
      <c r="AA119" s="62"/>
      <c r="AB119" s="62"/>
      <c r="AC119" s="62"/>
      <c r="AD119" s="71"/>
      <c r="AE119" s="62"/>
      <c r="AF119" s="62"/>
      <c r="AG119" s="71"/>
      <c r="AH119" s="62"/>
      <c r="AI119" s="62"/>
      <c r="AJ119" s="62"/>
      <c r="AK119" s="62"/>
      <c r="AL119" s="62"/>
      <c r="AM119" s="62"/>
      <c r="AN119" s="69"/>
      <c r="AO119" s="69"/>
      <c r="AP119" s="70"/>
      <c r="AQ119" s="62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2"/>
      <c r="BE119" s="69"/>
      <c r="BF119" s="70"/>
      <c r="BG119" s="62"/>
      <c r="BH119" s="64"/>
      <c r="BI119" s="64"/>
    </row>
    <row r="120" spans="1:61">
      <c r="A120" s="62"/>
      <c r="B120" s="62"/>
      <c r="C120" s="62"/>
      <c r="D120" s="62"/>
      <c r="E120" s="69"/>
      <c r="F120" s="67"/>
      <c r="G120" s="62"/>
      <c r="H120" s="68"/>
      <c r="I120" s="62"/>
      <c r="J120" s="68"/>
      <c r="K120" s="62"/>
      <c r="L120" s="62"/>
      <c r="M120" s="62"/>
      <c r="N120" s="62"/>
      <c r="O120" s="62"/>
      <c r="P120" s="69"/>
      <c r="Q120" s="62"/>
      <c r="R120" s="62"/>
      <c r="S120" s="63"/>
      <c r="T120" s="62"/>
      <c r="U120" s="62"/>
      <c r="V120" s="62"/>
      <c r="W120" s="62"/>
      <c r="X120" s="64"/>
      <c r="Y120" s="64"/>
      <c r="Z120" s="62"/>
      <c r="AA120" s="62"/>
      <c r="AB120" s="62"/>
      <c r="AC120" s="62"/>
      <c r="AD120" s="71"/>
      <c r="AE120" s="62"/>
      <c r="AF120" s="62"/>
      <c r="AG120" s="71"/>
      <c r="AH120" s="62"/>
      <c r="AI120" s="62"/>
      <c r="AJ120" s="62"/>
      <c r="AK120" s="62"/>
      <c r="AL120" s="62"/>
      <c r="AM120" s="62"/>
      <c r="AN120" s="69"/>
      <c r="AO120" s="69"/>
      <c r="AP120" s="70"/>
      <c r="AQ120" s="62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2"/>
      <c r="BE120" s="69"/>
      <c r="BF120" s="70"/>
      <c r="BG120" s="62"/>
      <c r="BH120" s="64"/>
      <c r="BI120" s="64"/>
    </row>
    <row r="121" spans="1:61">
      <c r="A121" s="62"/>
      <c r="B121" s="62"/>
      <c r="C121" s="62"/>
      <c r="D121" s="62"/>
      <c r="E121" s="69"/>
      <c r="F121" s="67"/>
      <c r="G121" s="62"/>
      <c r="H121" s="68"/>
      <c r="I121" s="62"/>
      <c r="J121" s="68"/>
      <c r="K121" s="62"/>
      <c r="L121" s="62"/>
      <c r="M121" s="62"/>
      <c r="N121" s="62"/>
      <c r="O121" s="62"/>
      <c r="P121" s="69"/>
      <c r="Q121" s="62"/>
      <c r="R121" s="62"/>
      <c r="S121" s="63"/>
      <c r="T121" s="62"/>
      <c r="U121" s="62"/>
      <c r="V121" s="62"/>
      <c r="W121" s="62"/>
      <c r="X121" s="64"/>
      <c r="Y121" s="64"/>
      <c r="Z121" s="62"/>
      <c r="AA121" s="62"/>
      <c r="AB121" s="62"/>
      <c r="AC121" s="62"/>
      <c r="AD121" s="71"/>
      <c r="AE121" s="62"/>
      <c r="AF121" s="62"/>
      <c r="AG121" s="71"/>
      <c r="AH121" s="62"/>
      <c r="AI121" s="62"/>
      <c r="AJ121" s="62"/>
      <c r="AK121" s="62"/>
      <c r="AL121" s="62"/>
      <c r="AM121" s="62"/>
      <c r="AN121" s="69"/>
      <c r="AO121" s="69"/>
      <c r="AP121" s="70"/>
      <c r="AQ121" s="62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2"/>
      <c r="BE121" s="69"/>
      <c r="BF121" s="70"/>
      <c r="BG121" s="62"/>
      <c r="BH121" s="64"/>
      <c r="BI121" s="64"/>
    </row>
    <row r="122" spans="1:61">
      <c r="A122" s="62"/>
      <c r="B122" s="62"/>
      <c r="C122" s="62"/>
      <c r="D122" s="62"/>
      <c r="E122" s="69"/>
      <c r="F122" s="67"/>
      <c r="G122" s="62"/>
      <c r="H122" s="68"/>
      <c r="I122" s="62"/>
      <c r="J122" s="68"/>
      <c r="K122" s="62"/>
      <c r="L122" s="62"/>
      <c r="M122" s="62"/>
      <c r="N122" s="62"/>
      <c r="O122" s="62"/>
      <c r="P122" s="69"/>
      <c r="Q122" s="62"/>
      <c r="R122" s="62"/>
      <c r="S122" s="63"/>
      <c r="T122" s="62"/>
      <c r="U122" s="62"/>
      <c r="V122" s="62"/>
      <c r="W122" s="62"/>
      <c r="X122" s="64"/>
      <c r="Y122" s="64"/>
      <c r="Z122" s="62"/>
      <c r="AA122" s="62"/>
      <c r="AB122" s="62"/>
      <c r="AC122" s="62"/>
      <c r="AD122" s="71"/>
      <c r="AE122" s="62"/>
      <c r="AF122" s="62"/>
      <c r="AG122" s="71"/>
      <c r="AH122" s="62"/>
      <c r="AI122" s="62"/>
      <c r="AJ122" s="62"/>
      <c r="AK122" s="62"/>
      <c r="AL122" s="62"/>
      <c r="AM122" s="62"/>
      <c r="AN122" s="69"/>
      <c r="AO122" s="69"/>
      <c r="AP122" s="70"/>
      <c r="AQ122" s="62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2"/>
      <c r="BE122" s="69"/>
      <c r="BF122" s="70"/>
      <c r="BG122" s="62"/>
      <c r="BH122" s="64"/>
      <c r="BI122" s="64"/>
    </row>
    <row r="123" spans="1:61">
      <c r="A123" s="62"/>
      <c r="B123" s="62"/>
      <c r="C123" s="62"/>
      <c r="D123" s="62"/>
      <c r="E123" s="69"/>
      <c r="F123" s="67"/>
      <c r="G123" s="62"/>
      <c r="H123" s="68"/>
      <c r="I123" s="62"/>
      <c r="J123" s="68"/>
      <c r="K123" s="62"/>
      <c r="L123" s="62"/>
      <c r="M123" s="62"/>
      <c r="N123" s="62"/>
      <c r="O123" s="62"/>
      <c r="P123" s="69"/>
      <c r="Q123" s="62"/>
      <c r="R123" s="62"/>
      <c r="S123" s="63"/>
      <c r="T123" s="62"/>
      <c r="U123" s="62"/>
      <c r="V123" s="62"/>
      <c r="W123" s="62"/>
      <c r="X123" s="64"/>
      <c r="Y123" s="64"/>
      <c r="Z123" s="62"/>
      <c r="AA123" s="62"/>
      <c r="AB123" s="62"/>
      <c r="AC123" s="62"/>
      <c r="AD123" s="71"/>
      <c r="AE123" s="62"/>
      <c r="AF123" s="62"/>
      <c r="AG123" s="71"/>
      <c r="AH123" s="62"/>
      <c r="AI123" s="62"/>
      <c r="AJ123" s="62"/>
      <c r="AK123" s="62"/>
      <c r="AL123" s="62"/>
      <c r="AM123" s="62"/>
      <c r="AN123" s="69"/>
      <c r="AO123" s="69"/>
      <c r="AP123" s="70"/>
      <c r="AQ123" s="62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2"/>
      <c r="BE123" s="69"/>
      <c r="BF123" s="70"/>
      <c r="BG123" s="62"/>
      <c r="BH123" s="64"/>
      <c r="BI123" s="64"/>
    </row>
    <row r="124" spans="1:61">
      <c r="A124" s="62"/>
      <c r="B124" s="62"/>
      <c r="C124" s="62"/>
      <c r="D124" s="62"/>
      <c r="E124" s="69"/>
      <c r="F124" s="67"/>
      <c r="G124" s="62"/>
      <c r="H124" s="68"/>
      <c r="I124" s="62"/>
      <c r="J124" s="68"/>
      <c r="K124" s="62"/>
      <c r="L124" s="62"/>
      <c r="M124" s="62"/>
      <c r="N124" s="62"/>
      <c r="O124" s="62"/>
      <c r="P124" s="69"/>
      <c r="Q124" s="62"/>
      <c r="R124" s="62"/>
      <c r="S124" s="63"/>
      <c r="T124" s="62"/>
      <c r="U124" s="62"/>
      <c r="V124" s="62"/>
      <c r="W124" s="62"/>
      <c r="X124" s="64"/>
      <c r="Y124" s="64"/>
      <c r="Z124" s="62"/>
      <c r="AA124" s="62"/>
      <c r="AB124" s="62"/>
      <c r="AC124" s="62"/>
      <c r="AD124" s="71"/>
      <c r="AE124" s="62"/>
      <c r="AF124" s="62"/>
      <c r="AG124" s="71"/>
      <c r="AH124" s="62"/>
      <c r="AI124" s="62"/>
      <c r="AJ124" s="62"/>
      <c r="AK124" s="62"/>
      <c r="AL124" s="62"/>
      <c r="AM124" s="62"/>
      <c r="AN124" s="69"/>
      <c r="AO124" s="69"/>
      <c r="AP124" s="70"/>
      <c r="AQ124" s="62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2"/>
      <c r="BE124" s="69"/>
      <c r="BF124" s="70"/>
      <c r="BG124" s="62"/>
      <c r="BH124" s="64"/>
      <c r="BI124" s="64"/>
    </row>
    <row r="125" spans="1:61">
      <c r="A125" s="62"/>
      <c r="B125" s="62"/>
      <c r="C125" s="62"/>
      <c r="D125" s="62"/>
      <c r="E125" s="69"/>
      <c r="F125" s="67"/>
      <c r="G125" s="62"/>
      <c r="H125" s="68"/>
      <c r="I125" s="62"/>
      <c r="J125" s="68"/>
      <c r="K125" s="62"/>
      <c r="L125" s="62"/>
      <c r="M125" s="62"/>
      <c r="N125" s="62"/>
      <c r="O125" s="62"/>
      <c r="P125" s="69"/>
      <c r="Q125" s="62"/>
      <c r="R125" s="62"/>
      <c r="S125" s="63"/>
      <c r="T125" s="62"/>
      <c r="U125" s="62"/>
      <c r="V125" s="62"/>
      <c r="W125" s="62"/>
      <c r="X125" s="64"/>
      <c r="Y125" s="64"/>
      <c r="Z125" s="62"/>
      <c r="AA125" s="62"/>
      <c r="AB125" s="62"/>
      <c r="AC125" s="62"/>
      <c r="AD125" s="71"/>
      <c r="AE125" s="62"/>
      <c r="AF125" s="62"/>
      <c r="AG125" s="71"/>
      <c r="AH125" s="62"/>
      <c r="AI125" s="62"/>
      <c r="AJ125" s="62"/>
      <c r="AK125" s="62"/>
      <c r="AL125" s="62"/>
      <c r="AM125" s="62"/>
      <c r="AN125" s="69"/>
      <c r="AO125" s="69"/>
      <c r="AP125" s="70"/>
      <c r="AQ125" s="62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2"/>
      <c r="BE125" s="69"/>
      <c r="BF125" s="70"/>
      <c r="BG125" s="62"/>
      <c r="BH125" s="64"/>
      <c r="BI125" s="64"/>
    </row>
    <row r="126" spans="1:61">
      <c r="A126" s="62"/>
      <c r="B126" s="62"/>
      <c r="C126" s="62"/>
      <c r="D126" s="62"/>
      <c r="E126" s="69"/>
      <c r="F126" s="67"/>
      <c r="G126" s="62"/>
      <c r="H126" s="68"/>
      <c r="I126" s="62"/>
      <c r="J126" s="68"/>
      <c r="K126" s="62"/>
      <c r="L126" s="62"/>
      <c r="M126" s="62"/>
      <c r="N126" s="62"/>
      <c r="O126" s="62"/>
      <c r="P126" s="69"/>
      <c r="Q126" s="62"/>
      <c r="R126" s="62"/>
      <c r="S126" s="63"/>
      <c r="T126" s="62"/>
      <c r="U126" s="62"/>
      <c r="V126" s="62"/>
      <c r="W126" s="62"/>
      <c r="X126" s="64"/>
      <c r="Y126" s="64"/>
      <c r="Z126" s="62"/>
      <c r="AA126" s="62"/>
      <c r="AB126" s="62"/>
      <c r="AC126" s="62"/>
      <c r="AD126" s="71"/>
      <c r="AE126" s="62"/>
      <c r="AF126" s="62"/>
      <c r="AG126" s="71"/>
      <c r="AH126" s="62"/>
      <c r="AI126" s="62"/>
      <c r="AJ126" s="62"/>
      <c r="AK126" s="62"/>
      <c r="AL126" s="62"/>
      <c r="AM126" s="62"/>
      <c r="AN126" s="69"/>
      <c r="AO126" s="69"/>
      <c r="AP126" s="70"/>
      <c r="AQ126" s="62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2"/>
      <c r="BE126" s="69"/>
      <c r="BF126" s="70"/>
      <c r="BG126" s="62"/>
      <c r="BH126" s="64"/>
      <c r="BI126" s="64"/>
    </row>
    <row r="127" spans="1:61">
      <c r="A127" s="62"/>
      <c r="B127" s="62"/>
      <c r="C127" s="62"/>
      <c r="D127" s="62"/>
      <c r="E127" s="69"/>
      <c r="F127" s="67"/>
      <c r="G127" s="62"/>
      <c r="H127" s="68"/>
      <c r="I127" s="62"/>
      <c r="J127" s="68"/>
      <c r="K127" s="62"/>
      <c r="L127" s="62"/>
      <c r="M127" s="62"/>
      <c r="N127" s="62"/>
      <c r="O127" s="62"/>
      <c r="P127" s="69"/>
      <c r="Q127" s="62"/>
      <c r="R127" s="62"/>
      <c r="S127" s="63"/>
      <c r="T127" s="62"/>
      <c r="U127" s="62"/>
      <c r="V127" s="62"/>
      <c r="W127" s="62"/>
      <c r="X127" s="64"/>
      <c r="Y127" s="64"/>
      <c r="Z127" s="62"/>
      <c r="AA127" s="62"/>
      <c r="AB127" s="62"/>
      <c r="AC127" s="62"/>
      <c r="AD127" s="71"/>
      <c r="AE127" s="62"/>
      <c r="AF127" s="62"/>
      <c r="AG127" s="71"/>
      <c r="AH127" s="62"/>
      <c r="AI127" s="62"/>
      <c r="AJ127" s="62"/>
      <c r="AK127" s="62"/>
      <c r="AL127" s="62"/>
      <c r="AM127" s="62"/>
      <c r="AN127" s="69"/>
      <c r="AO127" s="69"/>
      <c r="AP127" s="70"/>
      <c r="AQ127" s="62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2"/>
      <c r="BE127" s="69"/>
      <c r="BF127" s="70"/>
      <c r="BG127" s="62"/>
      <c r="BH127" s="64"/>
      <c r="BI127" s="64"/>
    </row>
    <row r="128" spans="1:61">
      <c r="A128" s="62"/>
      <c r="B128" s="62"/>
      <c r="C128" s="62"/>
      <c r="D128" s="62"/>
      <c r="E128" s="69"/>
      <c r="F128" s="67"/>
      <c r="G128" s="62"/>
      <c r="H128" s="68"/>
      <c r="I128" s="62"/>
      <c r="J128" s="68"/>
      <c r="K128" s="62"/>
      <c r="L128" s="62"/>
      <c r="M128" s="62"/>
      <c r="N128" s="62"/>
      <c r="O128" s="62"/>
      <c r="P128" s="69"/>
      <c r="Q128" s="62"/>
      <c r="R128" s="62"/>
      <c r="S128" s="63"/>
      <c r="T128" s="62"/>
      <c r="U128" s="62"/>
      <c r="V128" s="62"/>
      <c r="W128" s="62"/>
      <c r="X128" s="64"/>
      <c r="Y128" s="64"/>
      <c r="Z128" s="62"/>
      <c r="AA128" s="62"/>
      <c r="AB128" s="62"/>
      <c r="AC128" s="62"/>
      <c r="AD128" s="71"/>
      <c r="AE128" s="62"/>
      <c r="AF128" s="62"/>
      <c r="AG128" s="71"/>
      <c r="AH128" s="62"/>
      <c r="AI128" s="62"/>
      <c r="AJ128" s="62"/>
      <c r="AK128" s="62"/>
      <c r="AL128" s="62"/>
      <c r="AM128" s="62"/>
      <c r="AN128" s="69"/>
      <c r="AO128" s="69"/>
      <c r="AP128" s="70"/>
      <c r="AQ128" s="62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2"/>
      <c r="BE128" s="69"/>
      <c r="BF128" s="70"/>
      <c r="BG128" s="62"/>
      <c r="BH128" s="64"/>
      <c r="BI128" s="64"/>
    </row>
    <row r="129" spans="1:61">
      <c r="A129" s="62"/>
      <c r="B129" s="62"/>
      <c r="C129" s="62"/>
      <c r="D129" s="62"/>
      <c r="E129" s="69"/>
      <c r="F129" s="67"/>
      <c r="G129" s="62"/>
      <c r="H129" s="68"/>
      <c r="I129" s="62"/>
      <c r="J129" s="68"/>
      <c r="K129" s="62"/>
      <c r="L129" s="62"/>
      <c r="M129" s="62"/>
      <c r="N129" s="62"/>
      <c r="O129" s="62"/>
      <c r="P129" s="69"/>
      <c r="Q129" s="62"/>
      <c r="R129" s="62"/>
      <c r="S129" s="63"/>
      <c r="T129" s="62"/>
      <c r="U129" s="62"/>
      <c r="V129" s="62"/>
      <c r="W129" s="62"/>
      <c r="X129" s="64"/>
      <c r="Y129" s="64"/>
      <c r="Z129" s="62"/>
      <c r="AA129" s="62"/>
      <c r="AB129" s="62"/>
      <c r="AC129" s="62"/>
      <c r="AD129" s="71"/>
      <c r="AE129" s="62"/>
      <c r="AF129" s="62"/>
      <c r="AG129" s="71"/>
      <c r="AH129" s="62"/>
      <c r="AI129" s="62"/>
      <c r="AJ129" s="62"/>
      <c r="AK129" s="62"/>
      <c r="AL129" s="62"/>
      <c r="AM129" s="62"/>
      <c r="AN129" s="69"/>
      <c r="AO129" s="69"/>
      <c r="AP129" s="70"/>
      <c r="AQ129" s="62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2"/>
      <c r="BE129" s="69"/>
      <c r="BF129" s="70"/>
      <c r="BG129" s="62"/>
      <c r="BH129" s="64"/>
      <c r="BI129" s="64"/>
    </row>
    <row r="130" spans="1:61">
      <c r="A130" s="62"/>
      <c r="B130" s="62"/>
      <c r="C130" s="62"/>
      <c r="D130" s="62"/>
      <c r="E130" s="69"/>
      <c r="F130" s="67"/>
      <c r="G130" s="62"/>
      <c r="H130" s="68"/>
      <c r="I130" s="62"/>
      <c r="J130" s="68"/>
      <c r="K130" s="62"/>
      <c r="L130" s="62"/>
      <c r="M130" s="62"/>
      <c r="N130" s="62"/>
      <c r="O130" s="62"/>
      <c r="P130" s="69"/>
      <c r="Q130" s="62"/>
      <c r="R130" s="62"/>
      <c r="S130" s="63"/>
      <c r="T130" s="62"/>
      <c r="U130" s="62"/>
      <c r="V130" s="62"/>
      <c r="W130" s="62"/>
      <c r="X130" s="64"/>
      <c r="Y130" s="64"/>
      <c r="Z130" s="62"/>
      <c r="AA130" s="62"/>
      <c r="AB130" s="62"/>
      <c r="AC130" s="62"/>
      <c r="AD130" s="71"/>
      <c r="AE130" s="62"/>
      <c r="AF130" s="62"/>
      <c r="AG130" s="71"/>
      <c r="AH130" s="62"/>
      <c r="AI130" s="62"/>
      <c r="AJ130" s="62"/>
      <c r="AK130" s="62"/>
      <c r="AL130" s="62"/>
      <c r="AM130" s="62"/>
      <c r="AN130" s="69"/>
      <c r="AO130" s="69"/>
      <c r="AP130" s="70"/>
      <c r="AQ130" s="62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2"/>
      <c r="BE130" s="69"/>
      <c r="BF130" s="70"/>
      <c r="BG130" s="62"/>
      <c r="BH130" s="64"/>
      <c r="BI130" s="64"/>
    </row>
    <row r="131" spans="1:61">
      <c r="A131" s="62"/>
      <c r="B131" s="62"/>
      <c r="C131" s="62"/>
      <c r="D131" s="62"/>
      <c r="E131" s="69"/>
      <c r="F131" s="67"/>
      <c r="G131" s="62"/>
      <c r="H131" s="68"/>
      <c r="I131" s="62"/>
      <c r="J131" s="68"/>
      <c r="K131" s="62"/>
      <c r="L131" s="62"/>
      <c r="M131" s="62"/>
      <c r="N131" s="62"/>
      <c r="O131" s="62"/>
      <c r="P131" s="69"/>
      <c r="Q131" s="62"/>
      <c r="R131" s="62"/>
      <c r="S131" s="63"/>
      <c r="T131" s="62"/>
      <c r="U131" s="62"/>
      <c r="V131" s="62"/>
      <c r="W131" s="62"/>
      <c r="X131" s="64"/>
      <c r="Y131" s="64"/>
      <c r="Z131" s="62"/>
      <c r="AA131" s="62"/>
      <c r="AB131" s="62"/>
      <c r="AC131" s="62"/>
      <c r="AD131" s="71"/>
      <c r="AE131" s="62"/>
      <c r="AF131" s="62"/>
      <c r="AG131" s="71"/>
      <c r="AH131" s="62"/>
      <c r="AI131" s="62"/>
      <c r="AJ131" s="62"/>
      <c r="AK131" s="62"/>
      <c r="AL131" s="62"/>
      <c r="AM131" s="62"/>
      <c r="AN131" s="69"/>
      <c r="AO131" s="69"/>
      <c r="AP131" s="70"/>
      <c r="AQ131" s="62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2"/>
      <c r="BE131" s="69"/>
      <c r="BF131" s="70"/>
      <c r="BG131" s="62"/>
      <c r="BH131" s="64"/>
      <c r="BI131" s="64"/>
    </row>
    <row r="132" spans="1:61">
      <c r="A132" s="62"/>
      <c r="B132" s="62"/>
      <c r="C132" s="62"/>
      <c r="D132" s="62"/>
      <c r="E132" s="69"/>
      <c r="F132" s="67"/>
      <c r="G132" s="62"/>
      <c r="H132" s="68"/>
      <c r="I132" s="62"/>
      <c r="J132" s="68"/>
      <c r="K132" s="62"/>
      <c r="L132" s="62"/>
      <c r="M132" s="62"/>
      <c r="N132" s="62"/>
      <c r="O132" s="62"/>
      <c r="P132" s="69"/>
      <c r="Q132" s="62"/>
      <c r="R132" s="62"/>
      <c r="S132" s="63"/>
      <c r="T132" s="62"/>
      <c r="U132" s="62"/>
      <c r="V132" s="62"/>
      <c r="W132" s="62"/>
      <c r="X132" s="64"/>
      <c r="Y132" s="64"/>
      <c r="Z132" s="62"/>
      <c r="AA132" s="62"/>
      <c r="AB132" s="62"/>
      <c r="AC132" s="62"/>
      <c r="AD132" s="71"/>
      <c r="AE132" s="62"/>
      <c r="AF132" s="62"/>
      <c r="AG132" s="71"/>
      <c r="AH132" s="62"/>
      <c r="AI132" s="62"/>
      <c r="AJ132" s="62"/>
      <c r="AK132" s="62"/>
      <c r="AL132" s="62"/>
      <c r="AM132" s="62"/>
      <c r="AN132" s="69"/>
      <c r="AO132" s="69"/>
      <c r="AP132" s="70"/>
      <c r="AQ132" s="62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2"/>
      <c r="BE132" s="69"/>
      <c r="BF132" s="70"/>
      <c r="BG132" s="62"/>
      <c r="BH132" s="64"/>
      <c r="BI132" s="64"/>
    </row>
    <row r="133" spans="1:61">
      <c r="A133" s="62"/>
      <c r="B133" s="62"/>
      <c r="C133" s="62"/>
      <c r="D133" s="62"/>
      <c r="E133" s="69"/>
      <c r="F133" s="67"/>
      <c r="G133" s="62"/>
      <c r="H133" s="68"/>
      <c r="I133" s="62"/>
      <c r="J133" s="68"/>
      <c r="K133" s="62"/>
      <c r="L133" s="62"/>
      <c r="M133" s="62"/>
      <c r="N133" s="62"/>
      <c r="O133" s="62"/>
      <c r="P133" s="69"/>
      <c r="Q133" s="62"/>
      <c r="R133" s="62"/>
      <c r="S133" s="63"/>
      <c r="T133" s="62"/>
      <c r="U133" s="62"/>
      <c r="V133" s="62"/>
      <c r="W133" s="62"/>
      <c r="X133" s="64"/>
      <c r="Y133" s="64"/>
      <c r="Z133" s="62"/>
      <c r="AA133" s="62"/>
      <c r="AB133" s="62"/>
      <c r="AC133" s="62"/>
      <c r="AD133" s="71"/>
      <c r="AE133" s="62"/>
      <c r="AF133" s="62"/>
      <c r="AG133" s="71"/>
      <c r="AH133" s="62"/>
      <c r="AI133" s="62"/>
      <c r="AJ133" s="62"/>
      <c r="AK133" s="62"/>
      <c r="AL133" s="62"/>
      <c r="AM133" s="62"/>
      <c r="AN133" s="69"/>
      <c r="AO133" s="69"/>
      <c r="AP133" s="70"/>
      <c r="AQ133" s="62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2"/>
      <c r="BE133" s="69"/>
      <c r="BF133" s="70"/>
      <c r="BG133" s="62"/>
      <c r="BH133" s="64"/>
      <c r="BI133" s="64"/>
    </row>
    <row r="134" spans="1:61">
      <c r="A134" s="62"/>
      <c r="B134" s="62"/>
      <c r="C134" s="62"/>
      <c r="D134" s="62"/>
      <c r="E134" s="69"/>
      <c r="F134" s="67"/>
      <c r="G134" s="62"/>
      <c r="H134" s="68"/>
      <c r="I134" s="62"/>
      <c r="J134" s="68"/>
      <c r="K134" s="62"/>
      <c r="L134" s="62"/>
      <c r="M134" s="62"/>
      <c r="N134" s="62"/>
      <c r="O134" s="62"/>
      <c r="P134" s="69"/>
      <c r="Q134" s="62"/>
      <c r="R134" s="62"/>
      <c r="S134" s="63"/>
      <c r="T134" s="62"/>
      <c r="U134" s="62"/>
      <c r="V134" s="62"/>
      <c r="W134" s="62"/>
      <c r="X134" s="64"/>
      <c r="Y134" s="64"/>
      <c r="Z134" s="62"/>
      <c r="AA134" s="62"/>
      <c r="AB134" s="62"/>
      <c r="AC134" s="62"/>
      <c r="AD134" s="71"/>
      <c r="AE134" s="62"/>
      <c r="AF134" s="62"/>
      <c r="AG134" s="71"/>
      <c r="AH134" s="62"/>
      <c r="AI134" s="62"/>
      <c r="AJ134" s="62"/>
      <c r="AK134" s="62"/>
      <c r="AL134" s="62"/>
      <c r="AM134" s="62"/>
      <c r="AN134" s="69"/>
      <c r="AO134" s="69"/>
      <c r="AP134" s="70"/>
      <c r="AQ134" s="62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2"/>
      <c r="BE134" s="69"/>
      <c r="BF134" s="70"/>
      <c r="BG134" s="62"/>
      <c r="BH134" s="64"/>
      <c r="BI134" s="64"/>
    </row>
    <row r="135" spans="1:61">
      <c r="A135" s="62"/>
      <c r="B135" s="62"/>
      <c r="C135" s="62"/>
      <c r="D135" s="62"/>
      <c r="E135" s="69"/>
      <c r="F135" s="67"/>
      <c r="G135" s="62"/>
      <c r="H135" s="68"/>
      <c r="I135" s="62"/>
      <c r="J135" s="68"/>
      <c r="K135" s="62"/>
      <c r="L135" s="62"/>
      <c r="M135" s="62"/>
      <c r="N135" s="62"/>
      <c r="O135" s="62"/>
      <c r="P135" s="69"/>
      <c r="Q135" s="62"/>
      <c r="R135" s="62"/>
      <c r="S135" s="63"/>
      <c r="T135" s="62"/>
      <c r="U135" s="62"/>
      <c r="V135" s="62"/>
      <c r="W135" s="62"/>
      <c r="X135" s="64"/>
      <c r="Y135" s="64"/>
      <c r="Z135" s="62"/>
      <c r="AA135" s="62"/>
      <c r="AB135" s="62"/>
      <c r="AC135" s="62"/>
      <c r="AD135" s="71"/>
      <c r="AE135" s="62"/>
      <c r="AF135" s="62"/>
      <c r="AG135" s="71"/>
      <c r="AH135" s="62"/>
      <c r="AI135" s="62"/>
      <c r="AJ135" s="62"/>
      <c r="AK135" s="62"/>
      <c r="AL135" s="62"/>
      <c r="AM135" s="62"/>
      <c r="AN135" s="69"/>
      <c r="AO135" s="69"/>
      <c r="AP135" s="70"/>
      <c r="AQ135" s="62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2"/>
      <c r="BE135" s="69"/>
      <c r="BF135" s="70"/>
      <c r="BG135" s="62"/>
      <c r="BH135" s="64"/>
      <c r="BI135" s="64"/>
    </row>
    <row r="136" spans="1:61">
      <c r="A136" s="62"/>
      <c r="B136" s="62"/>
      <c r="C136" s="62"/>
      <c r="D136" s="62"/>
      <c r="E136" s="69"/>
      <c r="F136" s="67"/>
      <c r="G136" s="62"/>
      <c r="H136" s="68"/>
      <c r="I136" s="62"/>
      <c r="J136" s="68"/>
      <c r="K136" s="62"/>
      <c r="L136" s="62"/>
      <c r="M136" s="62"/>
      <c r="N136" s="62"/>
      <c r="O136" s="62"/>
      <c r="P136" s="69"/>
      <c r="Q136" s="62"/>
      <c r="R136" s="62"/>
      <c r="S136" s="63"/>
      <c r="T136" s="62"/>
      <c r="U136" s="62"/>
      <c r="V136" s="62"/>
      <c r="W136" s="62"/>
      <c r="X136" s="64"/>
      <c r="Y136" s="64"/>
      <c r="Z136" s="62"/>
      <c r="AA136" s="62"/>
      <c r="AB136" s="62"/>
      <c r="AC136" s="62"/>
      <c r="AD136" s="71"/>
      <c r="AE136" s="62"/>
      <c r="AF136" s="62"/>
      <c r="AG136" s="71"/>
      <c r="AH136" s="62"/>
      <c r="AI136" s="62"/>
      <c r="AJ136" s="62"/>
      <c r="AK136" s="62"/>
      <c r="AL136" s="62"/>
      <c r="AM136" s="62"/>
      <c r="AN136" s="69"/>
      <c r="AO136" s="69"/>
      <c r="AP136" s="70"/>
      <c r="AQ136" s="62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2"/>
      <c r="BE136" s="69"/>
      <c r="BF136" s="70"/>
      <c r="BG136" s="62"/>
      <c r="BH136" s="64"/>
      <c r="BI136" s="64"/>
    </row>
    <row r="137" spans="1:61">
      <c r="A137" s="62"/>
      <c r="B137" s="62"/>
      <c r="C137" s="62"/>
      <c r="D137" s="62"/>
      <c r="E137" s="69"/>
      <c r="F137" s="67"/>
      <c r="G137" s="62"/>
      <c r="H137" s="68"/>
      <c r="I137" s="62"/>
      <c r="J137" s="68"/>
      <c r="K137" s="62"/>
      <c r="L137" s="62"/>
      <c r="M137" s="62"/>
      <c r="N137" s="62"/>
      <c r="O137" s="62"/>
      <c r="P137" s="69"/>
      <c r="Q137" s="62"/>
      <c r="R137" s="62"/>
      <c r="S137" s="63"/>
      <c r="T137" s="62"/>
      <c r="U137" s="62"/>
      <c r="V137" s="62"/>
      <c r="W137" s="62"/>
      <c r="X137" s="64"/>
      <c r="Y137" s="64"/>
      <c r="Z137" s="62"/>
      <c r="AA137" s="62"/>
      <c r="AB137" s="62"/>
      <c r="AC137" s="62"/>
      <c r="AD137" s="71"/>
      <c r="AE137" s="62"/>
      <c r="AF137" s="62"/>
      <c r="AG137" s="71"/>
      <c r="AH137" s="62"/>
      <c r="AI137" s="62"/>
      <c r="AJ137" s="62"/>
      <c r="AK137" s="62"/>
      <c r="AL137" s="62"/>
      <c r="AM137" s="62"/>
      <c r="AN137" s="69"/>
      <c r="AO137" s="69"/>
      <c r="AP137" s="70"/>
      <c r="AQ137" s="62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2"/>
      <c r="BE137" s="69"/>
      <c r="BF137" s="70"/>
      <c r="BG137" s="62"/>
      <c r="BH137" s="64"/>
      <c r="BI137" s="64"/>
    </row>
    <row r="138" spans="1:61">
      <c r="A138" s="62"/>
      <c r="B138" s="62"/>
      <c r="C138" s="62"/>
      <c r="D138" s="62"/>
      <c r="E138" s="69"/>
      <c r="F138" s="67"/>
      <c r="G138" s="62"/>
      <c r="H138" s="68"/>
      <c r="I138" s="62"/>
      <c r="J138" s="68"/>
      <c r="K138" s="62"/>
      <c r="L138" s="62"/>
      <c r="M138" s="62"/>
      <c r="N138" s="62"/>
      <c r="O138" s="62"/>
      <c r="P138" s="69"/>
      <c r="Q138" s="62"/>
      <c r="R138" s="62"/>
      <c r="S138" s="63"/>
      <c r="T138" s="62"/>
      <c r="U138" s="62"/>
      <c r="V138" s="62"/>
      <c r="W138" s="62"/>
      <c r="X138" s="64"/>
      <c r="Y138" s="64"/>
      <c r="Z138" s="62"/>
      <c r="AA138" s="62"/>
      <c r="AB138" s="62"/>
      <c r="AC138" s="62"/>
      <c r="AD138" s="71"/>
      <c r="AE138" s="62"/>
      <c r="AF138" s="62"/>
      <c r="AG138" s="71"/>
      <c r="AH138" s="62"/>
      <c r="AI138" s="62"/>
      <c r="AJ138" s="62"/>
      <c r="AK138" s="62"/>
      <c r="AL138" s="62"/>
      <c r="AM138" s="62"/>
      <c r="AN138" s="69"/>
      <c r="AO138" s="69"/>
      <c r="AP138" s="70"/>
      <c r="AQ138" s="62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2"/>
      <c r="BE138" s="69"/>
      <c r="BF138" s="70"/>
      <c r="BG138" s="62"/>
      <c r="BH138" s="64"/>
      <c r="BI138" s="64"/>
    </row>
    <row r="139" spans="1:61">
      <c r="A139" s="62"/>
      <c r="B139" s="62"/>
      <c r="C139" s="62"/>
      <c r="D139" s="62"/>
      <c r="E139" s="69"/>
      <c r="F139" s="67"/>
      <c r="G139" s="62"/>
      <c r="H139" s="68"/>
      <c r="I139" s="62"/>
      <c r="J139" s="68"/>
      <c r="K139" s="62"/>
      <c r="L139" s="62"/>
      <c r="M139" s="62"/>
      <c r="N139" s="62"/>
      <c r="O139" s="62"/>
      <c r="P139" s="69"/>
      <c r="Q139" s="62"/>
      <c r="R139" s="62"/>
      <c r="S139" s="63"/>
      <c r="T139" s="62"/>
      <c r="U139" s="62"/>
      <c r="V139" s="62"/>
      <c r="W139" s="62"/>
      <c r="X139" s="64"/>
      <c r="Y139" s="64"/>
      <c r="Z139" s="62"/>
      <c r="AA139" s="62"/>
      <c r="AB139" s="62"/>
      <c r="AC139" s="62"/>
      <c r="AD139" s="71"/>
      <c r="AE139" s="62"/>
      <c r="AF139" s="62"/>
      <c r="AG139" s="71"/>
      <c r="AH139" s="62"/>
      <c r="AI139" s="62"/>
      <c r="AJ139" s="62"/>
      <c r="AK139" s="62"/>
      <c r="AL139" s="62"/>
      <c r="AM139" s="62"/>
      <c r="AN139" s="69"/>
      <c r="AO139" s="69"/>
      <c r="AP139" s="70"/>
      <c r="AQ139" s="62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2"/>
      <c r="BE139" s="69"/>
      <c r="BF139" s="70"/>
      <c r="BG139" s="62"/>
      <c r="BH139" s="64"/>
      <c r="BI139" s="64"/>
    </row>
    <row r="140" spans="1:61">
      <c r="A140" s="62"/>
      <c r="B140" s="62"/>
      <c r="C140" s="62"/>
      <c r="D140" s="62"/>
      <c r="E140" s="69"/>
      <c r="F140" s="67"/>
      <c r="G140" s="62"/>
      <c r="H140" s="68"/>
      <c r="I140" s="62"/>
      <c r="J140" s="68"/>
      <c r="K140" s="62"/>
      <c r="L140" s="62"/>
      <c r="M140" s="62"/>
      <c r="N140" s="62"/>
      <c r="O140" s="62"/>
      <c r="P140" s="69"/>
      <c r="Q140" s="62"/>
      <c r="R140" s="62"/>
      <c r="S140" s="63"/>
      <c r="T140" s="62"/>
      <c r="U140" s="62"/>
      <c r="V140" s="62"/>
      <c r="W140" s="62"/>
      <c r="X140" s="64"/>
      <c r="Y140" s="64"/>
      <c r="Z140" s="62"/>
      <c r="AA140" s="62"/>
      <c r="AB140" s="62"/>
      <c r="AC140" s="62"/>
      <c r="AD140" s="71"/>
      <c r="AE140" s="62"/>
      <c r="AF140" s="62"/>
      <c r="AG140" s="71"/>
      <c r="AH140" s="62"/>
      <c r="AI140" s="62"/>
      <c r="AJ140" s="62"/>
      <c r="AK140" s="62"/>
      <c r="AL140" s="62"/>
      <c r="AM140" s="62"/>
      <c r="AN140" s="69"/>
      <c r="AO140" s="69"/>
      <c r="AP140" s="70"/>
      <c r="AQ140" s="62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2"/>
      <c r="BE140" s="69"/>
      <c r="BF140" s="70"/>
      <c r="BG140" s="62"/>
      <c r="BH140" s="64"/>
      <c r="BI140" s="64"/>
    </row>
    <row r="141" spans="1:61">
      <c r="A141" s="62"/>
      <c r="B141" s="62"/>
      <c r="C141" s="62"/>
      <c r="D141" s="62"/>
      <c r="E141" s="69"/>
      <c r="F141" s="67"/>
      <c r="G141" s="62"/>
      <c r="H141" s="68"/>
      <c r="I141" s="62"/>
      <c r="J141" s="68"/>
      <c r="K141" s="62"/>
      <c r="L141" s="62"/>
      <c r="M141" s="62"/>
      <c r="N141" s="62"/>
      <c r="O141" s="62"/>
      <c r="P141" s="69"/>
      <c r="Q141" s="62"/>
      <c r="R141" s="62"/>
      <c r="S141" s="63"/>
      <c r="T141" s="62"/>
      <c r="U141" s="62"/>
      <c r="V141" s="62"/>
      <c r="W141" s="62"/>
      <c r="X141" s="64"/>
      <c r="Y141" s="64"/>
      <c r="Z141" s="62"/>
      <c r="AA141" s="62"/>
      <c r="AB141" s="62"/>
      <c r="AC141" s="62"/>
      <c r="AD141" s="71"/>
      <c r="AE141" s="62"/>
      <c r="AF141" s="62"/>
      <c r="AG141" s="71"/>
      <c r="AH141" s="62"/>
      <c r="AI141" s="62"/>
      <c r="AJ141" s="62"/>
      <c r="AK141" s="62"/>
      <c r="AL141" s="62"/>
      <c r="AM141" s="62"/>
      <c r="AN141" s="69"/>
      <c r="AO141" s="69"/>
      <c r="AP141" s="70"/>
      <c r="AQ141" s="62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2"/>
      <c r="BE141" s="69"/>
      <c r="BF141" s="70"/>
      <c r="BG141" s="62"/>
      <c r="BH141" s="64"/>
      <c r="BI141" s="64"/>
    </row>
    <row r="142" spans="1:61">
      <c r="A142" s="62"/>
      <c r="B142" s="62"/>
      <c r="C142" s="62"/>
      <c r="D142" s="62"/>
      <c r="E142" s="69"/>
      <c r="F142" s="69"/>
      <c r="G142" s="62"/>
      <c r="H142" s="68"/>
      <c r="I142" s="62"/>
      <c r="J142" s="68"/>
      <c r="K142" s="62"/>
      <c r="L142" s="62"/>
      <c r="M142" s="62"/>
      <c r="N142" s="62"/>
      <c r="O142" s="62"/>
      <c r="P142" s="69"/>
      <c r="Q142" s="62"/>
      <c r="R142" s="62"/>
      <c r="S142" s="63"/>
      <c r="T142" s="62"/>
      <c r="U142" s="62"/>
      <c r="V142" s="62"/>
      <c r="W142" s="62"/>
      <c r="X142" s="64"/>
      <c r="Y142" s="64"/>
      <c r="Z142" s="62"/>
      <c r="AA142" s="62"/>
      <c r="AB142" s="62"/>
      <c r="AC142" s="62"/>
      <c r="AD142" s="71"/>
      <c r="AE142" s="62"/>
      <c r="AF142" s="62"/>
      <c r="AG142" s="71"/>
      <c r="AH142" s="62"/>
      <c r="AI142" s="62"/>
      <c r="AJ142" s="62"/>
      <c r="AK142" s="62"/>
      <c r="AL142" s="62"/>
      <c r="AM142" s="62"/>
      <c r="AN142" s="69"/>
      <c r="AO142" s="69"/>
      <c r="AP142" s="70"/>
      <c r="AQ142" s="62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2"/>
      <c r="BE142" s="69"/>
      <c r="BF142" s="70"/>
      <c r="BG142" s="62"/>
      <c r="BH142" s="64"/>
      <c r="BI142" s="64"/>
    </row>
    <row r="143" spans="1:61">
      <c r="A143" s="62"/>
      <c r="B143" s="62"/>
      <c r="C143" s="62"/>
      <c r="D143" s="62"/>
      <c r="E143" s="69"/>
      <c r="F143" s="69"/>
      <c r="G143" s="62"/>
      <c r="H143" s="68"/>
      <c r="I143" s="62"/>
      <c r="J143" s="68"/>
      <c r="K143" s="62"/>
      <c r="L143" s="62"/>
      <c r="M143" s="62"/>
      <c r="N143" s="62"/>
      <c r="O143" s="62"/>
      <c r="P143" s="69"/>
      <c r="Q143" s="62"/>
      <c r="R143" s="62"/>
      <c r="S143" s="63"/>
      <c r="T143" s="62"/>
      <c r="U143" s="62"/>
      <c r="V143" s="62"/>
      <c r="W143" s="62"/>
      <c r="X143" s="64"/>
      <c r="Y143" s="64"/>
      <c r="Z143" s="62"/>
      <c r="AA143" s="62"/>
      <c r="AB143" s="62"/>
      <c r="AC143" s="62"/>
      <c r="AD143" s="71"/>
      <c r="AE143" s="62"/>
      <c r="AF143" s="62"/>
      <c r="AG143" s="71"/>
      <c r="AH143" s="62"/>
      <c r="AI143" s="62"/>
      <c r="AJ143" s="62"/>
      <c r="AK143" s="62"/>
      <c r="AL143" s="62"/>
      <c r="AM143" s="62"/>
      <c r="AN143" s="69"/>
      <c r="AO143" s="69"/>
      <c r="AP143" s="70"/>
      <c r="AQ143" s="62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2"/>
      <c r="BE143" s="69"/>
      <c r="BF143" s="70"/>
      <c r="BG143" s="62"/>
      <c r="BH143" s="64"/>
      <c r="BI143" s="64"/>
    </row>
    <row r="144" spans="1:61">
      <c r="A144" s="62"/>
      <c r="B144" s="62"/>
      <c r="C144" s="62"/>
      <c r="D144" s="62"/>
      <c r="E144" s="69"/>
      <c r="F144" s="69"/>
      <c r="G144" s="62"/>
      <c r="H144" s="68"/>
      <c r="I144" s="62"/>
      <c r="J144" s="68"/>
      <c r="K144" s="62"/>
      <c r="L144" s="62"/>
      <c r="M144" s="62"/>
      <c r="N144" s="62"/>
      <c r="O144" s="62"/>
      <c r="P144" s="69"/>
      <c r="Q144" s="62"/>
      <c r="R144" s="62"/>
      <c r="S144" s="63"/>
      <c r="T144" s="62"/>
      <c r="U144" s="62"/>
      <c r="V144" s="62"/>
      <c r="W144" s="62"/>
      <c r="X144" s="64"/>
      <c r="Y144" s="64"/>
      <c r="Z144" s="62"/>
      <c r="AA144" s="62"/>
      <c r="AB144" s="62"/>
      <c r="AC144" s="62"/>
      <c r="AD144" s="71"/>
      <c r="AE144" s="62"/>
      <c r="AF144" s="62"/>
      <c r="AG144" s="71"/>
      <c r="AH144" s="62"/>
      <c r="AI144" s="62"/>
      <c r="AJ144" s="62"/>
      <c r="AK144" s="62"/>
      <c r="AL144" s="62"/>
      <c r="AM144" s="62"/>
      <c r="AN144" s="69"/>
      <c r="AO144" s="69"/>
      <c r="AP144" s="70"/>
      <c r="AQ144" s="62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2"/>
      <c r="BE144" s="69"/>
      <c r="BF144" s="70"/>
      <c r="BG144" s="62"/>
      <c r="BH144" s="64"/>
      <c r="BI144" s="64"/>
    </row>
    <row r="145" spans="1:61">
      <c r="A145" s="62"/>
      <c r="B145" s="62"/>
      <c r="C145" s="62"/>
      <c r="D145" s="62"/>
      <c r="E145" s="69"/>
      <c r="F145" s="69"/>
      <c r="G145" s="62"/>
      <c r="H145" s="68"/>
      <c r="I145" s="62"/>
      <c r="J145" s="68"/>
      <c r="K145" s="62"/>
      <c r="L145" s="62"/>
      <c r="M145" s="62"/>
      <c r="N145" s="62"/>
      <c r="O145" s="62"/>
      <c r="P145" s="69"/>
      <c r="Q145" s="62"/>
      <c r="R145" s="62"/>
      <c r="S145" s="63"/>
      <c r="T145" s="62"/>
      <c r="U145" s="62"/>
      <c r="V145" s="62"/>
      <c r="W145" s="62"/>
      <c r="X145" s="64"/>
      <c r="Y145" s="64"/>
      <c r="Z145" s="62"/>
      <c r="AA145" s="62"/>
      <c r="AB145" s="62"/>
      <c r="AC145" s="62"/>
      <c r="AD145" s="71"/>
      <c r="AE145" s="62"/>
      <c r="AF145" s="62"/>
      <c r="AG145" s="71"/>
      <c r="AH145" s="62"/>
      <c r="AI145" s="62"/>
      <c r="AJ145" s="62"/>
      <c r="AK145" s="62"/>
      <c r="AL145" s="62"/>
      <c r="AM145" s="62"/>
      <c r="AN145" s="69"/>
      <c r="AO145" s="69"/>
      <c r="AP145" s="70"/>
      <c r="AQ145" s="62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2"/>
      <c r="BE145" s="69"/>
      <c r="BF145" s="70"/>
      <c r="BG145" s="62"/>
      <c r="BH145" s="64"/>
      <c r="BI145" s="64"/>
    </row>
    <row r="146" spans="1:61">
      <c r="A146" s="62"/>
      <c r="B146" s="62"/>
      <c r="C146" s="62"/>
      <c r="D146" s="62"/>
      <c r="E146" s="69"/>
      <c r="F146" s="69"/>
      <c r="G146" s="62"/>
      <c r="H146" s="68"/>
      <c r="I146" s="62"/>
      <c r="J146" s="68"/>
      <c r="K146" s="62"/>
      <c r="L146" s="62"/>
      <c r="M146" s="62"/>
      <c r="N146" s="62"/>
      <c r="O146" s="62"/>
      <c r="P146" s="69"/>
      <c r="Q146" s="62"/>
      <c r="R146" s="62"/>
      <c r="S146" s="63"/>
      <c r="T146" s="62"/>
      <c r="U146" s="62"/>
      <c r="V146" s="62"/>
      <c r="W146" s="62"/>
      <c r="X146" s="64"/>
      <c r="Y146" s="64"/>
      <c r="Z146" s="62"/>
      <c r="AA146" s="62"/>
      <c r="AB146" s="62"/>
      <c r="AC146" s="62"/>
      <c r="AD146" s="71"/>
      <c r="AE146" s="62"/>
      <c r="AF146" s="62"/>
      <c r="AG146" s="71"/>
      <c r="AH146" s="62"/>
      <c r="AI146" s="62"/>
      <c r="AJ146" s="62"/>
      <c r="AK146" s="62"/>
      <c r="AL146" s="62"/>
      <c r="AM146" s="62"/>
      <c r="AN146" s="69"/>
      <c r="AO146" s="69"/>
      <c r="AP146" s="70"/>
      <c r="AQ146" s="62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2"/>
      <c r="BE146" s="69"/>
      <c r="BF146" s="70"/>
      <c r="BG146" s="62"/>
      <c r="BH146" s="64"/>
      <c r="BI146" s="64"/>
    </row>
    <row r="147" spans="1:61">
      <c r="A147" s="62"/>
      <c r="B147" s="62"/>
      <c r="C147" s="62"/>
      <c r="D147" s="62"/>
      <c r="E147" s="69"/>
      <c r="F147" s="69"/>
      <c r="G147" s="62"/>
      <c r="H147" s="68"/>
      <c r="I147" s="62"/>
      <c r="J147" s="68"/>
      <c r="K147" s="62"/>
      <c r="L147" s="62"/>
      <c r="M147" s="62"/>
      <c r="N147" s="62"/>
      <c r="O147" s="62"/>
      <c r="P147" s="69"/>
      <c r="Q147" s="62"/>
      <c r="R147" s="62"/>
      <c r="S147" s="63"/>
      <c r="T147" s="62"/>
      <c r="U147" s="62"/>
      <c r="V147" s="62"/>
      <c r="W147" s="62"/>
      <c r="X147" s="64"/>
      <c r="Y147" s="64"/>
      <c r="Z147" s="62"/>
      <c r="AA147" s="62"/>
      <c r="AB147" s="62"/>
      <c r="AC147" s="62"/>
      <c r="AD147" s="71"/>
      <c r="AE147" s="62"/>
      <c r="AF147" s="62"/>
      <c r="AG147" s="71"/>
      <c r="AH147" s="62"/>
      <c r="AI147" s="62"/>
      <c r="AJ147" s="62"/>
      <c r="AK147" s="62"/>
      <c r="AL147" s="62"/>
      <c r="AM147" s="62"/>
      <c r="AN147" s="69"/>
      <c r="AO147" s="69"/>
      <c r="AP147" s="70"/>
      <c r="AQ147" s="62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2"/>
      <c r="BE147" s="69"/>
      <c r="BF147" s="70"/>
      <c r="BG147" s="62"/>
      <c r="BH147" s="64"/>
      <c r="BI147" s="64"/>
    </row>
    <row r="148" spans="1:61">
      <c r="A148" s="62"/>
      <c r="B148" s="62"/>
      <c r="C148" s="62"/>
      <c r="D148" s="62"/>
      <c r="E148" s="69"/>
      <c r="F148" s="69"/>
      <c r="G148" s="62"/>
      <c r="H148" s="68"/>
      <c r="I148" s="62"/>
      <c r="J148" s="68"/>
      <c r="K148" s="62"/>
      <c r="L148" s="62"/>
      <c r="M148" s="62"/>
      <c r="N148" s="62"/>
      <c r="O148" s="62"/>
      <c r="P148" s="69"/>
      <c r="Q148" s="62"/>
      <c r="R148" s="62"/>
      <c r="S148" s="63"/>
      <c r="T148" s="62"/>
      <c r="U148" s="62"/>
      <c r="V148" s="62"/>
      <c r="W148" s="62"/>
      <c r="X148" s="64"/>
      <c r="Y148" s="64"/>
      <c r="Z148" s="62"/>
      <c r="AA148" s="62"/>
      <c r="AB148" s="62"/>
      <c r="AC148" s="62"/>
      <c r="AD148" s="71"/>
      <c r="AE148" s="62"/>
      <c r="AF148" s="62"/>
      <c r="AG148" s="71"/>
      <c r="AH148" s="62"/>
      <c r="AI148" s="62"/>
      <c r="AJ148" s="62"/>
      <c r="AK148" s="62"/>
      <c r="AL148" s="62"/>
      <c r="AM148" s="62"/>
      <c r="AN148" s="69"/>
      <c r="AO148" s="69"/>
      <c r="AP148" s="70"/>
      <c r="AQ148" s="62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2"/>
      <c r="BE148" s="69"/>
      <c r="BF148" s="70"/>
      <c r="BG148" s="62"/>
      <c r="BH148" s="64"/>
      <c r="BI148" s="64"/>
    </row>
    <row r="149" spans="1:61">
      <c r="A149" s="62"/>
      <c r="B149" s="62"/>
      <c r="C149" s="62"/>
      <c r="D149" s="62"/>
      <c r="E149" s="69"/>
      <c r="F149" s="69"/>
      <c r="G149" s="62"/>
      <c r="H149" s="68"/>
      <c r="I149" s="62"/>
      <c r="J149" s="68"/>
      <c r="K149" s="62"/>
      <c r="L149" s="62"/>
      <c r="M149" s="62"/>
      <c r="N149" s="62"/>
      <c r="O149" s="62"/>
      <c r="P149" s="69"/>
      <c r="Q149" s="62"/>
      <c r="R149" s="62"/>
      <c r="S149" s="63"/>
      <c r="T149" s="62"/>
      <c r="U149" s="62"/>
      <c r="V149" s="62"/>
      <c r="W149" s="62"/>
      <c r="X149" s="64"/>
      <c r="Y149" s="64"/>
      <c r="Z149" s="62"/>
      <c r="AA149" s="62"/>
      <c r="AB149" s="62"/>
      <c r="AC149" s="62"/>
      <c r="AD149" s="71"/>
      <c r="AE149" s="62"/>
      <c r="AF149" s="62"/>
      <c r="AG149" s="71"/>
      <c r="AH149" s="62"/>
      <c r="AI149" s="62"/>
      <c r="AJ149" s="62"/>
      <c r="AK149" s="62"/>
      <c r="AL149" s="62"/>
      <c r="AM149" s="62"/>
      <c r="AN149" s="69"/>
      <c r="AO149" s="69"/>
      <c r="AP149" s="70"/>
      <c r="AQ149" s="62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2"/>
      <c r="BE149" s="69"/>
      <c r="BF149" s="70"/>
      <c r="BG149" s="62"/>
      <c r="BH149" s="64"/>
      <c r="BI149" s="64"/>
    </row>
    <row r="150" spans="1:61">
      <c r="A150" s="62"/>
      <c r="B150" s="62"/>
      <c r="C150" s="62"/>
      <c r="D150" s="62"/>
      <c r="E150" s="69"/>
      <c r="F150" s="69"/>
      <c r="G150" s="62"/>
      <c r="H150" s="68"/>
      <c r="I150" s="62"/>
      <c r="J150" s="68"/>
      <c r="K150" s="62"/>
      <c r="L150" s="62"/>
      <c r="M150" s="62"/>
      <c r="N150" s="62"/>
      <c r="O150" s="62"/>
      <c r="P150" s="69"/>
      <c r="Q150" s="62"/>
      <c r="R150" s="62"/>
      <c r="S150" s="63"/>
      <c r="T150" s="62"/>
      <c r="U150" s="62"/>
      <c r="V150" s="62"/>
      <c r="W150" s="62"/>
      <c r="X150" s="64"/>
      <c r="Y150" s="64"/>
      <c r="Z150" s="62"/>
      <c r="AA150" s="62"/>
      <c r="AB150" s="62"/>
      <c r="AC150" s="62"/>
      <c r="AD150" s="71"/>
      <c r="AE150" s="62"/>
      <c r="AF150" s="62"/>
      <c r="AG150" s="71"/>
      <c r="AH150" s="62"/>
      <c r="AI150" s="62"/>
      <c r="AJ150" s="62"/>
      <c r="AK150" s="62"/>
      <c r="AL150" s="62"/>
      <c r="AM150" s="62"/>
      <c r="AN150" s="69"/>
      <c r="AO150" s="69"/>
      <c r="AP150" s="70"/>
      <c r="AQ150" s="62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2"/>
      <c r="BE150" s="69"/>
      <c r="BF150" s="70"/>
      <c r="BG150" s="62"/>
      <c r="BH150" s="64"/>
      <c r="BI150" s="64"/>
    </row>
    <row r="151" spans="1:61">
      <c r="A151" s="62"/>
      <c r="B151" s="62"/>
      <c r="C151" s="62"/>
      <c r="D151" s="62"/>
      <c r="E151" s="69"/>
      <c r="F151" s="69"/>
      <c r="G151" s="62"/>
      <c r="H151" s="68"/>
      <c r="I151" s="62"/>
      <c r="J151" s="68"/>
      <c r="K151" s="62"/>
      <c r="L151" s="62"/>
      <c r="M151" s="62"/>
      <c r="N151" s="62"/>
      <c r="O151" s="62"/>
      <c r="P151" s="69"/>
      <c r="Q151" s="62"/>
      <c r="R151" s="62"/>
      <c r="S151" s="63"/>
      <c r="T151" s="62"/>
      <c r="U151" s="62"/>
      <c r="V151" s="62"/>
      <c r="W151" s="62"/>
      <c r="X151" s="64"/>
      <c r="Y151" s="64"/>
      <c r="Z151" s="62"/>
      <c r="AA151" s="62"/>
      <c r="AB151" s="62"/>
      <c r="AC151" s="62"/>
      <c r="AD151" s="71"/>
      <c r="AE151" s="62"/>
      <c r="AF151" s="62"/>
      <c r="AG151" s="71"/>
      <c r="AH151" s="62"/>
      <c r="AI151" s="62"/>
      <c r="AJ151" s="62"/>
      <c r="AK151" s="62"/>
      <c r="AL151" s="62"/>
      <c r="AM151" s="62"/>
      <c r="AN151" s="69"/>
      <c r="AO151" s="69"/>
      <c r="AP151" s="70"/>
      <c r="AQ151" s="62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2"/>
      <c r="BE151" s="69"/>
      <c r="BF151" s="70"/>
      <c r="BG151" s="62"/>
      <c r="BH151" s="64"/>
      <c r="BI151" s="64"/>
    </row>
    <row r="152" spans="1:61">
      <c r="A152" s="62"/>
      <c r="B152" s="62"/>
      <c r="C152" s="62"/>
      <c r="D152" s="62"/>
      <c r="E152" s="69"/>
      <c r="F152" s="69"/>
      <c r="G152" s="62"/>
      <c r="H152" s="68"/>
      <c r="I152" s="62"/>
      <c r="J152" s="68"/>
      <c r="K152" s="62"/>
      <c r="L152" s="62"/>
      <c r="M152" s="62"/>
      <c r="N152" s="62"/>
      <c r="O152" s="62"/>
      <c r="P152" s="69"/>
      <c r="Q152" s="62"/>
      <c r="R152" s="62"/>
      <c r="S152" s="63"/>
      <c r="T152" s="62"/>
      <c r="U152" s="62"/>
      <c r="V152" s="62"/>
      <c r="W152" s="62"/>
      <c r="X152" s="64"/>
      <c r="Y152" s="64"/>
      <c r="Z152" s="62"/>
      <c r="AA152" s="62"/>
      <c r="AB152" s="62"/>
      <c r="AC152" s="62"/>
      <c r="AD152" s="71"/>
      <c r="AE152" s="62"/>
      <c r="AF152" s="62"/>
      <c r="AG152" s="71"/>
      <c r="AH152" s="62"/>
      <c r="AI152" s="62"/>
      <c r="AJ152" s="62"/>
      <c r="AK152" s="62"/>
      <c r="AL152" s="62"/>
      <c r="AM152" s="62"/>
      <c r="AN152" s="69"/>
      <c r="AO152" s="69"/>
      <c r="AP152" s="70"/>
      <c r="AQ152" s="62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2"/>
      <c r="BE152" s="69"/>
      <c r="BF152" s="70"/>
      <c r="BG152" s="62"/>
      <c r="BH152" s="64"/>
      <c r="BI152" s="64"/>
    </row>
    <row r="153" spans="1:61">
      <c r="A153" s="62"/>
      <c r="B153" s="62"/>
      <c r="C153" s="62"/>
      <c r="D153" s="62"/>
      <c r="E153" s="69"/>
      <c r="F153" s="69"/>
      <c r="G153" s="62"/>
      <c r="H153" s="68"/>
      <c r="I153" s="62"/>
      <c r="J153" s="68"/>
      <c r="K153" s="62"/>
      <c r="L153" s="62"/>
      <c r="M153" s="62"/>
      <c r="N153" s="62"/>
      <c r="O153" s="62"/>
      <c r="P153" s="69"/>
      <c r="Q153" s="62"/>
      <c r="R153" s="62"/>
      <c r="S153" s="63"/>
      <c r="T153" s="62"/>
      <c r="U153" s="62"/>
      <c r="V153" s="62"/>
      <c r="W153" s="62"/>
      <c r="X153" s="64"/>
      <c r="Y153" s="64"/>
      <c r="Z153" s="62"/>
      <c r="AA153" s="62"/>
      <c r="AB153" s="62"/>
      <c r="AC153" s="62"/>
      <c r="AD153" s="71"/>
      <c r="AE153" s="62"/>
      <c r="AF153" s="62"/>
      <c r="AG153" s="71"/>
      <c r="AH153" s="62"/>
      <c r="AI153" s="62"/>
      <c r="AJ153" s="62"/>
      <c r="AK153" s="62"/>
      <c r="AL153" s="62"/>
      <c r="AM153" s="62"/>
      <c r="AN153" s="69"/>
      <c r="AO153" s="69"/>
      <c r="AP153" s="70"/>
      <c r="AQ153" s="62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2"/>
      <c r="BE153" s="69"/>
      <c r="BF153" s="70"/>
      <c r="BG153" s="62"/>
      <c r="BH153" s="64"/>
      <c r="BI153" s="64"/>
    </row>
    <row r="154" spans="1:61">
      <c r="A154" s="62"/>
      <c r="B154" s="62"/>
      <c r="C154" s="62"/>
      <c r="D154" s="62"/>
      <c r="E154" s="69"/>
      <c r="F154" s="69"/>
      <c r="G154" s="62"/>
      <c r="H154" s="68"/>
      <c r="I154" s="62"/>
      <c r="J154" s="68"/>
      <c r="K154" s="62"/>
      <c r="L154" s="62"/>
      <c r="M154" s="62"/>
      <c r="N154" s="62"/>
      <c r="O154" s="62"/>
      <c r="P154" s="69"/>
      <c r="Q154" s="62"/>
      <c r="R154" s="62"/>
      <c r="S154" s="63"/>
      <c r="T154" s="62"/>
      <c r="U154" s="62"/>
      <c r="V154" s="62"/>
      <c r="W154" s="62"/>
      <c r="X154" s="64"/>
      <c r="Y154" s="64"/>
      <c r="Z154" s="62"/>
      <c r="AA154" s="62"/>
      <c r="AB154" s="62"/>
      <c r="AC154" s="62"/>
      <c r="AD154" s="71"/>
      <c r="AE154" s="62"/>
      <c r="AF154" s="62"/>
      <c r="AG154" s="71"/>
      <c r="AH154" s="62"/>
      <c r="AI154" s="62"/>
      <c r="AJ154" s="62"/>
      <c r="AK154" s="62"/>
      <c r="AL154" s="62"/>
      <c r="AM154" s="62"/>
      <c r="AN154" s="69"/>
      <c r="AO154" s="69"/>
      <c r="AP154" s="70"/>
      <c r="AQ154" s="62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2"/>
      <c r="BE154" s="69"/>
      <c r="BF154" s="70"/>
      <c r="BG154" s="62"/>
      <c r="BH154" s="64"/>
      <c r="BI154" s="64"/>
    </row>
    <row r="155" spans="1:61">
      <c r="A155" s="62"/>
      <c r="B155" s="62"/>
      <c r="C155" s="62"/>
      <c r="D155" s="62"/>
      <c r="E155" s="69"/>
      <c r="F155" s="69"/>
      <c r="G155" s="62"/>
      <c r="H155" s="68"/>
      <c r="I155" s="62"/>
      <c r="J155" s="68"/>
      <c r="K155" s="62"/>
      <c r="L155" s="62"/>
      <c r="M155" s="62"/>
      <c r="N155" s="62"/>
      <c r="O155" s="62"/>
      <c r="P155" s="69"/>
      <c r="Q155" s="62"/>
      <c r="R155" s="62"/>
      <c r="S155" s="63"/>
      <c r="T155" s="62"/>
      <c r="U155" s="62"/>
      <c r="V155" s="62"/>
      <c r="W155" s="62"/>
      <c r="X155" s="64"/>
      <c r="Y155" s="64"/>
      <c r="Z155" s="62"/>
      <c r="AA155" s="62"/>
      <c r="AB155" s="62"/>
      <c r="AC155" s="62"/>
      <c r="AD155" s="71"/>
      <c r="AE155" s="62"/>
      <c r="AF155" s="62"/>
      <c r="AG155" s="71"/>
      <c r="AH155" s="62"/>
      <c r="AI155" s="62"/>
      <c r="AJ155" s="62"/>
      <c r="AK155" s="62"/>
      <c r="AL155" s="62"/>
      <c r="AM155" s="62"/>
      <c r="AN155" s="69"/>
      <c r="AO155" s="69"/>
      <c r="AP155" s="70"/>
      <c r="AQ155" s="62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2"/>
      <c r="BE155" s="69"/>
      <c r="BF155" s="70"/>
      <c r="BG155" s="62"/>
      <c r="BH155" s="64"/>
      <c r="BI155" s="64"/>
    </row>
    <row r="156" spans="1:61">
      <c r="A156" s="62"/>
      <c r="B156" s="62"/>
      <c r="C156" s="62"/>
      <c r="D156" s="62"/>
      <c r="E156" s="69"/>
      <c r="F156" s="69"/>
      <c r="G156" s="62"/>
      <c r="H156" s="68"/>
      <c r="I156" s="62"/>
      <c r="J156" s="68"/>
      <c r="K156" s="62"/>
      <c r="L156" s="62"/>
      <c r="M156" s="62"/>
      <c r="N156" s="62"/>
      <c r="O156" s="62"/>
      <c r="P156" s="69"/>
      <c r="Q156" s="62"/>
      <c r="R156" s="62"/>
      <c r="S156" s="63"/>
      <c r="T156" s="62"/>
      <c r="U156" s="62"/>
      <c r="V156" s="62"/>
      <c r="W156" s="62"/>
      <c r="X156" s="64"/>
      <c r="Y156" s="64"/>
      <c r="Z156" s="62"/>
      <c r="AA156" s="62"/>
      <c r="AB156" s="62"/>
      <c r="AC156" s="62"/>
      <c r="AD156" s="71"/>
      <c r="AE156" s="62"/>
      <c r="AF156" s="62"/>
      <c r="AG156" s="71"/>
      <c r="AH156" s="62"/>
      <c r="AI156" s="62"/>
      <c r="AJ156" s="62"/>
      <c r="AK156" s="62"/>
      <c r="AL156" s="62"/>
      <c r="AM156" s="62"/>
      <c r="AN156" s="69"/>
      <c r="AO156" s="69"/>
      <c r="AP156" s="70"/>
      <c r="AQ156" s="62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2"/>
      <c r="BE156" s="69"/>
      <c r="BF156" s="70"/>
      <c r="BG156" s="62"/>
      <c r="BH156" s="64"/>
      <c r="BI156" s="64"/>
    </row>
    <row r="157" spans="1:61">
      <c r="A157" s="62"/>
      <c r="B157" s="62"/>
      <c r="C157" s="62"/>
      <c r="D157" s="62"/>
      <c r="E157" s="69"/>
      <c r="F157" s="69"/>
      <c r="G157" s="62"/>
      <c r="H157" s="68"/>
      <c r="I157" s="62"/>
      <c r="J157" s="68"/>
      <c r="K157" s="62"/>
      <c r="L157" s="62"/>
      <c r="M157" s="62"/>
      <c r="N157" s="62"/>
      <c r="O157" s="62"/>
      <c r="P157" s="69"/>
      <c r="Q157" s="62"/>
      <c r="R157" s="62"/>
      <c r="S157" s="63"/>
      <c r="T157" s="62"/>
      <c r="U157" s="62"/>
      <c r="V157" s="62"/>
      <c r="W157" s="62"/>
      <c r="X157" s="64"/>
      <c r="Y157" s="64"/>
      <c r="Z157" s="62"/>
      <c r="AA157" s="62"/>
      <c r="AB157" s="62"/>
      <c r="AC157" s="62"/>
      <c r="AD157" s="71"/>
      <c r="AE157" s="62"/>
      <c r="AF157" s="62"/>
      <c r="AG157" s="71"/>
      <c r="AH157" s="62"/>
      <c r="AI157" s="62"/>
      <c r="AJ157" s="62"/>
      <c r="AK157" s="62"/>
      <c r="AL157" s="62"/>
      <c r="AM157" s="62"/>
      <c r="AN157" s="69"/>
      <c r="AO157" s="69"/>
      <c r="AP157" s="70"/>
      <c r="AQ157" s="62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2"/>
      <c r="BE157" s="69"/>
      <c r="BF157" s="70"/>
      <c r="BG157" s="62"/>
      <c r="BH157" s="64"/>
      <c r="BI157" s="64"/>
    </row>
    <row r="158" spans="1:61">
      <c r="A158" s="62"/>
      <c r="B158" s="62"/>
      <c r="C158" s="62"/>
      <c r="D158" s="62"/>
      <c r="E158" s="69"/>
      <c r="F158" s="69"/>
      <c r="G158" s="62"/>
      <c r="H158" s="68"/>
      <c r="I158" s="62"/>
      <c r="J158" s="68"/>
      <c r="K158" s="62"/>
      <c r="L158" s="62"/>
      <c r="M158" s="62"/>
      <c r="N158" s="62"/>
      <c r="O158" s="62"/>
      <c r="P158" s="69"/>
      <c r="Q158" s="62"/>
      <c r="R158" s="62"/>
      <c r="S158" s="63"/>
      <c r="T158" s="62"/>
      <c r="U158" s="62"/>
      <c r="V158" s="62"/>
      <c r="W158" s="62"/>
      <c r="X158" s="64"/>
      <c r="Y158" s="64"/>
      <c r="Z158" s="62"/>
      <c r="AA158" s="62"/>
      <c r="AB158" s="62"/>
      <c r="AC158" s="62"/>
      <c r="AD158" s="71"/>
      <c r="AE158" s="62"/>
      <c r="AF158" s="62"/>
      <c r="AG158" s="71"/>
      <c r="AH158" s="62"/>
      <c r="AI158" s="62"/>
      <c r="AJ158" s="62"/>
      <c r="AK158" s="62"/>
      <c r="AL158" s="62"/>
      <c r="AM158" s="62"/>
      <c r="AN158" s="69"/>
      <c r="AO158" s="69"/>
      <c r="AP158" s="70"/>
      <c r="AQ158" s="62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2"/>
      <c r="BE158" s="69"/>
      <c r="BF158" s="70"/>
      <c r="BG158" s="62"/>
      <c r="BH158" s="64"/>
      <c r="BI158" s="64"/>
    </row>
    <row r="159" spans="1:61">
      <c r="A159" s="62"/>
      <c r="B159" s="62"/>
      <c r="C159" s="62"/>
      <c r="D159" s="62"/>
      <c r="E159" s="69"/>
      <c r="F159" s="69"/>
      <c r="G159" s="62"/>
      <c r="H159" s="68"/>
      <c r="I159" s="62"/>
      <c r="J159" s="68"/>
      <c r="K159" s="62"/>
      <c r="L159" s="62"/>
      <c r="M159" s="62"/>
      <c r="N159" s="62"/>
      <c r="O159" s="62"/>
      <c r="P159" s="69"/>
      <c r="Q159" s="62"/>
      <c r="R159" s="62"/>
      <c r="S159" s="63"/>
      <c r="T159" s="62"/>
      <c r="U159" s="62"/>
      <c r="V159" s="62"/>
      <c r="W159" s="62"/>
      <c r="X159" s="64"/>
      <c r="Y159" s="64"/>
      <c r="Z159" s="62"/>
      <c r="AA159" s="62"/>
      <c r="AB159" s="62"/>
      <c r="AC159" s="62"/>
      <c r="AD159" s="71"/>
      <c r="AE159" s="62"/>
      <c r="AF159" s="62"/>
      <c r="AG159" s="71"/>
      <c r="AH159" s="62"/>
      <c r="AI159" s="62"/>
      <c r="AJ159" s="62"/>
      <c r="AK159" s="62"/>
      <c r="AL159" s="62"/>
      <c r="AM159" s="62"/>
      <c r="AN159" s="69"/>
      <c r="AO159" s="69"/>
      <c r="AP159" s="70"/>
      <c r="AQ159" s="62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2"/>
      <c r="BE159" s="69"/>
      <c r="BF159" s="70"/>
      <c r="BG159" s="62"/>
      <c r="BH159" s="64"/>
      <c r="BI159" s="64"/>
    </row>
    <row r="160" spans="1:61">
      <c r="A160" s="62"/>
      <c r="B160" s="62"/>
      <c r="C160" s="62"/>
      <c r="D160" s="62"/>
      <c r="E160" s="69"/>
      <c r="F160" s="69"/>
      <c r="G160" s="62"/>
      <c r="H160" s="68"/>
      <c r="I160" s="62"/>
      <c r="J160" s="68"/>
      <c r="K160" s="62"/>
      <c r="L160" s="62"/>
      <c r="M160" s="62"/>
      <c r="N160" s="62"/>
      <c r="O160" s="62"/>
      <c r="P160" s="69"/>
      <c r="Q160" s="62"/>
      <c r="R160" s="62"/>
      <c r="S160" s="63"/>
      <c r="T160" s="62"/>
      <c r="U160" s="62"/>
      <c r="V160" s="62"/>
      <c r="W160" s="62"/>
      <c r="X160" s="64"/>
      <c r="Y160" s="64"/>
      <c r="Z160" s="62"/>
      <c r="AA160" s="62"/>
      <c r="AB160" s="62"/>
      <c r="AC160" s="62"/>
      <c r="AD160" s="71"/>
      <c r="AE160" s="62"/>
      <c r="AF160" s="62"/>
      <c r="AG160" s="71"/>
      <c r="AH160" s="62"/>
      <c r="AI160" s="62"/>
      <c r="AJ160" s="62"/>
      <c r="AK160" s="62"/>
      <c r="AL160" s="62"/>
      <c r="AM160" s="62"/>
      <c r="AN160" s="69"/>
      <c r="AO160" s="69"/>
      <c r="AP160" s="70"/>
      <c r="AQ160" s="62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2"/>
      <c r="BE160" s="69"/>
      <c r="BF160" s="70"/>
      <c r="BG160" s="62"/>
      <c r="BH160" s="64"/>
      <c r="BI160" s="64"/>
    </row>
    <row r="161" spans="1:61">
      <c r="A161" s="62"/>
      <c r="B161" s="62"/>
      <c r="C161" s="62"/>
      <c r="D161" s="62"/>
      <c r="E161" s="69"/>
      <c r="F161" s="69"/>
      <c r="G161" s="62"/>
      <c r="H161" s="68"/>
      <c r="I161" s="62"/>
      <c r="J161" s="68"/>
      <c r="K161" s="62"/>
      <c r="L161" s="62"/>
      <c r="M161" s="62"/>
      <c r="N161" s="62"/>
      <c r="O161" s="62"/>
      <c r="P161" s="69"/>
      <c r="Q161" s="62"/>
      <c r="R161" s="62"/>
      <c r="S161" s="63"/>
      <c r="T161" s="62"/>
      <c r="U161" s="62"/>
      <c r="V161" s="62"/>
      <c r="W161" s="62"/>
      <c r="X161" s="64"/>
      <c r="Y161" s="64"/>
      <c r="Z161" s="62"/>
      <c r="AA161" s="62"/>
      <c r="AB161" s="62"/>
      <c r="AC161" s="62"/>
      <c r="AD161" s="71"/>
      <c r="AE161" s="62"/>
      <c r="AF161" s="62"/>
      <c r="AG161" s="71"/>
      <c r="AH161" s="62"/>
      <c r="AI161" s="62"/>
      <c r="AJ161" s="62"/>
      <c r="AK161" s="62"/>
      <c r="AL161" s="62"/>
      <c r="AM161" s="62"/>
      <c r="AN161" s="69"/>
      <c r="AO161" s="69"/>
      <c r="AP161" s="70"/>
      <c r="AQ161" s="62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2"/>
      <c r="BE161" s="69"/>
      <c r="BF161" s="70"/>
      <c r="BG161" s="62"/>
      <c r="BH161" s="64"/>
      <c r="BI161" s="64"/>
    </row>
    <row r="162" spans="1:61">
      <c r="A162" s="62"/>
      <c r="B162" s="62"/>
      <c r="C162" s="62"/>
      <c r="D162" s="62"/>
      <c r="E162" s="69"/>
      <c r="F162" s="69"/>
      <c r="G162" s="62"/>
      <c r="H162" s="68"/>
      <c r="I162" s="62"/>
      <c r="J162" s="68"/>
      <c r="K162" s="62"/>
      <c r="L162" s="62"/>
      <c r="M162" s="62"/>
      <c r="N162" s="62"/>
      <c r="O162" s="62"/>
      <c r="P162" s="69"/>
      <c r="Q162" s="62"/>
      <c r="R162" s="62"/>
      <c r="S162" s="63"/>
      <c r="T162" s="62"/>
      <c r="U162" s="62"/>
      <c r="V162" s="62"/>
      <c r="W162" s="62"/>
      <c r="X162" s="64"/>
      <c r="Y162" s="64"/>
      <c r="Z162" s="62"/>
      <c r="AA162" s="62"/>
      <c r="AB162" s="62"/>
      <c r="AC162" s="62"/>
      <c r="AD162" s="71"/>
      <c r="AE162" s="62"/>
      <c r="AF162" s="62"/>
      <c r="AG162" s="71"/>
      <c r="AH162" s="62"/>
      <c r="AI162" s="62"/>
      <c r="AJ162" s="62"/>
      <c r="AK162" s="62"/>
      <c r="AL162" s="62"/>
      <c r="AM162" s="62"/>
      <c r="AN162" s="69"/>
      <c r="AO162" s="69"/>
      <c r="AP162" s="70"/>
      <c r="AQ162" s="62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2"/>
      <c r="BE162" s="69"/>
      <c r="BF162" s="70"/>
      <c r="BG162" s="62"/>
      <c r="BH162" s="64"/>
      <c r="BI162" s="64"/>
    </row>
    <row r="163" spans="1:61">
      <c r="A163" s="62"/>
      <c r="B163" s="62"/>
      <c r="C163" s="62"/>
      <c r="D163" s="62"/>
      <c r="E163" s="69"/>
      <c r="F163" s="69"/>
      <c r="G163" s="62"/>
      <c r="H163" s="68"/>
      <c r="I163" s="62"/>
      <c r="J163" s="68"/>
      <c r="K163" s="62"/>
      <c r="L163" s="62"/>
      <c r="M163" s="62"/>
      <c r="N163" s="62"/>
      <c r="O163" s="62"/>
      <c r="P163" s="69"/>
      <c r="Q163" s="62"/>
      <c r="R163" s="62"/>
      <c r="S163" s="63"/>
      <c r="T163" s="62"/>
      <c r="U163" s="62"/>
      <c r="V163" s="62"/>
      <c r="W163" s="62"/>
      <c r="X163" s="64"/>
      <c r="Y163" s="64"/>
      <c r="Z163" s="62"/>
      <c r="AA163" s="62"/>
      <c r="AB163" s="62"/>
      <c r="AC163" s="62"/>
      <c r="AD163" s="71"/>
      <c r="AE163" s="62"/>
      <c r="AF163" s="62"/>
      <c r="AG163" s="71"/>
      <c r="AH163" s="62"/>
      <c r="AI163" s="62"/>
      <c r="AJ163" s="62"/>
      <c r="AK163" s="62"/>
      <c r="AL163" s="62"/>
      <c r="AM163" s="62"/>
      <c r="AN163" s="69"/>
      <c r="AO163" s="69"/>
      <c r="AP163" s="70"/>
      <c r="AQ163" s="62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2"/>
      <c r="BE163" s="69"/>
      <c r="BF163" s="70"/>
      <c r="BG163" s="62"/>
      <c r="BH163" s="64"/>
      <c r="BI163" s="64"/>
    </row>
    <row r="164" spans="1:61">
      <c r="A164" s="62"/>
      <c r="B164" s="62"/>
      <c r="C164" s="62"/>
      <c r="D164" s="62"/>
      <c r="E164" s="69"/>
      <c r="F164" s="69"/>
      <c r="G164" s="62"/>
      <c r="H164" s="68"/>
      <c r="I164" s="62"/>
      <c r="J164" s="68"/>
      <c r="K164" s="62"/>
      <c r="L164" s="62"/>
      <c r="M164" s="62"/>
      <c r="N164" s="62"/>
      <c r="O164" s="62"/>
      <c r="P164" s="69"/>
      <c r="Q164" s="62"/>
      <c r="R164" s="62"/>
      <c r="S164" s="63"/>
      <c r="T164" s="62"/>
      <c r="U164" s="62"/>
      <c r="V164" s="62"/>
      <c r="W164" s="62"/>
      <c r="X164" s="64"/>
      <c r="Y164" s="64"/>
      <c r="Z164" s="62"/>
      <c r="AA164" s="62"/>
      <c r="AB164" s="62"/>
      <c r="AC164" s="62"/>
      <c r="AD164" s="71"/>
      <c r="AE164" s="62"/>
      <c r="AF164" s="62"/>
      <c r="AG164" s="71"/>
      <c r="AH164" s="62"/>
      <c r="AI164" s="62"/>
      <c r="AJ164" s="62"/>
      <c r="AK164" s="62"/>
      <c r="AL164" s="62"/>
      <c r="AM164" s="62"/>
      <c r="AN164" s="69"/>
      <c r="AO164" s="69"/>
      <c r="AP164" s="70"/>
      <c r="AQ164" s="62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2"/>
      <c r="BE164" s="69"/>
      <c r="BF164" s="70"/>
      <c r="BG164" s="62"/>
      <c r="BH164" s="64"/>
      <c r="BI164" s="64"/>
    </row>
    <row r="165" spans="1:61">
      <c r="A165" s="62"/>
      <c r="B165" s="62"/>
      <c r="C165" s="62"/>
      <c r="D165" s="62"/>
      <c r="E165" s="69"/>
      <c r="F165" s="69"/>
      <c r="G165" s="62"/>
      <c r="H165" s="68"/>
      <c r="I165" s="62"/>
      <c r="J165" s="68"/>
      <c r="K165" s="62"/>
      <c r="L165" s="62"/>
      <c r="M165" s="62"/>
      <c r="N165" s="62"/>
      <c r="O165" s="62"/>
      <c r="P165" s="69"/>
      <c r="Q165" s="62"/>
      <c r="R165" s="62"/>
      <c r="S165" s="63"/>
      <c r="T165" s="62"/>
      <c r="U165" s="62"/>
      <c r="V165" s="62"/>
      <c r="W165" s="62"/>
      <c r="X165" s="64"/>
      <c r="Y165" s="64"/>
      <c r="Z165" s="62"/>
      <c r="AA165" s="62"/>
      <c r="AB165" s="62"/>
      <c r="AC165" s="62"/>
      <c r="AD165" s="71"/>
      <c r="AE165" s="62"/>
      <c r="AF165" s="62"/>
      <c r="AG165" s="71"/>
      <c r="AH165" s="62"/>
      <c r="AI165" s="62"/>
      <c r="AJ165" s="62"/>
      <c r="AK165" s="62"/>
      <c r="AL165" s="62"/>
      <c r="AM165" s="62"/>
      <c r="AN165" s="69"/>
      <c r="AO165" s="69"/>
      <c r="AP165" s="70"/>
      <c r="AQ165" s="62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2"/>
      <c r="BE165" s="69"/>
      <c r="BF165" s="70"/>
      <c r="BG165" s="62"/>
      <c r="BH165" s="64"/>
      <c r="BI165" s="64"/>
    </row>
    <row r="166" spans="1:61">
      <c r="A166" s="62"/>
      <c r="B166" s="62"/>
      <c r="C166" s="62"/>
      <c r="D166" s="62"/>
      <c r="E166" s="69"/>
      <c r="F166" s="69"/>
      <c r="G166" s="62"/>
      <c r="H166" s="68"/>
      <c r="I166" s="62"/>
      <c r="J166" s="68"/>
      <c r="K166" s="62"/>
      <c r="L166" s="62"/>
      <c r="M166" s="62"/>
      <c r="N166" s="62"/>
      <c r="O166" s="62"/>
      <c r="P166" s="69"/>
      <c r="Q166" s="62"/>
      <c r="R166" s="62"/>
      <c r="S166" s="63"/>
      <c r="T166" s="62"/>
      <c r="U166" s="62"/>
      <c r="V166" s="62"/>
      <c r="W166" s="62"/>
      <c r="X166" s="64"/>
      <c r="Y166" s="64"/>
      <c r="Z166" s="62"/>
      <c r="AA166" s="62"/>
      <c r="AB166" s="62"/>
      <c r="AC166" s="62"/>
      <c r="AD166" s="71"/>
      <c r="AE166" s="62"/>
      <c r="AF166" s="62"/>
      <c r="AG166" s="71"/>
      <c r="AH166" s="62"/>
      <c r="AI166" s="62"/>
      <c r="AJ166" s="62"/>
      <c r="AK166" s="62"/>
      <c r="AL166" s="62"/>
      <c r="AM166" s="62"/>
      <c r="AN166" s="69"/>
      <c r="AO166" s="69"/>
      <c r="AP166" s="70"/>
      <c r="AQ166" s="62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2"/>
      <c r="BE166" s="69"/>
      <c r="BF166" s="70"/>
      <c r="BG166" s="62"/>
      <c r="BH166" s="64"/>
      <c r="BI166" s="64"/>
    </row>
    <row r="167" spans="1:61">
      <c r="A167" s="62"/>
      <c r="B167" s="62"/>
      <c r="C167" s="62"/>
      <c r="D167" s="62"/>
      <c r="E167" s="69"/>
      <c r="F167" s="69"/>
      <c r="G167" s="62"/>
      <c r="H167" s="68"/>
      <c r="I167" s="62"/>
      <c r="J167" s="68"/>
      <c r="K167" s="62"/>
      <c r="L167" s="62"/>
      <c r="M167" s="62"/>
      <c r="N167" s="62"/>
      <c r="O167" s="62"/>
      <c r="P167" s="69"/>
      <c r="Q167" s="62"/>
      <c r="R167" s="62"/>
      <c r="S167" s="63"/>
      <c r="T167" s="62"/>
      <c r="U167" s="62"/>
      <c r="V167" s="62"/>
      <c r="W167" s="62"/>
      <c r="X167" s="64"/>
      <c r="Y167" s="64"/>
      <c r="Z167" s="62"/>
      <c r="AA167" s="62"/>
      <c r="AB167" s="62"/>
      <c r="AC167" s="62"/>
      <c r="AD167" s="71"/>
      <c r="AE167" s="62"/>
      <c r="AF167" s="62"/>
      <c r="AG167" s="71"/>
      <c r="AH167" s="62"/>
      <c r="AI167" s="62"/>
      <c r="AJ167" s="62"/>
      <c r="AK167" s="62"/>
      <c r="AL167" s="62"/>
      <c r="AM167" s="62"/>
      <c r="AN167" s="69"/>
      <c r="AO167" s="69"/>
      <c r="AP167" s="70"/>
      <c r="AQ167" s="62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2"/>
      <c r="BE167" s="69"/>
      <c r="BF167" s="70"/>
      <c r="BG167" s="62"/>
      <c r="BH167" s="64"/>
      <c r="BI167" s="64"/>
    </row>
    <row r="168" spans="1:61">
      <c r="A168" s="62"/>
      <c r="B168" s="62"/>
      <c r="C168" s="62"/>
      <c r="D168" s="62"/>
      <c r="E168" s="69"/>
      <c r="F168" s="69"/>
      <c r="G168" s="62"/>
      <c r="H168" s="68"/>
      <c r="I168" s="62"/>
      <c r="J168" s="68"/>
      <c r="K168" s="62"/>
      <c r="L168" s="62"/>
      <c r="M168" s="62"/>
      <c r="N168" s="62"/>
      <c r="O168" s="62"/>
      <c r="P168" s="69"/>
      <c r="Q168" s="62"/>
      <c r="R168" s="62"/>
      <c r="S168" s="63"/>
      <c r="T168" s="62"/>
      <c r="U168" s="62"/>
      <c r="V168" s="62"/>
      <c r="W168" s="62"/>
      <c r="X168" s="64"/>
      <c r="Y168" s="64"/>
      <c r="Z168" s="62"/>
      <c r="AA168" s="62"/>
      <c r="AB168" s="62"/>
      <c r="AC168" s="62"/>
      <c r="AD168" s="71"/>
      <c r="AE168" s="62"/>
      <c r="AF168" s="62"/>
      <c r="AG168" s="71"/>
      <c r="AH168" s="62"/>
      <c r="AI168" s="62"/>
      <c r="AJ168" s="62"/>
      <c r="AK168" s="62"/>
      <c r="AL168" s="62"/>
      <c r="AM168" s="62"/>
      <c r="AN168" s="69"/>
      <c r="AO168" s="69"/>
      <c r="AP168" s="70"/>
      <c r="AQ168" s="62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2"/>
      <c r="BE168" s="69"/>
      <c r="BF168" s="70"/>
      <c r="BG168" s="62"/>
      <c r="BH168" s="64"/>
      <c r="BI168" s="64"/>
    </row>
    <row r="169" spans="1:61">
      <c r="A169" s="62"/>
      <c r="B169" s="62"/>
      <c r="C169" s="62"/>
      <c r="D169" s="62"/>
      <c r="E169" s="69"/>
      <c r="F169" s="69"/>
      <c r="G169" s="62"/>
      <c r="H169" s="68"/>
      <c r="I169" s="62"/>
      <c r="J169" s="68"/>
      <c r="K169" s="62"/>
      <c r="L169" s="62"/>
      <c r="M169" s="62"/>
      <c r="N169" s="62"/>
      <c r="O169" s="62"/>
      <c r="P169" s="69"/>
      <c r="Q169" s="62"/>
      <c r="R169" s="62"/>
      <c r="S169" s="63"/>
      <c r="T169" s="62"/>
      <c r="U169" s="62"/>
      <c r="V169" s="62"/>
      <c r="W169" s="62"/>
      <c r="X169" s="64"/>
      <c r="Y169" s="64"/>
      <c r="Z169" s="62"/>
      <c r="AA169" s="62"/>
      <c r="AB169" s="62"/>
      <c r="AC169" s="62"/>
      <c r="AD169" s="71"/>
      <c r="AE169" s="62"/>
      <c r="AF169" s="62"/>
      <c r="AG169" s="71"/>
      <c r="AH169" s="62"/>
      <c r="AI169" s="62"/>
      <c r="AJ169" s="62"/>
      <c r="AK169" s="62"/>
      <c r="AL169" s="62"/>
      <c r="AM169" s="62"/>
      <c r="AN169" s="69"/>
      <c r="AO169" s="69"/>
      <c r="AP169" s="70"/>
      <c r="AQ169" s="62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2"/>
      <c r="BE169" s="69"/>
      <c r="BF169" s="70"/>
      <c r="BG169" s="62"/>
      <c r="BH169" s="64"/>
      <c r="BI169" s="64"/>
    </row>
    <row r="170" spans="1:61">
      <c r="A170" s="62"/>
      <c r="B170" s="62"/>
      <c r="C170" s="62"/>
      <c r="D170" s="62"/>
      <c r="E170" s="69"/>
      <c r="F170" s="69"/>
      <c r="G170" s="62"/>
      <c r="H170" s="68"/>
      <c r="I170" s="62"/>
      <c r="J170" s="68"/>
      <c r="K170" s="62"/>
      <c r="L170" s="62"/>
      <c r="M170" s="62"/>
      <c r="N170" s="62"/>
      <c r="O170" s="62"/>
      <c r="P170" s="69"/>
      <c r="Q170" s="62"/>
      <c r="R170" s="62"/>
      <c r="S170" s="63"/>
      <c r="T170" s="62"/>
      <c r="U170" s="62"/>
      <c r="V170" s="62"/>
      <c r="W170" s="62"/>
      <c r="X170" s="64"/>
      <c r="Y170" s="64"/>
      <c r="Z170" s="62"/>
      <c r="AA170" s="62"/>
      <c r="AB170" s="62"/>
      <c r="AC170" s="62"/>
      <c r="AD170" s="71"/>
      <c r="AE170" s="62"/>
      <c r="AF170" s="62"/>
      <c r="AG170" s="71"/>
      <c r="AH170" s="62"/>
      <c r="AI170" s="62"/>
      <c r="AJ170" s="62"/>
      <c r="AK170" s="62"/>
      <c r="AL170" s="62"/>
      <c r="AM170" s="62"/>
      <c r="AN170" s="69"/>
      <c r="AO170" s="69"/>
      <c r="AP170" s="70"/>
      <c r="AQ170" s="62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2"/>
      <c r="BE170" s="69"/>
      <c r="BF170" s="70"/>
      <c r="BG170" s="62"/>
      <c r="BH170" s="64"/>
      <c r="BI170" s="64"/>
    </row>
    <row r="171" spans="1:61">
      <c r="A171" s="62"/>
      <c r="B171" s="62"/>
      <c r="C171" s="62"/>
      <c r="D171" s="62"/>
      <c r="E171" s="69"/>
      <c r="F171" s="69"/>
      <c r="G171" s="62"/>
      <c r="H171" s="68"/>
      <c r="I171" s="62"/>
      <c r="J171" s="68"/>
      <c r="K171" s="62"/>
      <c r="L171" s="62"/>
      <c r="M171" s="62"/>
      <c r="N171" s="62"/>
      <c r="O171" s="62"/>
      <c r="P171" s="69"/>
      <c r="Q171" s="62"/>
      <c r="R171" s="62"/>
      <c r="S171" s="63"/>
      <c r="T171" s="62"/>
      <c r="U171" s="62"/>
      <c r="V171" s="62"/>
      <c r="W171" s="62"/>
      <c r="X171" s="64"/>
      <c r="Y171" s="64"/>
      <c r="Z171" s="62"/>
      <c r="AA171" s="62"/>
      <c r="AB171" s="62"/>
      <c r="AC171" s="62"/>
      <c r="AD171" s="71"/>
      <c r="AE171" s="62"/>
      <c r="AF171" s="62"/>
      <c r="AG171" s="71"/>
      <c r="AH171" s="62"/>
      <c r="AI171" s="62"/>
      <c r="AJ171" s="62"/>
      <c r="AK171" s="62"/>
      <c r="AL171" s="62"/>
      <c r="AM171" s="62"/>
      <c r="AN171" s="69"/>
      <c r="AO171" s="69"/>
      <c r="AP171" s="70"/>
      <c r="AQ171" s="62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2"/>
      <c r="BE171" s="69"/>
      <c r="BF171" s="70"/>
      <c r="BG171" s="62"/>
      <c r="BH171" s="64"/>
      <c r="BI171" s="64"/>
    </row>
    <row r="172" spans="1:61">
      <c r="A172" s="62"/>
      <c r="B172" s="62"/>
      <c r="C172" s="62"/>
      <c r="D172" s="62"/>
      <c r="E172" s="69"/>
      <c r="F172" s="69"/>
      <c r="G172" s="62"/>
      <c r="H172" s="68"/>
      <c r="I172" s="62"/>
      <c r="J172" s="68"/>
      <c r="K172" s="62"/>
      <c r="L172" s="62"/>
      <c r="M172" s="62"/>
      <c r="N172" s="62"/>
      <c r="O172" s="62"/>
      <c r="P172" s="69"/>
      <c r="Q172" s="62"/>
      <c r="R172" s="62"/>
      <c r="S172" s="63"/>
      <c r="T172" s="62"/>
      <c r="U172" s="62"/>
      <c r="V172" s="62"/>
      <c r="W172" s="62"/>
      <c r="X172" s="64"/>
      <c r="Y172" s="64"/>
      <c r="Z172" s="62"/>
      <c r="AA172" s="62"/>
      <c r="AB172" s="62"/>
      <c r="AC172" s="62"/>
      <c r="AD172" s="71"/>
      <c r="AE172" s="62"/>
      <c r="AF172" s="62"/>
      <c r="AG172" s="71"/>
      <c r="AH172" s="62"/>
      <c r="AI172" s="62"/>
      <c r="AJ172" s="62"/>
      <c r="AK172" s="62"/>
      <c r="AL172" s="62"/>
      <c r="AM172" s="62"/>
      <c r="AN172" s="69"/>
      <c r="AO172" s="69"/>
      <c r="AP172" s="70"/>
      <c r="AQ172" s="62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2"/>
      <c r="BE172" s="69"/>
      <c r="BF172" s="70"/>
      <c r="BG172" s="62"/>
      <c r="BH172" s="64"/>
      <c r="BI172" s="6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17"/>
  <sheetViews>
    <sheetView topLeftCell="N93" zoomScale="90" zoomScaleNormal="90" workbookViewId="0">
      <selection activeCell="O114" sqref="O114"/>
    </sheetView>
  </sheetViews>
  <sheetFormatPr defaultRowHeight="15"/>
  <cols>
    <col min="1" max="1" width="12.7109375" style="12" customWidth="1"/>
    <col min="2" max="2" width="27.42578125" style="12" customWidth="1"/>
    <col min="3" max="3" width="30.28515625" style="12" customWidth="1"/>
    <col min="4" max="4" width="21.28515625" style="12" customWidth="1"/>
    <col min="5" max="5" width="29" style="12" customWidth="1"/>
    <col min="6" max="6" width="22" style="12" customWidth="1"/>
    <col min="7" max="7" width="22.85546875" style="12" customWidth="1"/>
    <col min="8" max="8" width="26.28515625" style="12" customWidth="1"/>
    <col min="9" max="9" width="17.85546875" style="12" customWidth="1"/>
    <col min="10" max="10" width="18.7109375" style="12" customWidth="1"/>
    <col min="11" max="11" width="23.28515625" style="12" customWidth="1"/>
    <col min="12" max="12" width="30.42578125" style="12" customWidth="1"/>
    <col min="13" max="13" width="28.140625" style="12" customWidth="1"/>
    <col min="14" max="14" width="32.140625" style="12" customWidth="1"/>
    <col min="15" max="15" width="23.42578125" style="12" customWidth="1"/>
    <col min="16" max="16" width="24.5703125" style="12" customWidth="1"/>
    <col min="17" max="17" width="20.42578125" style="12" customWidth="1"/>
    <col min="18" max="18" width="23.140625" style="12" customWidth="1"/>
    <col min="19" max="19" width="23.5703125" style="12" customWidth="1"/>
    <col min="20" max="20" width="21.5703125" style="12" customWidth="1"/>
    <col min="21" max="21" width="23.42578125" style="12" customWidth="1"/>
    <col min="22" max="22" width="46.42578125" style="12" customWidth="1"/>
    <col min="23" max="23" width="15.85546875" style="13" customWidth="1"/>
    <col min="24" max="24" width="18.85546875" style="13" customWidth="1"/>
    <col min="25" max="16384" width="9.140625" style="13"/>
  </cols>
  <sheetData>
    <row r="1" spans="1:24">
      <c r="A1" s="11" t="s">
        <v>60</v>
      </c>
    </row>
    <row r="2" spans="1:24">
      <c r="B2" s="14"/>
    </row>
    <row r="3" spans="1:24" s="14" customFormat="1">
      <c r="A3" s="14" t="s">
        <v>61</v>
      </c>
      <c r="B3" s="14" t="s">
        <v>62</v>
      </c>
      <c r="C3" s="14" t="s">
        <v>63</v>
      </c>
      <c r="D3" s="14" t="s">
        <v>64</v>
      </c>
      <c r="E3" s="14" t="s">
        <v>65</v>
      </c>
      <c r="F3" s="15" t="s">
        <v>66</v>
      </c>
      <c r="G3" s="15" t="s">
        <v>67</v>
      </c>
      <c r="H3" s="15" t="s">
        <v>68</v>
      </c>
      <c r="I3" s="15" t="s">
        <v>69</v>
      </c>
      <c r="J3" s="15" t="s">
        <v>70</v>
      </c>
      <c r="K3" s="15" t="s">
        <v>71</v>
      </c>
      <c r="L3" s="15" t="s">
        <v>72</v>
      </c>
      <c r="M3" s="15" t="s">
        <v>73</v>
      </c>
      <c r="N3" s="15" t="s">
        <v>74</v>
      </c>
      <c r="O3" s="15" t="s">
        <v>75</v>
      </c>
      <c r="P3" s="14" t="s">
        <v>76</v>
      </c>
      <c r="Q3" s="14" t="s">
        <v>77</v>
      </c>
      <c r="R3" s="14" t="s">
        <v>78</v>
      </c>
      <c r="S3" s="14" t="s">
        <v>79</v>
      </c>
      <c r="T3" s="14" t="s">
        <v>80</v>
      </c>
      <c r="U3" s="14" t="s">
        <v>81</v>
      </c>
      <c r="V3" s="15" t="s">
        <v>82</v>
      </c>
      <c r="W3" s="16"/>
      <c r="X3" s="16"/>
    </row>
    <row r="4" spans="1:24">
      <c r="A4" s="17" t="s">
        <v>3</v>
      </c>
      <c r="B4" s="12">
        <v>0</v>
      </c>
      <c r="C4" s="12">
        <v>-1</v>
      </c>
      <c r="D4" s="12">
        <v>1</v>
      </c>
      <c r="E4" s="12">
        <v>0</v>
      </c>
      <c r="F4" s="12">
        <v>1</v>
      </c>
      <c r="G4" s="12">
        <v>2</v>
      </c>
      <c r="H4" s="12">
        <v>-2</v>
      </c>
      <c r="I4" s="12">
        <v>-1</v>
      </c>
      <c r="J4" s="12">
        <v>2</v>
      </c>
      <c r="K4" s="12">
        <v>0</v>
      </c>
      <c r="L4" s="12">
        <v>0</v>
      </c>
      <c r="M4" s="12">
        <v>2</v>
      </c>
      <c r="N4" s="18" t="s">
        <v>83</v>
      </c>
      <c r="O4" s="18" t="s">
        <v>84</v>
      </c>
      <c r="P4" s="12">
        <v>2</v>
      </c>
      <c r="Q4" s="12">
        <v>1</v>
      </c>
      <c r="R4" s="12">
        <v>2</v>
      </c>
      <c r="S4" s="12">
        <v>2</v>
      </c>
      <c r="T4" s="12">
        <v>2</v>
      </c>
      <c r="U4" s="12">
        <v>2</v>
      </c>
      <c r="V4" s="18" t="s">
        <v>85</v>
      </c>
    </row>
    <row r="5" spans="1:24">
      <c r="A5" s="17" t="s">
        <v>4</v>
      </c>
      <c r="B5" s="12">
        <v>2</v>
      </c>
      <c r="C5" s="12">
        <v>1</v>
      </c>
      <c r="D5" s="12">
        <v>2</v>
      </c>
      <c r="E5" s="12">
        <v>2</v>
      </c>
      <c r="F5" s="12">
        <v>1</v>
      </c>
      <c r="G5" s="12">
        <v>2</v>
      </c>
      <c r="H5" s="12">
        <v>2</v>
      </c>
      <c r="I5" s="12">
        <v>2</v>
      </c>
      <c r="J5" s="12">
        <v>2</v>
      </c>
      <c r="K5" s="12">
        <v>2</v>
      </c>
      <c r="L5" s="12">
        <v>2</v>
      </c>
      <c r="M5" s="12">
        <v>2</v>
      </c>
      <c r="N5" s="18" t="s">
        <v>86</v>
      </c>
      <c r="O5" s="18" t="s">
        <v>84</v>
      </c>
      <c r="P5" s="12">
        <v>2</v>
      </c>
      <c r="Q5" s="12">
        <v>2</v>
      </c>
      <c r="R5" s="12">
        <v>2</v>
      </c>
      <c r="S5" s="12">
        <v>2</v>
      </c>
      <c r="T5" s="12">
        <v>1</v>
      </c>
      <c r="U5" s="12">
        <v>2</v>
      </c>
      <c r="V5" s="18" t="s">
        <v>87</v>
      </c>
    </row>
    <row r="6" spans="1:24">
      <c r="A6" s="17" t="s">
        <v>5</v>
      </c>
      <c r="B6" s="12">
        <v>0</v>
      </c>
      <c r="C6" s="12">
        <v>0</v>
      </c>
      <c r="D6" s="12">
        <v>1</v>
      </c>
      <c r="E6" s="12">
        <v>0</v>
      </c>
      <c r="F6" s="12">
        <v>1</v>
      </c>
      <c r="G6" s="12">
        <v>1</v>
      </c>
      <c r="H6" s="12">
        <v>1</v>
      </c>
      <c r="I6" s="12">
        <v>1</v>
      </c>
      <c r="J6" s="12">
        <v>0</v>
      </c>
      <c r="K6" s="12">
        <v>-1</v>
      </c>
      <c r="L6" s="12">
        <v>0</v>
      </c>
      <c r="M6" s="12">
        <v>2</v>
      </c>
      <c r="N6" s="18" t="s">
        <v>88</v>
      </c>
      <c r="O6" s="18" t="s">
        <v>84</v>
      </c>
      <c r="P6" s="12">
        <v>2</v>
      </c>
      <c r="Q6" s="12">
        <v>1</v>
      </c>
      <c r="R6" s="12">
        <v>1</v>
      </c>
      <c r="S6" s="12">
        <v>0</v>
      </c>
      <c r="T6" s="12">
        <v>0</v>
      </c>
      <c r="U6" s="12">
        <v>0</v>
      </c>
      <c r="V6" s="18" t="s">
        <v>89</v>
      </c>
    </row>
    <row r="7" spans="1:24">
      <c r="A7" s="17" t="s">
        <v>6</v>
      </c>
      <c r="B7" s="12">
        <v>-1</v>
      </c>
      <c r="C7" s="12">
        <v>-2</v>
      </c>
      <c r="D7" s="12">
        <v>2</v>
      </c>
      <c r="E7" s="12">
        <v>-1</v>
      </c>
      <c r="F7" s="12">
        <v>2</v>
      </c>
      <c r="G7" s="12">
        <v>2</v>
      </c>
      <c r="H7" s="12">
        <v>0</v>
      </c>
      <c r="I7" s="12">
        <v>-1</v>
      </c>
      <c r="J7" s="12">
        <v>0</v>
      </c>
      <c r="K7" s="12">
        <v>2</v>
      </c>
      <c r="L7" s="12">
        <v>2</v>
      </c>
      <c r="M7" s="12">
        <v>2</v>
      </c>
      <c r="N7" s="18" t="s">
        <v>90</v>
      </c>
      <c r="O7" s="18" t="s">
        <v>84</v>
      </c>
      <c r="P7" s="12">
        <v>2</v>
      </c>
      <c r="Q7" s="12">
        <v>2</v>
      </c>
      <c r="R7" s="12">
        <v>2</v>
      </c>
      <c r="S7" s="12">
        <v>2</v>
      </c>
      <c r="T7" s="12">
        <v>2</v>
      </c>
      <c r="U7" s="12">
        <v>1</v>
      </c>
      <c r="V7" s="18" t="s">
        <v>91</v>
      </c>
    </row>
    <row r="8" spans="1:24">
      <c r="A8" s="17" t="s">
        <v>7</v>
      </c>
      <c r="B8" s="12">
        <v>-2</v>
      </c>
      <c r="C8" s="12">
        <v>0</v>
      </c>
      <c r="D8" s="12">
        <v>2</v>
      </c>
      <c r="E8" s="12">
        <v>1</v>
      </c>
      <c r="F8" s="12">
        <v>0</v>
      </c>
      <c r="G8" s="12">
        <v>2</v>
      </c>
      <c r="H8" s="12">
        <v>2</v>
      </c>
      <c r="I8" s="12">
        <v>-2</v>
      </c>
      <c r="J8" s="12">
        <v>1</v>
      </c>
      <c r="K8" s="12">
        <v>-1</v>
      </c>
      <c r="L8" s="12">
        <v>-2</v>
      </c>
      <c r="M8" s="12">
        <v>2</v>
      </c>
      <c r="N8" s="18" t="s">
        <v>91</v>
      </c>
      <c r="O8" s="18" t="s">
        <v>84</v>
      </c>
      <c r="P8" s="12">
        <v>-1</v>
      </c>
      <c r="Q8" s="12">
        <v>0</v>
      </c>
      <c r="R8" s="12">
        <v>1</v>
      </c>
      <c r="S8" s="12">
        <v>0</v>
      </c>
      <c r="T8" s="12">
        <v>1</v>
      </c>
      <c r="U8" s="12">
        <v>0</v>
      </c>
      <c r="V8" s="18" t="s">
        <v>91</v>
      </c>
    </row>
    <row r="9" spans="1:24">
      <c r="A9" s="17" t="s">
        <v>8</v>
      </c>
      <c r="B9" s="12">
        <v>1</v>
      </c>
      <c r="C9" s="12">
        <v>1</v>
      </c>
      <c r="D9" s="12">
        <v>2</v>
      </c>
      <c r="E9" s="12">
        <v>0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1</v>
      </c>
      <c r="L9" s="12">
        <v>0</v>
      </c>
      <c r="M9" s="12">
        <v>2</v>
      </c>
      <c r="N9" s="18" t="s">
        <v>92</v>
      </c>
      <c r="O9" s="18" t="s">
        <v>84</v>
      </c>
      <c r="P9" s="12">
        <v>1</v>
      </c>
      <c r="Q9" s="12">
        <v>1</v>
      </c>
      <c r="R9" s="12">
        <v>2</v>
      </c>
      <c r="S9" s="12">
        <v>2</v>
      </c>
      <c r="T9" s="12">
        <v>2</v>
      </c>
      <c r="U9" s="12">
        <v>2</v>
      </c>
      <c r="V9" s="18" t="s">
        <v>91</v>
      </c>
    </row>
    <row r="10" spans="1:24">
      <c r="A10" s="17" t="s">
        <v>9</v>
      </c>
      <c r="B10" s="12">
        <v>2</v>
      </c>
      <c r="C10" s="12">
        <v>2</v>
      </c>
      <c r="D10" s="12">
        <v>2</v>
      </c>
      <c r="E10" s="12">
        <v>2</v>
      </c>
      <c r="F10" s="12">
        <v>2</v>
      </c>
      <c r="G10" s="12">
        <v>2</v>
      </c>
      <c r="H10" s="12">
        <v>1</v>
      </c>
      <c r="I10" s="12">
        <v>2</v>
      </c>
      <c r="J10" s="12">
        <v>2</v>
      </c>
      <c r="K10" s="12">
        <v>1</v>
      </c>
      <c r="L10" s="12">
        <v>1</v>
      </c>
      <c r="M10" s="12">
        <v>2</v>
      </c>
      <c r="N10" s="56" t="s">
        <v>93</v>
      </c>
      <c r="O10" s="18" t="s">
        <v>84</v>
      </c>
      <c r="P10" s="12">
        <v>1</v>
      </c>
      <c r="Q10" s="12">
        <v>2</v>
      </c>
      <c r="R10" s="12">
        <v>2</v>
      </c>
      <c r="S10" s="12">
        <v>2</v>
      </c>
      <c r="T10" s="12">
        <v>1</v>
      </c>
      <c r="U10" s="12">
        <v>1</v>
      </c>
      <c r="V10" s="18" t="s">
        <v>94</v>
      </c>
    </row>
    <row r="11" spans="1:24">
      <c r="A11" s="17" t="s">
        <v>10</v>
      </c>
      <c r="B11" s="12">
        <v>2</v>
      </c>
      <c r="C11" s="12">
        <v>0</v>
      </c>
      <c r="D11" s="12">
        <v>1</v>
      </c>
      <c r="E11" s="12">
        <v>0</v>
      </c>
      <c r="F11" s="12">
        <v>-1</v>
      </c>
      <c r="G11" s="12">
        <v>0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  <c r="M11" s="12">
        <v>2</v>
      </c>
      <c r="N11" s="18" t="s">
        <v>91</v>
      </c>
      <c r="O11" s="18" t="s">
        <v>84</v>
      </c>
      <c r="P11" s="12">
        <v>1</v>
      </c>
      <c r="Q11" s="12">
        <v>1</v>
      </c>
      <c r="R11" s="12">
        <v>0</v>
      </c>
      <c r="S11" s="12">
        <v>1</v>
      </c>
      <c r="T11" s="12">
        <v>1</v>
      </c>
      <c r="U11" s="12">
        <v>0</v>
      </c>
      <c r="V11" s="18" t="s">
        <v>91</v>
      </c>
    </row>
    <row r="12" spans="1:24">
      <c r="A12" s="17" t="s">
        <v>11</v>
      </c>
      <c r="B12" s="12">
        <v>2</v>
      </c>
      <c r="C12" s="12">
        <v>-1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>
        <v>2</v>
      </c>
      <c r="J12" s="12">
        <v>2</v>
      </c>
      <c r="K12" s="12">
        <v>2</v>
      </c>
      <c r="L12" s="12">
        <v>2</v>
      </c>
      <c r="M12" s="12">
        <v>2</v>
      </c>
      <c r="N12" s="18" t="s">
        <v>91</v>
      </c>
      <c r="O12" s="18" t="s">
        <v>84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8" t="s">
        <v>91</v>
      </c>
    </row>
    <row r="13" spans="1:24">
      <c r="A13" s="17" t="s">
        <v>12</v>
      </c>
      <c r="B13" s="12">
        <v>1</v>
      </c>
      <c r="C13" s="12">
        <v>2</v>
      </c>
      <c r="D13" s="12">
        <v>2</v>
      </c>
      <c r="E13" s="12">
        <v>2</v>
      </c>
      <c r="F13" s="12">
        <v>2</v>
      </c>
      <c r="G13" s="12">
        <v>2</v>
      </c>
      <c r="H13" s="12">
        <v>2</v>
      </c>
      <c r="I13" s="12">
        <v>1</v>
      </c>
      <c r="J13" s="12">
        <v>2</v>
      </c>
      <c r="K13" s="12">
        <v>2</v>
      </c>
      <c r="L13" s="12">
        <v>2</v>
      </c>
      <c r="M13" s="12">
        <v>2</v>
      </c>
      <c r="N13" s="18" t="s">
        <v>95</v>
      </c>
      <c r="O13" s="18" t="s">
        <v>84</v>
      </c>
      <c r="P13" s="12">
        <v>2</v>
      </c>
      <c r="Q13" s="12">
        <v>2</v>
      </c>
      <c r="R13" s="12">
        <v>2</v>
      </c>
      <c r="S13" s="12">
        <v>2</v>
      </c>
      <c r="T13" s="12">
        <v>2</v>
      </c>
      <c r="U13" s="12">
        <v>1</v>
      </c>
      <c r="V13" s="18" t="s">
        <v>91</v>
      </c>
    </row>
    <row r="14" spans="1:24">
      <c r="A14" s="17" t="s">
        <v>13</v>
      </c>
      <c r="B14" s="12">
        <v>1</v>
      </c>
      <c r="C14" s="12">
        <v>2</v>
      </c>
      <c r="D14" s="12">
        <v>2</v>
      </c>
      <c r="E14" s="12">
        <v>2</v>
      </c>
      <c r="F14" s="12">
        <v>2</v>
      </c>
      <c r="G14" s="12">
        <v>2</v>
      </c>
      <c r="H14" s="12">
        <v>2</v>
      </c>
      <c r="I14" s="12">
        <v>1</v>
      </c>
      <c r="J14" s="12">
        <v>2</v>
      </c>
      <c r="K14" s="12">
        <v>2</v>
      </c>
      <c r="L14" s="12">
        <v>2</v>
      </c>
      <c r="M14" s="12">
        <v>2</v>
      </c>
      <c r="N14" s="18" t="s">
        <v>96</v>
      </c>
      <c r="O14" s="18" t="s">
        <v>84</v>
      </c>
      <c r="P14" s="12">
        <v>2</v>
      </c>
      <c r="Q14" s="12">
        <v>2</v>
      </c>
      <c r="R14" s="12">
        <v>2</v>
      </c>
      <c r="S14" s="12">
        <v>2</v>
      </c>
      <c r="T14" s="12">
        <v>2</v>
      </c>
      <c r="U14" s="12">
        <v>2</v>
      </c>
      <c r="V14" s="18" t="s">
        <v>91</v>
      </c>
    </row>
    <row r="15" spans="1:24">
      <c r="A15" s="17" t="s">
        <v>14</v>
      </c>
      <c r="B15" s="12">
        <v>2</v>
      </c>
      <c r="C15" s="12">
        <v>2</v>
      </c>
      <c r="D15" s="12">
        <v>2</v>
      </c>
      <c r="E15" s="12">
        <v>2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2</v>
      </c>
      <c r="N15" s="18" t="s">
        <v>91</v>
      </c>
      <c r="O15" s="18" t="s">
        <v>84</v>
      </c>
      <c r="P15" s="12">
        <v>2</v>
      </c>
      <c r="Q15" s="12">
        <v>2</v>
      </c>
      <c r="R15" s="12">
        <v>2</v>
      </c>
      <c r="S15" s="12">
        <v>2</v>
      </c>
      <c r="T15" s="12">
        <v>2</v>
      </c>
      <c r="U15" s="12">
        <v>2</v>
      </c>
      <c r="V15" s="18" t="s">
        <v>97</v>
      </c>
    </row>
    <row r="16" spans="1:24">
      <c r="A16" s="17" t="s">
        <v>15</v>
      </c>
      <c r="B16" s="12">
        <v>0</v>
      </c>
      <c r="C16" s="12">
        <v>1</v>
      </c>
      <c r="D16" s="12">
        <v>1</v>
      </c>
      <c r="E16" s="12">
        <v>0</v>
      </c>
      <c r="F16" s="12">
        <v>1</v>
      </c>
      <c r="G16" s="12">
        <v>-1</v>
      </c>
      <c r="H16" s="12">
        <v>0</v>
      </c>
      <c r="I16" s="12">
        <v>2</v>
      </c>
      <c r="J16" s="12">
        <v>0</v>
      </c>
      <c r="K16" s="12">
        <v>0</v>
      </c>
      <c r="L16" s="12">
        <v>0</v>
      </c>
      <c r="M16" s="12">
        <v>2</v>
      </c>
      <c r="N16" s="18" t="s">
        <v>91</v>
      </c>
      <c r="O16" s="18" t="s">
        <v>84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8" t="s">
        <v>91</v>
      </c>
    </row>
    <row r="17" spans="1:22">
      <c r="A17" s="17" t="s">
        <v>16</v>
      </c>
      <c r="B17" s="12">
        <v>1</v>
      </c>
      <c r="C17" s="12">
        <v>2</v>
      </c>
      <c r="D17" s="12">
        <v>2</v>
      </c>
      <c r="E17" s="12">
        <v>2</v>
      </c>
      <c r="F17" s="12">
        <v>1</v>
      </c>
      <c r="G17" s="12">
        <v>1</v>
      </c>
      <c r="H17" s="12">
        <v>2</v>
      </c>
      <c r="I17" s="12">
        <v>1</v>
      </c>
      <c r="J17" s="12">
        <v>2</v>
      </c>
      <c r="K17" s="12">
        <v>2</v>
      </c>
      <c r="L17" s="12">
        <v>2</v>
      </c>
      <c r="M17" s="12">
        <v>2</v>
      </c>
      <c r="N17" s="18" t="s">
        <v>91</v>
      </c>
      <c r="O17" s="18" t="s">
        <v>84</v>
      </c>
      <c r="P17" s="12">
        <v>2</v>
      </c>
      <c r="Q17" s="12">
        <v>2</v>
      </c>
      <c r="R17" s="12">
        <v>1</v>
      </c>
      <c r="S17" s="12">
        <v>2</v>
      </c>
      <c r="T17" s="12">
        <v>2</v>
      </c>
      <c r="U17" s="12">
        <v>2</v>
      </c>
      <c r="V17" s="18" t="s">
        <v>91</v>
      </c>
    </row>
    <row r="18" spans="1:22">
      <c r="A18" s="17" t="s">
        <v>17</v>
      </c>
      <c r="B18" s="12">
        <v>0</v>
      </c>
      <c r="C18" s="12">
        <v>0</v>
      </c>
      <c r="D18" s="12">
        <v>1</v>
      </c>
      <c r="E18" s="12">
        <v>-2</v>
      </c>
      <c r="F18" s="12">
        <v>-1</v>
      </c>
      <c r="G18" s="12">
        <v>-2</v>
      </c>
      <c r="H18" s="12">
        <v>0</v>
      </c>
      <c r="I18" s="12">
        <v>1</v>
      </c>
      <c r="J18" s="12">
        <v>0</v>
      </c>
      <c r="K18" s="12">
        <v>1</v>
      </c>
      <c r="L18" s="12">
        <v>0</v>
      </c>
      <c r="M18" s="12">
        <v>2</v>
      </c>
      <c r="N18" s="18" t="s">
        <v>90</v>
      </c>
      <c r="O18" s="18" t="s">
        <v>84</v>
      </c>
      <c r="P18" s="12">
        <v>2</v>
      </c>
      <c r="Q18" s="12">
        <v>2</v>
      </c>
      <c r="R18" s="12">
        <v>2</v>
      </c>
      <c r="S18" s="12">
        <v>1</v>
      </c>
      <c r="T18" s="12">
        <v>2</v>
      </c>
      <c r="U18" s="12">
        <v>2</v>
      </c>
      <c r="V18" s="18" t="s">
        <v>91</v>
      </c>
    </row>
    <row r="19" spans="1:22">
      <c r="A19" s="17" t="s">
        <v>18</v>
      </c>
      <c r="B19" s="12">
        <v>0</v>
      </c>
      <c r="C19" s="12">
        <v>0</v>
      </c>
      <c r="D19" s="12">
        <v>2</v>
      </c>
      <c r="E19" s="12">
        <v>2</v>
      </c>
      <c r="F19" s="12">
        <v>2</v>
      </c>
      <c r="G19" s="12">
        <v>-2</v>
      </c>
      <c r="H19" s="12">
        <v>2</v>
      </c>
      <c r="I19" s="12">
        <v>2</v>
      </c>
      <c r="J19" s="12">
        <v>2</v>
      </c>
      <c r="K19" s="12">
        <v>1</v>
      </c>
      <c r="L19" s="12">
        <v>1</v>
      </c>
      <c r="M19" s="12">
        <v>2</v>
      </c>
      <c r="N19" s="18" t="s">
        <v>98</v>
      </c>
      <c r="O19" s="18" t="s">
        <v>84</v>
      </c>
      <c r="P19" s="12">
        <v>2</v>
      </c>
      <c r="Q19" s="12">
        <v>2</v>
      </c>
      <c r="R19" s="12">
        <v>2</v>
      </c>
      <c r="S19" s="12">
        <v>2</v>
      </c>
      <c r="T19" s="12">
        <v>2</v>
      </c>
      <c r="U19" s="12">
        <v>2</v>
      </c>
      <c r="V19" s="18" t="s">
        <v>99</v>
      </c>
    </row>
    <row r="20" spans="1:22">
      <c r="A20" s="17" t="s">
        <v>19</v>
      </c>
      <c r="B20" s="12">
        <v>2</v>
      </c>
      <c r="C20" s="12">
        <v>1</v>
      </c>
      <c r="D20" s="12">
        <v>2</v>
      </c>
      <c r="E20" s="12">
        <v>2</v>
      </c>
      <c r="F20" s="12">
        <v>1</v>
      </c>
      <c r="G20" s="12">
        <v>0</v>
      </c>
      <c r="H20" s="12">
        <v>0</v>
      </c>
      <c r="I20" s="12">
        <v>2</v>
      </c>
      <c r="J20" s="12">
        <v>2</v>
      </c>
      <c r="K20" s="12">
        <v>2</v>
      </c>
      <c r="L20" s="12">
        <v>2</v>
      </c>
      <c r="M20" s="12">
        <v>2</v>
      </c>
      <c r="N20" s="18" t="s">
        <v>100</v>
      </c>
      <c r="O20" s="18" t="s">
        <v>84</v>
      </c>
      <c r="P20" s="12">
        <v>2</v>
      </c>
      <c r="Q20" s="12">
        <v>2</v>
      </c>
      <c r="R20" s="12">
        <v>2</v>
      </c>
      <c r="S20" s="12">
        <v>2</v>
      </c>
      <c r="T20" s="12">
        <v>2</v>
      </c>
      <c r="U20" s="12">
        <v>2</v>
      </c>
      <c r="V20" s="18" t="s">
        <v>101</v>
      </c>
    </row>
    <row r="21" spans="1:22">
      <c r="A21" s="17" t="s">
        <v>20</v>
      </c>
      <c r="B21" s="12">
        <v>1</v>
      </c>
      <c r="C21" s="12">
        <v>2</v>
      </c>
      <c r="D21" s="12">
        <v>2</v>
      </c>
      <c r="E21" s="12">
        <v>2</v>
      </c>
      <c r="F21" s="12">
        <v>2</v>
      </c>
      <c r="G21" s="12">
        <v>0</v>
      </c>
      <c r="H21" s="12">
        <v>2</v>
      </c>
      <c r="I21" s="12">
        <v>1</v>
      </c>
      <c r="J21" s="12">
        <v>2</v>
      </c>
      <c r="K21" s="12">
        <v>1</v>
      </c>
      <c r="L21" s="12">
        <v>2</v>
      </c>
      <c r="M21" s="12">
        <v>2</v>
      </c>
      <c r="N21" s="19" t="s">
        <v>191</v>
      </c>
      <c r="O21" s="12" t="s">
        <v>84</v>
      </c>
      <c r="P21" s="12">
        <v>2</v>
      </c>
      <c r="Q21" s="12">
        <v>2</v>
      </c>
      <c r="R21" s="12">
        <v>1</v>
      </c>
      <c r="S21" s="12">
        <v>2</v>
      </c>
      <c r="T21" s="12">
        <v>1</v>
      </c>
      <c r="U21" s="12">
        <v>2</v>
      </c>
      <c r="V21" s="12" t="s">
        <v>91</v>
      </c>
    </row>
    <row r="22" spans="1:22">
      <c r="A22" s="17" t="s">
        <v>21</v>
      </c>
      <c r="B22" s="12">
        <v>0</v>
      </c>
      <c r="C22" s="12">
        <v>1</v>
      </c>
      <c r="D22" s="12">
        <v>2</v>
      </c>
      <c r="E22" s="12">
        <v>2</v>
      </c>
      <c r="F22" s="12">
        <v>1</v>
      </c>
      <c r="G22" s="12">
        <v>2</v>
      </c>
      <c r="H22" s="12">
        <v>1</v>
      </c>
      <c r="I22" s="12">
        <v>2</v>
      </c>
      <c r="J22" s="12">
        <v>2</v>
      </c>
      <c r="K22" s="12">
        <v>2</v>
      </c>
      <c r="L22" s="12">
        <v>1</v>
      </c>
      <c r="M22" s="12">
        <v>2</v>
      </c>
      <c r="N22" s="19" t="s">
        <v>91</v>
      </c>
      <c r="O22" s="12" t="s">
        <v>84</v>
      </c>
      <c r="P22" s="12">
        <v>1</v>
      </c>
      <c r="Q22" s="12">
        <v>1</v>
      </c>
      <c r="R22" s="12">
        <v>0</v>
      </c>
      <c r="S22" s="12">
        <v>1</v>
      </c>
      <c r="T22" s="12">
        <v>1</v>
      </c>
      <c r="U22" s="12">
        <v>1</v>
      </c>
      <c r="V22" s="12" t="s">
        <v>91</v>
      </c>
    </row>
    <row r="23" spans="1:22">
      <c r="A23" s="17" t="s">
        <v>22</v>
      </c>
      <c r="B23" s="12">
        <v>-2</v>
      </c>
      <c r="C23" s="12">
        <v>2</v>
      </c>
      <c r="D23" s="12">
        <v>1</v>
      </c>
      <c r="E23" s="12">
        <v>-1</v>
      </c>
      <c r="F23" s="12">
        <v>2</v>
      </c>
      <c r="G23" s="12">
        <v>2</v>
      </c>
      <c r="H23" s="12">
        <v>0</v>
      </c>
      <c r="I23" s="12">
        <v>2</v>
      </c>
      <c r="J23" s="12">
        <v>1</v>
      </c>
      <c r="K23" s="12">
        <v>-2</v>
      </c>
      <c r="L23" s="12">
        <v>0</v>
      </c>
      <c r="M23" s="12">
        <v>2</v>
      </c>
      <c r="N23" s="19" t="s">
        <v>192</v>
      </c>
      <c r="O23" s="12" t="s">
        <v>84</v>
      </c>
      <c r="P23" s="12">
        <v>1</v>
      </c>
      <c r="Q23" s="12">
        <v>0</v>
      </c>
      <c r="R23" s="12">
        <v>0</v>
      </c>
      <c r="S23" s="12">
        <v>1</v>
      </c>
      <c r="T23" s="12">
        <v>1</v>
      </c>
      <c r="U23" s="12">
        <v>0</v>
      </c>
      <c r="V23" s="12" t="s">
        <v>193</v>
      </c>
    </row>
    <row r="24" spans="1:22">
      <c r="A24" s="17" t="s">
        <v>23</v>
      </c>
      <c r="B24" s="12">
        <v>-1</v>
      </c>
      <c r="C24" s="12">
        <v>0</v>
      </c>
      <c r="D24" s="12">
        <v>0</v>
      </c>
      <c r="E24" s="12">
        <v>-2</v>
      </c>
      <c r="F24" s="12">
        <v>-1</v>
      </c>
      <c r="G24" s="12">
        <v>-2</v>
      </c>
      <c r="H24" s="12">
        <v>0</v>
      </c>
      <c r="I24" s="12">
        <v>2</v>
      </c>
      <c r="J24" s="12">
        <v>1</v>
      </c>
      <c r="K24" s="12">
        <v>1</v>
      </c>
      <c r="L24" s="12">
        <v>1</v>
      </c>
      <c r="M24" s="12">
        <v>1</v>
      </c>
      <c r="N24" s="19" t="s">
        <v>91</v>
      </c>
      <c r="O24" s="12" t="s">
        <v>84</v>
      </c>
      <c r="P24" s="12">
        <v>1</v>
      </c>
      <c r="Q24" s="12">
        <v>1</v>
      </c>
      <c r="R24" s="12">
        <v>1</v>
      </c>
      <c r="S24" s="12">
        <v>0</v>
      </c>
      <c r="T24" s="12">
        <v>1</v>
      </c>
      <c r="U24" s="12">
        <v>1</v>
      </c>
      <c r="V24" s="12" t="s">
        <v>91</v>
      </c>
    </row>
    <row r="25" spans="1:22">
      <c r="A25" s="17" t="s">
        <v>24</v>
      </c>
      <c r="B25" s="12">
        <v>1</v>
      </c>
      <c r="C25" s="12">
        <v>2</v>
      </c>
      <c r="D25" s="12">
        <v>2</v>
      </c>
      <c r="E25" s="12">
        <v>1</v>
      </c>
      <c r="F25" s="12">
        <v>2</v>
      </c>
      <c r="G25" s="12">
        <v>1</v>
      </c>
      <c r="H25" s="12">
        <v>1</v>
      </c>
      <c r="I25" s="12">
        <v>1</v>
      </c>
      <c r="J25" s="12">
        <v>2</v>
      </c>
      <c r="K25" s="12">
        <v>2</v>
      </c>
      <c r="L25" s="12">
        <v>2</v>
      </c>
      <c r="M25" s="12">
        <v>2</v>
      </c>
      <c r="N25" s="55" t="s">
        <v>194</v>
      </c>
      <c r="O25" s="12" t="s">
        <v>84</v>
      </c>
      <c r="P25" s="12">
        <v>1</v>
      </c>
      <c r="Q25" s="12">
        <v>0</v>
      </c>
      <c r="R25" s="12">
        <v>1</v>
      </c>
      <c r="S25" s="12">
        <v>2</v>
      </c>
      <c r="T25" s="12">
        <v>2</v>
      </c>
      <c r="U25" s="12">
        <v>1</v>
      </c>
      <c r="V25" s="12" t="s">
        <v>91</v>
      </c>
    </row>
    <row r="26" spans="1:22">
      <c r="A26" s="17" t="s">
        <v>25</v>
      </c>
      <c r="B26" s="12">
        <v>0</v>
      </c>
      <c r="C26" s="12">
        <v>2</v>
      </c>
      <c r="D26" s="12">
        <v>1</v>
      </c>
      <c r="E26" s="12">
        <v>1</v>
      </c>
      <c r="F26" s="12">
        <v>2</v>
      </c>
      <c r="G26" s="12">
        <v>1</v>
      </c>
      <c r="H26" s="12">
        <v>2</v>
      </c>
      <c r="I26" s="12">
        <v>0</v>
      </c>
      <c r="J26" s="12">
        <v>2</v>
      </c>
      <c r="K26" s="12">
        <v>2</v>
      </c>
      <c r="L26" s="12">
        <v>2</v>
      </c>
      <c r="M26" s="12">
        <v>2</v>
      </c>
      <c r="N26" s="19" t="s">
        <v>91</v>
      </c>
      <c r="O26" s="12" t="s">
        <v>84</v>
      </c>
      <c r="P26" s="12">
        <v>2</v>
      </c>
      <c r="Q26" s="12">
        <v>0</v>
      </c>
      <c r="R26" s="12">
        <v>1</v>
      </c>
      <c r="S26" s="12">
        <v>1</v>
      </c>
      <c r="T26" s="12">
        <v>1</v>
      </c>
      <c r="U26" s="12">
        <v>2</v>
      </c>
      <c r="V26" s="12" t="s">
        <v>91</v>
      </c>
    </row>
    <row r="27" spans="1:22">
      <c r="A27" s="17" t="s">
        <v>26</v>
      </c>
      <c r="B27" s="12">
        <v>0</v>
      </c>
      <c r="C27" s="12">
        <v>1</v>
      </c>
      <c r="D27" s="12">
        <v>1</v>
      </c>
      <c r="E27" s="12">
        <v>2</v>
      </c>
      <c r="F27" s="12">
        <v>1</v>
      </c>
      <c r="G27" s="12">
        <v>1</v>
      </c>
      <c r="H27" s="12">
        <v>0</v>
      </c>
      <c r="I27" s="12">
        <v>1</v>
      </c>
      <c r="J27" s="12">
        <v>1</v>
      </c>
      <c r="K27" s="12">
        <v>2</v>
      </c>
      <c r="L27" s="12">
        <v>1</v>
      </c>
      <c r="M27" s="12">
        <v>1</v>
      </c>
      <c r="N27" s="19" t="s">
        <v>91</v>
      </c>
      <c r="O27" s="12" t="s">
        <v>84</v>
      </c>
      <c r="P27" s="12">
        <v>1</v>
      </c>
      <c r="Q27" s="12">
        <v>0</v>
      </c>
      <c r="R27" s="12">
        <v>0</v>
      </c>
      <c r="S27" s="12">
        <v>1</v>
      </c>
      <c r="T27" s="12">
        <v>1</v>
      </c>
      <c r="U27" s="12">
        <v>1</v>
      </c>
      <c r="V27" s="12" t="s">
        <v>91</v>
      </c>
    </row>
    <row r="28" spans="1:22">
      <c r="A28" s="17" t="s">
        <v>27</v>
      </c>
      <c r="B28" s="12">
        <v>1</v>
      </c>
      <c r="C28" s="12">
        <v>0</v>
      </c>
      <c r="D28" s="12">
        <v>1</v>
      </c>
      <c r="E28" s="12">
        <v>2</v>
      </c>
      <c r="F28" s="12">
        <v>2</v>
      </c>
      <c r="G28" s="12">
        <v>1</v>
      </c>
      <c r="H28" s="12">
        <v>0</v>
      </c>
      <c r="I28" s="12">
        <v>1</v>
      </c>
      <c r="J28" s="12">
        <v>2</v>
      </c>
      <c r="K28" s="12">
        <v>2</v>
      </c>
      <c r="L28" s="12">
        <v>2</v>
      </c>
      <c r="M28" s="12">
        <v>1</v>
      </c>
      <c r="N28" s="19" t="s">
        <v>195</v>
      </c>
      <c r="O28" s="12" t="s">
        <v>84</v>
      </c>
      <c r="P28" s="12">
        <v>1</v>
      </c>
      <c r="Q28" s="12">
        <v>0</v>
      </c>
      <c r="R28" s="12">
        <v>1</v>
      </c>
      <c r="S28" s="12">
        <v>2</v>
      </c>
      <c r="T28" s="12">
        <v>1</v>
      </c>
      <c r="U28" s="12">
        <v>2</v>
      </c>
      <c r="V28" s="12" t="s">
        <v>91</v>
      </c>
    </row>
    <row r="29" spans="1:22">
      <c r="A29" s="17" t="s">
        <v>28</v>
      </c>
      <c r="B29" s="12">
        <v>2</v>
      </c>
      <c r="C29" s="12">
        <v>0</v>
      </c>
      <c r="D29" s="12">
        <v>2</v>
      </c>
      <c r="E29" s="12">
        <v>2</v>
      </c>
      <c r="F29" s="12">
        <v>2</v>
      </c>
      <c r="G29" s="12">
        <v>2</v>
      </c>
      <c r="H29" s="12">
        <v>2</v>
      </c>
      <c r="I29" s="12">
        <v>2</v>
      </c>
      <c r="J29" s="12">
        <v>-1</v>
      </c>
      <c r="K29" s="12">
        <v>1</v>
      </c>
      <c r="L29" s="12">
        <v>-2</v>
      </c>
      <c r="M29" s="12">
        <v>2</v>
      </c>
      <c r="N29" s="19" t="s">
        <v>102</v>
      </c>
    </row>
    <row r="30" spans="1:22">
      <c r="A30" s="17" t="s">
        <v>29</v>
      </c>
      <c r="B30" s="12">
        <v>-1</v>
      </c>
      <c r="C30" s="12">
        <v>1</v>
      </c>
      <c r="D30" s="12">
        <v>0</v>
      </c>
      <c r="E30" s="12">
        <v>2</v>
      </c>
      <c r="F30" s="12">
        <v>1</v>
      </c>
      <c r="G30" s="12">
        <v>-2</v>
      </c>
      <c r="H30" s="12">
        <v>-2</v>
      </c>
      <c r="I30" s="12">
        <v>1</v>
      </c>
      <c r="J30" s="12">
        <v>0</v>
      </c>
      <c r="K30" s="12">
        <v>0</v>
      </c>
      <c r="L30" s="12">
        <v>1</v>
      </c>
      <c r="M30" s="12">
        <v>2</v>
      </c>
      <c r="N30" s="19" t="s">
        <v>102</v>
      </c>
    </row>
    <row r="31" spans="1:22">
      <c r="A31" s="17" t="s">
        <v>30</v>
      </c>
      <c r="B31" s="12">
        <v>1</v>
      </c>
      <c r="C31" s="12">
        <v>2</v>
      </c>
      <c r="D31" s="12">
        <v>1</v>
      </c>
      <c r="E31" s="12">
        <v>1</v>
      </c>
      <c r="F31" s="12">
        <v>2</v>
      </c>
      <c r="G31" s="12">
        <v>2</v>
      </c>
      <c r="H31" s="12">
        <v>2</v>
      </c>
      <c r="I31" s="12">
        <v>1</v>
      </c>
      <c r="J31" s="12">
        <v>2</v>
      </c>
      <c r="K31" s="12">
        <v>2</v>
      </c>
      <c r="L31" s="12">
        <v>1</v>
      </c>
      <c r="M31" s="12">
        <v>2</v>
      </c>
      <c r="N31" s="17" t="s">
        <v>103</v>
      </c>
    </row>
    <row r="32" spans="1:22">
      <c r="A32" s="17" t="s">
        <v>31</v>
      </c>
      <c r="B32" s="12">
        <v>-2</v>
      </c>
      <c r="C32" s="12">
        <v>-1</v>
      </c>
      <c r="D32" s="12">
        <v>0</v>
      </c>
      <c r="E32" s="12">
        <v>-1</v>
      </c>
      <c r="F32" s="12">
        <v>-2</v>
      </c>
      <c r="G32" s="12">
        <v>1</v>
      </c>
      <c r="H32" s="12">
        <v>0</v>
      </c>
      <c r="I32" s="12">
        <v>0</v>
      </c>
      <c r="J32" s="12">
        <v>1</v>
      </c>
      <c r="K32" s="12">
        <v>-1</v>
      </c>
      <c r="L32" s="12">
        <v>-1</v>
      </c>
      <c r="M32" s="12">
        <v>2</v>
      </c>
      <c r="N32" s="19" t="s">
        <v>104</v>
      </c>
    </row>
    <row r="33" spans="1:14">
      <c r="A33" s="17" t="s">
        <v>32</v>
      </c>
      <c r="B33" s="12">
        <v>0</v>
      </c>
      <c r="C33" s="12">
        <v>1</v>
      </c>
      <c r="D33" s="12">
        <v>1</v>
      </c>
      <c r="E33" s="12">
        <v>2</v>
      </c>
      <c r="F33" s="12">
        <v>1</v>
      </c>
      <c r="G33" s="12">
        <v>0</v>
      </c>
      <c r="H33" s="12">
        <v>2</v>
      </c>
      <c r="I33" s="12">
        <v>1</v>
      </c>
      <c r="J33" s="12">
        <v>2</v>
      </c>
      <c r="K33" s="12">
        <v>1</v>
      </c>
      <c r="L33" s="12">
        <v>2</v>
      </c>
      <c r="M33" s="12">
        <v>2</v>
      </c>
      <c r="N33" s="19" t="s">
        <v>102</v>
      </c>
    </row>
    <row r="34" spans="1:14">
      <c r="A34" s="17" t="s">
        <v>33</v>
      </c>
      <c r="B34" s="12">
        <v>-1</v>
      </c>
      <c r="C34" s="12">
        <v>0</v>
      </c>
      <c r="D34" s="12">
        <v>1</v>
      </c>
      <c r="E34" s="12">
        <v>-2</v>
      </c>
      <c r="F34" s="12">
        <v>-1</v>
      </c>
      <c r="G34" s="12">
        <v>-2</v>
      </c>
      <c r="H34" s="12">
        <v>1</v>
      </c>
      <c r="I34" s="12">
        <v>1</v>
      </c>
      <c r="J34" s="12">
        <v>0</v>
      </c>
      <c r="K34" s="12">
        <v>0</v>
      </c>
      <c r="L34" s="12">
        <v>0</v>
      </c>
      <c r="M34" s="12">
        <v>2</v>
      </c>
      <c r="N34" s="19" t="s">
        <v>105</v>
      </c>
    </row>
    <row r="35" spans="1:14">
      <c r="A35" s="17" t="s">
        <v>34</v>
      </c>
      <c r="B35" s="12">
        <v>-1</v>
      </c>
      <c r="C35" s="12">
        <v>-1</v>
      </c>
      <c r="D35" s="12">
        <v>-1</v>
      </c>
      <c r="E35" s="12">
        <v>-2</v>
      </c>
      <c r="F35" s="12">
        <v>2</v>
      </c>
      <c r="G35" s="12">
        <v>-2</v>
      </c>
      <c r="H35" s="12">
        <v>2</v>
      </c>
      <c r="I35" s="12">
        <v>1</v>
      </c>
      <c r="J35" s="12">
        <v>1</v>
      </c>
      <c r="K35" s="12">
        <v>-1</v>
      </c>
      <c r="L35" s="12">
        <v>0</v>
      </c>
      <c r="M35" s="12">
        <v>2</v>
      </c>
      <c r="N35" s="55" t="s">
        <v>257</v>
      </c>
    </row>
    <row r="36" spans="1:14">
      <c r="A36" s="17" t="s">
        <v>35</v>
      </c>
      <c r="B36" s="12">
        <v>0</v>
      </c>
      <c r="C36" s="12">
        <v>2</v>
      </c>
      <c r="D36" s="12">
        <v>1</v>
      </c>
      <c r="E36" s="12">
        <v>2</v>
      </c>
      <c r="F36" s="12">
        <v>2</v>
      </c>
      <c r="G36" s="12">
        <v>-2</v>
      </c>
      <c r="H36" s="12">
        <v>2</v>
      </c>
      <c r="I36" s="12">
        <v>-1</v>
      </c>
      <c r="J36" s="12">
        <v>0</v>
      </c>
      <c r="K36" s="12">
        <v>-1</v>
      </c>
      <c r="L36" s="12">
        <v>2</v>
      </c>
      <c r="M36" s="12">
        <v>2</v>
      </c>
      <c r="N36" s="19" t="s">
        <v>102</v>
      </c>
    </row>
    <row r="37" spans="1:14">
      <c r="A37" s="17" t="s">
        <v>36</v>
      </c>
      <c r="B37" s="12">
        <v>0</v>
      </c>
      <c r="C37" s="12">
        <v>1</v>
      </c>
      <c r="D37" s="12">
        <v>2</v>
      </c>
      <c r="E37" s="12">
        <v>0</v>
      </c>
      <c r="F37" s="12">
        <v>1</v>
      </c>
      <c r="G37" s="12">
        <v>2</v>
      </c>
      <c r="H37" s="12">
        <v>1</v>
      </c>
      <c r="I37" s="12">
        <v>2</v>
      </c>
      <c r="J37" s="12">
        <v>1</v>
      </c>
      <c r="K37" s="12">
        <v>2</v>
      </c>
      <c r="L37" s="12">
        <v>2</v>
      </c>
      <c r="M37" s="12">
        <v>2</v>
      </c>
      <c r="N37" s="19" t="s">
        <v>107</v>
      </c>
    </row>
    <row r="38" spans="1:14">
      <c r="A38" s="17" t="s">
        <v>124</v>
      </c>
      <c r="B38" s="12">
        <v>2</v>
      </c>
      <c r="C38" s="12">
        <v>0</v>
      </c>
      <c r="D38" s="12">
        <v>2</v>
      </c>
      <c r="E38" s="12">
        <v>1</v>
      </c>
      <c r="F38" s="12">
        <v>1</v>
      </c>
      <c r="G38" s="12">
        <v>-2</v>
      </c>
      <c r="H38" s="12">
        <v>2</v>
      </c>
      <c r="I38" s="12">
        <v>2</v>
      </c>
      <c r="J38" s="12">
        <v>2</v>
      </c>
      <c r="K38" s="12">
        <v>1</v>
      </c>
      <c r="L38" s="12">
        <v>1</v>
      </c>
      <c r="M38" s="12">
        <v>2</v>
      </c>
      <c r="N38" s="19" t="s">
        <v>102</v>
      </c>
    </row>
    <row r="39" spans="1:14">
      <c r="A39" s="17" t="s">
        <v>125</v>
      </c>
      <c r="B39" s="12">
        <v>1</v>
      </c>
      <c r="C39" s="12">
        <v>2</v>
      </c>
      <c r="D39" s="12">
        <v>2</v>
      </c>
      <c r="E39" s="12">
        <v>2</v>
      </c>
      <c r="F39" s="12">
        <v>1</v>
      </c>
      <c r="G39" s="12">
        <v>-2</v>
      </c>
      <c r="H39" s="12">
        <v>0</v>
      </c>
      <c r="I39" s="12">
        <v>1</v>
      </c>
      <c r="J39" s="12">
        <v>2</v>
      </c>
      <c r="K39" s="12">
        <v>1</v>
      </c>
      <c r="L39" s="12">
        <v>1</v>
      </c>
      <c r="M39" s="12">
        <v>2</v>
      </c>
      <c r="N39" s="19" t="s">
        <v>102</v>
      </c>
    </row>
    <row r="40" spans="1:14">
      <c r="A40" s="17" t="s">
        <v>126</v>
      </c>
      <c r="B40" s="12">
        <v>1</v>
      </c>
      <c r="C40" s="12">
        <v>-1</v>
      </c>
      <c r="D40" s="12">
        <v>1</v>
      </c>
      <c r="E40" s="12">
        <v>1</v>
      </c>
      <c r="F40" s="12">
        <v>0</v>
      </c>
      <c r="G40" s="12">
        <v>-2</v>
      </c>
      <c r="H40" s="12">
        <v>0</v>
      </c>
      <c r="I40" s="12">
        <v>-1</v>
      </c>
      <c r="J40" s="12">
        <v>1</v>
      </c>
      <c r="K40" s="12">
        <v>0</v>
      </c>
      <c r="L40" s="12">
        <v>1</v>
      </c>
      <c r="M40" s="12">
        <v>1</v>
      </c>
      <c r="N40" s="19" t="s">
        <v>108</v>
      </c>
    </row>
    <row r="41" spans="1:14">
      <c r="A41" s="17" t="s">
        <v>127</v>
      </c>
      <c r="B41" s="12">
        <v>-1</v>
      </c>
      <c r="C41" s="12">
        <v>2</v>
      </c>
      <c r="D41" s="12">
        <v>2</v>
      </c>
      <c r="E41" s="12">
        <v>2</v>
      </c>
      <c r="F41" s="12">
        <v>2</v>
      </c>
      <c r="G41" s="12">
        <v>0</v>
      </c>
      <c r="H41" s="12">
        <v>-1</v>
      </c>
      <c r="I41" s="12">
        <v>0</v>
      </c>
      <c r="J41" s="12">
        <v>2</v>
      </c>
      <c r="K41" s="12">
        <v>2</v>
      </c>
      <c r="L41" s="12">
        <v>2</v>
      </c>
      <c r="M41" s="12">
        <v>1</v>
      </c>
      <c r="N41" s="19" t="s">
        <v>102</v>
      </c>
    </row>
    <row r="42" spans="1:14">
      <c r="A42" s="17" t="s">
        <v>128</v>
      </c>
      <c r="B42" s="12">
        <v>0</v>
      </c>
      <c r="C42" s="12">
        <v>1</v>
      </c>
      <c r="D42" s="12">
        <v>2</v>
      </c>
      <c r="E42" s="12">
        <v>0</v>
      </c>
      <c r="F42" s="12">
        <v>1</v>
      </c>
      <c r="G42" s="12">
        <v>2</v>
      </c>
      <c r="H42" s="12">
        <v>2</v>
      </c>
      <c r="I42" s="12">
        <v>2</v>
      </c>
      <c r="J42" s="12">
        <v>1</v>
      </c>
      <c r="K42" s="12">
        <v>1</v>
      </c>
      <c r="L42" s="12">
        <v>1</v>
      </c>
      <c r="M42" s="12">
        <v>2</v>
      </c>
      <c r="N42" s="55" t="s">
        <v>109</v>
      </c>
    </row>
    <row r="43" spans="1:14">
      <c r="A43" s="17" t="s">
        <v>129</v>
      </c>
      <c r="B43" s="12">
        <v>-1</v>
      </c>
      <c r="C43" s="12">
        <v>1</v>
      </c>
      <c r="D43" s="12">
        <v>1</v>
      </c>
      <c r="E43" s="12">
        <v>2</v>
      </c>
      <c r="F43" s="12">
        <v>2</v>
      </c>
      <c r="G43" s="12">
        <v>-2</v>
      </c>
      <c r="H43" s="12">
        <v>2</v>
      </c>
      <c r="I43" s="12">
        <v>2</v>
      </c>
      <c r="J43" s="12">
        <v>2</v>
      </c>
      <c r="K43" s="12">
        <v>2</v>
      </c>
      <c r="L43" s="12">
        <v>2</v>
      </c>
      <c r="M43" s="12">
        <v>1</v>
      </c>
      <c r="N43" s="19" t="s">
        <v>102</v>
      </c>
    </row>
    <row r="44" spans="1:14">
      <c r="A44" s="17" t="s">
        <v>130</v>
      </c>
      <c r="B44" s="12">
        <v>-2</v>
      </c>
      <c r="C44" s="12">
        <v>2</v>
      </c>
      <c r="D44" s="12">
        <v>2</v>
      </c>
      <c r="E44" s="12">
        <v>2</v>
      </c>
      <c r="F44" s="12">
        <v>2</v>
      </c>
      <c r="G44" s="12">
        <v>-2</v>
      </c>
      <c r="H44" s="12">
        <v>2</v>
      </c>
      <c r="I44" s="12">
        <v>2</v>
      </c>
      <c r="J44" s="12">
        <v>2</v>
      </c>
      <c r="K44" s="12">
        <v>2</v>
      </c>
      <c r="L44" s="12">
        <v>2</v>
      </c>
      <c r="M44" s="12">
        <v>2</v>
      </c>
      <c r="N44" s="19" t="s">
        <v>102</v>
      </c>
    </row>
    <row r="45" spans="1:14">
      <c r="A45" s="17" t="s">
        <v>131</v>
      </c>
      <c r="B45" s="12">
        <v>0</v>
      </c>
      <c r="C45" s="12">
        <v>0</v>
      </c>
      <c r="D45" s="12">
        <v>-1</v>
      </c>
      <c r="E45" s="12">
        <v>1</v>
      </c>
      <c r="F45" s="12">
        <v>-2</v>
      </c>
      <c r="G45" s="12">
        <v>1</v>
      </c>
      <c r="H45" s="12">
        <v>0</v>
      </c>
      <c r="I45" s="12">
        <v>-1</v>
      </c>
      <c r="J45" s="12">
        <v>2</v>
      </c>
      <c r="K45" s="12">
        <v>1</v>
      </c>
      <c r="L45" s="12">
        <v>2</v>
      </c>
      <c r="M45" s="12">
        <v>2</v>
      </c>
      <c r="N45" s="19" t="s">
        <v>102</v>
      </c>
    </row>
    <row r="46" spans="1:14">
      <c r="A46" s="17" t="s">
        <v>132</v>
      </c>
      <c r="B46" s="12">
        <v>2</v>
      </c>
      <c r="C46" s="12">
        <v>2</v>
      </c>
      <c r="D46" s="12">
        <v>2</v>
      </c>
      <c r="E46" s="12">
        <v>1</v>
      </c>
      <c r="F46" s="12">
        <v>2</v>
      </c>
      <c r="G46" s="12">
        <v>2</v>
      </c>
      <c r="H46" s="12">
        <v>-2</v>
      </c>
      <c r="I46" s="12">
        <v>2</v>
      </c>
      <c r="J46" s="12">
        <v>2</v>
      </c>
      <c r="K46" s="12">
        <v>2</v>
      </c>
      <c r="L46" s="12">
        <v>2</v>
      </c>
      <c r="M46" s="12">
        <v>2</v>
      </c>
      <c r="N46" s="55" t="s">
        <v>196</v>
      </c>
    </row>
    <row r="47" spans="1:14">
      <c r="A47" s="17" t="s">
        <v>133</v>
      </c>
      <c r="B47" s="12">
        <v>1</v>
      </c>
      <c r="C47" s="12">
        <v>2</v>
      </c>
      <c r="D47" s="12">
        <v>1</v>
      </c>
      <c r="E47" s="12">
        <v>0</v>
      </c>
      <c r="F47" s="12">
        <v>0</v>
      </c>
      <c r="G47" s="12">
        <v>1</v>
      </c>
      <c r="H47" s="12">
        <v>2</v>
      </c>
      <c r="I47" s="12">
        <v>2</v>
      </c>
      <c r="J47" s="12">
        <v>2</v>
      </c>
      <c r="K47" s="12">
        <v>2</v>
      </c>
      <c r="L47" s="12">
        <v>2</v>
      </c>
      <c r="M47" s="12">
        <v>2</v>
      </c>
      <c r="N47" s="19" t="s">
        <v>91</v>
      </c>
    </row>
    <row r="48" spans="1:14">
      <c r="A48" s="17" t="s">
        <v>134</v>
      </c>
      <c r="B48" s="12">
        <v>2</v>
      </c>
      <c r="C48" s="12">
        <v>0</v>
      </c>
      <c r="D48" s="12">
        <v>1</v>
      </c>
      <c r="E48" s="12">
        <v>0</v>
      </c>
      <c r="F48" s="12">
        <v>2</v>
      </c>
      <c r="G48" s="12">
        <v>1</v>
      </c>
      <c r="H48" s="12">
        <v>2</v>
      </c>
      <c r="I48" s="12">
        <v>2</v>
      </c>
      <c r="J48" s="12">
        <v>2</v>
      </c>
      <c r="K48" s="12">
        <v>2</v>
      </c>
      <c r="L48" s="12">
        <v>2</v>
      </c>
      <c r="M48" s="12">
        <v>2</v>
      </c>
      <c r="N48" s="19" t="s">
        <v>197</v>
      </c>
    </row>
    <row r="49" spans="1:22">
      <c r="A49" s="17" t="s">
        <v>135</v>
      </c>
      <c r="B49" s="12">
        <v>0</v>
      </c>
      <c r="C49" s="12">
        <v>-2</v>
      </c>
      <c r="D49" s="12">
        <v>0</v>
      </c>
      <c r="E49" s="12">
        <v>0</v>
      </c>
      <c r="F49" s="12">
        <v>-2</v>
      </c>
      <c r="G49" s="12">
        <v>-2</v>
      </c>
      <c r="H49" s="12">
        <v>2</v>
      </c>
      <c r="I49" s="12">
        <v>2</v>
      </c>
      <c r="J49" s="12">
        <v>2</v>
      </c>
      <c r="K49" s="12">
        <v>2</v>
      </c>
      <c r="L49" s="12">
        <v>1</v>
      </c>
      <c r="M49" s="12">
        <v>0</v>
      </c>
      <c r="N49" s="19" t="s">
        <v>198</v>
      </c>
    </row>
    <row r="50" spans="1:22">
      <c r="A50" s="17" t="s">
        <v>136</v>
      </c>
      <c r="B50" s="12">
        <v>0</v>
      </c>
      <c r="C50" s="12">
        <v>-1</v>
      </c>
      <c r="D50" s="12">
        <v>2</v>
      </c>
      <c r="E50" s="12">
        <v>1</v>
      </c>
      <c r="F50" s="12">
        <v>1</v>
      </c>
      <c r="G50" s="12">
        <v>0</v>
      </c>
      <c r="H50" s="12">
        <v>1</v>
      </c>
      <c r="I50" s="12">
        <v>0</v>
      </c>
      <c r="J50" s="12">
        <v>1</v>
      </c>
      <c r="K50" s="12">
        <v>2</v>
      </c>
      <c r="L50" s="12">
        <v>2</v>
      </c>
      <c r="M50" s="12">
        <v>2</v>
      </c>
      <c r="N50" s="19" t="s">
        <v>91</v>
      </c>
    </row>
    <row r="51" spans="1:22">
      <c r="A51" s="17" t="s">
        <v>137</v>
      </c>
      <c r="B51" s="12">
        <v>1</v>
      </c>
      <c r="C51" s="12">
        <v>2</v>
      </c>
      <c r="D51" s="12">
        <v>2</v>
      </c>
      <c r="E51" s="12">
        <v>2</v>
      </c>
      <c r="F51" s="12">
        <v>2</v>
      </c>
      <c r="G51" s="12">
        <v>0</v>
      </c>
      <c r="H51" s="12">
        <v>1</v>
      </c>
      <c r="I51" s="12">
        <v>2</v>
      </c>
      <c r="J51" s="12">
        <v>1</v>
      </c>
      <c r="K51" s="12">
        <v>2</v>
      </c>
      <c r="L51" s="12">
        <v>2</v>
      </c>
      <c r="M51" s="12">
        <v>1</v>
      </c>
      <c r="N51" s="19" t="s">
        <v>91</v>
      </c>
    </row>
    <row r="52" spans="1:22">
      <c r="A52" s="17" t="s">
        <v>138</v>
      </c>
      <c r="B52" s="12">
        <v>0</v>
      </c>
      <c r="C52" s="12">
        <v>0</v>
      </c>
      <c r="D52" s="12">
        <v>1</v>
      </c>
      <c r="E52" s="12">
        <v>0</v>
      </c>
      <c r="F52" s="12">
        <v>1</v>
      </c>
      <c r="G52" s="12">
        <v>0</v>
      </c>
      <c r="H52" s="12">
        <v>0</v>
      </c>
      <c r="I52" s="12">
        <v>0</v>
      </c>
      <c r="J52" s="12">
        <v>2</v>
      </c>
      <c r="K52" s="12">
        <v>2</v>
      </c>
      <c r="L52" s="12">
        <v>2</v>
      </c>
      <c r="M52" s="12">
        <v>2</v>
      </c>
      <c r="N52" s="55" t="s">
        <v>199</v>
      </c>
    </row>
    <row r="53" spans="1:22">
      <c r="A53" s="17" t="s">
        <v>139</v>
      </c>
      <c r="B53" s="12">
        <v>-1</v>
      </c>
      <c r="C53" s="12">
        <v>1</v>
      </c>
      <c r="D53" s="12">
        <v>1</v>
      </c>
      <c r="E53" s="12">
        <v>-1</v>
      </c>
      <c r="F53" s="12">
        <v>0</v>
      </c>
      <c r="G53" s="12">
        <v>2</v>
      </c>
      <c r="H53" s="12">
        <v>-1</v>
      </c>
      <c r="I53" s="12">
        <v>1</v>
      </c>
      <c r="J53" s="12">
        <v>1</v>
      </c>
      <c r="K53" s="12">
        <v>0</v>
      </c>
      <c r="L53" s="12">
        <v>-1</v>
      </c>
      <c r="M53" s="12">
        <v>-1</v>
      </c>
      <c r="N53" s="12" t="s">
        <v>200</v>
      </c>
    </row>
    <row r="54" spans="1:22" s="27" customFormat="1">
      <c r="A54" s="24" t="s">
        <v>140</v>
      </c>
      <c r="B54" s="25">
        <v>2</v>
      </c>
      <c r="C54" s="25">
        <v>2</v>
      </c>
      <c r="D54" s="25">
        <v>2</v>
      </c>
      <c r="E54" s="25">
        <v>2</v>
      </c>
      <c r="F54" s="25">
        <v>1</v>
      </c>
      <c r="G54" s="25">
        <v>1</v>
      </c>
      <c r="H54" s="25">
        <v>2</v>
      </c>
      <c r="I54" s="25">
        <v>1</v>
      </c>
      <c r="J54" s="25">
        <v>2</v>
      </c>
      <c r="K54" s="25">
        <v>2</v>
      </c>
      <c r="L54" s="25">
        <v>2</v>
      </c>
      <c r="M54" s="25">
        <v>2</v>
      </c>
      <c r="N54" s="25" t="s">
        <v>91</v>
      </c>
      <c r="O54" s="26" t="s">
        <v>84</v>
      </c>
      <c r="P54" s="25">
        <v>2</v>
      </c>
      <c r="Q54" s="25">
        <v>2</v>
      </c>
      <c r="R54" s="25">
        <v>1</v>
      </c>
      <c r="S54" s="25">
        <v>2</v>
      </c>
      <c r="T54" s="25">
        <v>1</v>
      </c>
      <c r="U54" s="25">
        <v>2</v>
      </c>
      <c r="V54" s="25" t="s">
        <v>91</v>
      </c>
    </row>
    <row r="55" spans="1:22">
      <c r="A55" s="17" t="s">
        <v>142</v>
      </c>
      <c r="B55" s="12">
        <v>-1</v>
      </c>
      <c r="C55" s="12">
        <v>-1</v>
      </c>
      <c r="D55" s="12">
        <v>0</v>
      </c>
      <c r="E55" s="12">
        <v>0</v>
      </c>
      <c r="F55" s="12">
        <v>1</v>
      </c>
      <c r="G55" s="12">
        <v>-1</v>
      </c>
      <c r="H55" s="12">
        <v>2</v>
      </c>
      <c r="I55" s="12">
        <v>0</v>
      </c>
      <c r="J55" s="12">
        <v>1</v>
      </c>
      <c r="K55" s="12">
        <v>-1</v>
      </c>
      <c r="L55" s="12">
        <v>0</v>
      </c>
      <c r="M55" s="12">
        <v>2</v>
      </c>
      <c r="N55" s="12" t="s">
        <v>201</v>
      </c>
      <c r="O55" s="18" t="s">
        <v>84</v>
      </c>
      <c r="P55" s="12">
        <v>1</v>
      </c>
      <c r="Q55" s="12">
        <v>2</v>
      </c>
      <c r="R55" s="12">
        <v>1</v>
      </c>
      <c r="S55" s="12">
        <v>2</v>
      </c>
      <c r="T55" s="12">
        <v>2</v>
      </c>
      <c r="U55" s="12">
        <v>2</v>
      </c>
      <c r="V55" s="12" t="s">
        <v>202</v>
      </c>
    </row>
    <row r="56" spans="1:22">
      <c r="A56" s="17" t="s">
        <v>143</v>
      </c>
      <c r="B56" s="12">
        <v>0</v>
      </c>
      <c r="C56" s="12">
        <v>2</v>
      </c>
      <c r="D56" s="12">
        <v>1</v>
      </c>
      <c r="E56" s="12">
        <v>2</v>
      </c>
      <c r="F56" s="12">
        <v>2</v>
      </c>
      <c r="G56" s="12">
        <v>0</v>
      </c>
      <c r="H56" s="12">
        <v>2</v>
      </c>
      <c r="I56" s="12">
        <v>1</v>
      </c>
      <c r="J56" s="12">
        <v>2</v>
      </c>
      <c r="K56" s="12">
        <v>2</v>
      </c>
      <c r="L56" s="12">
        <v>1</v>
      </c>
      <c r="M56" s="12">
        <v>2</v>
      </c>
      <c r="N56" s="12" t="s">
        <v>91</v>
      </c>
      <c r="O56" s="18" t="s">
        <v>84</v>
      </c>
      <c r="P56" s="12">
        <v>1</v>
      </c>
      <c r="Q56" s="12">
        <v>2</v>
      </c>
      <c r="R56" s="12">
        <v>0</v>
      </c>
      <c r="S56" s="12">
        <v>1</v>
      </c>
      <c r="T56" s="12">
        <v>2</v>
      </c>
      <c r="U56" s="12">
        <v>1</v>
      </c>
      <c r="V56" s="12" t="s">
        <v>91</v>
      </c>
    </row>
    <row r="57" spans="1:22">
      <c r="A57" s="17" t="s">
        <v>144</v>
      </c>
      <c r="B57" s="12">
        <v>0</v>
      </c>
      <c r="C57" s="12">
        <v>1</v>
      </c>
      <c r="D57" s="12">
        <v>2</v>
      </c>
      <c r="E57" s="12">
        <v>1</v>
      </c>
      <c r="F57" s="12">
        <v>-2</v>
      </c>
      <c r="G57" s="12">
        <v>2</v>
      </c>
      <c r="H57" s="12">
        <v>2</v>
      </c>
      <c r="I57" s="12">
        <v>0</v>
      </c>
      <c r="J57" s="12">
        <v>1</v>
      </c>
      <c r="K57" s="12">
        <v>-2</v>
      </c>
      <c r="L57" s="12">
        <v>0</v>
      </c>
      <c r="M57" s="12">
        <v>2</v>
      </c>
      <c r="N57" s="12" t="s">
        <v>203</v>
      </c>
      <c r="O57" s="18" t="s">
        <v>84</v>
      </c>
      <c r="P57" s="12">
        <v>2</v>
      </c>
      <c r="Q57" s="12">
        <v>2</v>
      </c>
      <c r="R57" s="12">
        <v>2</v>
      </c>
      <c r="S57" s="12">
        <v>1</v>
      </c>
      <c r="T57" s="12">
        <v>2</v>
      </c>
      <c r="U57" s="12">
        <v>1</v>
      </c>
      <c r="V57" s="12" t="s">
        <v>91</v>
      </c>
    </row>
    <row r="58" spans="1:22">
      <c r="A58" s="17" t="s">
        <v>145</v>
      </c>
      <c r="B58" s="12">
        <v>2</v>
      </c>
      <c r="C58" s="12">
        <v>2</v>
      </c>
      <c r="D58" s="12">
        <v>2</v>
      </c>
      <c r="E58" s="12">
        <v>2</v>
      </c>
      <c r="F58" s="12">
        <v>2</v>
      </c>
      <c r="G58" s="12">
        <v>2</v>
      </c>
      <c r="H58" s="12">
        <v>2</v>
      </c>
      <c r="I58" s="12">
        <v>2</v>
      </c>
      <c r="J58" s="12">
        <v>2</v>
      </c>
      <c r="K58" s="12">
        <v>2</v>
      </c>
      <c r="L58" s="12">
        <v>2</v>
      </c>
      <c r="M58" s="12">
        <v>2</v>
      </c>
      <c r="N58" s="12" t="s">
        <v>91</v>
      </c>
      <c r="O58" s="18" t="s">
        <v>84</v>
      </c>
      <c r="P58" s="12">
        <v>2</v>
      </c>
      <c r="Q58" s="12">
        <v>2</v>
      </c>
      <c r="R58" s="12">
        <v>2</v>
      </c>
      <c r="S58" s="12">
        <v>2</v>
      </c>
      <c r="T58" s="12">
        <v>2</v>
      </c>
      <c r="U58" s="12">
        <v>2</v>
      </c>
      <c r="V58" s="12" t="s">
        <v>91</v>
      </c>
    </row>
    <row r="59" spans="1:22">
      <c r="A59" s="17" t="s">
        <v>146</v>
      </c>
      <c r="B59" s="12">
        <v>2</v>
      </c>
      <c r="C59" s="12">
        <v>2</v>
      </c>
      <c r="D59" s="12">
        <v>2</v>
      </c>
      <c r="E59" s="12">
        <v>2</v>
      </c>
      <c r="F59" s="12">
        <v>2</v>
      </c>
      <c r="G59" s="12">
        <v>2</v>
      </c>
      <c r="H59" s="12">
        <v>2</v>
      </c>
      <c r="I59" s="12">
        <v>2</v>
      </c>
      <c r="J59" s="12">
        <v>2</v>
      </c>
      <c r="K59" s="12">
        <v>2</v>
      </c>
      <c r="L59" s="12">
        <v>2</v>
      </c>
      <c r="M59" s="12">
        <v>2</v>
      </c>
      <c r="N59" s="12" t="s">
        <v>91</v>
      </c>
      <c r="O59" s="18" t="s">
        <v>84</v>
      </c>
      <c r="P59" s="12">
        <v>2</v>
      </c>
      <c r="Q59" s="12">
        <v>2</v>
      </c>
      <c r="R59" s="12">
        <v>2</v>
      </c>
      <c r="S59" s="12">
        <v>2</v>
      </c>
      <c r="T59" s="12">
        <v>2</v>
      </c>
      <c r="U59" s="12">
        <v>2</v>
      </c>
      <c r="V59" s="18" t="s">
        <v>204</v>
      </c>
    </row>
    <row r="60" spans="1:22">
      <c r="A60" s="17" t="s">
        <v>147</v>
      </c>
      <c r="B60" s="12">
        <v>2</v>
      </c>
      <c r="C60" s="12">
        <v>2</v>
      </c>
      <c r="D60" s="12">
        <v>2</v>
      </c>
      <c r="E60" s="12">
        <v>2</v>
      </c>
      <c r="F60" s="12">
        <v>2</v>
      </c>
      <c r="G60" s="12">
        <v>2</v>
      </c>
      <c r="H60" s="12">
        <v>2</v>
      </c>
      <c r="I60" s="12">
        <v>2</v>
      </c>
      <c r="J60" s="12">
        <v>2</v>
      </c>
      <c r="K60" s="12">
        <v>2</v>
      </c>
      <c r="L60" s="12">
        <v>2</v>
      </c>
      <c r="M60" s="12">
        <v>2</v>
      </c>
      <c r="N60" s="12" t="s">
        <v>91</v>
      </c>
      <c r="O60" s="18" t="s">
        <v>84</v>
      </c>
      <c r="P60" s="12">
        <v>2</v>
      </c>
      <c r="Q60" s="12">
        <v>2</v>
      </c>
      <c r="R60" s="12">
        <v>2</v>
      </c>
      <c r="S60" s="12">
        <v>2</v>
      </c>
      <c r="T60" s="12">
        <v>2</v>
      </c>
      <c r="U60" s="12">
        <v>2</v>
      </c>
      <c r="V60" s="12" t="s">
        <v>91</v>
      </c>
    </row>
    <row r="61" spans="1:22">
      <c r="A61" s="17" t="s">
        <v>148</v>
      </c>
      <c r="B61" s="12">
        <v>2</v>
      </c>
      <c r="C61" s="12">
        <v>2</v>
      </c>
      <c r="D61" s="12">
        <v>2</v>
      </c>
      <c r="E61" s="12">
        <v>2</v>
      </c>
      <c r="F61" s="12">
        <v>2</v>
      </c>
      <c r="G61" s="12">
        <v>2</v>
      </c>
      <c r="H61" s="12">
        <v>2</v>
      </c>
      <c r="I61" s="12">
        <v>2</v>
      </c>
      <c r="J61" s="12">
        <v>2</v>
      </c>
      <c r="K61" s="12">
        <v>2</v>
      </c>
      <c r="L61" s="12">
        <v>2</v>
      </c>
      <c r="M61" s="12">
        <v>2</v>
      </c>
      <c r="N61" s="12" t="s">
        <v>91</v>
      </c>
      <c r="O61" s="18" t="s">
        <v>84</v>
      </c>
      <c r="P61" s="12">
        <v>2</v>
      </c>
      <c r="Q61" s="12">
        <v>2</v>
      </c>
      <c r="R61" s="12">
        <v>2</v>
      </c>
      <c r="S61" s="12">
        <v>2</v>
      </c>
      <c r="T61" s="12">
        <v>2</v>
      </c>
      <c r="U61" s="12">
        <v>2</v>
      </c>
      <c r="V61" s="12" t="s">
        <v>91</v>
      </c>
    </row>
    <row r="62" spans="1:22">
      <c r="A62" s="17" t="s">
        <v>149</v>
      </c>
      <c r="B62" s="12">
        <v>1</v>
      </c>
      <c r="C62" s="12">
        <v>0</v>
      </c>
      <c r="D62" s="12">
        <v>2</v>
      </c>
      <c r="E62" s="12">
        <v>2</v>
      </c>
      <c r="F62" s="12">
        <v>1</v>
      </c>
      <c r="G62" s="12">
        <v>-2</v>
      </c>
      <c r="H62" s="12">
        <v>0</v>
      </c>
      <c r="I62" s="12">
        <v>1</v>
      </c>
      <c r="J62" s="12">
        <v>1</v>
      </c>
      <c r="K62" s="12">
        <v>2</v>
      </c>
      <c r="L62" s="12">
        <v>2</v>
      </c>
      <c r="M62" s="12">
        <v>1</v>
      </c>
      <c r="N62" s="12" t="s">
        <v>205</v>
      </c>
      <c r="O62" s="18" t="s">
        <v>84</v>
      </c>
      <c r="P62" s="12">
        <v>2</v>
      </c>
      <c r="Q62" s="12">
        <v>0</v>
      </c>
      <c r="R62" s="12">
        <v>1</v>
      </c>
      <c r="S62" s="12">
        <v>1</v>
      </c>
      <c r="T62" s="12">
        <v>0</v>
      </c>
      <c r="U62" s="12">
        <v>2</v>
      </c>
      <c r="V62" s="12" t="s">
        <v>91</v>
      </c>
    </row>
    <row r="63" spans="1:22">
      <c r="A63" s="17" t="s">
        <v>150</v>
      </c>
      <c r="B63" s="12">
        <v>1</v>
      </c>
      <c r="C63" s="12">
        <v>2</v>
      </c>
      <c r="D63" s="12">
        <v>2</v>
      </c>
      <c r="E63" s="12">
        <v>2</v>
      </c>
      <c r="F63" s="12">
        <v>2</v>
      </c>
      <c r="G63" s="12">
        <v>1</v>
      </c>
      <c r="H63" s="12">
        <v>2</v>
      </c>
      <c r="I63" s="12">
        <v>2</v>
      </c>
      <c r="J63" s="12">
        <v>2</v>
      </c>
      <c r="K63" s="12">
        <v>2</v>
      </c>
      <c r="L63" s="12">
        <v>2</v>
      </c>
      <c r="M63" s="12">
        <v>1</v>
      </c>
      <c r="N63" s="12" t="s">
        <v>91</v>
      </c>
      <c r="O63" s="18" t="s">
        <v>84</v>
      </c>
      <c r="P63" s="12">
        <v>2</v>
      </c>
      <c r="Q63" s="12">
        <v>2</v>
      </c>
      <c r="R63" s="12">
        <v>2</v>
      </c>
      <c r="S63" s="12">
        <v>2</v>
      </c>
      <c r="T63" s="12">
        <v>1</v>
      </c>
      <c r="U63" s="12">
        <v>2</v>
      </c>
      <c r="V63" s="12" t="s">
        <v>91</v>
      </c>
    </row>
    <row r="64" spans="1:22">
      <c r="A64" s="17" t="s">
        <v>151</v>
      </c>
      <c r="B64" s="12">
        <v>2</v>
      </c>
      <c r="C64" s="12">
        <v>2</v>
      </c>
      <c r="D64" s="12">
        <v>2</v>
      </c>
      <c r="E64" s="12">
        <v>2</v>
      </c>
      <c r="F64" s="12">
        <v>2</v>
      </c>
      <c r="G64" s="12">
        <v>1</v>
      </c>
      <c r="H64" s="12">
        <v>2</v>
      </c>
      <c r="I64" s="12">
        <v>2</v>
      </c>
      <c r="J64" s="12">
        <v>2</v>
      </c>
      <c r="K64" s="12">
        <v>2</v>
      </c>
      <c r="L64" s="12">
        <v>2</v>
      </c>
      <c r="M64" s="12">
        <v>2</v>
      </c>
      <c r="N64" s="12" t="s">
        <v>91</v>
      </c>
      <c r="O64" s="18" t="s">
        <v>84</v>
      </c>
      <c r="P64" s="12">
        <v>2</v>
      </c>
      <c r="Q64" s="12">
        <v>2</v>
      </c>
      <c r="R64" s="12">
        <v>2</v>
      </c>
      <c r="S64" s="12">
        <v>2</v>
      </c>
      <c r="T64" s="12">
        <v>2</v>
      </c>
      <c r="U64" s="12">
        <v>2</v>
      </c>
      <c r="V64" s="12" t="s">
        <v>91</v>
      </c>
    </row>
    <row r="65" spans="1:22">
      <c r="A65" s="17" t="s">
        <v>152</v>
      </c>
      <c r="B65" s="12">
        <v>2</v>
      </c>
      <c r="C65" s="12">
        <v>2</v>
      </c>
      <c r="D65" s="12">
        <v>2</v>
      </c>
      <c r="E65" s="12">
        <v>2</v>
      </c>
      <c r="F65" s="12">
        <v>2</v>
      </c>
      <c r="G65" s="12">
        <v>2</v>
      </c>
      <c r="H65" s="12">
        <v>2</v>
      </c>
      <c r="I65" s="12">
        <v>2</v>
      </c>
      <c r="J65" s="12">
        <v>2</v>
      </c>
      <c r="K65" s="12">
        <v>2</v>
      </c>
      <c r="L65" s="12">
        <v>2</v>
      </c>
      <c r="M65" s="12">
        <v>2</v>
      </c>
      <c r="N65" s="12" t="s">
        <v>91</v>
      </c>
      <c r="O65" s="18" t="s">
        <v>84</v>
      </c>
      <c r="P65" s="12">
        <v>2</v>
      </c>
      <c r="Q65" s="12">
        <v>2</v>
      </c>
      <c r="R65" s="12">
        <v>2</v>
      </c>
      <c r="S65" s="12">
        <v>2</v>
      </c>
      <c r="T65" s="12">
        <v>2</v>
      </c>
      <c r="U65" s="12">
        <v>2</v>
      </c>
      <c r="V65" s="12" t="s">
        <v>206</v>
      </c>
    </row>
    <row r="66" spans="1:22">
      <c r="A66" s="17" t="s">
        <v>153</v>
      </c>
      <c r="B66" s="12">
        <v>1</v>
      </c>
      <c r="C66" s="12">
        <v>2</v>
      </c>
      <c r="D66" s="12">
        <v>0</v>
      </c>
      <c r="E66" s="12">
        <v>1</v>
      </c>
      <c r="F66" s="12">
        <v>2</v>
      </c>
      <c r="G66" s="12">
        <v>2</v>
      </c>
      <c r="H66" s="12">
        <v>2</v>
      </c>
      <c r="I66" s="12">
        <v>2</v>
      </c>
      <c r="J66" s="12">
        <v>2</v>
      </c>
      <c r="K66" s="12">
        <v>0</v>
      </c>
      <c r="L66" s="12">
        <v>1</v>
      </c>
      <c r="M66" s="12">
        <v>2</v>
      </c>
      <c r="N66" s="12" t="s">
        <v>91</v>
      </c>
      <c r="O66" s="18" t="s">
        <v>84</v>
      </c>
      <c r="P66" s="12">
        <v>2</v>
      </c>
      <c r="Q66" s="12">
        <v>2</v>
      </c>
      <c r="R66" s="12">
        <v>2</v>
      </c>
      <c r="S66" s="12">
        <v>2</v>
      </c>
      <c r="T66" s="12">
        <v>2</v>
      </c>
      <c r="U66" s="12">
        <v>2</v>
      </c>
      <c r="V66" s="12" t="s">
        <v>207</v>
      </c>
    </row>
    <row r="67" spans="1:22">
      <c r="A67" s="17" t="s">
        <v>154</v>
      </c>
      <c r="B67" s="12">
        <v>-3</v>
      </c>
      <c r="C67" s="12">
        <v>-3</v>
      </c>
      <c r="D67" s="12">
        <v>-3</v>
      </c>
      <c r="E67" s="12">
        <v>0</v>
      </c>
      <c r="F67" s="12">
        <v>1</v>
      </c>
      <c r="G67" s="12">
        <v>-3</v>
      </c>
      <c r="H67" s="12">
        <v>-3</v>
      </c>
      <c r="I67" s="12">
        <v>-3</v>
      </c>
      <c r="J67" s="12">
        <v>-3</v>
      </c>
      <c r="K67" s="12">
        <v>-3</v>
      </c>
      <c r="L67" s="12">
        <v>-3</v>
      </c>
      <c r="M67" s="12">
        <v>-3</v>
      </c>
      <c r="N67" s="12" t="s">
        <v>192</v>
      </c>
      <c r="O67" s="18" t="s">
        <v>84</v>
      </c>
      <c r="P67" s="12">
        <v>-1</v>
      </c>
      <c r="Q67" s="12">
        <v>1</v>
      </c>
      <c r="R67" s="12">
        <v>2</v>
      </c>
      <c r="S67" s="12">
        <v>2</v>
      </c>
      <c r="T67" s="12">
        <v>2</v>
      </c>
      <c r="U67" s="12">
        <v>2</v>
      </c>
      <c r="V67" s="12" t="s">
        <v>208</v>
      </c>
    </row>
    <row r="68" spans="1:22">
      <c r="A68" s="17" t="s">
        <v>155</v>
      </c>
      <c r="B68" s="12">
        <v>0</v>
      </c>
      <c r="C68" s="12">
        <v>1</v>
      </c>
      <c r="D68" s="12">
        <v>-1</v>
      </c>
      <c r="E68" s="12">
        <v>0</v>
      </c>
      <c r="F68" s="12">
        <v>2</v>
      </c>
      <c r="G68" s="12">
        <v>2</v>
      </c>
      <c r="H68" s="12">
        <v>0</v>
      </c>
      <c r="I68" s="12">
        <v>0</v>
      </c>
      <c r="J68" s="12">
        <v>-1</v>
      </c>
      <c r="K68" s="12">
        <v>1</v>
      </c>
      <c r="L68" s="12">
        <v>2</v>
      </c>
      <c r="M68" s="12">
        <v>1</v>
      </c>
      <c r="N68" s="12" t="s">
        <v>91</v>
      </c>
      <c r="O68" s="18" t="s">
        <v>84</v>
      </c>
      <c r="P68" s="12">
        <v>2</v>
      </c>
      <c r="Q68" s="12">
        <v>2</v>
      </c>
      <c r="R68" s="12">
        <v>1</v>
      </c>
      <c r="S68" s="12">
        <v>2</v>
      </c>
      <c r="T68" s="12">
        <v>2</v>
      </c>
      <c r="U68" s="12">
        <v>2</v>
      </c>
      <c r="V68" s="12" t="s">
        <v>91</v>
      </c>
    </row>
    <row r="69" spans="1:22">
      <c r="A69" s="17" t="s">
        <v>156</v>
      </c>
      <c r="B69" s="12">
        <v>1</v>
      </c>
      <c r="C69" s="12">
        <v>2</v>
      </c>
      <c r="D69" s="12">
        <v>2</v>
      </c>
      <c r="E69" s="12">
        <v>2</v>
      </c>
      <c r="F69" s="12">
        <v>1</v>
      </c>
      <c r="G69" s="12">
        <v>2</v>
      </c>
      <c r="H69" s="12">
        <v>1</v>
      </c>
      <c r="I69" s="12">
        <v>2</v>
      </c>
      <c r="J69" s="12">
        <v>2</v>
      </c>
      <c r="K69" s="12">
        <v>2</v>
      </c>
      <c r="L69" s="12">
        <v>2</v>
      </c>
      <c r="M69" s="12">
        <v>2</v>
      </c>
      <c r="N69" s="12" t="s">
        <v>91</v>
      </c>
      <c r="O69" s="18" t="s">
        <v>84</v>
      </c>
      <c r="P69" s="12">
        <v>1</v>
      </c>
      <c r="Q69" s="12">
        <v>2</v>
      </c>
      <c r="R69" s="12">
        <v>2</v>
      </c>
      <c r="S69" s="12">
        <v>2</v>
      </c>
      <c r="T69" s="12">
        <v>2</v>
      </c>
      <c r="U69" s="12">
        <v>2</v>
      </c>
      <c r="V69" s="12" t="s">
        <v>91</v>
      </c>
    </row>
    <row r="70" spans="1:22">
      <c r="A70" s="17" t="s">
        <v>157</v>
      </c>
      <c r="B70" s="12">
        <v>2</v>
      </c>
      <c r="C70" s="12">
        <v>2</v>
      </c>
      <c r="D70" s="12">
        <v>2</v>
      </c>
      <c r="E70" s="12">
        <v>-2</v>
      </c>
      <c r="F70" s="12">
        <v>2</v>
      </c>
      <c r="G70" s="12">
        <v>-2</v>
      </c>
      <c r="H70" s="12">
        <v>2</v>
      </c>
      <c r="I70" s="12">
        <v>2</v>
      </c>
      <c r="J70" s="12">
        <v>2</v>
      </c>
      <c r="K70" s="12">
        <v>2</v>
      </c>
      <c r="L70" s="12">
        <v>2</v>
      </c>
      <c r="M70" s="12">
        <v>2</v>
      </c>
      <c r="N70" s="12" t="s">
        <v>91</v>
      </c>
      <c r="O70" s="18" t="s">
        <v>84</v>
      </c>
      <c r="P70" s="12">
        <v>2</v>
      </c>
      <c r="Q70" s="12">
        <v>2</v>
      </c>
      <c r="R70" s="12">
        <v>2</v>
      </c>
      <c r="S70" s="12">
        <v>-2</v>
      </c>
      <c r="T70" s="12">
        <v>2</v>
      </c>
      <c r="U70" s="12">
        <v>2</v>
      </c>
      <c r="V70" s="12" t="s">
        <v>91</v>
      </c>
    </row>
    <row r="71" spans="1:22">
      <c r="A71" s="17" t="s">
        <v>158</v>
      </c>
      <c r="B71" s="12">
        <v>2</v>
      </c>
      <c r="C71" s="12">
        <v>2</v>
      </c>
      <c r="D71" s="12">
        <v>2</v>
      </c>
      <c r="E71" s="12">
        <v>2</v>
      </c>
      <c r="F71" s="12">
        <v>2</v>
      </c>
      <c r="G71" s="12">
        <v>2</v>
      </c>
      <c r="H71" s="12">
        <v>2</v>
      </c>
      <c r="I71" s="12">
        <v>2</v>
      </c>
      <c r="J71" s="12">
        <v>2</v>
      </c>
      <c r="K71" s="12">
        <v>2</v>
      </c>
      <c r="L71" s="12">
        <v>2</v>
      </c>
      <c r="M71" s="12">
        <v>2</v>
      </c>
      <c r="N71" s="12" t="s">
        <v>91</v>
      </c>
      <c r="O71" s="18" t="s">
        <v>84</v>
      </c>
      <c r="P71" s="12">
        <v>2</v>
      </c>
      <c r="Q71" s="12">
        <v>2</v>
      </c>
      <c r="R71" s="12">
        <v>2</v>
      </c>
      <c r="S71" s="12">
        <v>2</v>
      </c>
      <c r="T71" s="12">
        <v>2</v>
      </c>
      <c r="U71" s="12">
        <v>2</v>
      </c>
      <c r="V71" s="12" t="s">
        <v>91</v>
      </c>
    </row>
    <row r="72" spans="1:22">
      <c r="A72" s="17" t="s">
        <v>159</v>
      </c>
      <c r="B72" s="12">
        <v>-3</v>
      </c>
      <c r="C72" s="12">
        <v>-3</v>
      </c>
      <c r="D72" s="12">
        <v>-3</v>
      </c>
      <c r="E72" s="12">
        <v>-3</v>
      </c>
      <c r="F72" s="12">
        <v>-3</v>
      </c>
      <c r="G72" s="12">
        <v>-3</v>
      </c>
      <c r="H72" s="12">
        <v>-3</v>
      </c>
      <c r="I72" s="12">
        <v>-3</v>
      </c>
      <c r="J72" s="12">
        <v>-3</v>
      </c>
      <c r="K72" s="12">
        <v>-3</v>
      </c>
      <c r="L72" s="12">
        <v>-3</v>
      </c>
      <c r="M72" s="12">
        <v>-3</v>
      </c>
      <c r="N72" s="56" t="s">
        <v>209</v>
      </c>
      <c r="O72" s="18" t="s">
        <v>84</v>
      </c>
      <c r="P72" s="12">
        <v>-1</v>
      </c>
      <c r="Q72" s="12">
        <v>2</v>
      </c>
      <c r="R72" s="12">
        <v>2</v>
      </c>
      <c r="S72" s="12">
        <v>2</v>
      </c>
      <c r="T72" s="12">
        <v>2</v>
      </c>
      <c r="U72" s="12">
        <v>1</v>
      </c>
      <c r="V72" s="12" t="s">
        <v>210</v>
      </c>
    </row>
    <row r="73" spans="1:22">
      <c r="A73" s="17" t="s">
        <v>160</v>
      </c>
      <c r="B73" s="12">
        <v>2</v>
      </c>
      <c r="C73" s="12">
        <v>2</v>
      </c>
      <c r="D73" s="12">
        <v>1</v>
      </c>
      <c r="E73" s="12">
        <v>2</v>
      </c>
      <c r="F73" s="12">
        <v>1</v>
      </c>
      <c r="G73" s="12">
        <v>2</v>
      </c>
      <c r="H73" s="12">
        <v>2</v>
      </c>
      <c r="I73" s="12">
        <v>2</v>
      </c>
      <c r="J73" s="12">
        <v>2</v>
      </c>
      <c r="K73" s="12">
        <v>1</v>
      </c>
      <c r="L73" s="12">
        <v>2</v>
      </c>
      <c r="M73" s="12">
        <v>2</v>
      </c>
      <c r="N73" s="12" t="s">
        <v>91</v>
      </c>
      <c r="O73" s="12" t="s">
        <v>84</v>
      </c>
      <c r="P73" s="12">
        <v>1</v>
      </c>
      <c r="Q73" s="12">
        <v>1</v>
      </c>
      <c r="R73" s="12">
        <v>2</v>
      </c>
      <c r="S73" s="12">
        <v>2</v>
      </c>
      <c r="T73" s="12">
        <v>1</v>
      </c>
      <c r="U73" s="12">
        <v>1</v>
      </c>
      <c r="V73" s="12" t="s">
        <v>91</v>
      </c>
    </row>
    <row r="74" spans="1:22">
      <c r="A74" s="17" t="s">
        <v>161</v>
      </c>
      <c r="B74" s="12">
        <v>0</v>
      </c>
      <c r="C74" s="12">
        <v>-1</v>
      </c>
      <c r="D74" s="12">
        <v>2</v>
      </c>
      <c r="E74" s="12">
        <v>1</v>
      </c>
      <c r="F74" s="12">
        <v>1</v>
      </c>
      <c r="G74" s="12">
        <v>0</v>
      </c>
      <c r="H74" s="12">
        <v>1</v>
      </c>
      <c r="I74" s="12">
        <v>-1</v>
      </c>
      <c r="J74" s="12">
        <v>1</v>
      </c>
      <c r="K74" s="12">
        <v>2</v>
      </c>
      <c r="L74" s="12">
        <v>2</v>
      </c>
      <c r="M74" s="12">
        <v>2</v>
      </c>
      <c r="N74" s="12" t="s">
        <v>211</v>
      </c>
      <c r="O74" s="12" t="s">
        <v>84</v>
      </c>
      <c r="P74" s="12">
        <v>1</v>
      </c>
      <c r="Q74" s="12">
        <v>2</v>
      </c>
      <c r="R74" s="12">
        <v>1</v>
      </c>
      <c r="S74" s="12">
        <v>0</v>
      </c>
      <c r="T74" s="12">
        <v>1</v>
      </c>
      <c r="U74" s="12">
        <v>2</v>
      </c>
      <c r="V74" s="12" t="s">
        <v>97</v>
      </c>
    </row>
    <row r="75" spans="1:22">
      <c r="A75" s="17" t="s">
        <v>162</v>
      </c>
      <c r="B75" s="12">
        <v>-1</v>
      </c>
      <c r="C75" s="12">
        <v>2</v>
      </c>
      <c r="D75" s="12">
        <v>2</v>
      </c>
      <c r="E75" s="12">
        <v>-2</v>
      </c>
      <c r="F75" s="12">
        <v>2</v>
      </c>
      <c r="G75" s="12">
        <v>0</v>
      </c>
      <c r="H75" s="12">
        <v>1</v>
      </c>
      <c r="I75" s="12">
        <v>2</v>
      </c>
      <c r="J75" s="12">
        <v>2</v>
      </c>
      <c r="K75" s="12">
        <v>2</v>
      </c>
      <c r="L75" s="12">
        <v>2</v>
      </c>
      <c r="M75" s="12">
        <v>1</v>
      </c>
      <c r="N75" s="12" t="s">
        <v>212</v>
      </c>
      <c r="O75" s="12" t="s">
        <v>84</v>
      </c>
      <c r="P75" s="12">
        <v>1</v>
      </c>
      <c r="Q75" s="12">
        <v>1</v>
      </c>
      <c r="R75" s="12">
        <v>2</v>
      </c>
      <c r="S75" s="12">
        <v>2</v>
      </c>
      <c r="T75" s="12">
        <v>0</v>
      </c>
      <c r="U75" s="12">
        <v>1</v>
      </c>
      <c r="V75" s="12" t="s">
        <v>213</v>
      </c>
    </row>
    <row r="76" spans="1:22">
      <c r="A76" s="12" t="s">
        <v>163</v>
      </c>
      <c r="B76" s="12">
        <v>0</v>
      </c>
      <c r="C76" s="12">
        <v>0</v>
      </c>
      <c r="D76" s="12">
        <v>1</v>
      </c>
      <c r="E76" s="12">
        <v>0</v>
      </c>
      <c r="F76" s="12">
        <v>1</v>
      </c>
      <c r="G76" s="12">
        <v>0</v>
      </c>
      <c r="H76" s="12">
        <v>0</v>
      </c>
      <c r="I76" s="12">
        <v>0</v>
      </c>
      <c r="J76" s="12">
        <v>2</v>
      </c>
      <c r="K76" s="12">
        <v>2</v>
      </c>
      <c r="L76" s="12">
        <v>2</v>
      </c>
      <c r="M76" s="12">
        <v>2</v>
      </c>
      <c r="N76" s="12" t="s">
        <v>194</v>
      </c>
      <c r="O76" s="12" t="s">
        <v>84</v>
      </c>
      <c r="P76" s="12">
        <v>2</v>
      </c>
      <c r="Q76" s="12">
        <v>2</v>
      </c>
      <c r="R76" s="12">
        <v>2</v>
      </c>
      <c r="S76" s="12">
        <v>1</v>
      </c>
      <c r="T76" s="12">
        <v>2</v>
      </c>
      <c r="U76" s="12">
        <v>2</v>
      </c>
      <c r="V76" s="12" t="s">
        <v>91</v>
      </c>
    </row>
    <row r="77" spans="1:22">
      <c r="A77" s="12" t="s">
        <v>164</v>
      </c>
      <c r="B77" s="12">
        <v>-2</v>
      </c>
      <c r="C77" s="12">
        <v>-2</v>
      </c>
      <c r="D77" s="12">
        <v>-2</v>
      </c>
      <c r="E77" s="12">
        <v>-1</v>
      </c>
      <c r="F77" s="12">
        <v>-2</v>
      </c>
      <c r="G77" s="12">
        <v>0</v>
      </c>
      <c r="H77" s="12">
        <v>0</v>
      </c>
      <c r="I77" s="12">
        <v>-1</v>
      </c>
      <c r="J77" s="12">
        <v>-2</v>
      </c>
      <c r="K77" s="12">
        <v>-2</v>
      </c>
      <c r="L77" s="12">
        <v>-2</v>
      </c>
      <c r="M77" s="12">
        <v>-1</v>
      </c>
      <c r="N77" s="12" t="s">
        <v>214</v>
      </c>
      <c r="O77" s="12" t="s">
        <v>84</v>
      </c>
      <c r="P77" s="12">
        <v>-2</v>
      </c>
      <c r="Q77" s="12">
        <v>-2</v>
      </c>
      <c r="R77" s="12">
        <v>-2</v>
      </c>
      <c r="S77" s="12">
        <v>-1</v>
      </c>
      <c r="T77" s="12">
        <v>-2</v>
      </c>
      <c r="U77" s="12">
        <v>-2</v>
      </c>
      <c r="V77" s="12" t="s">
        <v>193</v>
      </c>
    </row>
    <row r="78" spans="1:22">
      <c r="A78" s="12" t="s">
        <v>165</v>
      </c>
      <c r="B78" s="31">
        <v>0</v>
      </c>
      <c r="C78" s="31">
        <v>-2</v>
      </c>
      <c r="D78" s="31">
        <v>0</v>
      </c>
      <c r="E78" s="31">
        <v>0</v>
      </c>
      <c r="F78" s="12">
        <v>-2</v>
      </c>
      <c r="G78" s="12">
        <v>-2</v>
      </c>
      <c r="H78" s="12">
        <v>2</v>
      </c>
      <c r="I78" s="12">
        <v>2</v>
      </c>
      <c r="J78" s="12">
        <v>2</v>
      </c>
      <c r="K78" s="12">
        <v>2</v>
      </c>
      <c r="L78" s="12">
        <v>1</v>
      </c>
      <c r="M78" s="12">
        <v>0</v>
      </c>
      <c r="N78" s="12" t="s">
        <v>215</v>
      </c>
      <c r="O78" s="12" t="s">
        <v>84</v>
      </c>
      <c r="P78" s="12">
        <v>0</v>
      </c>
      <c r="Q78" s="12">
        <v>1</v>
      </c>
      <c r="R78" s="12">
        <v>0</v>
      </c>
      <c r="S78" s="12">
        <v>2</v>
      </c>
      <c r="T78" s="12">
        <v>1</v>
      </c>
      <c r="U78" s="12">
        <v>2</v>
      </c>
      <c r="V78" s="12" t="s">
        <v>216</v>
      </c>
    </row>
    <row r="79" spans="1:22">
      <c r="A79" s="12" t="s">
        <v>166</v>
      </c>
      <c r="B79" s="12">
        <v>2</v>
      </c>
      <c r="C79" s="12">
        <v>1</v>
      </c>
      <c r="D79" s="12">
        <v>2</v>
      </c>
      <c r="E79" s="12">
        <v>2</v>
      </c>
      <c r="F79" s="12">
        <v>0</v>
      </c>
      <c r="G79" s="12">
        <v>1</v>
      </c>
      <c r="H79" s="12">
        <v>2</v>
      </c>
      <c r="I79" s="12">
        <v>2</v>
      </c>
      <c r="J79" s="12">
        <v>1</v>
      </c>
      <c r="K79" s="12">
        <v>2</v>
      </c>
      <c r="L79" s="12">
        <v>1</v>
      </c>
      <c r="M79" s="12">
        <v>1</v>
      </c>
      <c r="N79" s="12" t="s">
        <v>91</v>
      </c>
    </row>
    <row r="80" spans="1:22">
      <c r="A80" s="12" t="s">
        <v>167</v>
      </c>
      <c r="B80" s="12">
        <v>0</v>
      </c>
      <c r="C80" s="12">
        <v>1</v>
      </c>
      <c r="D80" s="12">
        <v>1</v>
      </c>
      <c r="E80" s="12">
        <v>0</v>
      </c>
      <c r="F80" s="12">
        <v>1</v>
      </c>
      <c r="G80" s="12">
        <v>2</v>
      </c>
      <c r="H80" s="12">
        <v>2</v>
      </c>
      <c r="I80" s="12">
        <v>1</v>
      </c>
      <c r="J80" s="12">
        <v>1</v>
      </c>
      <c r="K80" s="12">
        <v>2</v>
      </c>
      <c r="L80" s="12">
        <v>0</v>
      </c>
      <c r="M80" s="12">
        <v>2</v>
      </c>
      <c r="N80" s="12" t="s">
        <v>91</v>
      </c>
    </row>
    <row r="81" spans="1:14">
      <c r="A81" s="12" t="s">
        <v>168</v>
      </c>
      <c r="B81" s="12">
        <v>0</v>
      </c>
      <c r="C81" s="17">
        <v>0</v>
      </c>
      <c r="D81" s="17">
        <v>-1</v>
      </c>
      <c r="E81" s="17">
        <v>1</v>
      </c>
      <c r="F81" s="17">
        <v>1</v>
      </c>
      <c r="G81" s="12">
        <v>2</v>
      </c>
      <c r="H81" s="12">
        <v>1</v>
      </c>
      <c r="I81" s="12">
        <v>2</v>
      </c>
      <c r="J81" s="12">
        <v>1</v>
      </c>
      <c r="K81" s="12">
        <v>1</v>
      </c>
      <c r="L81" s="12">
        <v>2</v>
      </c>
      <c r="M81" s="12">
        <v>0</v>
      </c>
      <c r="N81" s="12" t="s">
        <v>98</v>
      </c>
    </row>
    <row r="82" spans="1:14">
      <c r="A82" s="12" t="s">
        <v>169</v>
      </c>
      <c r="B82" s="12">
        <v>1</v>
      </c>
      <c r="C82" s="17">
        <v>2</v>
      </c>
      <c r="D82" s="17">
        <v>2</v>
      </c>
      <c r="E82" s="17">
        <v>2</v>
      </c>
      <c r="F82" s="17">
        <v>2</v>
      </c>
      <c r="G82" s="12">
        <v>2</v>
      </c>
      <c r="H82" s="12">
        <v>0</v>
      </c>
      <c r="I82" s="12">
        <v>2</v>
      </c>
      <c r="J82" s="12">
        <v>2</v>
      </c>
      <c r="K82" s="12">
        <v>2</v>
      </c>
      <c r="L82" s="12">
        <v>2</v>
      </c>
      <c r="M82" s="12">
        <v>2</v>
      </c>
      <c r="N82" s="12" t="s">
        <v>217</v>
      </c>
    </row>
    <row r="83" spans="1:14">
      <c r="A83" s="12" t="s">
        <v>170</v>
      </c>
      <c r="B83" s="12">
        <v>0</v>
      </c>
      <c r="C83" s="28">
        <v>2</v>
      </c>
      <c r="D83" s="28">
        <v>2</v>
      </c>
      <c r="E83" s="28">
        <v>-2</v>
      </c>
      <c r="F83" s="17">
        <v>2</v>
      </c>
      <c r="G83" s="12">
        <v>2</v>
      </c>
      <c r="H83" s="12">
        <v>2</v>
      </c>
      <c r="I83" s="12">
        <v>2</v>
      </c>
      <c r="J83" s="12">
        <v>0</v>
      </c>
      <c r="K83" s="12">
        <v>0</v>
      </c>
      <c r="L83" s="12">
        <v>1</v>
      </c>
      <c r="M83" s="12">
        <v>2</v>
      </c>
      <c r="N83" s="12" t="s">
        <v>91</v>
      </c>
    </row>
    <row r="84" spans="1:14">
      <c r="A84" s="12" t="s">
        <v>171</v>
      </c>
      <c r="B84" s="12">
        <v>1</v>
      </c>
      <c r="C84" s="28">
        <v>1</v>
      </c>
      <c r="D84" s="29">
        <v>2</v>
      </c>
      <c r="E84" s="29">
        <v>2</v>
      </c>
      <c r="F84" s="17">
        <v>1</v>
      </c>
      <c r="G84" s="12">
        <v>2</v>
      </c>
      <c r="H84" s="12">
        <v>1</v>
      </c>
      <c r="I84" s="12">
        <v>1</v>
      </c>
      <c r="J84" s="12">
        <v>2</v>
      </c>
      <c r="K84" s="12">
        <v>2</v>
      </c>
      <c r="L84" s="12">
        <v>2</v>
      </c>
      <c r="M84" s="12">
        <v>2</v>
      </c>
      <c r="N84" s="12" t="s">
        <v>218</v>
      </c>
    </row>
    <row r="85" spans="1:14">
      <c r="A85" s="12" t="s">
        <v>172</v>
      </c>
      <c r="B85" s="12">
        <v>1</v>
      </c>
      <c r="C85" s="28">
        <v>1</v>
      </c>
      <c r="D85" s="29">
        <v>2</v>
      </c>
      <c r="E85" s="29">
        <v>2</v>
      </c>
      <c r="F85" s="17">
        <v>1</v>
      </c>
      <c r="G85" s="12">
        <v>2</v>
      </c>
      <c r="H85" s="12">
        <v>2</v>
      </c>
      <c r="I85" s="12">
        <v>1</v>
      </c>
      <c r="J85" s="12">
        <v>2</v>
      </c>
      <c r="K85" s="12">
        <v>2</v>
      </c>
      <c r="L85" s="12">
        <v>2</v>
      </c>
      <c r="M85" s="12">
        <v>2</v>
      </c>
      <c r="N85" s="12" t="s">
        <v>91</v>
      </c>
    </row>
    <row r="86" spans="1:14">
      <c r="A86" s="12" t="s">
        <v>173</v>
      </c>
      <c r="B86" s="12">
        <v>0</v>
      </c>
      <c r="C86" s="28">
        <v>0</v>
      </c>
      <c r="D86" s="29">
        <v>1</v>
      </c>
      <c r="E86" s="29">
        <v>0</v>
      </c>
      <c r="F86" s="17">
        <v>1</v>
      </c>
      <c r="G86" s="12">
        <v>2</v>
      </c>
      <c r="H86" s="12">
        <v>1</v>
      </c>
      <c r="I86" s="12">
        <v>1</v>
      </c>
      <c r="J86" s="12">
        <v>2</v>
      </c>
      <c r="K86" s="12">
        <v>0</v>
      </c>
      <c r="L86" s="12">
        <v>1</v>
      </c>
      <c r="M86" s="12">
        <v>2</v>
      </c>
      <c r="N86" s="12" t="s">
        <v>192</v>
      </c>
    </row>
    <row r="87" spans="1:14">
      <c r="A87" s="12" t="s">
        <v>174</v>
      </c>
      <c r="B87" s="12">
        <v>1</v>
      </c>
      <c r="C87" s="28">
        <v>1</v>
      </c>
      <c r="D87" s="29">
        <v>1</v>
      </c>
      <c r="E87" s="29">
        <v>2</v>
      </c>
      <c r="F87" s="17">
        <v>2</v>
      </c>
      <c r="G87" s="12">
        <v>1</v>
      </c>
      <c r="H87" s="12">
        <v>2</v>
      </c>
      <c r="I87" s="12">
        <v>1</v>
      </c>
      <c r="J87" s="12">
        <v>1</v>
      </c>
      <c r="K87" s="12">
        <v>2</v>
      </c>
      <c r="L87" s="12">
        <v>2</v>
      </c>
      <c r="M87" s="12">
        <v>2</v>
      </c>
      <c r="N87" s="12" t="s">
        <v>91</v>
      </c>
    </row>
    <row r="88" spans="1:14">
      <c r="A88" s="12" t="s">
        <v>175</v>
      </c>
      <c r="B88" s="12">
        <v>1</v>
      </c>
      <c r="C88" s="28">
        <v>1</v>
      </c>
      <c r="D88" s="29">
        <v>1</v>
      </c>
      <c r="E88" s="29">
        <v>0</v>
      </c>
      <c r="F88" s="17">
        <v>2</v>
      </c>
      <c r="G88" s="12">
        <v>0</v>
      </c>
      <c r="H88" s="12">
        <v>1</v>
      </c>
      <c r="I88" s="12">
        <v>1</v>
      </c>
      <c r="J88" s="12">
        <v>2</v>
      </c>
      <c r="K88" s="12">
        <v>2</v>
      </c>
      <c r="L88" s="12">
        <v>1</v>
      </c>
      <c r="M88" s="12">
        <v>1</v>
      </c>
      <c r="N88" s="12" t="s">
        <v>219</v>
      </c>
    </row>
    <row r="89" spans="1:14">
      <c r="A89" s="12" t="s">
        <v>176</v>
      </c>
      <c r="B89" s="12">
        <v>1</v>
      </c>
      <c r="C89" s="28">
        <v>0</v>
      </c>
      <c r="D89" s="30">
        <v>0</v>
      </c>
      <c r="E89" s="29">
        <v>0</v>
      </c>
      <c r="F89" s="17">
        <v>-1</v>
      </c>
      <c r="G89" s="12">
        <v>0</v>
      </c>
      <c r="H89" s="12">
        <v>1</v>
      </c>
      <c r="I89" s="12">
        <v>1</v>
      </c>
      <c r="J89" s="12">
        <v>0</v>
      </c>
      <c r="K89" s="12">
        <v>0</v>
      </c>
      <c r="L89" s="12">
        <v>-1</v>
      </c>
      <c r="M89" s="12">
        <v>1</v>
      </c>
      <c r="N89" s="12" t="s">
        <v>91</v>
      </c>
    </row>
    <row r="90" spans="1:14">
      <c r="A90" s="12" t="s">
        <v>177</v>
      </c>
      <c r="B90" s="12">
        <v>-1</v>
      </c>
      <c r="C90" s="28">
        <v>0</v>
      </c>
      <c r="D90" s="30">
        <v>-1</v>
      </c>
      <c r="E90" s="29">
        <v>-2</v>
      </c>
      <c r="F90" s="17">
        <v>0</v>
      </c>
      <c r="G90" s="12">
        <v>1</v>
      </c>
      <c r="H90" s="12">
        <v>-1</v>
      </c>
      <c r="I90" s="12">
        <v>-2</v>
      </c>
      <c r="J90" s="12">
        <v>0</v>
      </c>
      <c r="K90" s="12">
        <v>-1</v>
      </c>
      <c r="L90" s="12">
        <v>-1</v>
      </c>
      <c r="M90" s="12">
        <v>0</v>
      </c>
      <c r="N90" s="12" t="s">
        <v>220</v>
      </c>
    </row>
    <row r="91" spans="1:14">
      <c r="A91" s="12" t="s">
        <v>178</v>
      </c>
      <c r="B91" s="12">
        <v>-1</v>
      </c>
      <c r="C91" s="17">
        <v>-1</v>
      </c>
      <c r="D91" s="17">
        <v>0</v>
      </c>
      <c r="E91" s="17">
        <v>0</v>
      </c>
      <c r="F91" s="17">
        <v>0</v>
      </c>
      <c r="G91" s="12">
        <v>-2</v>
      </c>
      <c r="H91" s="12">
        <v>0</v>
      </c>
      <c r="I91" s="12">
        <v>0</v>
      </c>
      <c r="J91" s="12">
        <v>2</v>
      </c>
      <c r="K91" s="12">
        <v>-1</v>
      </c>
      <c r="L91" s="12">
        <v>-1</v>
      </c>
      <c r="M91" s="12">
        <v>2</v>
      </c>
      <c r="N91" s="12" t="s">
        <v>192</v>
      </c>
    </row>
    <row r="92" spans="1:14">
      <c r="A92" s="12" t="s">
        <v>179</v>
      </c>
      <c r="B92" s="12">
        <v>2</v>
      </c>
      <c r="C92" s="17">
        <v>2</v>
      </c>
      <c r="D92" s="17">
        <v>2</v>
      </c>
      <c r="E92" s="17">
        <v>2</v>
      </c>
      <c r="F92" s="17">
        <v>2</v>
      </c>
      <c r="G92" s="12">
        <v>2</v>
      </c>
      <c r="H92" s="12">
        <v>2</v>
      </c>
      <c r="I92" s="12">
        <v>2</v>
      </c>
      <c r="J92" s="12">
        <v>2</v>
      </c>
      <c r="K92" s="12">
        <v>2</v>
      </c>
      <c r="L92" s="12">
        <v>2</v>
      </c>
      <c r="M92" s="12">
        <v>2</v>
      </c>
      <c r="N92" s="12" t="s">
        <v>221</v>
      </c>
    </row>
    <row r="93" spans="1:14">
      <c r="A93" s="12" t="s">
        <v>180</v>
      </c>
      <c r="B93" s="12">
        <v>0</v>
      </c>
      <c r="C93" s="17">
        <v>-2</v>
      </c>
      <c r="D93" s="17">
        <v>1</v>
      </c>
      <c r="E93" s="17">
        <v>1</v>
      </c>
      <c r="F93" s="17">
        <v>1</v>
      </c>
      <c r="G93" s="12">
        <v>-2</v>
      </c>
      <c r="H93" s="12">
        <v>-1</v>
      </c>
      <c r="I93" s="12">
        <v>1</v>
      </c>
      <c r="J93" s="12">
        <v>1</v>
      </c>
      <c r="K93" s="12">
        <v>0</v>
      </c>
      <c r="L93" s="12">
        <v>1</v>
      </c>
      <c r="M93" s="12">
        <v>1</v>
      </c>
      <c r="N93" s="12" t="s">
        <v>91</v>
      </c>
    </row>
    <row r="94" spans="1:14">
      <c r="A94" s="12" t="s">
        <v>181</v>
      </c>
      <c r="B94" s="12">
        <v>1</v>
      </c>
      <c r="C94" s="17">
        <v>2</v>
      </c>
      <c r="D94" s="17">
        <v>0</v>
      </c>
      <c r="E94" s="17">
        <v>1</v>
      </c>
      <c r="F94" s="17">
        <v>2</v>
      </c>
      <c r="G94" s="12">
        <v>2</v>
      </c>
      <c r="H94" s="12">
        <v>2</v>
      </c>
      <c r="I94" s="12">
        <v>2</v>
      </c>
      <c r="J94" s="12">
        <v>2</v>
      </c>
      <c r="K94" s="12">
        <v>0</v>
      </c>
      <c r="L94" s="12">
        <v>1</v>
      </c>
      <c r="M94" s="12">
        <v>2</v>
      </c>
      <c r="N94" s="12" t="s">
        <v>91</v>
      </c>
    </row>
    <row r="95" spans="1:14">
      <c r="A95" s="12" t="s">
        <v>182</v>
      </c>
      <c r="B95" s="12">
        <v>0</v>
      </c>
      <c r="C95" s="17">
        <v>2</v>
      </c>
      <c r="D95" s="17">
        <v>2</v>
      </c>
      <c r="E95" s="17">
        <v>2</v>
      </c>
      <c r="F95" s="17">
        <v>2</v>
      </c>
      <c r="G95" s="12">
        <v>2</v>
      </c>
      <c r="H95" s="12">
        <v>1</v>
      </c>
      <c r="I95" s="12">
        <v>2</v>
      </c>
      <c r="J95" s="12">
        <v>2</v>
      </c>
      <c r="K95" s="12">
        <v>2</v>
      </c>
      <c r="L95" s="12">
        <v>2</v>
      </c>
      <c r="M95" s="12">
        <v>2</v>
      </c>
      <c r="N95" s="56" t="s">
        <v>222</v>
      </c>
    </row>
    <row r="96" spans="1:14">
      <c r="A96" s="12" t="s">
        <v>183</v>
      </c>
      <c r="B96" s="12">
        <v>2</v>
      </c>
      <c r="C96" s="17">
        <v>-2</v>
      </c>
      <c r="D96" s="17">
        <v>2</v>
      </c>
      <c r="E96" s="17">
        <v>-2</v>
      </c>
      <c r="F96" s="17">
        <v>2</v>
      </c>
      <c r="G96" s="12">
        <v>1</v>
      </c>
      <c r="H96" s="12">
        <v>2</v>
      </c>
      <c r="I96" s="12">
        <v>-1</v>
      </c>
      <c r="J96" s="12">
        <v>2</v>
      </c>
      <c r="K96" s="12">
        <v>2</v>
      </c>
      <c r="L96" s="12">
        <v>1</v>
      </c>
      <c r="M96" s="12">
        <v>2</v>
      </c>
      <c r="N96" s="12" t="s">
        <v>223</v>
      </c>
    </row>
    <row r="97" spans="1:22">
      <c r="A97" s="12" t="s">
        <v>184</v>
      </c>
      <c r="B97" s="12">
        <v>2</v>
      </c>
      <c r="C97" s="12">
        <v>2</v>
      </c>
      <c r="D97" s="12">
        <v>2</v>
      </c>
      <c r="E97" s="12">
        <v>2</v>
      </c>
      <c r="F97" s="12">
        <v>2</v>
      </c>
      <c r="G97" s="12">
        <v>2</v>
      </c>
      <c r="H97" s="12">
        <v>2</v>
      </c>
      <c r="I97" s="12">
        <v>2</v>
      </c>
      <c r="J97" s="12">
        <v>2</v>
      </c>
      <c r="K97" s="12">
        <v>2</v>
      </c>
      <c r="L97" s="12">
        <v>2</v>
      </c>
      <c r="M97" s="12">
        <v>2</v>
      </c>
      <c r="N97" s="12" t="s">
        <v>224</v>
      </c>
    </row>
    <row r="98" spans="1:22">
      <c r="A98" s="12" t="s">
        <v>185</v>
      </c>
      <c r="B98" s="12">
        <v>2</v>
      </c>
      <c r="C98" s="12">
        <v>2</v>
      </c>
      <c r="D98" s="12">
        <v>2</v>
      </c>
      <c r="E98" s="12">
        <v>2</v>
      </c>
      <c r="F98" s="12">
        <v>2</v>
      </c>
      <c r="G98" s="12">
        <v>2</v>
      </c>
      <c r="H98" s="12">
        <v>-2</v>
      </c>
      <c r="I98" s="12">
        <v>2</v>
      </c>
      <c r="J98" s="12">
        <v>2</v>
      </c>
      <c r="K98" s="12">
        <v>2</v>
      </c>
      <c r="L98" s="12">
        <v>2</v>
      </c>
      <c r="M98" s="12">
        <v>2</v>
      </c>
      <c r="N98" s="12" t="s">
        <v>91</v>
      </c>
    </row>
    <row r="99" spans="1:22">
      <c r="A99" s="12" t="s">
        <v>186</v>
      </c>
      <c r="B99" s="12">
        <v>0</v>
      </c>
      <c r="C99" s="12">
        <v>-1</v>
      </c>
      <c r="D99" s="12">
        <v>0</v>
      </c>
      <c r="E99" s="12">
        <v>0</v>
      </c>
      <c r="F99" s="12">
        <v>-1</v>
      </c>
      <c r="G99" s="12">
        <v>1</v>
      </c>
      <c r="H99" s="12">
        <v>2</v>
      </c>
      <c r="I99" s="12">
        <v>0</v>
      </c>
      <c r="J99" s="12">
        <v>-1</v>
      </c>
      <c r="K99" s="12">
        <v>-1</v>
      </c>
      <c r="L99" s="12">
        <v>-1</v>
      </c>
      <c r="M99" s="12">
        <v>2</v>
      </c>
      <c r="N99" s="12" t="s">
        <v>225</v>
      </c>
    </row>
    <row r="100" spans="1:22">
      <c r="A100" s="12" t="s">
        <v>187</v>
      </c>
      <c r="B100" s="12">
        <v>2</v>
      </c>
      <c r="C100" s="12">
        <v>0</v>
      </c>
      <c r="D100" s="12">
        <v>2</v>
      </c>
      <c r="E100" s="12">
        <v>2</v>
      </c>
      <c r="F100" s="12">
        <v>2</v>
      </c>
      <c r="G100" s="12">
        <v>-1</v>
      </c>
      <c r="H100" s="12">
        <v>0</v>
      </c>
      <c r="I100" s="12">
        <v>2</v>
      </c>
      <c r="J100" s="12">
        <v>2</v>
      </c>
      <c r="K100" s="12">
        <v>2</v>
      </c>
      <c r="L100" s="12">
        <v>2</v>
      </c>
      <c r="M100" s="12">
        <v>2</v>
      </c>
      <c r="N100" s="12" t="s">
        <v>91</v>
      </c>
    </row>
    <row r="101" spans="1:22">
      <c r="A101" s="12" t="s">
        <v>188</v>
      </c>
      <c r="B101" s="12">
        <v>2</v>
      </c>
      <c r="C101" s="12">
        <v>2</v>
      </c>
      <c r="D101" s="12">
        <v>2</v>
      </c>
      <c r="E101" s="12">
        <v>2</v>
      </c>
      <c r="F101" s="12">
        <v>2</v>
      </c>
      <c r="G101" s="12">
        <v>2</v>
      </c>
      <c r="H101" s="12">
        <v>2</v>
      </c>
      <c r="I101" s="12">
        <v>1</v>
      </c>
      <c r="J101" s="12">
        <v>1</v>
      </c>
      <c r="K101" s="12">
        <v>2</v>
      </c>
      <c r="L101" s="12">
        <v>2</v>
      </c>
      <c r="M101" s="12">
        <v>2</v>
      </c>
      <c r="N101" s="12" t="s">
        <v>91</v>
      </c>
    </row>
    <row r="102" spans="1:22">
      <c r="A102" s="12" t="s">
        <v>189</v>
      </c>
      <c r="B102" s="12">
        <v>1</v>
      </c>
      <c r="C102" s="12">
        <v>0</v>
      </c>
      <c r="D102" s="12">
        <v>1</v>
      </c>
      <c r="E102" s="12">
        <v>0</v>
      </c>
      <c r="F102" s="12">
        <v>0</v>
      </c>
      <c r="G102" s="12">
        <v>-1</v>
      </c>
      <c r="H102" s="12">
        <v>2</v>
      </c>
      <c r="I102" s="12">
        <v>1</v>
      </c>
      <c r="J102" s="12">
        <v>1</v>
      </c>
      <c r="K102" s="12">
        <v>1</v>
      </c>
      <c r="L102" s="12">
        <v>1</v>
      </c>
      <c r="M102" s="12">
        <v>2</v>
      </c>
      <c r="N102" s="12" t="s">
        <v>91</v>
      </c>
    </row>
    <row r="103" spans="1:22">
      <c r="A103" s="12" t="s">
        <v>190</v>
      </c>
      <c r="B103" s="12">
        <v>2</v>
      </c>
      <c r="C103" s="12">
        <v>2</v>
      </c>
      <c r="D103" s="12">
        <v>2</v>
      </c>
      <c r="E103" s="12">
        <v>1</v>
      </c>
      <c r="F103" s="12">
        <v>1</v>
      </c>
      <c r="G103" s="12">
        <v>0</v>
      </c>
      <c r="H103" s="12">
        <v>1</v>
      </c>
      <c r="I103" s="12">
        <v>0</v>
      </c>
      <c r="J103" s="12">
        <v>2</v>
      </c>
      <c r="K103" s="12">
        <v>2</v>
      </c>
      <c r="L103" s="12">
        <v>1</v>
      </c>
      <c r="M103" s="12">
        <v>2</v>
      </c>
      <c r="N103" s="12" t="s">
        <v>91</v>
      </c>
    </row>
    <row r="106" spans="1:22" s="53" customFormat="1">
      <c r="A106" s="52"/>
      <c r="B106" s="52" t="s">
        <v>110</v>
      </c>
      <c r="C106" s="52" t="s">
        <v>111</v>
      </c>
      <c r="D106" s="52" t="s">
        <v>111</v>
      </c>
      <c r="E106" s="52" t="s">
        <v>112</v>
      </c>
      <c r="F106" s="52" t="s">
        <v>117</v>
      </c>
      <c r="G106" s="52" t="s">
        <v>118</v>
      </c>
      <c r="H106" s="52" t="s">
        <v>119</v>
      </c>
      <c r="I106" s="52" t="s">
        <v>119</v>
      </c>
      <c r="J106" s="52" t="s">
        <v>120</v>
      </c>
      <c r="K106" s="52" t="s">
        <v>118</v>
      </c>
      <c r="L106" s="52" t="s">
        <v>112</v>
      </c>
      <c r="M106" s="52" t="s">
        <v>121</v>
      </c>
      <c r="N106" s="52"/>
      <c r="O106" s="52"/>
      <c r="P106" s="52" t="s">
        <v>255</v>
      </c>
      <c r="Q106" s="52" t="s">
        <v>253</v>
      </c>
      <c r="R106" s="52" t="s">
        <v>253</v>
      </c>
      <c r="S106" s="52" t="s">
        <v>252</v>
      </c>
      <c r="T106" s="52" t="s">
        <v>256</v>
      </c>
      <c r="U106" s="52" t="s">
        <v>254</v>
      </c>
      <c r="V106" s="52"/>
    </row>
    <row r="110" spans="1:22">
      <c r="B110" s="54" t="s">
        <v>113</v>
      </c>
      <c r="C110" s="54" t="s">
        <v>114</v>
      </c>
      <c r="D110" s="54" t="s">
        <v>115</v>
      </c>
      <c r="P110" s="54" t="s">
        <v>113</v>
      </c>
      <c r="Q110" s="54" t="s">
        <v>114</v>
      </c>
      <c r="R110" s="54" t="s">
        <v>115</v>
      </c>
    </row>
    <row r="111" spans="1:22">
      <c r="B111" s="20" t="s">
        <v>111</v>
      </c>
      <c r="C111" s="21">
        <f>AVERAGE(B4:D103)</f>
        <v>0.82333333333333336</v>
      </c>
      <c r="D111" s="21">
        <f>STDEV(B4:D103)</f>
        <v>1.2744421911372539</v>
      </c>
      <c r="P111" s="20" t="s">
        <v>255</v>
      </c>
      <c r="Q111" s="21">
        <f>AVERAGE(P4:P103)</f>
        <v>1.36</v>
      </c>
      <c r="R111" s="21">
        <f>STDEV(P4:P103)</f>
        <v>0.96383587391045711</v>
      </c>
    </row>
    <row r="112" spans="1:22">
      <c r="B112" s="20" t="s">
        <v>116</v>
      </c>
      <c r="C112" s="21">
        <f>AVERAGE(E4:E103,L4:L103)</f>
        <v>0.98</v>
      </c>
      <c r="D112" s="21">
        <f>STDEV(E4:E103,L4:L103)</f>
        <v>1.2953725138927195</v>
      </c>
      <c r="P112" s="20" t="s">
        <v>253</v>
      </c>
      <c r="Q112" s="21">
        <f>AVERAGE(Q4:R103)</f>
        <v>1.39</v>
      </c>
      <c r="R112" s="21">
        <f>STDEV(Q4:R103)</f>
        <v>0.88642967896927705</v>
      </c>
    </row>
    <row r="113" spans="2:22">
      <c r="B113" s="20" t="s">
        <v>117</v>
      </c>
      <c r="C113" s="21">
        <f>AVERAGE(F4:F103)</f>
        <v>1.06</v>
      </c>
      <c r="D113" s="21">
        <f>STDEV(F4:F103)</f>
        <v>1.2294369245777319</v>
      </c>
      <c r="P113" s="20" t="s">
        <v>252</v>
      </c>
      <c r="Q113" s="21">
        <f>AVERAGE(S4:S103)</f>
        <v>1.46</v>
      </c>
      <c r="R113" s="21">
        <f>STDEV(S4:S103)</f>
        <v>0.90823893287156188</v>
      </c>
    </row>
    <row r="114" spans="2:22">
      <c r="B114" s="20" t="s">
        <v>118</v>
      </c>
      <c r="C114" s="21">
        <f>AVERAGE(G4:G103,K4:K103)</f>
        <v>0.83499999999999996</v>
      </c>
      <c r="D114" s="21">
        <f>STDEV(G4:G103,K4:K103)</f>
        <v>1.4657822443800097</v>
      </c>
      <c r="P114" s="23" t="s">
        <v>256</v>
      </c>
      <c r="Q114" s="21">
        <f>AVERAGE(T4:T103)</f>
        <v>1.44</v>
      </c>
      <c r="R114" s="21">
        <f>STDEV(T4:T103)</f>
        <v>0.81215259448867971</v>
      </c>
    </row>
    <row r="115" spans="2:22">
      <c r="B115" s="20" t="s">
        <v>119</v>
      </c>
      <c r="C115" s="21">
        <f>AVERAGE(H4:I103)</f>
        <v>1.0449999999999999</v>
      </c>
      <c r="D115" s="21">
        <f>STDEV(H4:I103)</f>
        <v>1.2208305106272501</v>
      </c>
      <c r="P115" s="20" t="s">
        <v>254</v>
      </c>
      <c r="Q115" s="20">
        <f>AVERAGE(U3:U103)</f>
        <v>1.48</v>
      </c>
      <c r="R115" s="21">
        <f>STDEV(U3:U103)</f>
        <v>0.83885247176589717</v>
      </c>
    </row>
    <row r="116" spans="2:22">
      <c r="B116" s="20" t="s">
        <v>120</v>
      </c>
      <c r="C116" s="20">
        <f>AVERAGE(J3:J103)</f>
        <v>1.34</v>
      </c>
      <c r="D116" s="21">
        <f>STDEV(J3:J103)</f>
        <v>1.0657192762437844</v>
      </c>
    </row>
    <row r="117" spans="2:22">
      <c r="B117" s="20" t="s">
        <v>121</v>
      </c>
      <c r="C117" s="22">
        <f>AVERAGE(M3:M103)</f>
        <v>1.61</v>
      </c>
      <c r="D117" s="21">
        <f>STDEV(M3:M103)</f>
        <v>0.91998023694187936</v>
      </c>
      <c r="U117" s="13"/>
      <c r="V117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5"/>
  <sheetViews>
    <sheetView topLeftCell="D1" workbookViewId="0">
      <selection activeCell="J20" sqref="J20"/>
    </sheetView>
  </sheetViews>
  <sheetFormatPr defaultRowHeight="15.75"/>
  <cols>
    <col min="1" max="1" width="12.7109375" style="3" customWidth="1"/>
    <col min="2" max="2" width="21.42578125" style="48" customWidth="1"/>
    <col min="3" max="3" width="26.140625" style="3" customWidth="1"/>
    <col min="4" max="4" width="22.85546875" style="3" customWidth="1"/>
    <col min="5" max="6" width="14.7109375" style="34" customWidth="1"/>
    <col min="7" max="7" width="18.42578125" style="3" customWidth="1"/>
    <col min="8" max="8" width="19.42578125" style="3" customWidth="1"/>
    <col min="9" max="10" width="22.5703125" customWidth="1"/>
    <col min="11" max="11" width="28.7109375" customWidth="1"/>
    <col min="12" max="12" width="27.140625" customWidth="1"/>
  </cols>
  <sheetData>
    <row r="1" spans="1:12">
      <c r="A1" s="1" t="s">
        <v>0</v>
      </c>
      <c r="B1" s="47" t="s">
        <v>242</v>
      </c>
      <c r="C1" s="1" t="s">
        <v>243</v>
      </c>
      <c r="D1" s="1" t="s">
        <v>239</v>
      </c>
      <c r="E1" s="36" t="s">
        <v>40</v>
      </c>
      <c r="F1" s="36" t="s">
        <v>43</v>
      </c>
      <c r="G1" s="2" t="s">
        <v>48</v>
      </c>
      <c r="H1" s="2" t="s">
        <v>47</v>
      </c>
      <c r="I1" s="1" t="s">
        <v>242</v>
      </c>
      <c r="J1" s="1" t="s">
        <v>51</v>
      </c>
      <c r="K1" s="1" t="s">
        <v>243</v>
      </c>
      <c r="L1" s="1" t="s">
        <v>239</v>
      </c>
    </row>
    <row r="2" spans="1:12">
      <c r="A2" s="6" t="s">
        <v>3</v>
      </c>
      <c r="B2" s="42">
        <v>0.54159999999999997</v>
      </c>
      <c r="C2" s="42">
        <v>0.4</v>
      </c>
      <c r="D2" s="43">
        <v>1</v>
      </c>
      <c r="E2" s="35">
        <v>0.71</v>
      </c>
      <c r="F2" s="35">
        <v>0.29000000000000004</v>
      </c>
      <c r="G2" s="6" t="s">
        <v>49</v>
      </c>
      <c r="H2" s="6" t="s">
        <v>50</v>
      </c>
      <c r="I2" s="18" t="str">
        <f>IF(B2&lt;0.73, "Abaixo da Média", "Acima da Média")</f>
        <v>Abaixo da Média</v>
      </c>
      <c r="J2" s="49">
        <f>SUMPRODUCT(($H$2:$H$101="Proplayer")*($I$2:$I$101="Acima da Média"))</f>
        <v>35</v>
      </c>
      <c r="K2" s="18" t="str">
        <f t="shared" ref="K2:L17" si="0">IF(C2&lt;0.73, "Abaixo da Média", "Acima da Média")</f>
        <v>Abaixo da Média</v>
      </c>
      <c r="L2" s="18" t="str">
        <f t="shared" si="0"/>
        <v>Acima da Média</v>
      </c>
    </row>
    <row r="3" spans="1:12">
      <c r="A3" s="6" t="s">
        <v>4</v>
      </c>
      <c r="B3" s="42">
        <v>0.8</v>
      </c>
      <c r="C3" s="42">
        <v>0.66659999999999997</v>
      </c>
      <c r="D3" s="43">
        <v>1</v>
      </c>
      <c r="E3" s="35">
        <v>0.74</v>
      </c>
      <c r="F3" s="35">
        <v>0.26</v>
      </c>
      <c r="G3" s="6" t="s">
        <v>49</v>
      </c>
      <c r="H3" s="6" t="s">
        <v>51</v>
      </c>
      <c r="I3" s="18" t="str">
        <f t="shared" ref="I3:I66" si="1">IF(B3&lt;0.73, "Abaixo da Média", "Acima da Média")</f>
        <v>Acima da Média</v>
      </c>
      <c r="J3" s="50">
        <f>SUMPRODUCT((H3:H102="Proplayer")*(I3:I102="Abaixo da Média"))</f>
        <v>14</v>
      </c>
      <c r="K3" s="18" t="str">
        <f t="shared" si="0"/>
        <v>Abaixo da Média</v>
      </c>
      <c r="L3" s="18" t="str">
        <f t="shared" si="0"/>
        <v>Acima da Média</v>
      </c>
    </row>
    <row r="4" spans="1:12">
      <c r="A4" s="3" t="s">
        <v>5</v>
      </c>
      <c r="B4" s="40">
        <v>0.53839999999999999</v>
      </c>
      <c r="C4" s="39">
        <v>1</v>
      </c>
      <c r="D4" s="39">
        <v>1</v>
      </c>
      <c r="E4" s="33">
        <v>0.77</v>
      </c>
      <c r="F4" s="35">
        <v>0.22999999999999998</v>
      </c>
      <c r="G4" s="6" t="s">
        <v>49</v>
      </c>
      <c r="H4" s="6" t="s">
        <v>50</v>
      </c>
      <c r="I4" s="18" t="str">
        <f t="shared" si="1"/>
        <v>Abaixo da Média</v>
      </c>
      <c r="J4" s="18"/>
      <c r="K4" s="18" t="str">
        <f t="shared" si="0"/>
        <v>Acima da Média</v>
      </c>
      <c r="L4" s="18" t="str">
        <f t="shared" si="0"/>
        <v>Acima da Média</v>
      </c>
    </row>
    <row r="5" spans="1:12">
      <c r="A5" s="3" t="s">
        <v>6</v>
      </c>
      <c r="B5" s="40">
        <v>0.66669999999999996</v>
      </c>
      <c r="C5" s="39">
        <v>0.5</v>
      </c>
      <c r="D5" s="39">
        <v>1</v>
      </c>
      <c r="E5" s="33">
        <v>0.65</v>
      </c>
      <c r="F5" s="35">
        <v>0.35</v>
      </c>
      <c r="G5" s="6" t="s">
        <v>51</v>
      </c>
      <c r="H5" s="6" t="s">
        <v>51</v>
      </c>
      <c r="I5" s="18" t="str">
        <f t="shared" si="1"/>
        <v>Abaixo da Média</v>
      </c>
      <c r="J5" s="1" t="s">
        <v>50</v>
      </c>
      <c r="K5" s="18" t="str">
        <f t="shared" si="0"/>
        <v>Abaixo da Média</v>
      </c>
      <c r="L5" s="18" t="str">
        <f t="shared" si="0"/>
        <v>Acima da Média</v>
      </c>
    </row>
    <row r="6" spans="1:12">
      <c r="A6" s="6" t="s">
        <v>7</v>
      </c>
      <c r="B6" s="42">
        <f>10/14</f>
        <v>0.7142857142857143</v>
      </c>
      <c r="C6" s="43">
        <f>3/4</f>
        <v>0.75</v>
      </c>
      <c r="D6" s="43">
        <f>1/1</f>
        <v>1</v>
      </c>
      <c r="E6" s="35">
        <v>0.82</v>
      </c>
      <c r="F6" s="35">
        <v>0.18000000000000005</v>
      </c>
      <c r="G6" s="6" t="s">
        <v>52</v>
      </c>
      <c r="H6" s="6" t="s">
        <v>51</v>
      </c>
      <c r="I6" s="18" t="str">
        <f t="shared" si="1"/>
        <v>Abaixo da Média</v>
      </c>
      <c r="J6" s="49">
        <f>SUMPRODUCT(($H$2:$H$101="Avançado")*($I$2:$I$101="Acima da Média"))</f>
        <v>21</v>
      </c>
      <c r="K6" s="18" t="str">
        <f t="shared" si="0"/>
        <v>Acima da Média</v>
      </c>
      <c r="L6" s="18" t="str">
        <f t="shared" si="0"/>
        <v>Acima da Média</v>
      </c>
    </row>
    <row r="7" spans="1:12">
      <c r="A7" s="3" t="s">
        <v>8</v>
      </c>
      <c r="B7" s="40">
        <f>2/5</f>
        <v>0.4</v>
      </c>
      <c r="C7" s="39">
        <v>0</v>
      </c>
      <c r="D7" s="39">
        <f>1/1</f>
        <v>1</v>
      </c>
      <c r="E7" s="33">
        <v>0.61</v>
      </c>
      <c r="F7" s="35">
        <v>0.39</v>
      </c>
      <c r="G7" s="6" t="s">
        <v>53</v>
      </c>
      <c r="H7" s="6" t="s">
        <v>50</v>
      </c>
      <c r="I7" s="18" t="str">
        <f t="shared" si="1"/>
        <v>Abaixo da Média</v>
      </c>
      <c r="J7" s="50">
        <f>SUMPRODUCT(($H$2:$H$101="Avançado")*($I$2:$I$101="Abaixo da Média"))</f>
        <v>26</v>
      </c>
      <c r="K7" s="18" t="str">
        <f t="shared" si="0"/>
        <v>Abaixo da Média</v>
      </c>
      <c r="L7" s="18" t="str">
        <f t="shared" si="0"/>
        <v>Acima da Média</v>
      </c>
    </row>
    <row r="8" spans="1:12">
      <c r="A8" s="3" t="s">
        <v>9</v>
      </c>
      <c r="B8" s="40">
        <f>8/18</f>
        <v>0.44444444444444442</v>
      </c>
      <c r="C8" s="39">
        <f>5/5</f>
        <v>1</v>
      </c>
      <c r="D8" s="39">
        <f>1/2</f>
        <v>0.5</v>
      </c>
      <c r="E8" s="33">
        <v>0.63</v>
      </c>
      <c r="F8" s="35">
        <v>0.37</v>
      </c>
      <c r="G8" s="6" t="s">
        <v>49</v>
      </c>
      <c r="H8" s="6" t="s">
        <v>50</v>
      </c>
      <c r="I8" s="18" t="str">
        <f t="shared" si="1"/>
        <v>Abaixo da Média</v>
      </c>
      <c r="J8" s="18"/>
      <c r="K8" s="18" t="str">
        <f t="shared" si="0"/>
        <v>Acima da Média</v>
      </c>
      <c r="L8" s="18" t="str">
        <f t="shared" si="0"/>
        <v>Abaixo da Média</v>
      </c>
    </row>
    <row r="9" spans="1:12">
      <c r="A9" s="6" t="s">
        <v>10</v>
      </c>
      <c r="B9" s="42">
        <f>9/13</f>
        <v>0.69230769230769229</v>
      </c>
      <c r="C9" s="43">
        <f>2/3</f>
        <v>0.66666666666666663</v>
      </c>
      <c r="D9" s="43">
        <f>1/3</f>
        <v>0.33333333333333331</v>
      </c>
      <c r="E9" s="35">
        <v>0.73</v>
      </c>
      <c r="F9" s="35">
        <v>0.27</v>
      </c>
      <c r="G9" s="6" t="s">
        <v>54</v>
      </c>
      <c r="H9" s="6" t="s">
        <v>50</v>
      </c>
      <c r="I9" s="18" t="str">
        <f t="shared" si="1"/>
        <v>Abaixo da Média</v>
      </c>
      <c r="J9" s="1" t="s">
        <v>49</v>
      </c>
      <c r="K9" s="18" t="str">
        <f t="shared" si="0"/>
        <v>Abaixo da Média</v>
      </c>
      <c r="L9" s="18" t="str">
        <f t="shared" si="0"/>
        <v>Abaixo da Média</v>
      </c>
    </row>
    <row r="10" spans="1:12">
      <c r="A10" s="3" t="s">
        <v>11</v>
      </c>
      <c r="B10" s="40">
        <f>13/21</f>
        <v>0.61904761904761907</v>
      </c>
      <c r="C10" s="41">
        <f>2/3</f>
        <v>0.66666666666666663</v>
      </c>
      <c r="D10" s="39">
        <v>0</v>
      </c>
      <c r="E10" s="33">
        <v>0.78</v>
      </c>
      <c r="F10" s="35">
        <v>0.21999999999999997</v>
      </c>
      <c r="G10" s="3" t="s">
        <v>52</v>
      </c>
      <c r="H10" s="3" t="s">
        <v>50</v>
      </c>
      <c r="I10" s="18" t="str">
        <f t="shared" si="1"/>
        <v>Abaixo da Média</v>
      </c>
      <c r="J10" s="49">
        <f>SUMPRODUCT(($H$2:$H$101="Casual")*($I$2:$I$101="Acima da Média"))</f>
        <v>0</v>
      </c>
      <c r="K10" s="18" t="str">
        <f t="shared" si="0"/>
        <v>Abaixo da Média</v>
      </c>
      <c r="L10" s="18" t="str">
        <f t="shared" si="0"/>
        <v>Abaixo da Média</v>
      </c>
    </row>
    <row r="11" spans="1:12">
      <c r="A11" s="3" t="s">
        <v>12</v>
      </c>
      <c r="B11" s="40">
        <f>1/2</f>
        <v>0.5</v>
      </c>
      <c r="C11" s="41">
        <f>6/7</f>
        <v>0.8571428571428571</v>
      </c>
      <c r="D11" s="39">
        <f>2/2</f>
        <v>1</v>
      </c>
      <c r="E11" s="33">
        <v>0.7</v>
      </c>
      <c r="F11" s="35">
        <v>0.30000000000000004</v>
      </c>
      <c r="G11" s="3" t="s">
        <v>52</v>
      </c>
      <c r="H11" s="3" t="s">
        <v>50</v>
      </c>
      <c r="I11" s="18" t="str">
        <f t="shared" si="1"/>
        <v>Abaixo da Média</v>
      </c>
      <c r="J11" s="50">
        <f>SUMPRODUCT(($H$2:$H$101="Casual")*($I$2:$I$101="Abaixo da Média"))</f>
        <v>1</v>
      </c>
      <c r="K11" s="18" t="str">
        <f t="shared" si="0"/>
        <v>Acima da Média</v>
      </c>
      <c r="L11" s="18" t="str">
        <f t="shared" si="0"/>
        <v>Acima da Média</v>
      </c>
    </row>
    <row r="12" spans="1:12">
      <c r="A12" s="3" t="s">
        <v>13</v>
      </c>
      <c r="B12" s="40">
        <f>9/19</f>
        <v>0.47368421052631576</v>
      </c>
      <c r="C12" s="41">
        <f>1/1</f>
        <v>1</v>
      </c>
      <c r="D12" s="39">
        <f>1/1</f>
        <v>1</v>
      </c>
      <c r="E12" s="33">
        <v>0.76</v>
      </c>
      <c r="F12" s="35">
        <v>0.24</v>
      </c>
      <c r="G12" s="3" t="s">
        <v>54</v>
      </c>
      <c r="H12" s="3" t="s">
        <v>50</v>
      </c>
      <c r="I12" s="18" t="str">
        <f t="shared" si="1"/>
        <v>Abaixo da Média</v>
      </c>
      <c r="J12" s="18"/>
      <c r="K12" s="18" t="str">
        <f t="shared" si="0"/>
        <v>Acima da Média</v>
      </c>
      <c r="L12" s="18" t="str">
        <f t="shared" si="0"/>
        <v>Acima da Média</v>
      </c>
    </row>
    <row r="13" spans="1:12">
      <c r="A13" s="3" t="s">
        <v>14</v>
      </c>
      <c r="B13" s="40">
        <f>9/9</f>
        <v>1</v>
      </c>
      <c r="C13" s="41">
        <v>0</v>
      </c>
      <c r="D13" s="39">
        <v>0</v>
      </c>
      <c r="E13" s="35">
        <v>0.84</v>
      </c>
      <c r="F13" s="35">
        <v>0.16000000000000003</v>
      </c>
      <c r="G13" s="3" t="s">
        <v>54</v>
      </c>
      <c r="H13" s="3" t="s">
        <v>50</v>
      </c>
      <c r="I13" s="18" t="str">
        <f t="shared" si="1"/>
        <v>Acima da Média</v>
      </c>
      <c r="J13" s="1" t="s">
        <v>52</v>
      </c>
      <c r="K13" s="18" t="str">
        <f t="shared" si="0"/>
        <v>Abaixo da Média</v>
      </c>
      <c r="L13" s="18" t="str">
        <f t="shared" si="0"/>
        <v>Abaixo da Média</v>
      </c>
    </row>
    <row r="14" spans="1:12">
      <c r="A14" s="3" t="s">
        <v>15</v>
      </c>
      <c r="B14" s="40">
        <f>1/8</f>
        <v>0.125</v>
      </c>
      <c r="C14" s="41">
        <f>1/2</f>
        <v>0.5</v>
      </c>
      <c r="D14" s="39">
        <f>1/2</f>
        <v>0.5</v>
      </c>
      <c r="E14" s="33">
        <v>0.48</v>
      </c>
      <c r="F14" s="35">
        <v>0.52</v>
      </c>
      <c r="G14" s="3" t="s">
        <v>52</v>
      </c>
      <c r="H14" s="3" t="s">
        <v>52</v>
      </c>
      <c r="I14" s="18" t="str">
        <f t="shared" si="1"/>
        <v>Abaixo da Média</v>
      </c>
      <c r="J14" s="49">
        <f>SUMPRODUCT(($H$2:$H$101="Iniciante")*($I$2:$I$101="Acima da Média"))</f>
        <v>0</v>
      </c>
      <c r="K14" s="18" t="str">
        <f t="shared" si="0"/>
        <v>Abaixo da Média</v>
      </c>
      <c r="L14" s="18" t="str">
        <f t="shared" si="0"/>
        <v>Abaixo da Média</v>
      </c>
    </row>
    <row r="15" spans="1:12">
      <c r="A15" s="3" t="s">
        <v>16</v>
      </c>
      <c r="B15" s="40">
        <f>20/22</f>
        <v>0.90909090909090906</v>
      </c>
      <c r="C15" s="41">
        <f>3/5</f>
        <v>0.6</v>
      </c>
      <c r="D15" s="39">
        <v>0</v>
      </c>
      <c r="E15" s="32">
        <v>0.85</v>
      </c>
      <c r="F15" s="35">
        <v>0.15000000000000002</v>
      </c>
      <c r="G15" s="3" t="s">
        <v>49</v>
      </c>
      <c r="H15" s="3" t="s">
        <v>51</v>
      </c>
      <c r="I15" s="18" t="str">
        <f t="shared" si="1"/>
        <v>Acima da Média</v>
      </c>
      <c r="J15" s="50">
        <f>SUMPRODUCT(($H$2:$H$101="Iniciante")*($I$2:$I$101="Abaixo da Média"))</f>
        <v>3</v>
      </c>
      <c r="K15" s="18" t="str">
        <f t="shared" si="0"/>
        <v>Abaixo da Média</v>
      </c>
      <c r="L15" s="18" t="str">
        <f t="shared" si="0"/>
        <v>Abaixo da Média</v>
      </c>
    </row>
    <row r="16" spans="1:12">
      <c r="A16" s="3" t="s">
        <v>17</v>
      </c>
      <c r="B16" s="40">
        <f>16/19</f>
        <v>0.84210526315789469</v>
      </c>
      <c r="C16" s="41">
        <f>2/2</f>
        <v>1</v>
      </c>
      <c r="D16" s="39">
        <f>3/4</f>
        <v>0.75</v>
      </c>
      <c r="E16" s="33">
        <v>0.83</v>
      </c>
      <c r="F16" s="35">
        <v>0.17000000000000004</v>
      </c>
      <c r="G16" s="3" t="s">
        <v>51</v>
      </c>
      <c r="H16" s="3" t="s">
        <v>50</v>
      </c>
      <c r="I16" s="18" t="str">
        <f t="shared" si="1"/>
        <v>Acima da Média</v>
      </c>
      <c r="J16" s="18"/>
      <c r="K16" s="18" t="str">
        <f t="shared" si="0"/>
        <v>Acima da Média</v>
      </c>
      <c r="L16" s="18" t="str">
        <f t="shared" si="0"/>
        <v>Acima da Média</v>
      </c>
    </row>
    <row r="17" spans="1:12">
      <c r="A17" s="3" t="s">
        <v>18</v>
      </c>
      <c r="B17" s="40">
        <f>11/13</f>
        <v>0.84615384615384615</v>
      </c>
      <c r="C17" s="41">
        <f>1/2</f>
        <v>0.5</v>
      </c>
      <c r="D17" s="39">
        <f>1/1</f>
        <v>1</v>
      </c>
      <c r="E17" s="33">
        <v>0.88</v>
      </c>
      <c r="F17" s="35">
        <v>0.12</v>
      </c>
      <c r="G17" s="3" t="s">
        <v>52</v>
      </c>
      <c r="H17" s="3" t="s">
        <v>51</v>
      </c>
      <c r="I17" s="18" t="str">
        <f t="shared" si="1"/>
        <v>Acima da Média</v>
      </c>
      <c r="J17" s="1" t="s">
        <v>54</v>
      </c>
      <c r="K17" s="18" t="str">
        <f t="shared" si="0"/>
        <v>Abaixo da Média</v>
      </c>
      <c r="L17" s="18" t="str">
        <f t="shared" si="0"/>
        <v>Acima da Média</v>
      </c>
    </row>
    <row r="18" spans="1:12">
      <c r="A18" s="3" t="s">
        <v>19</v>
      </c>
      <c r="B18" s="40">
        <f>14/15</f>
        <v>0.93333333333333335</v>
      </c>
      <c r="C18" s="39">
        <f>2/2</f>
        <v>1</v>
      </c>
      <c r="D18" s="39">
        <f>1/2</f>
        <v>0.5</v>
      </c>
      <c r="E18" s="33">
        <v>0.91</v>
      </c>
      <c r="F18" s="35">
        <v>8.9999999999999969E-2</v>
      </c>
      <c r="G18" s="3" t="s">
        <v>52</v>
      </c>
      <c r="H18" s="3" t="s">
        <v>51</v>
      </c>
      <c r="I18" s="18" t="str">
        <f t="shared" si="1"/>
        <v>Acima da Média</v>
      </c>
      <c r="J18" s="49">
        <f>SUMPRODUCT(($H$2:$H$101="Noob")*($I$2:$I$101="Acima da Média"))</f>
        <v>0</v>
      </c>
      <c r="K18" s="18" t="str">
        <f t="shared" ref="K18:K49" si="2">IF(C18&lt;0.73, "Abaixo da Média", "Acima da Média")</f>
        <v>Acima da Média</v>
      </c>
      <c r="L18" s="18" t="str">
        <f t="shared" ref="L18:L49" si="3">IF(D18&lt;0.73, "Abaixo da Média", "Acima da Média")</f>
        <v>Abaixo da Média</v>
      </c>
    </row>
    <row r="19" spans="1:12">
      <c r="A19" s="3" t="s">
        <v>20</v>
      </c>
      <c r="B19" s="40">
        <f>11/12</f>
        <v>0.91666666666666663</v>
      </c>
      <c r="C19" s="39">
        <f>2/3</f>
        <v>0.66666666666666663</v>
      </c>
      <c r="D19" s="39">
        <f>1/1</f>
        <v>1</v>
      </c>
      <c r="E19" s="33">
        <v>0.875</v>
      </c>
      <c r="F19" s="35">
        <v>0.125</v>
      </c>
      <c r="G19" s="3" t="s">
        <v>52</v>
      </c>
      <c r="H19" s="3" t="s">
        <v>51</v>
      </c>
      <c r="I19" s="18" t="str">
        <f t="shared" si="1"/>
        <v>Acima da Média</v>
      </c>
      <c r="J19" s="50">
        <f>SUMPRODUCT(($H$2:$H$101="Noob")*($I$2:$I$101="Abaixo da Média"))</f>
        <v>0</v>
      </c>
      <c r="K19" s="18" t="str">
        <f t="shared" si="2"/>
        <v>Abaixo da Média</v>
      </c>
      <c r="L19" s="18" t="str">
        <f t="shared" si="3"/>
        <v>Acima da Média</v>
      </c>
    </row>
    <row r="20" spans="1:12">
      <c r="A20" s="3" t="s">
        <v>21</v>
      </c>
      <c r="B20" s="40">
        <f>9/10</f>
        <v>0.9</v>
      </c>
      <c r="C20" s="40">
        <v>0</v>
      </c>
      <c r="D20" s="40">
        <f>3/3</f>
        <v>1</v>
      </c>
      <c r="E20" s="33">
        <v>0.90625</v>
      </c>
      <c r="F20" s="35">
        <v>9.375E-2</v>
      </c>
      <c r="G20" s="3" t="s">
        <v>50</v>
      </c>
      <c r="H20" s="3" t="s">
        <v>51</v>
      </c>
      <c r="I20" s="18" t="str">
        <f t="shared" si="1"/>
        <v>Acima da Média</v>
      </c>
      <c r="J20" s="18"/>
      <c r="K20" s="18" t="str">
        <f t="shared" si="2"/>
        <v>Abaixo da Média</v>
      </c>
      <c r="L20" s="18" t="str">
        <f t="shared" si="3"/>
        <v>Acima da Média</v>
      </c>
    </row>
    <row r="21" spans="1:12">
      <c r="A21" s="3" t="s">
        <v>22</v>
      </c>
      <c r="B21" s="40">
        <f>8/12</f>
        <v>0.66666666666666663</v>
      </c>
      <c r="C21" s="40">
        <f>2/3</f>
        <v>0.66666666666666663</v>
      </c>
      <c r="D21" s="40">
        <f>1/1</f>
        <v>1</v>
      </c>
      <c r="E21" s="33">
        <v>0.81578947368421051</v>
      </c>
      <c r="F21" s="35">
        <v>0.18421052631578949</v>
      </c>
      <c r="G21" s="3" t="s">
        <v>52</v>
      </c>
      <c r="H21" s="3" t="s">
        <v>51</v>
      </c>
      <c r="I21" s="18" t="str">
        <f t="shared" si="1"/>
        <v>Abaixo da Média</v>
      </c>
      <c r="J21" s="18"/>
      <c r="K21" s="18" t="str">
        <f t="shared" si="2"/>
        <v>Abaixo da Média</v>
      </c>
      <c r="L21" s="18" t="str">
        <f t="shared" si="3"/>
        <v>Acima da Média</v>
      </c>
    </row>
    <row r="22" spans="1:12">
      <c r="A22" s="3" t="s">
        <v>23</v>
      </c>
      <c r="B22" s="40">
        <f>14/15</f>
        <v>0.93333333333333335</v>
      </c>
      <c r="C22" s="40">
        <v>0</v>
      </c>
      <c r="D22" s="40">
        <f>2/2</f>
        <v>1</v>
      </c>
      <c r="E22" s="33">
        <v>0.82352941176470584</v>
      </c>
      <c r="F22" s="35">
        <v>0.17647058823529416</v>
      </c>
      <c r="G22" s="3" t="s">
        <v>52</v>
      </c>
      <c r="H22" s="3" t="s">
        <v>50</v>
      </c>
      <c r="I22" s="18" t="str">
        <f t="shared" si="1"/>
        <v>Acima da Média</v>
      </c>
      <c r="J22" s="18"/>
      <c r="K22" s="18" t="str">
        <f t="shared" si="2"/>
        <v>Abaixo da Média</v>
      </c>
      <c r="L22" s="18" t="str">
        <f t="shared" si="3"/>
        <v>Acima da Média</v>
      </c>
    </row>
    <row r="23" spans="1:12">
      <c r="A23" s="3" t="s">
        <v>24</v>
      </c>
      <c r="B23" s="40">
        <f>9/14</f>
        <v>0.6428571428571429</v>
      </c>
      <c r="C23" s="39">
        <f>1/2</f>
        <v>0.5</v>
      </c>
      <c r="D23" s="40">
        <f>0/1</f>
        <v>0</v>
      </c>
      <c r="E23" s="33">
        <v>0.68292682926829273</v>
      </c>
      <c r="F23" s="35">
        <v>0.31707317073170727</v>
      </c>
      <c r="G23" s="3" t="s">
        <v>52</v>
      </c>
      <c r="H23" s="3" t="s">
        <v>51</v>
      </c>
      <c r="I23" s="18" t="str">
        <f t="shared" si="1"/>
        <v>Abaixo da Média</v>
      </c>
      <c r="J23" s="18"/>
      <c r="K23" s="18" t="str">
        <f t="shared" si="2"/>
        <v>Abaixo da Média</v>
      </c>
      <c r="L23" s="18" t="str">
        <f t="shared" si="3"/>
        <v>Abaixo da Média</v>
      </c>
    </row>
    <row r="24" spans="1:12">
      <c r="A24" s="3" t="s">
        <v>25</v>
      </c>
      <c r="B24" s="40">
        <f>5/8</f>
        <v>0.625</v>
      </c>
      <c r="C24" s="39">
        <f>3/4</f>
        <v>0.75</v>
      </c>
      <c r="D24" s="40">
        <v>0</v>
      </c>
      <c r="E24" s="33">
        <v>0.73529411764705888</v>
      </c>
      <c r="F24" s="35">
        <v>0.26470588235294112</v>
      </c>
      <c r="G24" s="3" t="s">
        <v>52</v>
      </c>
      <c r="H24" s="3" t="s">
        <v>50</v>
      </c>
      <c r="I24" s="18" t="str">
        <f t="shared" si="1"/>
        <v>Abaixo da Média</v>
      </c>
      <c r="J24" s="18"/>
      <c r="K24" s="18" t="str">
        <f t="shared" si="2"/>
        <v>Acima da Média</v>
      </c>
      <c r="L24" s="18" t="str">
        <f t="shared" si="3"/>
        <v>Abaixo da Média</v>
      </c>
    </row>
    <row r="25" spans="1:12">
      <c r="A25" s="6" t="s">
        <v>26</v>
      </c>
      <c r="B25" s="42">
        <f>10/14</f>
        <v>0.7142857142857143</v>
      </c>
      <c r="C25" s="43">
        <f>1/3</f>
        <v>0.33333333333333331</v>
      </c>
      <c r="D25" s="42">
        <f>1/2</f>
        <v>0.5</v>
      </c>
      <c r="E25" s="35">
        <v>0.68888888888888888</v>
      </c>
      <c r="F25" s="35">
        <v>0.31111111111111112</v>
      </c>
      <c r="G25" s="6" t="s">
        <v>54</v>
      </c>
      <c r="H25" s="6" t="s">
        <v>50</v>
      </c>
      <c r="I25" s="18" t="str">
        <f t="shared" si="1"/>
        <v>Abaixo da Média</v>
      </c>
      <c r="J25" s="18"/>
      <c r="K25" s="18" t="str">
        <f t="shared" si="2"/>
        <v>Abaixo da Média</v>
      </c>
      <c r="L25" s="18" t="str">
        <f t="shared" si="3"/>
        <v>Abaixo da Média</v>
      </c>
    </row>
    <row r="26" spans="1:12">
      <c r="A26" s="3" t="s">
        <v>27</v>
      </c>
      <c r="B26" s="40">
        <f>20/27</f>
        <v>0.7407407407407407</v>
      </c>
      <c r="C26" s="40">
        <f>2/4</f>
        <v>0.5</v>
      </c>
      <c r="D26" s="40">
        <f>1/1</f>
        <v>1</v>
      </c>
      <c r="E26" s="33">
        <v>0.78688524590163933</v>
      </c>
      <c r="F26" s="35">
        <v>0.21311475409836067</v>
      </c>
      <c r="G26" s="3" t="s">
        <v>52</v>
      </c>
      <c r="H26" s="3" t="s">
        <v>50</v>
      </c>
      <c r="I26" s="18" t="str">
        <f t="shared" si="1"/>
        <v>Acima da Média</v>
      </c>
      <c r="J26" s="18"/>
      <c r="K26" s="18" t="str">
        <f t="shared" si="2"/>
        <v>Abaixo da Média</v>
      </c>
      <c r="L26" s="18" t="str">
        <f t="shared" si="3"/>
        <v>Acima da Média</v>
      </c>
    </row>
    <row r="27" spans="1:12">
      <c r="A27" s="3" t="s">
        <v>28</v>
      </c>
      <c r="B27" s="40">
        <f>6/11</f>
        <v>0.54545454545454541</v>
      </c>
      <c r="C27" s="40">
        <f>3/6</f>
        <v>0.5</v>
      </c>
      <c r="D27" s="40">
        <f>1/2</f>
        <v>0.5</v>
      </c>
      <c r="E27" s="35">
        <v>0.78</v>
      </c>
      <c r="F27" s="35">
        <v>0.21999999999999997</v>
      </c>
      <c r="G27" s="6" t="s">
        <v>49</v>
      </c>
      <c r="H27" s="6" t="s">
        <v>51</v>
      </c>
      <c r="I27" s="18" t="str">
        <f t="shared" si="1"/>
        <v>Abaixo da Média</v>
      </c>
      <c r="J27" s="18"/>
      <c r="K27" s="18" t="str">
        <f t="shared" si="2"/>
        <v>Abaixo da Média</v>
      </c>
      <c r="L27" s="18" t="str">
        <f t="shared" si="3"/>
        <v>Abaixo da Média</v>
      </c>
    </row>
    <row r="28" spans="1:12">
      <c r="A28" s="3" t="s">
        <v>29</v>
      </c>
      <c r="B28" s="40">
        <f>12/13</f>
        <v>0.92307692307692313</v>
      </c>
      <c r="C28" s="40">
        <f>3/3</f>
        <v>1</v>
      </c>
      <c r="D28" s="40">
        <f>1/1</f>
        <v>1</v>
      </c>
      <c r="E28" s="33">
        <v>0.63</v>
      </c>
      <c r="F28" s="35">
        <v>0.37</v>
      </c>
      <c r="G28" s="3" t="s">
        <v>50</v>
      </c>
      <c r="H28" s="3" t="s">
        <v>50</v>
      </c>
      <c r="I28" s="18" t="str">
        <f t="shared" si="1"/>
        <v>Acima da Média</v>
      </c>
      <c r="J28" s="18"/>
      <c r="K28" s="18" t="str">
        <f t="shared" si="2"/>
        <v>Acima da Média</v>
      </c>
      <c r="L28" s="18" t="str">
        <f t="shared" si="3"/>
        <v>Acima da Média</v>
      </c>
    </row>
    <row r="29" spans="1:12">
      <c r="A29" s="3" t="s">
        <v>30</v>
      </c>
      <c r="B29" s="40">
        <f>9/14</f>
        <v>0.6428571428571429</v>
      </c>
      <c r="C29" s="40">
        <f>1/3</f>
        <v>0.33333333333333331</v>
      </c>
      <c r="D29" s="40">
        <f>2/3</f>
        <v>0.66666666666666663</v>
      </c>
      <c r="E29" s="33">
        <v>0.75</v>
      </c>
      <c r="F29" s="35">
        <v>0.25</v>
      </c>
      <c r="G29" s="3" t="s">
        <v>51</v>
      </c>
      <c r="H29" s="3" t="s">
        <v>50</v>
      </c>
      <c r="I29" s="18" t="str">
        <f t="shared" si="1"/>
        <v>Abaixo da Média</v>
      </c>
      <c r="J29" s="18"/>
      <c r="K29" s="18" t="str">
        <f t="shared" si="2"/>
        <v>Abaixo da Média</v>
      </c>
      <c r="L29" s="18" t="str">
        <f t="shared" si="3"/>
        <v>Abaixo da Média</v>
      </c>
    </row>
    <row r="30" spans="1:12">
      <c r="A30" s="3" t="s">
        <v>31</v>
      </c>
      <c r="B30" s="40">
        <f>8/15</f>
        <v>0.53333333333333333</v>
      </c>
      <c r="C30" s="40">
        <f>0/1</f>
        <v>0</v>
      </c>
      <c r="D30" s="40">
        <f>2/2</f>
        <v>1</v>
      </c>
      <c r="E30" s="33">
        <v>0.88</v>
      </c>
      <c r="F30" s="35">
        <v>0.12</v>
      </c>
      <c r="G30" s="3" t="s">
        <v>49</v>
      </c>
      <c r="H30" s="3" t="s">
        <v>51</v>
      </c>
      <c r="I30" s="18" t="str">
        <f t="shared" si="1"/>
        <v>Abaixo da Média</v>
      </c>
      <c r="J30" s="18"/>
      <c r="K30" s="18" t="str">
        <f t="shared" si="2"/>
        <v>Abaixo da Média</v>
      </c>
      <c r="L30" s="18" t="str">
        <f t="shared" si="3"/>
        <v>Acima da Média</v>
      </c>
    </row>
    <row r="31" spans="1:12">
      <c r="A31" s="3" t="s">
        <v>32</v>
      </c>
      <c r="B31" s="40">
        <f>11/13</f>
        <v>0.84615384615384615</v>
      </c>
      <c r="C31" s="40">
        <f>2/4</f>
        <v>0.5</v>
      </c>
      <c r="D31" s="40">
        <f>2/3</f>
        <v>0.66666666666666663</v>
      </c>
      <c r="E31" s="33">
        <v>0.79</v>
      </c>
      <c r="F31" s="35">
        <v>0.20999999999999996</v>
      </c>
      <c r="G31" s="3" t="s">
        <v>52</v>
      </c>
      <c r="H31" s="3" t="s">
        <v>51</v>
      </c>
      <c r="I31" s="18" t="str">
        <f t="shared" si="1"/>
        <v>Acima da Média</v>
      </c>
      <c r="J31" s="18"/>
      <c r="K31" s="18" t="str">
        <f t="shared" si="2"/>
        <v>Abaixo da Média</v>
      </c>
      <c r="L31" s="18" t="str">
        <f t="shared" si="3"/>
        <v>Abaixo da Média</v>
      </c>
    </row>
    <row r="32" spans="1:12">
      <c r="A32" s="3" t="s">
        <v>33</v>
      </c>
      <c r="B32" s="40">
        <f>9/11</f>
        <v>0.81818181818181823</v>
      </c>
      <c r="C32" s="40">
        <f>4/5</f>
        <v>0.8</v>
      </c>
      <c r="D32" s="40">
        <v>0</v>
      </c>
      <c r="E32" s="33">
        <v>0.74</v>
      </c>
      <c r="F32" s="35">
        <v>0.26</v>
      </c>
      <c r="G32" s="3" t="s">
        <v>49</v>
      </c>
      <c r="H32" s="3" t="s">
        <v>50</v>
      </c>
      <c r="I32" s="18" t="str">
        <f t="shared" si="1"/>
        <v>Acima da Média</v>
      </c>
      <c r="J32" s="18"/>
      <c r="K32" s="18" t="str">
        <f t="shared" si="2"/>
        <v>Acima da Média</v>
      </c>
      <c r="L32" s="18" t="str">
        <f t="shared" si="3"/>
        <v>Abaixo da Média</v>
      </c>
    </row>
    <row r="33" spans="1:12">
      <c r="A33" s="3" t="s">
        <v>34</v>
      </c>
      <c r="B33" s="40">
        <f>13/18</f>
        <v>0.72222222222222221</v>
      </c>
      <c r="C33" s="40">
        <f>2/2</f>
        <v>1</v>
      </c>
      <c r="D33" s="40">
        <v>0</v>
      </c>
      <c r="E33" s="33">
        <v>0.65</v>
      </c>
      <c r="F33" s="35">
        <v>0.35</v>
      </c>
      <c r="G33" s="3" t="s">
        <v>52</v>
      </c>
      <c r="H33" s="3" t="s">
        <v>50</v>
      </c>
      <c r="I33" s="18" t="str">
        <f t="shared" si="1"/>
        <v>Abaixo da Média</v>
      </c>
      <c r="J33" s="18"/>
      <c r="K33" s="18" t="str">
        <f t="shared" si="2"/>
        <v>Acima da Média</v>
      </c>
      <c r="L33" s="18" t="str">
        <f t="shared" si="3"/>
        <v>Abaixo da Média</v>
      </c>
    </row>
    <row r="34" spans="1:12">
      <c r="A34" s="3" t="s">
        <v>35</v>
      </c>
      <c r="B34" s="40">
        <f>16/22</f>
        <v>0.72727272727272729</v>
      </c>
      <c r="C34" s="40">
        <f>1/1</f>
        <v>1</v>
      </c>
      <c r="D34" s="40">
        <v>0</v>
      </c>
      <c r="E34" s="33">
        <v>0.72</v>
      </c>
      <c r="F34" s="35">
        <v>0.28000000000000003</v>
      </c>
      <c r="G34" s="3" t="s">
        <v>49</v>
      </c>
      <c r="H34" s="3" t="s">
        <v>50</v>
      </c>
      <c r="I34" s="18" t="str">
        <f t="shared" si="1"/>
        <v>Abaixo da Média</v>
      </c>
      <c r="J34" s="18"/>
      <c r="K34" s="18" t="str">
        <f t="shared" si="2"/>
        <v>Acima da Média</v>
      </c>
      <c r="L34" s="18" t="str">
        <f t="shared" si="3"/>
        <v>Abaixo da Média</v>
      </c>
    </row>
    <row r="35" spans="1:12">
      <c r="A35" s="3" t="s">
        <v>36</v>
      </c>
      <c r="B35" s="40">
        <f>25/28</f>
        <v>0.8928571428571429</v>
      </c>
      <c r="C35" s="40">
        <f>3/4</f>
        <v>0.75</v>
      </c>
      <c r="D35" s="40">
        <f>3/3</f>
        <v>1</v>
      </c>
      <c r="E35" s="33">
        <v>0.77</v>
      </c>
      <c r="F35" s="35">
        <v>0.22999999999999998</v>
      </c>
      <c r="G35" s="3" t="s">
        <v>52</v>
      </c>
      <c r="H35" s="3" t="s">
        <v>50</v>
      </c>
      <c r="I35" s="18" t="str">
        <f t="shared" si="1"/>
        <v>Acima da Média</v>
      </c>
      <c r="J35" s="18"/>
      <c r="K35" s="18" t="str">
        <f t="shared" si="2"/>
        <v>Acima da Média</v>
      </c>
      <c r="L35" s="18" t="str">
        <f t="shared" si="3"/>
        <v>Acima da Média</v>
      </c>
    </row>
    <row r="36" spans="1:12">
      <c r="A36" s="3" t="s">
        <v>124</v>
      </c>
      <c r="B36" s="40">
        <f>7/12</f>
        <v>0.58333333333333337</v>
      </c>
      <c r="C36" s="40">
        <f>4/5</f>
        <v>0.8</v>
      </c>
      <c r="D36" s="40">
        <f>1/1</f>
        <v>1</v>
      </c>
      <c r="E36" s="33">
        <v>0.75</v>
      </c>
      <c r="F36" s="35">
        <v>0.25</v>
      </c>
      <c r="G36" s="3" t="s">
        <v>52</v>
      </c>
      <c r="H36" s="3" t="s">
        <v>51</v>
      </c>
      <c r="I36" s="18" t="str">
        <f t="shared" si="1"/>
        <v>Abaixo da Média</v>
      </c>
      <c r="J36" s="18"/>
      <c r="K36" s="18" t="str">
        <f t="shared" si="2"/>
        <v>Acima da Média</v>
      </c>
      <c r="L36" s="18" t="str">
        <f t="shared" si="3"/>
        <v>Acima da Média</v>
      </c>
    </row>
    <row r="37" spans="1:12">
      <c r="A37" s="3" t="s">
        <v>125</v>
      </c>
      <c r="B37" s="40">
        <f>11/21</f>
        <v>0.52380952380952384</v>
      </c>
      <c r="C37" s="40">
        <f>2/4</f>
        <v>0.5</v>
      </c>
      <c r="D37" s="40">
        <v>0</v>
      </c>
      <c r="E37" s="33">
        <v>0.67</v>
      </c>
      <c r="F37" s="35">
        <v>0.32999999999999996</v>
      </c>
      <c r="G37" s="3" t="s">
        <v>49</v>
      </c>
      <c r="H37" s="3" t="s">
        <v>50</v>
      </c>
      <c r="I37" s="18" t="str">
        <f t="shared" si="1"/>
        <v>Abaixo da Média</v>
      </c>
      <c r="J37" s="18"/>
      <c r="K37" s="18" t="str">
        <f t="shared" si="2"/>
        <v>Abaixo da Média</v>
      </c>
      <c r="L37" s="18" t="str">
        <f t="shared" si="3"/>
        <v>Abaixo da Média</v>
      </c>
    </row>
    <row r="38" spans="1:12">
      <c r="A38" s="6" t="s">
        <v>126</v>
      </c>
      <c r="B38" s="42">
        <f>5/6</f>
        <v>0.83333333333333337</v>
      </c>
      <c r="C38" s="42">
        <f>5/5</f>
        <v>1</v>
      </c>
      <c r="D38" s="42">
        <v>0</v>
      </c>
      <c r="E38" s="32">
        <v>0.84</v>
      </c>
      <c r="F38" s="35">
        <v>0.16000000000000003</v>
      </c>
      <c r="G38" s="6" t="s">
        <v>49</v>
      </c>
      <c r="H38" s="6" t="s">
        <v>51</v>
      </c>
      <c r="I38" s="18" t="str">
        <f t="shared" si="1"/>
        <v>Acima da Média</v>
      </c>
      <c r="J38" s="18"/>
      <c r="K38" s="18" t="str">
        <f t="shared" si="2"/>
        <v>Acima da Média</v>
      </c>
      <c r="L38" s="18" t="str">
        <f t="shared" si="3"/>
        <v>Abaixo da Média</v>
      </c>
    </row>
    <row r="39" spans="1:12">
      <c r="A39" s="6" t="s">
        <v>127</v>
      </c>
      <c r="B39" s="42">
        <f>14/20</f>
        <v>0.7</v>
      </c>
      <c r="C39" s="42">
        <f>0/1</f>
        <v>0</v>
      </c>
      <c r="D39" s="42">
        <f>1/1</f>
        <v>1</v>
      </c>
      <c r="E39" s="35">
        <v>0.7</v>
      </c>
      <c r="F39" s="35">
        <v>0.30000000000000004</v>
      </c>
      <c r="G39" s="6" t="s">
        <v>49</v>
      </c>
      <c r="H39" s="6" t="s">
        <v>50</v>
      </c>
      <c r="I39" s="18" t="str">
        <f t="shared" si="1"/>
        <v>Abaixo da Média</v>
      </c>
      <c r="J39" s="18"/>
      <c r="K39" s="18" t="str">
        <f t="shared" si="2"/>
        <v>Abaixo da Média</v>
      </c>
      <c r="L39" s="18" t="str">
        <f t="shared" si="3"/>
        <v>Acima da Média</v>
      </c>
    </row>
    <row r="40" spans="1:12">
      <c r="A40" s="6" t="s">
        <v>128</v>
      </c>
      <c r="B40" s="42">
        <f>15/21</f>
        <v>0.7142857142857143</v>
      </c>
      <c r="C40" s="42">
        <f>2/4</f>
        <v>0.5</v>
      </c>
      <c r="D40" s="42">
        <f>1/2</f>
        <v>0.5</v>
      </c>
      <c r="E40" s="35">
        <v>0.82</v>
      </c>
      <c r="F40" s="35">
        <v>0.18000000000000005</v>
      </c>
      <c r="G40" s="6" t="s">
        <v>52</v>
      </c>
      <c r="H40" s="6" t="s">
        <v>51</v>
      </c>
      <c r="I40" s="18" t="str">
        <f t="shared" si="1"/>
        <v>Abaixo da Média</v>
      </c>
      <c r="J40" s="18"/>
      <c r="K40" s="18" t="str">
        <f t="shared" si="2"/>
        <v>Abaixo da Média</v>
      </c>
      <c r="L40" s="18" t="str">
        <f t="shared" si="3"/>
        <v>Abaixo da Média</v>
      </c>
    </row>
    <row r="41" spans="1:12">
      <c r="A41" s="6" t="s">
        <v>129</v>
      </c>
      <c r="B41" s="42">
        <f>13/14</f>
        <v>0.9285714285714286</v>
      </c>
      <c r="C41" s="42">
        <f>1/1</f>
        <v>1</v>
      </c>
      <c r="D41" s="42">
        <f>1/1</f>
        <v>1</v>
      </c>
      <c r="E41" s="35">
        <v>0.69</v>
      </c>
      <c r="F41" s="35">
        <v>0.31000000000000005</v>
      </c>
      <c r="G41" s="6" t="s">
        <v>49</v>
      </c>
      <c r="H41" s="6" t="s">
        <v>50</v>
      </c>
      <c r="I41" s="18" t="str">
        <f t="shared" si="1"/>
        <v>Acima da Média</v>
      </c>
      <c r="J41" s="18"/>
      <c r="K41" s="18" t="str">
        <f t="shared" si="2"/>
        <v>Acima da Média</v>
      </c>
      <c r="L41" s="18" t="str">
        <f t="shared" si="3"/>
        <v>Acima da Média</v>
      </c>
    </row>
    <row r="42" spans="1:12">
      <c r="A42" s="6" t="s">
        <v>130</v>
      </c>
      <c r="B42" s="42">
        <f>12/14</f>
        <v>0.8571428571428571</v>
      </c>
      <c r="C42" s="42">
        <f>1/1</f>
        <v>1</v>
      </c>
      <c r="D42" s="42">
        <f>2/2</f>
        <v>1</v>
      </c>
      <c r="E42" s="35">
        <v>0.79</v>
      </c>
      <c r="F42" s="35">
        <v>0.20999999999999996</v>
      </c>
      <c r="G42" s="6" t="s">
        <v>49</v>
      </c>
      <c r="H42" s="6" t="s">
        <v>50</v>
      </c>
      <c r="I42" s="18" t="str">
        <f t="shared" si="1"/>
        <v>Acima da Média</v>
      </c>
      <c r="J42" s="18"/>
      <c r="K42" s="18" t="str">
        <f t="shared" si="2"/>
        <v>Acima da Média</v>
      </c>
      <c r="L42" s="18" t="str">
        <f t="shared" si="3"/>
        <v>Acima da Média</v>
      </c>
    </row>
    <row r="43" spans="1:12">
      <c r="A43" s="6" t="s">
        <v>131</v>
      </c>
      <c r="B43" s="42">
        <f>13/21</f>
        <v>0.61904761904761907</v>
      </c>
      <c r="C43" s="42">
        <f>2/2</f>
        <v>1</v>
      </c>
      <c r="D43" s="42">
        <f>1/2</f>
        <v>0.5</v>
      </c>
      <c r="E43" s="35">
        <v>0.63</v>
      </c>
      <c r="F43" s="35">
        <v>0.37</v>
      </c>
      <c r="G43" s="6" t="s">
        <v>52</v>
      </c>
      <c r="H43" s="6" t="s">
        <v>51</v>
      </c>
      <c r="I43" s="18" t="str">
        <f t="shared" si="1"/>
        <v>Abaixo da Média</v>
      </c>
      <c r="J43" s="18"/>
      <c r="K43" s="18" t="str">
        <f t="shared" si="2"/>
        <v>Acima da Média</v>
      </c>
      <c r="L43" s="18" t="str">
        <f t="shared" si="3"/>
        <v>Abaixo da Média</v>
      </c>
    </row>
    <row r="44" spans="1:12">
      <c r="A44" s="6" t="s">
        <v>132</v>
      </c>
      <c r="B44" s="42">
        <f>7/12</f>
        <v>0.58333333333333337</v>
      </c>
      <c r="C44" s="42">
        <f>2/3</f>
        <v>0.66666666666666663</v>
      </c>
      <c r="D44" s="42">
        <v>0</v>
      </c>
      <c r="E44" s="35">
        <v>0.82</v>
      </c>
      <c r="F44" s="35">
        <v>0.18000000000000005</v>
      </c>
      <c r="G44" s="6" t="s">
        <v>54</v>
      </c>
      <c r="H44" s="6" t="s">
        <v>51</v>
      </c>
      <c r="I44" s="18" t="str">
        <f t="shared" si="1"/>
        <v>Abaixo da Média</v>
      </c>
      <c r="J44" s="18"/>
      <c r="K44" s="18" t="str">
        <f t="shared" si="2"/>
        <v>Abaixo da Média</v>
      </c>
      <c r="L44" s="18" t="str">
        <f t="shared" si="3"/>
        <v>Abaixo da Média</v>
      </c>
    </row>
    <row r="45" spans="1:12">
      <c r="A45" s="6" t="s">
        <v>133</v>
      </c>
      <c r="B45" s="42">
        <f>15/18</f>
        <v>0.83333333333333337</v>
      </c>
      <c r="C45" s="42">
        <f>4/5</f>
        <v>0.8</v>
      </c>
      <c r="D45" s="42">
        <f>2/2</f>
        <v>1</v>
      </c>
      <c r="E45" s="35">
        <v>0.83870967741935487</v>
      </c>
      <c r="F45" s="35">
        <v>0.16129032258064513</v>
      </c>
      <c r="G45" s="6" t="s">
        <v>50</v>
      </c>
      <c r="H45" s="6" t="s">
        <v>51</v>
      </c>
      <c r="I45" s="18" t="str">
        <f t="shared" si="1"/>
        <v>Acima da Média</v>
      </c>
      <c r="J45" s="18"/>
      <c r="K45" s="18" t="str">
        <f t="shared" si="2"/>
        <v>Acima da Média</v>
      </c>
      <c r="L45" s="18" t="str">
        <f t="shared" si="3"/>
        <v>Acima da Média</v>
      </c>
    </row>
    <row r="46" spans="1:12">
      <c r="A46" s="6" t="s">
        <v>134</v>
      </c>
      <c r="B46" s="42">
        <f>11/15</f>
        <v>0.73333333333333328</v>
      </c>
      <c r="C46" s="42">
        <f>1/2</f>
        <v>0.5</v>
      </c>
      <c r="D46" s="42">
        <f>2/2</f>
        <v>1</v>
      </c>
      <c r="E46" s="35">
        <v>0.76</v>
      </c>
      <c r="F46" s="35">
        <v>0.24</v>
      </c>
      <c r="G46" s="6" t="s">
        <v>52</v>
      </c>
      <c r="H46" s="6" t="s">
        <v>50</v>
      </c>
      <c r="I46" s="18" t="str">
        <f t="shared" si="1"/>
        <v>Acima da Média</v>
      </c>
      <c r="J46" s="18"/>
      <c r="K46" s="18" t="str">
        <f t="shared" si="2"/>
        <v>Abaixo da Média</v>
      </c>
      <c r="L46" s="18" t="str">
        <f t="shared" si="3"/>
        <v>Acima da Média</v>
      </c>
    </row>
    <row r="47" spans="1:12">
      <c r="A47" s="6" t="s">
        <v>135</v>
      </c>
      <c r="B47" s="42">
        <f>8/11</f>
        <v>0.72727272727272729</v>
      </c>
      <c r="C47" s="42">
        <v>0</v>
      </c>
      <c r="D47" s="42">
        <f>2/2</f>
        <v>1</v>
      </c>
      <c r="E47" s="35">
        <v>0.79411764705882348</v>
      </c>
      <c r="F47" s="35">
        <v>0.20588235294117652</v>
      </c>
      <c r="G47" s="6" t="s">
        <v>49</v>
      </c>
      <c r="H47" s="6" t="s">
        <v>50</v>
      </c>
      <c r="I47" s="18" t="str">
        <f t="shared" si="1"/>
        <v>Abaixo da Média</v>
      </c>
      <c r="J47" s="18"/>
      <c r="K47" s="18" t="str">
        <f t="shared" si="2"/>
        <v>Abaixo da Média</v>
      </c>
      <c r="L47" s="18" t="str">
        <f t="shared" si="3"/>
        <v>Acima da Média</v>
      </c>
    </row>
    <row r="48" spans="1:12">
      <c r="A48" s="6" t="s">
        <v>136</v>
      </c>
      <c r="B48" s="42">
        <f>14/16</f>
        <v>0.875</v>
      </c>
      <c r="C48" s="42">
        <f>2/3</f>
        <v>0.66666666666666663</v>
      </c>
      <c r="D48" s="42">
        <f>1/1</f>
        <v>1</v>
      </c>
      <c r="E48" s="35">
        <v>0.83720930232558144</v>
      </c>
      <c r="F48" s="35">
        <v>0.16279069767441856</v>
      </c>
      <c r="G48" s="6" t="s">
        <v>49</v>
      </c>
      <c r="H48" s="6" t="s">
        <v>51</v>
      </c>
      <c r="I48" s="18" t="str">
        <f t="shared" si="1"/>
        <v>Acima da Média</v>
      </c>
      <c r="J48" s="18"/>
      <c r="K48" s="18" t="str">
        <f t="shared" si="2"/>
        <v>Abaixo da Média</v>
      </c>
      <c r="L48" s="18" t="str">
        <f t="shared" si="3"/>
        <v>Acima da Média</v>
      </c>
    </row>
    <row r="49" spans="1:12">
      <c r="A49" s="6" t="s">
        <v>137</v>
      </c>
      <c r="B49" s="42">
        <f>21/26</f>
        <v>0.80769230769230771</v>
      </c>
      <c r="C49" s="42">
        <f>1/1</f>
        <v>1</v>
      </c>
      <c r="D49" s="42">
        <f>2/2</f>
        <v>1</v>
      </c>
      <c r="E49" s="35">
        <v>0.84313725490196079</v>
      </c>
      <c r="F49" s="35">
        <v>0.15686274509803921</v>
      </c>
      <c r="G49" s="6" t="s">
        <v>54</v>
      </c>
      <c r="H49" s="6" t="s">
        <v>50</v>
      </c>
      <c r="I49" s="18" t="str">
        <f t="shared" si="1"/>
        <v>Acima da Média</v>
      </c>
      <c r="J49" s="18"/>
      <c r="K49" s="18" t="str">
        <f t="shared" si="2"/>
        <v>Acima da Média</v>
      </c>
      <c r="L49" s="18" t="str">
        <f t="shared" si="3"/>
        <v>Acima da Média</v>
      </c>
    </row>
    <row r="50" spans="1:12">
      <c r="A50" s="6" t="s">
        <v>138</v>
      </c>
      <c r="B50" s="42">
        <f>10/13</f>
        <v>0.76923076923076927</v>
      </c>
      <c r="C50" s="42">
        <f>3/3</f>
        <v>1</v>
      </c>
      <c r="D50" s="42">
        <f>4/5</f>
        <v>0.8</v>
      </c>
      <c r="E50" s="35">
        <v>0.84375</v>
      </c>
      <c r="F50" s="35">
        <v>0.15625</v>
      </c>
      <c r="G50" s="6" t="s">
        <v>49</v>
      </c>
      <c r="H50" s="6" t="s">
        <v>51</v>
      </c>
      <c r="I50" s="18" t="str">
        <f t="shared" si="1"/>
        <v>Acima da Média</v>
      </c>
      <c r="J50" s="18"/>
      <c r="K50" s="18" t="str">
        <f t="shared" ref="K50:K81" si="4">IF(C50&lt;0.73, "Abaixo da Média", "Acima da Média")</f>
        <v>Acima da Média</v>
      </c>
      <c r="L50" s="18" t="str">
        <f t="shared" ref="L50:L81" si="5">IF(D50&lt;0.73, "Abaixo da Média", "Acima da Média")</f>
        <v>Acima da Média</v>
      </c>
    </row>
    <row r="51" spans="1:12">
      <c r="A51" s="6" t="s">
        <v>139</v>
      </c>
      <c r="B51" s="42">
        <f>18/24</f>
        <v>0.75</v>
      </c>
      <c r="C51" s="42">
        <f>1/3</f>
        <v>0.33333333333333331</v>
      </c>
      <c r="D51" s="42">
        <f>2/2</f>
        <v>1</v>
      </c>
      <c r="E51" s="35">
        <v>0.76470588235294112</v>
      </c>
      <c r="F51" s="35">
        <v>0.23529411764705888</v>
      </c>
      <c r="G51" s="6" t="s">
        <v>52</v>
      </c>
      <c r="H51" s="6" t="s">
        <v>50</v>
      </c>
      <c r="I51" s="18" t="str">
        <f t="shared" si="1"/>
        <v>Acima da Média</v>
      </c>
      <c r="J51" s="18"/>
      <c r="K51" s="18" t="str">
        <f t="shared" si="4"/>
        <v>Abaixo da Média</v>
      </c>
      <c r="L51" s="18" t="str">
        <f t="shared" si="5"/>
        <v>Acima da Média</v>
      </c>
    </row>
    <row r="52" spans="1:12">
      <c r="A52" s="3" t="s">
        <v>140</v>
      </c>
      <c r="B52" s="40">
        <f>12/13</f>
        <v>0.92307692307692313</v>
      </c>
      <c r="C52" s="40">
        <f>1/2</f>
        <v>0.5</v>
      </c>
      <c r="D52" s="40">
        <f>3/4</f>
        <v>0.75</v>
      </c>
      <c r="E52" s="37">
        <v>0.88235294117647056</v>
      </c>
      <c r="F52" s="37">
        <v>0.11764705882352944</v>
      </c>
      <c r="G52" s="3" t="s">
        <v>49</v>
      </c>
      <c r="H52" s="3" t="s">
        <v>51</v>
      </c>
      <c r="I52" s="18" t="str">
        <f t="shared" si="1"/>
        <v>Acima da Média</v>
      </c>
      <c r="J52" s="18"/>
      <c r="K52" s="18" t="str">
        <f t="shared" si="4"/>
        <v>Abaixo da Média</v>
      </c>
      <c r="L52" s="18" t="str">
        <f t="shared" si="5"/>
        <v>Acima da Média</v>
      </c>
    </row>
    <row r="53" spans="1:12">
      <c r="A53" s="3" t="s">
        <v>142</v>
      </c>
      <c r="B53" s="40">
        <f>15/18</f>
        <v>0.83333333333333337</v>
      </c>
      <c r="C53" s="40">
        <f>3/5</f>
        <v>0.6</v>
      </c>
      <c r="D53" s="40">
        <f>1/1</f>
        <v>1</v>
      </c>
      <c r="E53" s="37">
        <v>0.82222222222222219</v>
      </c>
      <c r="F53" s="37">
        <v>0.17777777777777781</v>
      </c>
      <c r="G53" s="3" t="s">
        <v>52</v>
      </c>
      <c r="H53" s="3" t="s">
        <v>51</v>
      </c>
      <c r="I53" s="18" t="str">
        <f t="shared" si="1"/>
        <v>Acima da Média</v>
      </c>
      <c r="J53" s="18"/>
      <c r="K53" s="18" t="str">
        <f t="shared" si="4"/>
        <v>Abaixo da Média</v>
      </c>
      <c r="L53" s="18" t="str">
        <f t="shared" si="5"/>
        <v>Acima da Média</v>
      </c>
    </row>
    <row r="54" spans="1:12">
      <c r="A54" s="3" t="s">
        <v>143</v>
      </c>
      <c r="B54" s="40">
        <f>5/7</f>
        <v>0.7142857142857143</v>
      </c>
      <c r="C54" s="40">
        <f>2/2</f>
        <v>1</v>
      </c>
      <c r="D54" s="40">
        <f>0/1</f>
        <v>0</v>
      </c>
      <c r="E54" s="37">
        <v>0.8571428571428571</v>
      </c>
      <c r="F54" s="37">
        <v>0.1428571428571429</v>
      </c>
      <c r="G54" s="3" t="s">
        <v>51</v>
      </c>
      <c r="H54" s="3" t="s">
        <v>51</v>
      </c>
      <c r="I54" s="18" t="str">
        <f t="shared" si="1"/>
        <v>Abaixo da Média</v>
      </c>
      <c r="J54" s="18"/>
      <c r="K54" s="18" t="str">
        <f t="shared" si="4"/>
        <v>Acima da Média</v>
      </c>
      <c r="L54" s="18" t="str">
        <f t="shared" si="5"/>
        <v>Abaixo da Média</v>
      </c>
    </row>
    <row r="55" spans="1:12">
      <c r="A55" s="3" t="s">
        <v>144</v>
      </c>
      <c r="B55" s="40">
        <f>7/9</f>
        <v>0.77777777777777779</v>
      </c>
      <c r="C55" s="40">
        <f>2/3</f>
        <v>0.66666666666666663</v>
      </c>
      <c r="D55" s="40">
        <f>1/3</f>
        <v>0.33333333333333331</v>
      </c>
      <c r="E55" s="37">
        <v>0.91428571428571426</v>
      </c>
      <c r="F55" s="37">
        <v>8.5714285714285743E-2</v>
      </c>
      <c r="G55" s="3" t="s">
        <v>51</v>
      </c>
      <c r="H55" s="3" t="s">
        <v>51</v>
      </c>
      <c r="I55" s="18" t="str">
        <f t="shared" si="1"/>
        <v>Acima da Média</v>
      </c>
      <c r="J55" s="18"/>
      <c r="K55" s="18" t="str">
        <f t="shared" si="4"/>
        <v>Abaixo da Média</v>
      </c>
      <c r="L55" s="18" t="str">
        <f t="shared" si="5"/>
        <v>Abaixo da Média</v>
      </c>
    </row>
    <row r="56" spans="1:12">
      <c r="A56" s="3" t="s">
        <v>145</v>
      </c>
      <c r="B56" s="40">
        <f>9/12</f>
        <v>0.75</v>
      </c>
      <c r="C56" s="40">
        <f>6/6</f>
        <v>1</v>
      </c>
      <c r="D56" s="40">
        <f>2/2</f>
        <v>1</v>
      </c>
      <c r="E56" s="37">
        <v>0.81081081081081086</v>
      </c>
      <c r="F56" s="37">
        <v>0.18918918918918914</v>
      </c>
      <c r="G56" s="3" t="s">
        <v>50</v>
      </c>
      <c r="H56" s="3" t="s">
        <v>51</v>
      </c>
      <c r="I56" s="18" t="str">
        <f t="shared" si="1"/>
        <v>Acima da Média</v>
      </c>
      <c r="J56" s="18"/>
      <c r="K56" s="18" t="str">
        <f t="shared" si="4"/>
        <v>Acima da Média</v>
      </c>
      <c r="L56" s="18" t="str">
        <f t="shared" si="5"/>
        <v>Acima da Média</v>
      </c>
    </row>
    <row r="57" spans="1:12">
      <c r="A57" s="3" t="s">
        <v>146</v>
      </c>
      <c r="B57" s="40">
        <f>10/13</f>
        <v>0.76923076923076927</v>
      </c>
      <c r="C57" s="40">
        <f>2/2</f>
        <v>1</v>
      </c>
      <c r="D57" s="40">
        <v>0</v>
      </c>
      <c r="E57" s="37">
        <v>0.89655172413793105</v>
      </c>
      <c r="F57" s="37">
        <v>0.10344827586206895</v>
      </c>
      <c r="G57" s="3" t="s">
        <v>49</v>
      </c>
      <c r="H57" s="3" t="s">
        <v>51</v>
      </c>
      <c r="I57" s="18" t="str">
        <f t="shared" si="1"/>
        <v>Acima da Média</v>
      </c>
      <c r="J57" s="18"/>
      <c r="K57" s="18" t="str">
        <f t="shared" si="4"/>
        <v>Acima da Média</v>
      </c>
      <c r="L57" s="18" t="str">
        <f t="shared" si="5"/>
        <v>Abaixo da Média</v>
      </c>
    </row>
    <row r="58" spans="1:12">
      <c r="A58" s="3" t="s">
        <v>147</v>
      </c>
      <c r="B58" s="40">
        <f>6/6</f>
        <v>1</v>
      </c>
      <c r="C58" s="40">
        <f>0/1</f>
        <v>0</v>
      </c>
      <c r="D58" s="40">
        <f>1/1</f>
        <v>1</v>
      </c>
      <c r="E58" s="37">
        <v>0.92307692307692313</v>
      </c>
      <c r="F58" s="37">
        <v>7.6923076923076872E-2</v>
      </c>
      <c r="G58" s="3" t="s">
        <v>49</v>
      </c>
      <c r="H58" s="3" t="s">
        <v>51</v>
      </c>
      <c r="I58" s="18" t="str">
        <f t="shared" si="1"/>
        <v>Acima da Média</v>
      </c>
      <c r="J58" s="18"/>
      <c r="K58" s="18" t="str">
        <f t="shared" si="4"/>
        <v>Abaixo da Média</v>
      </c>
      <c r="L58" s="18" t="str">
        <f t="shared" si="5"/>
        <v>Acima da Média</v>
      </c>
    </row>
    <row r="59" spans="1:12">
      <c r="A59" s="3" t="s">
        <v>148</v>
      </c>
      <c r="B59" s="40">
        <f>9/9</f>
        <v>1</v>
      </c>
      <c r="C59" s="40">
        <f>5/5</f>
        <v>1</v>
      </c>
      <c r="D59" s="40">
        <f>1/2</f>
        <v>0.5</v>
      </c>
      <c r="E59" s="37">
        <v>0.84375</v>
      </c>
      <c r="F59" s="37">
        <v>0.15625</v>
      </c>
      <c r="G59" s="3" t="s">
        <v>49</v>
      </c>
      <c r="H59" s="3" t="s">
        <v>51</v>
      </c>
      <c r="I59" s="18" t="str">
        <f t="shared" si="1"/>
        <v>Acima da Média</v>
      </c>
      <c r="J59" s="18"/>
      <c r="K59" s="18" t="str">
        <f t="shared" si="4"/>
        <v>Acima da Média</v>
      </c>
      <c r="L59" s="18" t="str">
        <f t="shared" si="5"/>
        <v>Abaixo da Média</v>
      </c>
    </row>
    <row r="60" spans="1:12">
      <c r="A60" s="3" t="s">
        <v>149</v>
      </c>
      <c r="B60" s="40">
        <f>13/16</f>
        <v>0.8125</v>
      </c>
      <c r="C60" s="40">
        <v>0</v>
      </c>
      <c r="D60" s="40">
        <f>1/1</f>
        <v>1</v>
      </c>
      <c r="E60" s="37">
        <v>0.88571428571428568</v>
      </c>
      <c r="F60" s="37">
        <v>0.11428571428571432</v>
      </c>
      <c r="G60" s="3" t="s">
        <v>49</v>
      </c>
      <c r="H60" s="3" t="s">
        <v>51</v>
      </c>
      <c r="I60" s="18" t="str">
        <f t="shared" si="1"/>
        <v>Acima da Média</v>
      </c>
      <c r="J60" s="18"/>
      <c r="K60" s="18" t="str">
        <f t="shared" si="4"/>
        <v>Abaixo da Média</v>
      </c>
      <c r="L60" s="18" t="str">
        <f t="shared" si="5"/>
        <v>Acima da Média</v>
      </c>
    </row>
    <row r="61" spans="1:12">
      <c r="A61" s="5" t="s">
        <v>150</v>
      </c>
      <c r="B61" s="40">
        <f>16/23</f>
        <v>0.69565217391304346</v>
      </c>
      <c r="C61" s="40">
        <f>2/3</f>
        <v>0.66666666666666663</v>
      </c>
      <c r="D61" s="40">
        <f>2/2</f>
        <v>1</v>
      </c>
      <c r="E61" s="37">
        <v>0.72549019607843135</v>
      </c>
      <c r="F61" s="37">
        <v>0.27450980392156865</v>
      </c>
      <c r="G61" s="3" t="s">
        <v>52</v>
      </c>
      <c r="H61" s="3" t="s">
        <v>50</v>
      </c>
      <c r="I61" s="18" t="str">
        <f t="shared" si="1"/>
        <v>Abaixo da Média</v>
      </c>
      <c r="J61" s="18"/>
      <c r="K61" s="18" t="str">
        <f t="shared" si="4"/>
        <v>Abaixo da Média</v>
      </c>
      <c r="L61" s="18" t="str">
        <f t="shared" si="5"/>
        <v>Acima da Média</v>
      </c>
    </row>
    <row r="62" spans="1:12">
      <c r="A62" s="5" t="s">
        <v>151</v>
      </c>
      <c r="B62" s="40">
        <f>12/15</f>
        <v>0.8</v>
      </c>
      <c r="C62" s="40">
        <f>0/1</f>
        <v>0</v>
      </c>
      <c r="D62" s="40">
        <v>0</v>
      </c>
      <c r="E62" s="37">
        <v>0.70731707317073167</v>
      </c>
      <c r="F62" s="37">
        <v>0.29268292682926833</v>
      </c>
      <c r="G62" s="3" t="s">
        <v>52</v>
      </c>
      <c r="H62" s="3" t="s">
        <v>50</v>
      </c>
      <c r="I62" s="18" t="str">
        <f t="shared" si="1"/>
        <v>Acima da Média</v>
      </c>
      <c r="J62" s="18"/>
      <c r="K62" s="18" t="str">
        <f t="shared" si="4"/>
        <v>Abaixo da Média</v>
      </c>
      <c r="L62" s="18" t="str">
        <f t="shared" si="5"/>
        <v>Abaixo da Média</v>
      </c>
    </row>
    <row r="63" spans="1:12">
      <c r="A63" s="5" t="s">
        <v>152</v>
      </c>
      <c r="B63" s="40">
        <f>10/15</f>
        <v>0.66666666666666663</v>
      </c>
      <c r="C63" s="40">
        <f>0/1</f>
        <v>0</v>
      </c>
      <c r="D63" s="40">
        <f>1/2</f>
        <v>0.5</v>
      </c>
      <c r="E63" s="37">
        <v>0.73684210526315785</v>
      </c>
      <c r="F63" s="37">
        <v>0.26315789473684215</v>
      </c>
      <c r="G63" s="3" t="s">
        <v>49</v>
      </c>
      <c r="H63" s="3" t="s">
        <v>50</v>
      </c>
      <c r="I63" s="18" t="str">
        <f t="shared" si="1"/>
        <v>Abaixo da Média</v>
      </c>
      <c r="J63" s="18"/>
      <c r="K63" s="18" t="str">
        <f t="shared" si="4"/>
        <v>Abaixo da Média</v>
      </c>
      <c r="L63" s="18" t="str">
        <f t="shared" si="5"/>
        <v>Abaixo da Média</v>
      </c>
    </row>
    <row r="64" spans="1:12">
      <c r="A64" s="5" t="s">
        <v>153</v>
      </c>
      <c r="B64" s="40">
        <f>4/7</f>
        <v>0.5714285714285714</v>
      </c>
      <c r="C64" s="40">
        <f>1/3</f>
        <v>0.33333333333333331</v>
      </c>
      <c r="D64" s="40">
        <f>0/1</f>
        <v>0</v>
      </c>
      <c r="E64" s="33">
        <v>0.54545454545454541</v>
      </c>
      <c r="F64" s="35">
        <v>0.45454545454545459</v>
      </c>
      <c r="G64" s="3" t="s">
        <v>49</v>
      </c>
      <c r="H64" s="3" t="s">
        <v>52</v>
      </c>
      <c r="I64" s="18" t="str">
        <f t="shared" si="1"/>
        <v>Abaixo da Média</v>
      </c>
      <c r="J64" s="18"/>
      <c r="K64" s="18" t="str">
        <f t="shared" si="4"/>
        <v>Abaixo da Média</v>
      </c>
      <c r="L64" s="18" t="str">
        <f t="shared" si="5"/>
        <v>Abaixo da Média</v>
      </c>
    </row>
    <row r="65" spans="1:12">
      <c r="A65" s="4" t="s">
        <v>154</v>
      </c>
      <c r="B65" s="42">
        <f>8/14</f>
        <v>0.5714285714285714</v>
      </c>
      <c r="C65" s="42">
        <v>0</v>
      </c>
      <c r="D65" s="42">
        <f>2/3</f>
        <v>0.66666666666666663</v>
      </c>
      <c r="E65" s="35">
        <v>0.76315789473684215</v>
      </c>
      <c r="F65" s="35">
        <v>0.23684210526315785</v>
      </c>
      <c r="G65" s="6" t="s">
        <v>52</v>
      </c>
      <c r="H65" s="6" t="s">
        <v>50</v>
      </c>
      <c r="I65" s="18" t="str">
        <f t="shared" si="1"/>
        <v>Abaixo da Média</v>
      </c>
      <c r="J65" s="18"/>
      <c r="K65" s="18" t="str">
        <f t="shared" si="4"/>
        <v>Abaixo da Média</v>
      </c>
      <c r="L65" s="18" t="str">
        <f t="shared" si="5"/>
        <v>Abaixo da Média</v>
      </c>
    </row>
    <row r="66" spans="1:12">
      <c r="A66" s="4" t="s">
        <v>155</v>
      </c>
      <c r="B66" s="42">
        <f>8/11</f>
        <v>0.72727272727272729</v>
      </c>
      <c r="C66" s="42">
        <f>2/3</f>
        <v>0.66666666666666663</v>
      </c>
      <c r="D66" s="42">
        <f>0/3</f>
        <v>0</v>
      </c>
      <c r="E66" s="35">
        <v>0.69565217391304346</v>
      </c>
      <c r="F66" s="35">
        <v>0.30434782608695654</v>
      </c>
      <c r="G66" s="6" t="s">
        <v>52</v>
      </c>
      <c r="H66" s="6" t="s">
        <v>50</v>
      </c>
      <c r="I66" s="18" t="str">
        <f t="shared" si="1"/>
        <v>Abaixo da Média</v>
      </c>
      <c r="J66" s="18"/>
      <c r="K66" s="18" t="str">
        <f t="shared" si="4"/>
        <v>Abaixo da Média</v>
      </c>
      <c r="L66" s="18" t="str">
        <f t="shared" si="5"/>
        <v>Abaixo da Média</v>
      </c>
    </row>
    <row r="67" spans="1:12">
      <c r="A67" s="5" t="s">
        <v>156</v>
      </c>
      <c r="B67" s="40">
        <f>12/13</f>
        <v>0.92307692307692313</v>
      </c>
      <c r="C67" s="40">
        <f>4/6</f>
        <v>0.66666666666666663</v>
      </c>
      <c r="D67" s="40">
        <f>1/1</f>
        <v>1</v>
      </c>
      <c r="E67" s="33">
        <v>0.82857142857142863</v>
      </c>
      <c r="F67" s="35">
        <v>0.17142857142857137</v>
      </c>
      <c r="G67" s="3" t="s">
        <v>49</v>
      </c>
      <c r="H67" s="3" t="s">
        <v>51</v>
      </c>
      <c r="I67" s="18" t="str">
        <f t="shared" ref="I67:I101" si="6">IF(B67&lt;0.73, "Abaixo da Média", "Acima da Média")</f>
        <v>Acima da Média</v>
      </c>
      <c r="J67" s="18"/>
      <c r="K67" s="18" t="str">
        <f t="shared" si="4"/>
        <v>Abaixo da Média</v>
      </c>
      <c r="L67" s="18" t="str">
        <f t="shared" si="5"/>
        <v>Acima da Média</v>
      </c>
    </row>
    <row r="68" spans="1:12">
      <c r="A68" s="5" t="s">
        <v>157</v>
      </c>
      <c r="B68" s="40">
        <f>19/21</f>
        <v>0.90476190476190477</v>
      </c>
      <c r="C68" s="40">
        <f>1/1</f>
        <v>1</v>
      </c>
      <c r="D68" s="40">
        <f>1/1</f>
        <v>1</v>
      </c>
      <c r="E68" s="33">
        <v>0.8571428571428571</v>
      </c>
      <c r="F68" s="35">
        <v>0.1428571428571429</v>
      </c>
      <c r="G68" s="3" t="s">
        <v>50</v>
      </c>
      <c r="H68" s="3" t="s">
        <v>51</v>
      </c>
      <c r="I68" s="18" t="str">
        <f t="shared" si="6"/>
        <v>Acima da Média</v>
      </c>
      <c r="J68" s="18"/>
      <c r="K68" s="18" t="str">
        <f t="shared" si="4"/>
        <v>Acima da Média</v>
      </c>
      <c r="L68" s="18" t="str">
        <f t="shared" si="5"/>
        <v>Acima da Média</v>
      </c>
    </row>
    <row r="69" spans="1:12">
      <c r="A69" s="5" t="s">
        <v>158</v>
      </c>
      <c r="B69" s="40">
        <f>10/13</f>
        <v>0.76923076923076927</v>
      </c>
      <c r="C69" s="40">
        <f>2/2</f>
        <v>1</v>
      </c>
      <c r="D69" s="40">
        <f>0/1</f>
        <v>0</v>
      </c>
      <c r="E69" s="33">
        <v>0.82857142857142863</v>
      </c>
      <c r="F69" s="35">
        <v>0.17142857142857137</v>
      </c>
      <c r="G69" s="3" t="s">
        <v>51</v>
      </c>
      <c r="H69" s="3" t="s">
        <v>51</v>
      </c>
      <c r="I69" s="18" t="str">
        <f t="shared" si="6"/>
        <v>Acima da Média</v>
      </c>
      <c r="J69" s="18"/>
      <c r="K69" s="18" t="str">
        <f t="shared" si="4"/>
        <v>Acima da Média</v>
      </c>
      <c r="L69" s="18" t="str">
        <f t="shared" si="5"/>
        <v>Abaixo da Média</v>
      </c>
    </row>
    <row r="70" spans="1:12">
      <c r="A70" s="5" t="s">
        <v>159</v>
      </c>
      <c r="B70" s="40">
        <f>7/11</f>
        <v>0.63636363636363635</v>
      </c>
      <c r="C70" s="40">
        <f>1/1</f>
        <v>1</v>
      </c>
      <c r="D70" s="40">
        <v>0</v>
      </c>
      <c r="E70" s="33">
        <v>0.78125</v>
      </c>
      <c r="F70" s="35">
        <v>0.21875</v>
      </c>
      <c r="G70" s="3" t="s">
        <v>51</v>
      </c>
      <c r="H70" s="3" t="s">
        <v>50</v>
      </c>
      <c r="I70" s="18" t="str">
        <f t="shared" si="6"/>
        <v>Abaixo da Média</v>
      </c>
      <c r="J70" s="18"/>
      <c r="K70" s="18" t="str">
        <f t="shared" si="4"/>
        <v>Acima da Média</v>
      </c>
      <c r="L70" s="18" t="str">
        <f t="shared" si="5"/>
        <v>Abaixo da Média</v>
      </c>
    </row>
    <row r="71" spans="1:12">
      <c r="A71" s="5" t="s">
        <v>160</v>
      </c>
      <c r="B71" s="40">
        <f>14/20</f>
        <v>0.7</v>
      </c>
      <c r="C71" s="40">
        <f>3/4</f>
        <v>0.75</v>
      </c>
      <c r="D71" s="40">
        <f>1/2</f>
        <v>0.5</v>
      </c>
      <c r="E71" s="33">
        <v>0.68627450980392157</v>
      </c>
      <c r="F71" s="35">
        <v>0.31372549019607843</v>
      </c>
      <c r="G71" s="3" t="s">
        <v>49</v>
      </c>
      <c r="H71" s="3" t="s">
        <v>50</v>
      </c>
      <c r="I71" s="18" t="str">
        <f t="shared" si="6"/>
        <v>Abaixo da Média</v>
      </c>
      <c r="J71" s="18"/>
      <c r="K71" s="18" t="str">
        <f t="shared" si="4"/>
        <v>Acima da Média</v>
      </c>
      <c r="L71" s="18" t="str">
        <f t="shared" si="5"/>
        <v>Abaixo da Média</v>
      </c>
    </row>
    <row r="72" spans="1:12">
      <c r="A72" s="5" t="s">
        <v>161</v>
      </c>
      <c r="B72" s="40">
        <f>13/15</f>
        <v>0.8666666666666667</v>
      </c>
      <c r="C72" s="40">
        <f>1/1</f>
        <v>1</v>
      </c>
      <c r="D72" s="40">
        <f>0/1</f>
        <v>0</v>
      </c>
      <c r="E72" s="33">
        <v>0.8571428571428571</v>
      </c>
      <c r="F72" s="35">
        <v>0.1428571428571429</v>
      </c>
      <c r="G72" s="3" t="s">
        <v>52</v>
      </c>
      <c r="H72" s="3" t="s">
        <v>51</v>
      </c>
      <c r="I72" s="18" t="str">
        <f t="shared" si="6"/>
        <v>Acima da Média</v>
      </c>
      <c r="J72" s="18"/>
      <c r="K72" s="18" t="str">
        <f t="shared" si="4"/>
        <v>Acima da Média</v>
      </c>
      <c r="L72" s="18" t="str">
        <f t="shared" si="5"/>
        <v>Abaixo da Média</v>
      </c>
    </row>
    <row r="73" spans="1:12">
      <c r="A73" s="5" t="s">
        <v>162</v>
      </c>
      <c r="B73" s="40">
        <f>15/18</f>
        <v>0.83333333333333337</v>
      </c>
      <c r="C73" s="40">
        <f>7/8</f>
        <v>0.875</v>
      </c>
      <c r="D73" s="40">
        <v>0</v>
      </c>
      <c r="E73" s="33">
        <v>0.87755102040816324</v>
      </c>
      <c r="F73" s="35">
        <v>0.12244897959183676</v>
      </c>
      <c r="G73" s="3" t="s">
        <v>52</v>
      </c>
      <c r="H73" s="3" t="s">
        <v>51</v>
      </c>
      <c r="I73" s="18" t="str">
        <f t="shared" si="6"/>
        <v>Acima da Média</v>
      </c>
      <c r="J73" s="18"/>
      <c r="K73" s="18" t="str">
        <f t="shared" si="4"/>
        <v>Acima da Média</v>
      </c>
      <c r="L73" s="18" t="str">
        <f t="shared" si="5"/>
        <v>Abaixo da Média</v>
      </c>
    </row>
    <row r="74" spans="1:12">
      <c r="A74" s="5" t="s">
        <v>163</v>
      </c>
      <c r="B74" s="40">
        <f>10/15</f>
        <v>0.66666666666666663</v>
      </c>
      <c r="C74" s="40">
        <f>4/7</f>
        <v>0.5714285714285714</v>
      </c>
      <c r="D74" s="40">
        <f>1/2</f>
        <v>0.5</v>
      </c>
      <c r="E74" s="33">
        <v>0.625</v>
      </c>
      <c r="F74" s="35">
        <v>0.375</v>
      </c>
      <c r="G74" s="3" t="s">
        <v>54</v>
      </c>
      <c r="H74" s="3" t="s">
        <v>50</v>
      </c>
      <c r="I74" s="18" t="str">
        <f t="shared" si="6"/>
        <v>Abaixo da Média</v>
      </c>
      <c r="J74" s="18"/>
      <c r="K74" s="18" t="str">
        <f t="shared" si="4"/>
        <v>Abaixo da Média</v>
      </c>
      <c r="L74" s="18" t="str">
        <f t="shared" si="5"/>
        <v>Abaixo da Média</v>
      </c>
    </row>
    <row r="75" spans="1:12">
      <c r="A75" s="5" t="s">
        <v>164</v>
      </c>
      <c r="B75" s="40">
        <f>9/11</f>
        <v>0.81818181818181823</v>
      </c>
      <c r="C75" s="40">
        <f>2/2</f>
        <v>1</v>
      </c>
      <c r="D75" s="40">
        <f>3/4</f>
        <v>0.75</v>
      </c>
      <c r="E75" s="33">
        <v>0.87804878048780488</v>
      </c>
      <c r="F75" s="35">
        <v>0.12195121951219512</v>
      </c>
      <c r="G75" s="3" t="s">
        <v>49</v>
      </c>
      <c r="H75" s="3" t="s">
        <v>51</v>
      </c>
      <c r="I75" s="18" t="str">
        <f t="shared" si="6"/>
        <v>Acima da Média</v>
      </c>
      <c r="J75" s="18"/>
      <c r="K75" s="18" t="str">
        <f t="shared" si="4"/>
        <v>Acima da Média</v>
      </c>
      <c r="L75" s="18" t="str">
        <f t="shared" si="5"/>
        <v>Acima da Média</v>
      </c>
    </row>
    <row r="76" spans="1:12">
      <c r="A76" s="5" t="s">
        <v>165</v>
      </c>
      <c r="B76" s="40">
        <f>13/17</f>
        <v>0.76470588235294112</v>
      </c>
      <c r="C76" s="40">
        <f>1/3</f>
        <v>0.33333333333333331</v>
      </c>
      <c r="D76" s="40">
        <v>0</v>
      </c>
      <c r="E76" s="33">
        <v>0.71111111111111114</v>
      </c>
      <c r="F76" s="35">
        <v>0.28888888888888886</v>
      </c>
      <c r="G76" s="3" t="s">
        <v>50</v>
      </c>
      <c r="H76" s="3" t="s">
        <v>50</v>
      </c>
      <c r="I76" s="18" t="str">
        <f t="shared" si="6"/>
        <v>Acima da Média</v>
      </c>
      <c r="J76" s="18"/>
      <c r="K76" s="18" t="str">
        <f t="shared" si="4"/>
        <v>Abaixo da Média</v>
      </c>
      <c r="L76" s="18" t="str">
        <f t="shared" si="5"/>
        <v>Abaixo da Média</v>
      </c>
    </row>
    <row r="77" spans="1:12">
      <c r="A77" s="4" t="s">
        <v>166</v>
      </c>
      <c r="B77" s="42">
        <f>7/13</f>
        <v>0.53846153846153844</v>
      </c>
      <c r="C77" s="42">
        <f>0/1</f>
        <v>0</v>
      </c>
      <c r="D77" s="42">
        <f>1/1</f>
        <v>1</v>
      </c>
      <c r="E77" s="35">
        <v>0.76</v>
      </c>
      <c r="F77" s="35">
        <v>0.24</v>
      </c>
      <c r="G77" s="6" t="s">
        <v>51</v>
      </c>
      <c r="H77" s="6" t="s">
        <v>50</v>
      </c>
      <c r="I77" s="18" t="str">
        <f t="shared" si="6"/>
        <v>Abaixo da Média</v>
      </c>
      <c r="J77" s="18"/>
      <c r="K77" s="18" t="str">
        <f t="shared" si="4"/>
        <v>Abaixo da Média</v>
      </c>
      <c r="L77" s="18" t="str">
        <f t="shared" si="5"/>
        <v>Acima da Média</v>
      </c>
    </row>
    <row r="78" spans="1:12">
      <c r="A78" s="5" t="s">
        <v>167</v>
      </c>
      <c r="B78" s="40">
        <f>7/8</f>
        <v>0.875</v>
      </c>
      <c r="C78" s="40">
        <f>1/2</f>
        <v>0.5</v>
      </c>
      <c r="D78" s="40">
        <f>1/1</f>
        <v>1</v>
      </c>
      <c r="E78" s="33">
        <v>0.84</v>
      </c>
      <c r="F78" s="35">
        <v>0.16000000000000003</v>
      </c>
      <c r="G78" s="3" t="s">
        <v>51</v>
      </c>
      <c r="H78" s="3" t="s">
        <v>51</v>
      </c>
      <c r="I78" s="18" t="str">
        <f t="shared" si="6"/>
        <v>Acima da Média</v>
      </c>
      <c r="J78" s="18"/>
      <c r="K78" s="18" t="str">
        <f t="shared" si="4"/>
        <v>Abaixo da Média</v>
      </c>
      <c r="L78" s="18" t="str">
        <f t="shared" si="5"/>
        <v>Acima da Média</v>
      </c>
    </row>
    <row r="79" spans="1:12">
      <c r="A79" s="4" t="s">
        <v>168</v>
      </c>
      <c r="B79" s="42">
        <f>14/16</f>
        <v>0.875</v>
      </c>
      <c r="C79" s="42">
        <f>0/1</f>
        <v>0</v>
      </c>
      <c r="D79" s="42">
        <f>2/2</f>
        <v>1</v>
      </c>
      <c r="E79" s="35">
        <v>0.82</v>
      </c>
      <c r="F79" s="35">
        <v>0.18000000000000005</v>
      </c>
      <c r="G79" s="6" t="s">
        <v>49</v>
      </c>
      <c r="H79" s="6" t="s">
        <v>51</v>
      </c>
      <c r="I79" s="18" t="str">
        <f t="shared" si="6"/>
        <v>Acima da Média</v>
      </c>
      <c r="J79" s="18"/>
      <c r="K79" s="18" t="str">
        <f t="shared" si="4"/>
        <v>Abaixo da Média</v>
      </c>
      <c r="L79" s="18" t="str">
        <f t="shared" si="5"/>
        <v>Acima da Média</v>
      </c>
    </row>
    <row r="80" spans="1:12">
      <c r="A80" s="5" t="s">
        <v>169</v>
      </c>
      <c r="B80" s="40">
        <f>12/14</f>
        <v>0.8571428571428571</v>
      </c>
      <c r="C80" s="40">
        <f>1/2</f>
        <v>0.5</v>
      </c>
      <c r="D80" s="40">
        <f>3/3</f>
        <v>1</v>
      </c>
      <c r="E80" s="33">
        <v>0.88</v>
      </c>
      <c r="F80" s="33">
        <v>0.12</v>
      </c>
      <c r="G80" s="3" t="s">
        <v>52</v>
      </c>
      <c r="H80" s="3" t="s">
        <v>51</v>
      </c>
      <c r="I80" s="18" t="str">
        <f t="shared" si="6"/>
        <v>Acima da Média</v>
      </c>
      <c r="J80" s="18"/>
      <c r="K80" s="18" t="str">
        <f t="shared" si="4"/>
        <v>Abaixo da Média</v>
      </c>
      <c r="L80" s="18" t="str">
        <f t="shared" si="5"/>
        <v>Acima da Média</v>
      </c>
    </row>
    <row r="81" spans="1:12">
      <c r="A81" s="5" t="s">
        <v>170</v>
      </c>
      <c r="B81" s="40">
        <f>7/11</f>
        <v>0.63636363636363635</v>
      </c>
      <c r="C81" s="40">
        <f>4/6</f>
        <v>0.66666666666666663</v>
      </c>
      <c r="D81" s="40">
        <f>2/3</f>
        <v>0.66666666666666663</v>
      </c>
      <c r="E81" s="33">
        <v>0.78</v>
      </c>
      <c r="F81" s="33">
        <v>0.21999999999999997</v>
      </c>
      <c r="G81" s="3" t="s">
        <v>49</v>
      </c>
      <c r="H81" s="3" t="s">
        <v>50</v>
      </c>
      <c r="I81" s="18" t="str">
        <f t="shared" si="6"/>
        <v>Abaixo da Média</v>
      </c>
      <c r="J81" s="18"/>
      <c r="K81" s="18" t="str">
        <f t="shared" si="4"/>
        <v>Abaixo da Média</v>
      </c>
      <c r="L81" s="18" t="str">
        <f t="shared" si="5"/>
        <v>Abaixo da Média</v>
      </c>
    </row>
    <row r="82" spans="1:12">
      <c r="A82" s="4" t="s">
        <v>171</v>
      </c>
      <c r="B82" s="40">
        <f>10/17</f>
        <v>0.58823529411764708</v>
      </c>
      <c r="C82" s="40">
        <f>1/3</f>
        <v>0.33333333333333331</v>
      </c>
      <c r="D82" s="40">
        <f>0/2</f>
        <v>0</v>
      </c>
      <c r="E82" s="35">
        <v>0.44</v>
      </c>
      <c r="F82" s="35">
        <v>0.56000000000000005</v>
      </c>
      <c r="G82" s="6" t="s">
        <v>50</v>
      </c>
      <c r="H82" s="6" t="s">
        <v>49</v>
      </c>
      <c r="I82" s="18" t="str">
        <f t="shared" si="6"/>
        <v>Abaixo da Média</v>
      </c>
      <c r="J82" s="18"/>
      <c r="K82" s="18" t="str">
        <f t="shared" ref="K82:K101" si="7">IF(C82&lt;0.73, "Abaixo da Média", "Acima da Média")</f>
        <v>Abaixo da Média</v>
      </c>
      <c r="L82" s="18" t="str">
        <f t="shared" ref="L82:L101" si="8">IF(D82&lt;0.73, "Abaixo da Média", "Acima da Média")</f>
        <v>Abaixo da Média</v>
      </c>
    </row>
    <row r="83" spans="1:12">
      <c r="A83" s="5" t="s">
        <v>172</v>
      </c>
      <c r="B83" s="40">
        <f>9/13</f>
        <v>0.69230769230769229</v>
      </c>
      <c r="C83" s="40">
        <f>1/1</f>
        <v>1</v>
      </c>
      <c r="D83" s="40">
        <v>0</v>
      </c>
      <c r="E83" s="33">
        <v>0.8</v>
      </c>
      <c r="F83" s="33">
        <v>0.19999999999999996</v>
      </c>
      <c r="G83" s="3" t="s">
        <v>50</v>
      </c>
      <c r="H83" s="3" t="s">
        <v>51</v>
      </c>
      <c r="I83" s="18" t="str">
        <f t="shared" si="6"/>
        <v>Abaixo da Média</v>
      </c>
      <c r="J83" s="18"/>
      <c r="K83" s="18" t="str">
        <f t="shared" si="7"/>
        <v>Acima da Média</v>
      </c>
      <c r="L83" s="18" t="str">
        <f t="shared" si="8"/>
        <v>Abaixo da Média</v>
      </c>
    </row>
    <row r="84" spans="1:12">
      <c r="A84" s="5" t="s">
        <v>173</v>
      </c>
      <c r="B84" s="40">
        <f>8/13</f>
        <v>0.61538461538461542</v>
      </c>
      <c r="C84" s="40">
        <f>1/1</f>
        <v>1</v>
      </c>
      <c r="D84" s="40">
        <f>0/1</f>
        <v>0</v>
      </c>
      <c r="E84" s="33">
        <v>0.82</v>
      </c>
      <c r="F84" s="33">
        <v>0.18000000000000005</v>
      </c>
      <c r="G84" s="3" t="s">
        <v>52</v>
      </c>
      <c r="H84" s="3" t="s">
        <v>51</v>
      </c>
      <c r="I84" s="18" t="str">
        <f t="shared" si="6"/>
        <v>Abaixo da Média</v>
      </c>
      <c r="J84" s="18"/>
      <c r="K84" s="18" t="str">
        <f t="shared" si="7"/>
        <v>Acima da Média</v>
      </c>
      <c r="L84" s="18" t="str">
        <f t="shared" si="8"/>
        <v>Abaixo da Média</v>
      </c>
    </row>
    <row r="85" spans="1:12">
      <c r="A85" s="5" t="s">
        <v>174</v>
      </c>
      <c r="B85" s="40">
        <f>11/12</f>
        <v>0.91666666666666663</v>
      </c>
      <c r="C85" s="40">
        <f>3/3</f>
        <v>1</v>
      </c>
      <c r="D85" s="40">
        <v>0</v>
      </c>
      <c r="E85" s="33">
        <v>0.76</v>
      </c>
      <c r="F85" s="33">
        <v>0.24</v>
      </c>
      <c r="G85" s="3" t="s">
        <v>49</v>
      </c>
      <c r="H85" s="3" t="s">
        <v>50</v>
      </c>
      <c r="I85" s="18" t="str">
        <f t="shared" si="6"/>
        <v>Acima da Média</v>
      </c>
      <c r="J85" s="18"/>
      <c r="K85" s="18" t="str">
        <f t="shared" si="7"/>
        <v>Acima da Média</v>
      </c>
      <c r="L85" s="18" t="str">
        <f t="shared" si="8"/>
        <v>Abaixo da Média</v>
      </c>
    </row>
    <row r="86" spans="1:12">
      <c r="A86" s="4" t="s">
        <v>175</v>
      </c>
      <c r="B86" s="42">
        <f>10/13</f>
        <v>0.76923076923076927</v>
      </c>
      <c r="C86" s="42">
        <f>1/1</f>
        <v>1</v>
      </c>
      <c r="D86" s="42">
        <v>0</v>
      </c>
      <c r="E86" s="35">
        <v>0.92</v>
      </c>
      <c r="F86" s="35">
        <v>7.999999999999996E-2</v>
      </c>
      <c r="G86" s="6" t="s">
        <v>54</v>
      </c>
      <c r="H86" s="6" t="s">
        <v>51</v>
      </c>
      <c r="I86" s="18" t="str">
        <f t="shared" si="6"/>
        <v>Acima da Média</v>
      </c>
      <c r="J86" s="18"/>
      <c r="K86" s="18" t="str">
        <f t="shared" si="7"/>
        <v>Acima da Média</v>
      </c>
      <c r="L86" s="18" t="str">
        <f t="shared" si="8"/>
        <v>Abaixo da Média</v>
      </c>
    </row>
    <row r="87" spans="1:12">
      <c r="A87" s="5" t="s">
        <v>176</v>
      </c>
      <c r="B87" s="40">
        <f>4/11</f>
        <v>0.36363636363636365</v>
      </c>
      <c r="C87" s="40">
        <f>5/5</f>
        <v>1</v>
      </c>
      <c r="D87" s="40">
        <f>0/1</f>
        <v>0</v>
      </c>
      <c r="E87" s="33">
        <v>0.54</v>
      </c>
      <c r="F87" s="35">
        <v>0.45999999999999996</v>
      </c>
      <c r="G87" s="3" t="s">
        <v>52</v>
      </c>
      <c r="H87" s="3" t="s">
        <v>52</v>
      </c>
      <c r="I87" s="18" t="str">
        <f t="shared" si="6"/>
        <v>Abaixo da Média</v>
      </c>
      <c r="J87" s="18"/>
      <c r="K87" s="18" t="str">
        <f t="shared" si="7"/>
        <v>Acima da Média</v>
      </c>
      <c r="L87" s="18" t="str">
        <f t="shared" si="8"/>
        <v>Abaixo da Média</v>
      </c>
    </row>
    <row r="88" spans="1:12">
      <c r="A88" s="4" t="s">
        <v>177</v>
      </c>
      <c r="B88" s="42">
        <f>10/13</f>
        <v>0.76923076923076927</v>
      </c>
      <c r="C88" s="42">
        <f>1/2</f>
        <v>0.5</v>
      </c>
      <c r="D88" s="42">
        <v>0</v>
      </c>
      <c r="E88" s="32">
        <v>0.77142857142857146</v>
      </c>
      <c r="F88" s="35">
        <v>0.22857142857142854</v>
      </c>
      <c r="G88" s="6" t="s">
        <v>52</v>
      </c>
      <c r="H88" s="6" t="s">
        <v>50</v>
      </c>
      <c r="I88" s="18" t="str">
        <f t="shared" si="6"/>
        <v>Acima da Média</v>
      </c>
      <c r="J88" s="18"/>
      <c r="K88" s="18" t="str">
        <f t="shared" si="7"/>
        <v>Abaixo da Média</v>
      </c>
      <c r="L88" s="18" t="str">
        <f t="shared" si="8"/>
        <v>Abaixo da Média</v>
      </c>
    </row>
    <row r="89" spans="1:12">
      <c r="A89" s="4" t="s">
        <v>178</v>
      </c>
      <c r="B89" s="42">
        <f>13/14</f>
        <v>0.9285714285714286</v>
      </c>
      <c r="C89" s="42">
        <f>3/5</f>
        <v>0.6</v>
      </c>
      <c r="D89" s="42">
        <f>1/1</f>
        <v>1</v>
      </c>
      <c r="E89" s="32">
        <v>0.73809523809523814</v>
      </c>
      <c r="F89" s="35">
        <v>0.26190476190476186</v>
      </c>
      <c r="G89" s="6" t="s">
        <v>50</v>
      </c>
      <c r="H89" s="6" t="s">
        <v>50</v>
      </c>
      <c r="I89" s="18" t="str">
        <f t="shared" si="6"/>
        <v>Acima da Média</v>
      </c>
      <c r="J89" s="18"/>
      <c r="K89" s="18" t="str">
        <f t="shared" si="7"/>
        <v>Abaixo da Média</v>
      </c>
      <c r="L89" s="18" t="str">
        <f t="shared" si="8"/>
        <v>Acima da Média</v>
      </c>
    </row>
    <row r="90" spans="1:12">
      <c r="A90" s="5" t="s">
        <v>179</v>
      </c>
      <c r="B90" s="40">
        <f>9/12</f>
        <v>0.75</v>
      </c>
      <c r="C90" s="40">
        <f>2/4</f>
        <v>0.5</v>
      </c>
      <c r="D90" s="40">
        <f>2/4</f>
        <v>0.5</v>
      </c>
      <c r="E90" s="32">
        <v>0.76470588235294112</v>
      </c>
      <c r="F90" s="35">
        <v>0.23529411764705888</v>
      </c>
      <c r="G90" s="3" t="s">
        <v>54</v>
      </c>
      <c r="H90" s="3" t="s">
        <v>50</v>
      </c>
      <c r="I90" s="18" t="str">
        <f t="shared" si="6"/>
        <v>Acima da Média</v>
      </c>
      <c r="J90" s="18"/>
      <c r="K90" s="18" t="str">
        <f t="shared" si="7"/>
        <v>Abaixo da Média</v>
      </c>
      <c r="L90" s="18" t="str">
        <f t="shared" si="8"/>
        <v>Abaixo da Média</v>
      </c>
    </row>
    <row r="91" spans="1:12">
      <c r="A91" s="5" t="s">
        <v>180</v>
      </c>
      <c r="B91" s="40">
        <f>21/27</f>
        <v>0.77777777777777779</v>
      </c>
      <c r="C91" s="40">
        <f>1/1</f>
        <v>1</v>
      </c>
      <c r="D91" s="40">
        <f>1/1</f>
        <v>1</v>
      </c>
      <c r="E91" s="32">
        <v>0.78181818181818186</v>
      </c>
      <c r="F91" s="35">
        <v>0.21818181818181814</v>
      </c>
      <c r="G91" s="3" t="s">
        <v>49</v>
      </c>
      <c r="H91" s="3" t="s">
        <v>50</v>
      </c>
      <c r="I91" s="18" t="str">
        <f t="shared" si="6"/>
        <v>Acima da Média</v>
      </c>
      <c r="J91" s="18"/>
      <c r="K91" s="18" t="str">
        <f t="shared" si="7"/>
        <v>Acima da Média</v>
      </c>
      <c r="L91" s="18" t="str">
        <f t="shared" si="8"/>
        <v>Acima da Média</v>
      </c>
    </row>
    <row r="92" spans="1:12">
      <c r="A92" s="5" t="s">
        <v>181</v>
      </c>
      <c r="B92" s="40">
        <f>11/15</f>
        <v>0.73333333333333328</v>
      </c>
      <c r="C92" s="40">
        <f>4/4</f>
        <v>1</v>
      </c>
      <c r="D92" s="40">
        <f>2/3</f>
        <v>0.66666666666666663</v>
      </c>
      <c r="E92" s="32">
        <v>0.80434782608695654</v>
      </c>
      <c r="F92" s="35">
        <v>0.19565217391304346</v>
      </c>
      <c r="G92" s="3" t="s">
        <v>49</v>
      </c>
      <c r="H92" s="3" t="s">
        <v>51</v>
      </c>
      <c r="I92" s="18" t="str">
        <f t="shared" si="6"/>
        <v>Acima da Média</v>
      </c>
      <c r="J92" s="18"/>
      <c r="K92" s="18" t="str">
        <f t="shared" si="7"/>
        <v>Acima da Média</v>
      </c>
      <c r="L92" s="18" t="str">
        <f t="shared" si="8"/>
        <v>Abaixo da Média</v>
      </c>
    </row>
    <row r="93" spans="1:12">
      <c r="A93" s="5" t="s">
        <v>182</v>
      </c>
      <c r="B93" s="40">
        <f>15/18</f>
        <v>0.83333333333333337</v>
      </c>
      <c r="C93" s="40">
        <f>3/5</f>
        <v>0.6</v>
      </c>
      <c r="D93" s="40">
        <f>2/2</f>
        <v>1</v>
      </c>
      <c r="E93" s="32">
        <v>0.83783783783783783</v>
      </c>
      <c r="F93" s="35">
        <v>0.16216216216216217</v>
      </c>
      <c r="G93" s="3" t="s">
        <v>52</v>
      </c>
      <c r="H93" s="3" t="s">
        <v>51</v>
      </c>
      <c r="I93" s="18" t="str">
        <f t="shared" si="6"/>
        <v>Acima da Média</v>
      </c>
      <c r="J93" s="18"/>
      <c r="K93" s="18" t="str">
        <f t="shared" si="7"/>
        <v>Abaixo da Média</v>
      </c>
      <c r="L93" s="18" t="str">
        <f t="shared" si="8"/>
        <v>Acima da Média</v>
      </c>
    </row>
    <row r="94" spans="1:12">
      <c r="A94" s="5" t="s">
        <v>183</v>
      </c>
      <c r="B94" s="40">
        <f>12/13</f>
        <v>0.92307692307692313</v>
      </c>
      <c r="C94" s="40">
        <v>0</v>
      </c>
      <c r="D94" s="40">
        <f>3/3</f>
        <v>1</v>
      </c>
      <c r="E94" s="32">
        <v>0.88571428571428568</v>
      </c>
      <c r="F94" s="35">
        <v>0.11428571428571432</v>
      </c>
      <c r="G94" s="3" t="s">
        <v>51</v>
      </c>
      <c r="H94" s="3" t="s">
        <v>51</v>
      </c>
      <c r="I94" s="18" t="str">
        <f t="shared" si="6"/>
        <v>Acima da Média</v>
      </c>
      <c r="J94" s="18"/>
      <c r="K94" s="18" t="str">
        <f t="shared" si="7"/>
        <v>Abaixo da Média</v>
      </c>
      <c r="L94" s="18" t="str">
        <f t="shared" si="8"/>
        <v>Acima da Média</v>
      </c>
    </row>
    <row r="95" spans="1:12">
      <c r="A95" s="5" t="s">
        <v>184</v>
      </c>
      <c r="B95" s="40">
        <f>5/12</f>
        <v>0.41666666666666669</v>
      </c>
      <c r="C95" s="40">
        <f>2/2</f>
        <v>1</v>
      </c>
      <c r="D95" s="40">
        <f>1/2</f>
        <v>0.5</v>
      </c>
      <c r="E95" s="32">
        <v>0.62222222222222223</v>
      </c>
      <c r="F95" s="35">
        <v>0.37777777777777777</v>
      </c>
      <c r="G95" s="3" t="s">
        <v>50</v>
      </c>
      <c r="H95" s="3" t="s">
        <v>50</v>
      </c>
      <c r="I95" s="18" t="str">
        <f t="shared" si="6"/>
        <v>Abaixo da Média</v>
      </c>
      <c r="J95" s="18"/>
      <c r="K95" s="18" t="str">
        <f t="shared" si="7"/>
        <v>Acima da Média</v>
      </c>
      <c r="L95" s="18" t="str">
        <f t="shared" si="8"/>
        <v>Abaixo da Média</v>
      </c>
    </row>
    <row r="96" spans="1:12">
      <c r="A96" s="5" t="s">
        <v>185</v>
      </c>
      <c r="B96" s="40">
        <f>9/11</f>
        <v>0.81818181818181823</v>
      </c>
      <c r="C96" s="40">
        <f>2/2</f>
        <v>1</v>
      </c>
      <c r="D96" s="40">
        <f>1/1</f>
        <v>1</v>
      </c>
      <c r="E96" s="32">
        <v>0.80555555555555558</v>
      </c>
      <c r="F96" s="35">
        <v>0.19444444444444442</v>
      </c>
      <c r="G96" s="3" t="s">
        <v>49</v>
      </c>
      <c r="H96" s="3" t="s">
        <v>51</v>
      </c>
      <c r="I96" s="18" t="str">
        <f t="shared" si="6"/>
        <v>Acima da Média</v>
      </c>
      <c r="J96" s="18"/>
      <c r="K96" s="18" t="str">
        <f t="shared" si="7"/>
        <v>Acima da Média</v>
      </c>
      <c r="L96" s="18" t="str">
        <f t="shared" si="8"/>
        <v>Acima da Média</v>
      </c>
    </row>
    <row r="97" spans="1:12">
      <c r="A97" s="5" t="s">
        <v>186</v>
      </c>
      <c r="B97" s="40">
        <f>10/13</f>
        <v>0.76923076923076927</v>
      </c>
      <c r="C97" s="40">
        <f>3/3</f>
        <v>1</v>
      </c>
      <c r="D97" s="40">
        <f>4/5</f>
        <v>0.8</v>
      </c>
      <c r="E97" s="32">
        <v>0.76190476190476186</v>
      </c>
      <c r="F97" s="35">
        <v>0.23809523809523814</v>
      </c>
      <c r="G97" s="3" t="s">
        <v>49</v>
      </c>
      <c r="H97" s="3" t="s">
        <v>50</v>
      </c>
      <c r="I97" s="18" t="str">
        <f t="shared" si="6"/>
        <v>Acima da Média</v>
      </c>
      <c r="J97" s="18"/>
      <c r="K97" s="18" t="str">
        <f t="shared" si="7"/>
        <v>Acima da Média</v>
      </c>
      <c r="L97" s="18" t="str">
        <f t="shared" si="8"/>
        <v>Acima da Média</v>
      </c>
    </row>
    <row r="98" spans="1:12">
      <c r="A98" s="5" t="s">
        <v>187</v>
      </c>
      <c r="B98" s="40">
        <f>6/7</f>
        <v>0.8571428571428571</v>
      </c>
      <c r="C98" s="40">
        <f>1/1</f>
        <v>1</v>
      </c>
      <c r="D98" s="40">
        <f>2/2</f>
        <v>1</v>
      </c>
      <c r="E98" s="32">
        <v>0.9</v>
      </c>
      <c r="F98" s="35">
        <v>9.9999999999999978E-2</v>
      </c>
      <c r="G98" s="3" t="s">
        <v>52</v>
      </c>
      <c r="H98" s="3" t="s">
        <v>51</v>
      </c>
      <c r="I98" s="18" t="str">
        <f t="shared" si="6"/>
        <v>Acima da Média</v>
      </c>
      <c r="J98" s="18"/>
      <c r="K98" s="18" t="str">
        <f t="shared" si="7"/>
        <v>Acima da Média</v>
      </c>
      <c r="L98" s="18" t="str">
        <f t="shared" si="8"/>
        <v>Acima da Média</v>
      </c>
    </row>
    <row r="99" spans="1:12">
      <c r="A99" s="4" t="s">
        <v>188</v>
      </c>
      <c r="B99" s="42">
        <f>8/13</f>
        <v>0.61538461538461542</v>
      </c>
      <c r="C99" s="42">
        <f>0/1</f>
        <v>0</v>
      </c>
      <c r="D99" s="42">
        <v>0</v>
      </c>
      <c r="E99" s="32">
        <v>0.84848484848484851</v>
      </c>
      <c r="F99" s="35">
        <v>0.15151515151515149</v>
      </c>
      <c r="G99" s="6" t="s">
        <v>52</v>
      </c>
      <c r="H99" s="6" t="s">
        <v>51</v>
      </c>
      <c r="I99" s="18" t="str">
        <f t="shared" si="6"/>
        <v>Abaixo da Média</v>
      </c>
      <c r="J99" s="18"/>
      <c r="K99" s="18" t="str">
        <f t="shared" si="7"/>
        <v>Abaixo da Média</v>
      </c>
      <c r="L99" s="18" t="str">
        <f t="shared" si="8"/>
        <v>Abaixo da Média</v>
      </c>
    </row>
    <row r="100" spans="1:12">
      <c r="A100" s="5" t="s">
        <v>189</v>
      </c>
      <c r="B100" s="40">
        <f>18/20</f>
        <v>0.9</v>
      </c>
      <c r="C100" s="40">
        <f>4/4</f>
        <v>1</v>
      </c>
      <c r="D100" s="40">
        <f>2/2</f>
        <v>1</v>
      </c>
      <c r="E100" s="32">
        <v>0.77966101694915257</v>
      </c>
      <c r="F100" s="35">
        <v>0.22033898305084743</v>
      </c>
      <c r="G100" s="3" t="s">
        <v>49</v>
      </c>
      <c r="H100" s="3" t="s">
        <v>50</v>
      </c>
      <c r="I100" s="18" t="str">
        <f t="shared" si="6"/>
        <v>Acima da Média</v>
      </c>
      <c r="J100" s="18"/>
      <c r="K100" s="18" t="str">
        <f t="shared" si="7"/>
        <v>Acima da Média</v>
      </c>
      <c r="L100" s="18" t="str">
        <f t="shared" si="8"/>
        <v>Acima da Média</v>
      </c>
    </row>
    <row r="101" spans="1:12">
      <c r="A101" s="5" t="s">
        <v>190</v>
      </c>
      <c r="B101" s="40">
        <f>9/9</f>
        <v>1</v>
      </c>
      <c r="C101" s="40">
        <f>3/3</f>
        <v>1</v>
      </c>
      <c r="D101" s="40">
        <f>1/2</f>
        <v>0.5</v>
      </c>
      <c r="E101" s="32">
        <v>0.89189189189189189</v>
      </c>
      <c r="F101" s="35">
        <v>0.10810810810810811</v>
      </c>
      <c r="G101" s="3" t="s">
        <v>50</v>
      </c>
      <c r="H101" s="3" t="s">
        <v>51</v>
      </c>
      <c r="I101" s="18" t="str">
        <f t="shared" si="6"/>
        <v>Acima da Média</v>
      </c>
      <c r="J101" s="18"/>
      <c r="K101" s="18" t="str">
        <f t="shared" si="7"/>
        <v>Acima da Média</v>
      </c>
      <c r="L101" s="18" t="str">
        <f t="shared" si="8"/>
        <v>Abaixo da Média</v>
      </c>
    </row>
    <row r="102" spans="1:12">
      <c r="B102" s="40"/>
      <c r="C102" s="40"/>
    </row>
    <row r="103" spans="1:12">
      <c r="B103" s="40"/>
      <c r="C103" s="40"/>
    </row>
    <row r="104" spans="1:12">
      <c r="A104" s="51" t="s">
        <v>251</v>
      </c>
      <c r="B104" s="46">
        <f>AVERAGE(B2:B101)</f>
        <v>0.7399083316631816</v>
      </c>
      <c r="C104" s="46">
        <f t="shared" ref="C104:D104" si="9">AVERAGE(C2:C101)</f>
        <v>0.64003504761904761</v>
      </c>
      <c r="D104" s="46">
        <f t="shared" si="9"/>
        <v>0.59849999999999992</v>
      </c>
      <c r="E104" s="45"/>
      <c r="F104" s="45"/>
      <c r="G104" s="44"/>
      <c r="H104" s="44"/>
    </row>
    <row r="105" spans="1:12">
      <c r="C105" s="40"/>
    </row>
  </sheetData>
  <conditionalFormatting sqref="I1:J1048576">
    <cfRule type="cellIs" dxfId="1" priority="2" operator="equal">
      <formula>$I$2</formula>
    </cfRule>
  </conditionalFormatting>
  <conditionalFormatting sqref="H1:H1048576">
    <cfRule type="cellIs" dxfId="0" priority="1" operator="equal">
      <formula>$H$3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5"/>
  <sheetViews>
    <sheetView topLeftCell="L42" workbookViewId="0">
      <selection activeCell="Q63" sqref="Q63"/>
    </sheetView>
  </sheetViews>
  <sheetFormatPr defaultRowHeight="15"/>
  <cols>
    <col min="2" max="2" width="18" customWidth="1"/>
    <col min="3" max="3" width="12" customWidth="1"/>
    <col min="4" max="4" width="14.7109375" customWidth="1"/>
    <col min="5" max="5" width="14.42578125" customWidth="1"/>
    <col min="6" max="6" width="12.42578125" customWidth="1"/>
    <col min="7" max="7" width="18.42578125" customWidth="1"/>
    <col min="8" max="8" width="12.7109375" customWidth="1"/>
    <col min="9" max="9" width="13.7109375" customWidth="1"/>
    <col min="10" max="10" width="16" customWidth="1"/>
    <col min="11" max="11" width="15.7109375" customWidth="1"/>
    <col min="12" max="12" width="12.7109375" customWidth="1"/>
    <col min="13" max="13" width="12" customWidth="1"/>
    <col min="14" max="14" width="29" customWidth="1"/>
    <col min="15" max="15" width="18.28515625" customWidth="1"/>
    <col min="16" max="16" width="18.85546875" customWidth="1"/>
    <col min="17" max="17" width="18.5703125" customWidth="1"/>
    <col min="18" max="18" width="17.42578125" customWidth="1"/>
    <col min="19" max="19" width="14.140625" customWidth="1"/>
    <col min="20" max="20" width="14" customWidth="1"/>
    <col min="21" max="21" width="14.7109375" customWidth="1"/>
  </cols>
  <sheetData>
    <row r="1" spans="1:24" s="14" customFormat="1">
      <c r="A1" s="14" t="s">
        <v>61</v>
      </c>
      <c r="B1" s="14" t="s">
        <v>62</v>
      </c>
      <c r="C1" s="14" t="s">
        <v>63</v>
      </c>
      <c r="D1" s="14" t="s">
        <v>64</v>
      </c>
      <c r="E1" s="14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4" t="s">
        <v>76</v>
      </c>
      <c r="Q1" s="14" t="s">
        <v>77</v>
      </c>
      <c r="R1" s="14" t="s">
        <v>78</v>
      </c>
      <c r="S1" s="14" t="s">
        <v>79</v>
      </c>
      <c r="T1" s="14" t="s">
        <v>80</v>
      </c>
      <c r="U1" s="14" t="s">
        <v>81</v>
      </c>
      <c r="V1" s="15" t="s">
        <v>82</v>
      </c>
      <c r="W1" s="16"/>
      <c r="X1" s="16"/>
    </row>
    <row r="2" spans="1:24" s="13" customFormat="1">
      <c r="A2" s="17" t="s">
        <v>3</v>
      </c>
      <c r="B2" s="12">
        <v>0</v>
      </c>
      <c r="C2" s="12">
        <v>-1</v>
      </c>
      <c r="D2" s="12">
        <v>1</v>
      </c>
      <c r="E2" s="12">
        <v>0</v>
      </c>
      <c r="F2" s="12">
        <v>1</v>
      </c>
      <c r="G2" s="12">
        <v>2</v>
      </c>
      <c r="H2" s="12">
        <v>-2</v>
      </c>
      <c r="I2" s="12">
        <v>-1</v>
      </c>
      <c r="J2" s="12">
        <v>2</v>
      </c>
      <c r="K2" s="12">
        <v>0</v>
      </c>
      <c r="L2" s="12">
        <v>0</v>
      </c>
      <c r="M2" s="12">
        <v>2</v>
      </c>
      <c r="N2" s="18" t="s">
        <v>83</v>
      </c>
      <c r="O2" s="18" t="s">
        <v>84</v>
      </c>
      <c r="P2" s="12">
        <v>2</v>
      </c>
      <c r="Q2" s="12">
        <v>1</v>
      </c>
      <c r="R2" s="12">
        <v>2</v>
      </c>
      <c r="S2" s="12">
        <v>2</v>
      </c>
      <c r="T2" s="12">
        <v>2</v>
      </c>
      <c r="U2" s="12">
        <v>2</v>
      </c>
      <c r="V2" s="18" t="s">
        <v>85</v>
      </c>
    </row>
    <row r="3" spans="1:24" s="13" customFormat="1">
      <c r="A3" s="17" t="s">
        <v>4</v>
      </c>
      <c r="B3" s="12">
        <v>2</v>
      </c>
      <c r="C3" s="12">
        <v>1</v>
      </c>
      <c r="D3" s="12">
        <v>2</v>
      </c>
      <c r="E3" s="12">
        <v>2</v>
      </c>
      <c r="F3" s="12">
        <v>1</v>
      </c>
      <c r="G3" s="12">
        <v>2</v>
      </c>
      <c r="H3" s="12">
        <v>2</v>
      </c>
      <c r="I3" s="12">
        <v>2</v>
      </c>
      <c r="J3" s="12">
        <v>2</v>
      </c>
      <c r="K3" s="12">
        <v>2</v>
      </c>
      <c r="L3" s="12">
        <v>2</v>
      </c>
      <c r="M3" s="12">
        <v>2</v>
      </c>
      <c r="N3" s="18" t="s">
        <v>86</v>
      </c>
      <c r="O3" s="18" t="s">
        <v>84</v>
      </c>
      <c r="P3" s="12">
        <v>2</v>
      </c>
      <c r="Q3" s="12">
        <v>2</v>
      </c>
      <c r="R3" s="12">
        <v>2</v>
      </c>
      <c r="S3" s="12">
        <v>2</v>
      </c>
      <c r="T3" s="12">
        <v>1</v>
      </c>
      <c r="U3" s="12">
        <v>2</v>
      </c>
      <c r="V3" s="18" t="s">
        <v>87</v>
      </c>
    </row>
    <row r="4" spans="1:24" s="13" customFormat="1">
      <c r="A4" s="17" t="s">
        <v>5</v>
      </c>
      <c r="B4" s="12">
        <v>0</v>
      </c>
      <c r="C4" s="12">
        <v>0</v>
      </c>
      <c r="D4" s="12">
        <v>1</v>
      </c>
      <c r="E4" s="12">
        <v>0</v>
      </c>
      <c r="F4" s="12">
        <v>1</v>
      </c>
      <c r="G4" s="12">
        <v>1</v>
      </c>
      <c r="H4" s="12">
        <v>1</v>
      </c>
      <c r="I4" s="12">
        <v>1</v>
      </c>
      <c r="J4" s="12">
        <v>0</v>
      </c>
      <c r="K4" s="12">
        <v>-1</v>
      </c>
      <c r="L4" s="12">
        <v>0</v>
      </c>
      <c r="M4" s="12">
        <v>2</v>
      </c>
      <c r="N4" s="18" t="s">
        <v>88</v>
      </c>
      <c r="O4" s="18" t="s">
        <v>84</v>
      </c>
      <c r="P4" s="12">
        <v>2</v>
      </c>
      <c r="Q4" s="12">
        <v>1</v>
      </c>
      <c r="R4" s="12">
        <v>1</v>
      </c>
      <c r="S4" s="12">
        <v>0</v>
      </c>
      <c r="T4" s="12">
        <v>0</v>
      </c>
      <c r="U4" s="12">
        <v>0</v>
      </c>
      <c r="V4" s="18" t="s">
        <v>89</v>
      </c>
    </row>
    <row r="5" spans="1:24" s="13" customFormat="1">
      <c r="A5" s="17" t="s">
        <v>6</v>
      </c>
      <c r="B5" s="12">
        <v>-1</v>
      </c>
      <c r="C5" s="12">
        <v>-2</v>
      </c>
      <c r="D5" s="12">
        <v>2</v>
      </c>
      <c r="E5" s="12">
        <v>-1</v>
      </c>
      <c r="F5" s="12">
        <v>2</v>
      </c>
      <c r="G5" s="12">
        <v>2</v>
      </c>
      <c r="H5" s="12">
        <v>0</v>
      </c>
      <c r="I5" s="12">
        <v>-1</v>
      </c>
      <c r="J5" s="12">
        <v>0</v>
      </c>
      <c r="K5" s="12">
        <v>2</v>
      </c>
      <c r="L5" s="12">
        <v>2</v>
      </c>
      <c r="M5" s="12">
        <v>2</v>
      </c>
      <c r="N5" s="18" t="s">
        <v>90</v>
      </c>
      <c r="O5" s="18" t="s">
        <v>84</v>
      </c>
      <c r="P5" s="12">
        <v>2</v>
      </c>
      <c r="Q5" s="12">
        <v>2</v>
      </c>
      <c r="R5" s="12">
        <v>2</v>
      </c>
      <c r="S5" s="12">
        <v>2</v>
      </c>
      <c r="T5" s="12">
        <v>2</v>
      </c>
      <c r="U5" s="12">
        <v>1</v>
      </c>
      <c r="V5" s="18" t="s">
        <v>91</v>
      </c>
    </row>
    <row r="6" spans="1:24" s="13" customFormat="1">
      <c r="A6" s="17" t="s">
        <v>7</v>
      </c>
      <c r="B6" s="12">
        <v>-2</v>
      </c>
      <c r="C6" s="12">
        <v>0</v>
      </c>
      <c r="D6" s="12">
        <v>2</v>
      </c>
      <c r="E6" s="12">
        <v>1</v>
      </c>
      <c r="F6" s="12">
        <v>0</v>
      </c>
      <c r="G6" s="12">
        <v>2</v>
      </c>
      <c r="H6" s="12">
        <v>2</v>
      </c>
      <c r="I6" s="12">
        <v>-2</v>
      </c>
      <c r="J6" s="12">
        <v>1</v>
      </c>
      <c r="K6" s="12">
        <v>-1</v>
      </c>
      <c r="L6" s="12">
        <v>-2</v>
      </c>
      <c r="M6" s="12">
        <v>2</v>
      </c>
      <c r="N6" s="18" t="s">
        <v>91</v>
      </c>
      <c r="O6" s="18" t="s">
        <v>84</v>
      </c>
      <c r="P6" s="12">
        <v>-1</v>
      </c>
      <c r="Q6" s="12">
        <v>0</v>
      </c>
      <c r="R6" s="12">
        <v>1</v>
      </c>
      <c r="S6" s="12">
        <v>0</v>
      </c>
      <c r="T6" s="12">
        <v>1</v>
      </c>
      <c r="U6" s="12">
        <v>0</v>
      </c>
      <c r="V6" s="18" t="s">
        <v>91</v>
      </c>
    </row>
    <row r="7" spans="1:24" s="13" customFormat="1">
      <c r="A7" s="17" t="s">
        <v>8</v>
      </c>
      <c r="B7" s="12">
        <v>1</v>
      </c>
      <c r="C7" s="12">
        <v>1</v>
      </c>
      <c r="D7" s="12">
        <v>2</v>
      </c>
      <c r="E7" s="12">
        <v>0</v>
      </c>
      <c r="F7" s="12">
        <v>2</v>
      </c>
      <c r="G7" s="12">
        <v>2</v>
      </c>
      <c r="H7" s="12">
        <v>2</v>
      </c>
      <c r="I7" s="12">
        <v>2</v>
      </c>
      <c r="J7" s="12">
        <v>2</v>
      </c>
      <c r="K7" s="12">
        <v>1</v>
      </c>
      <c r="L7" s="12">
        <v>0</v>
      </c>
      <c r="M7" s="12">
        <v>2</v>
      </c>
      <c r="N7" s="18" t="s">
        <v>92</v>
      </c>
      <c r="O7" s="18" t="s">
        <v>84</v>
      </c>
      <c r="P7" s="12">
        <v>1</v>
      </c>
      <c r="Q7" s="12">
        <v>1</v>
      </c>
      <c r="R7" s="12">
        <v>2</v>
      </c>
      <c r="S7" s="12">
        <v>2</v>
      </c>
      <c r="T7" s="12">
        <v>2</v>
      </c>
      <c r="U7" s="12">
        <v>2</v>
      </c>
      <c r="V7" s="18" t="s">
        <v>91</v>
      </c>
    </row>
    <row r="8" spans="1:24" s="13" customFormat="1">
      <c r="A8" s="17" t="s">
        <v>9</v>
      </c>
      <c r="B8" s="12">
        <v>2</v>
      </c>
      <c r="C8" s="12">
        <v>2</v>
      </c>
      <c r="D8" s="12">
        <v>2</v>
      </c>
      <c r="E8" s="12">
        <v>2</v>
      </c>
      <c r="F8" s="12">
        <v>2</v>
      </c>
      <c r="G8" s="12">
        <v>2</v>
      </c>
      <c r="H8" s="12">
        <v>1</v>
      </c>
      <c r="I8" s="12">
        <v>2</v>
      </c>
      <c r="J8" s="12">
        <v>2</v>
      </c>
      <c r="K8" s="12">
        <v>1</v>
      </c>
      <c r="L8" s="12">
        <v>1</v>
      </c>
      <c r="M8" s="12">
        <v>2</v>
      </c>
      <c r="N8" s="18" t="s">
        <v>93</v>
      </c>
      <c r="O8" s="18" t="s">
        <v>84</v>
      </c>
      <c r="P8" s="12">
        <v>1</v>
      </c>
      <c r="Q8" s="12">
        <v>2</v>
      </c>
      <c r="R8" s="12">
        <v>2</v>
      </c>
      <c r="S8" s="12">
        <v>2</v>
      </c>
      <c r="T8" s="12">
        <v>1</v>
      </c>
      <c r="U8" s="12">
        <v>1</v>
      </c>
      <c r="V8" s="18" t="s">
        <v>94</v>
      </c>
    </row>
    <row r="9" spans="1:24" s="13" customFormat="1">
      <c r="A9" s="17" t="s">
        <v>10</v>
      </c>
      <c r="B9" s="12">
        <v>2</v>
      </c>
      <c r="C9" s="12">
        <v>0</v>
      </c>
      <c r="D9" s="12">
        <v>1</v>
      </c>
      <c r="E9" s="12">
        <v>0</v>
      </c>
      <c r="F9" s="12">
        <v>-1</v>
      </c>
      <c r="G9" s="12">
        <v>0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8" t="s">
        <v>91</v>
      </c>
      <c r="O9" s="18" t="s">
        <v>84</v>
      </c>
      <c r="P9" s="12">
        <v>1</v>
      </c>
      <c r="Q9" s="12">
        <v>1</v>
      </c>
      <c r="R9" s="12">
        <v>0</v>
      </c>
      <c r="S9" s="12">
        <v>1</v>
      </c>
      <c r="T9" s="12">
        <v>1</v>
      </c>
      <c r="U9" s="12">
        <v>0</v>
      </c>
      <c r="V9" s="18" t="s">
        <v>91</v>
      </c>
    </row>
    <row r="10" spans="1:24" s="13" customFormat="1">
      <c r="A10" s="17" t="s">
        <v>11</v>
      </c>
      <c r="B10" s="12">
        <v>2</v>
      </c>
      <c r="C10" s="12">
        <v>-1</v>
      </c>
      <c r="D10" s="12">
        <v>2</v>
      </c>
      <c r="E10" s="12">
        <v>2</v>
      </c>
      <c r="F10" s="12">
        <v>2</v>
      </c>
      <c r="G10" s="12">
        <v>2</v>
      </c>
      <c r="H10" s="12">
        <v>2</v>
      </c>
      <c r="I10" s="12">
        <v>2</v>
      </c>
      <c r="J10" s="12">
        <v>2</v>
      </c>
      <c r="K10" s="12">
        <v>2</v>
      </c>
      <c r="L10" s="12">
        <v>2</v>
      </c>
      <c r="M10" s="12">
        <v>2</v>
      </c>
      <c r="N10" s="18" t="s">
        <v>91</v>
      </c>
      <c r="O10" s="18" t="s">
        <v>84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8" t="s">
        <v>91</v>
      </c>
    </row>
    <row r="11" spans="1:24" s="13" customFormat="1">
      <c r="A11" s="17" t="s">
        <v>12</v>
      </c>
      <c r="B11" s="12">
        <v>1</v>
      </c>
      <c r="C11" s="12">
        <v>2</v>
      </c>
      <c r="D11" s="12">
        <v>2</v>
      </c>
      <c r="E11" s="12">
        <v>2</v>
      </c>
      <c r="F11" s="12">
        <v>2</v>
      </c>
      <c r="G11" s="12">
        <v>2</v>
      </c>
      <c r="H11" s="12">
        <v>2</v>
      </c>
      <c r="I11" s="12">
        <v>1</v>
      </c>
      <c r="J11" s="12">
        <v>2</v>
      </c>
      <c r="K11" s="12">
        <v>2</v>
      </c>
      <c r="L11" s="12">
        <v>2</v>
      </c>
      <c r="M11" s="12">
        <v>2</v>
      </c>
      <c r="N11" s="18" t="s">
        <v>95</v>
      </c>
      <c r="O11" s="18" t="s">
        <v>84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1</v>
      </c>
      <c r="V11" s="18" t="s">
        <v>91</v>
      </c>
    </row>
    <row r="12" spans="1:24" s="13" customFormat="1">
      <c r="A12" s="17" t="s">
        <v>13</v>
      </c>
      <c r="B12" s="12">
        <v>1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>
        <v>1</v>
      </c>
      <c r="J12" s="12">
        <v>2</v>
      </c>
      <c r="K12" s="12">
        <v>2</v>
      </c>
      <c r="L12" s="12">
        <v>2</v>
      </c>
      <c r="M12" s="12">
        <v>2</v>
      </c>
      <c r="N12" s="18" t="s">
        <v>96</v>
      </c>
      <c r="O12" s="18" t="s">
        <v>84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8" t="s">
        <v>91</v>
      </c>
    </row>
    <row r="13" spans="1:24" s="13" customFormat="1">
      <c r="A13" s="17" t="s">
        <v>14</v>
      </c>
      <c r="B13" s="12">
        <v>2</v>
      </c>
      <c r="C13" s="12">
        <v>2</v>
      </c>
      <c r="D13" s="12">
        <v>2</v>
      </c>
      <c r="E13" s="12">
        <v>2</v>
      </c>
      <c r="F13" s="12">
        <v>2</v>
      </c>
      <c r="G13" s="12">
        <v>2</v>
      </c>
      <c r="H13" s="12">
        <v>2</v>
      </c>
      <c r="I13" s="12">
        <v>2</v>
      </c>
      <c r="J13" s="12">
        <v>2</v>
      </c>
      <c r="K13" s="12">
        <v>2</v>
      </c>
      <c r="L13" s="12">
        <v>2</v>
      </c>
      <c r="M13" s="12">
        <v>2</v>
      </c>
      <c r="N13" s="18" t="s">
        <v>91</v>
      </c>
      <c r="O13" s="18" t="s">
        <v>84</v>
      </c>
      <c r="P13" s="12">
        <v>2</v>
      </c>
      <c r="Q13" s="12">
        <v>2</v>
      </c>
      <c r="R13" s="12">
        <v>2</v>
      </c>
      <c r="S13" s="12">
        <v>2</v>
      </c>
      <c r="T13" s="12">
        <v>2</v>
      </c>
      <c r="U13" s="12">
        <v>2</v>
      </c>
      <c r="V13" s="18" t="s">
        <v>97</v>
      </c>
    </row>
    <row r="14" spans="1:24" s="13" customFormat="1">
      <c r="A14" s="17" t="s">
        <v>15</v>
      </c>
      <c r="B14" s="12">
        <v>0</v>
      </c>
      <c r="C14" s="12">
        <v>1</v>
      </c>
      <c r="D14" s="12">
        <v>1</v>
      </c>
      <c r="E14" s="12">
        <v>0</v>
      </c>
      <c r="F14" s="12">
        <v>1</v>
      </c>
      <c r="G14" s="12">
        <v>-1</v>
      </c>
      <c r="H14" s="12">
        <v>0</v>
      </c>
      <c r="I14" s="12">
        <v>2</v>
      </c>
      <c r="J14" s="12">
        <v>0</v>
      </c>
      <c r="K14" s="12">
        <v>0</v>
      </c>
      <c r="L14" s="12">
        <v>0</v>
      </c>
      <c r="M14" s="12">
        <v>2</v>
      </c>
      <c r="N14" s="18" t="s">
        <v>91</v>
      </c>
      <c r="O14" s="18" t="s">
        <v>84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8" t="s">
        <v>91</v>
      </c>
    </row>
    <row r="15" spans="1:24" s="13" customFormat="1">
      <c r="A15" s="17" t="s">
        <v>16</v>
      </c>
      <c r="B15" s="12">
        <v>1</v>
      </c>
      <c r="C15" s="12">
        <v>2</v>
      </c>
      <c r="D15" s="12">
        <v>2</v>
      </c>
      <c r="E15" s="12">
        <v>2</v>
      </c>
      <c r="F15" s="12">
        <v>1</v>
      </c>
      <c r="G15" s="12">
        <v>1</v>
      </c>
      <c r="H15" s="12">
        <v>2</v>
      </c>
      <c r="I15" s="12">
        <v>1</v>
      </c>
      <c r="J15" s="12">
        <v>2</v>
      </c>
      <c r="K15" s="12">
        <v>2</v>
      </c>
      <c r="L15" s="12">
        <v>2</v>
      </c>
      <c r="M15" s="12">
        <v>2</v>
      </c>
      <c r="N15" s="18" t="s">
        <v>91</v>
      </c>
      <c r="O15" s="18" t="s">
        <v>84</v>
      </c>
      <c r="P15" s="12">
        <v>2</v>
      </c>
      <c r="Q15" s="12">
        <v>2</v>
      </c>
      <c r="R15" s="12">
        <v>1</v>
      </c>
      <c r="S15" s="12">
        <v>2</v>
      </c>
      <c r="T15" s="12">
        <v>2</v>
      </c>
      <c r="U15" s="12">
        <v>2</v>
      </c>
      <c r="V15" s="18" t="s">
        <v>91</v>
      </c>
    </row>
    <row r="16" spans="1:24" s="13" customFormat="1">
      <c r="A16" s="17" t="s">
        <v>17</v>
      </c>
      <c r="B16" s="12">
        <v>0</v>
      </c>
      <c r="C16" s="12">
        <v>0</v>
      </c>
      <c r="D16" s="12">
        <v>1</v>
      </c>
      <c r="E16" s="12">
        <v>-2</v>
      </c>
      <c r="F16" s="12">
        <v>-1</v>
      </c>
      <c r="G16" s="12">
        <v>-2</v>
      </c>
      <c r="H16" s="12">
        <v>0</v>
      </c>
      <c r="I16" s="12">
        <v>1</v>
      </c>
      <c r="J16" s="12">
        <v>0</v>
      </c>
      <c r="K16" s="12">
        <v>1</v>
      </c>
      <c r="L16" s="12">
        <v>0</v>
      </c>
      <c r="M16" s="12">
        <v>2</v>
      </c>
      <c r="N16" s="18" t="s">
        <v>90</v>
      </c>
      <c r="O16" s="18" t="s">
        <v>84</v>
      </c>
      <c r="P16" s="12">
        <v>2</v>
      </c>
      <c r="Q16" s="12">
        <v>2</v>
      </c>
      <c r="R16" s="12">
        <v>2</v>
      </c>
      <c r="S16" s="12">
        <v>1</v>
      </c>
      <c r="T16" s="12">
        <v>2</v>
      </c>
      <c r="U16" s="12">
        <v>2</v>
      </c>
      <c r="V16" s="18" t="s">
        <v>91</v>
      </c>
    </row>
    <row r="17" spans="1:22" s="13" customFormat="1">
      <c r="A17" s="17" t="s">
        <v>18</v>
      </c>
      <c r="B17" s="12">
        <v>0</v>
      </c>
      <c r="C17" s="12">
        <v>0</v>
      </c>
      <c r="D17" s="12">
        <v>2</v>
      </c>
      <c r="E17" s="12">
        <v>2</v>
      </c>
      <c r="F17" s="12">
        <v>2</v>
      </c>
      <c r="G17" s="12">
        <v>-2</v>
      </c>
      <c r="H17" s="12">
        <v>2</v>
      </c>
      <c r="I17" s="12">
        <v>2</v>
      </c>
      <c r="J17" s="12">
        <v>2</v>
      </c>
      <c r="K17" s="12">
        <v>1</v>
      </c>
      <c r="L17" s="12">
        <v>1</v>
      </c>
      <c r="M17" s="12">
        <v>2</v>
      </c>
      <c r="N17" s="18" t="s">
        <v>98</v>
      </c>
      <c r="O17" s="18" t="s">
        <v>84</v>
      </c>
      <c r="P17" s="12">
        <v>2</v>
      </c>
      <c r="Q17" s="12">
        <v>2</v>
      </c>
      <c r="R17" s="12">
        <v>2</v>
      </c>
      <c r="S17" s="12">
        <v>2</v>
      </c>
      <c r="T17" s="12">
        <v>2</v>
      </c>
      <c r="U17" s="12">
        <v>2</v>
      </c>
      <c r="V17" s="18" t="s">
        <v>99</v>
      </c>
    </row>
    <row r="18" spans="1:22" s="13" customFormat="1">
      <c r="A18" s="17" t="s">
        <v>19</v>
      </c>
      <c r="B18" s="12">
        <v>2</v>
      </c>
      <c r="C18" s="12">
        <v>1</v>
      </c>
      <c r="D18" s="12">
        <v>2</v>
      </c>
      <c r="E18" s="12">
        <v>2</v>
      </c>
      <c r="F18" s="12">
        <v>1</v>
      </c>
      <c r="G18" s="12">
        <v>0</v>
      </c>
      <c r="H18" s="12">
        <v>0</v>
      </c>
      <c r="I18" s="12">
        <v>2</v>
      </c>
      <c r="J18" s="12">
        <v>2</v>
      </c>
      <c r="K18" s="12">
        <v>2</v>
      </c>
      <c r="L18" s="12">
        <v>2</v>
      </c>
      <c r="M18" s="12">
        <v>2</v>
      </c>
      <c r="N18" s="18" t="s">
        <v>100</v>
      </c>
      <c r="O18" s="18" t="s">
        <v>84</v>
      </c>
      <c r="P18" s="12">
        <v>2</v>
      </c>
      <c r="Q18" s="12">
        <v>2</v>
      </c>
      <c r="R18" s="12">
        <v>2</v>
      </c>
      <c r="S18" s="12">
        <v>2</v>
      </c>
      <c r="T18" s="12">
        <v>2</v>
      </c>
      <c r="U18" s="12">
        <v>2</v>
      </c>
      <c r="V18" s="18" t="s">
        <v>101</v>
      </c>
    </row>
    <row r="19" spans="1:22" s="13" customFormat="1">
      <c r="A19" s="17" t="s">
        <v>20</v>
      </c>
      <c r="B19" s="12">
        <v>1</v>
      </c>
      <c r="C19" s="12">
        <v>2</v>
      </c>
      <c r="D19" s="12">
        <v>2</v>
      </c>
      <c r="E19" s="12">
        <v>2</v>
      </c>
      <c r="F19" s="12">
        <v>2</v>
      </c>
      <c r="G19" s="12">
        <v>0</v>
      </c>
      <c r="H19" s="12">
        <v>2</v>
      </c>
      <c r="I19" s="12">
        <v>1</v>
      </c>
      <c r="J19" s="12">
        <v>2</v>
      </c>
      <c r="K19" s="12">
        <v>1</v>
      </c>
      <c r="L19" s="12">
        <v>2</v>
      </c>
      <c r="M19" s="12">
        <v>2</v>
      </c>
      <c r="N19" s="19" t="s">
        <v>191</v>
      </c>
      <c r="O19" s="12" t="s">
        <v>84</v>
      </c>
      <c r="P19" s="12">
        <v>2</v>
      </c>
      <c r="Q19" s="12">
        <v>2</v>
      </c>
      <c r="R19" s="12">
        <v>1</v>
      </c>
      <c r="S19" s="12">
        <v>2</v>
      </c>
      <c r="T19" s="12">
        <v>1</v>
      </c>
      <c r="U19" s="12">
        <v>2</v>
      </c>
      <c r="V19" s="12" t="s">
        <v>91</v>
      </c>
    </row>
    <row r="20" spans="1:22" s="13" customFormat="1">
      <c r="A20" s="17" t="s">
        <v>21</v>
      </c>
      <c r="B20" s="12">
        <v>0</v>
      </c>
      <c r="C20" s="12">
        <v>1</v>
      </c>
      <c r="D20" s="12">
        <v>2</v>
      </c>
      <c r="E20" s="12">
        <v>2</v>
      </c>
      <c r="F20" s="12">
        <v>1</v>
      </c>
      <c r="G20" s="12">
        <v>2</v>
      </c>
      <c r="H20" s="12">
        <v>1</v>
      </c>
      <c r="I20" s="12">
        <v>2</v>
      </c>
      <c r="J20" s="12">
        <v>2</v>
      </c>
      <c r="K20" s="12">
        <v>2</v>
      </c>
      <c r="L20" s="12">
        <v>1</v>
      </c>
      <c r="M20" s="12">
        <v>2</v>
      </c>
      <c r="N20" s="19" t="s">
        <v>91</v>
      </c>
      <c r="O20" s="12" t="s">
        <v>84</v>
      </c>
      <c r="P20" s="12">
        <v>1</v>
      </c>
      <c r="Q20" s="12">
        <v>1</v>
      </c>
      <c r="R20" s="12">
        <v>0</v>
      </c>
      <c r="S20" s="12">
        <v>1</v>
      </c>
      <c r="T20" s="12">
        <v>1</v>
      </c>
      <c r="U20" s="12">
        <v>1</v>
      </c>
      <c r="V20" s="12" t="s">
        <v>91</v>
      </c>
    </row>
    <row r="21" spans="1:22" s="13" customFormat="1">
      <c r="A21" s="17" t="s">
        <v>22</v>
      </c>
      <c r="B21" s="12">
        <v>-2</v>
      </c>
      <c r="C21" s="12">
        <v>2</v>
      </c>
      <c r="D21" s="12">
        <v>1</v>
      </c>
      <c r="E21" s="12">
        <v>-1</v>
      </c>
      <c r="F21" s="12">
        <v>2</v>
      </c>
      <c r="G21" s="12">
        <v>2</v>
      </c>
      <c r="H21" s="12">
        <v>0</v>
      </c>
      <c r="I21" s="12">
        <v>2</v>
      </c>
      <c r="J21" s="12">
        <v>1</v>
      </c>
      <c r="K21" s="12">
        <v>-2</v>
      </c>
      <c r="L21" s="12">
        <v>0</v>
      </c>
      <c r="M21" s="12">
        <v>2</v>
      </c>
      <c r="N21" s="19" t="s">
        <v>192</v>
      </c>
      <c r="O21" s="12" t="s">
        <v>84</v>
      </c>
      <c r="P21" s="12">
        <v>1</v>
      </c>
      <c r="Q21" s="12">
        <v>0</v>
      </c>
      <c r="R21" s="12">
        <v>0</v>
      </c>
      <c r="S21" s="12">
        <v>1</v>
      </c>
      <c r="T21" s="12">
        <v>1</v>
      </c>
      <c r="U21" s="12">
        <v>0</v>
      </c>
      <c r="V21" s="12" t="s">
        <v>193</v>
      </c>
    </row>
    <row r="22" spans="1:22" s="13" customFormat="1">
      <c r="A22" s="17" t="s">
        <v>23</v>
      </c>
      <c r="B22" s="12">
        <v>-1</v>
      </c>
      <c r="C22" s="12">
        <v>0</v>
      </c>
      <c r="D22" s="12">
        <v>0</v>
      </c>
      <c r="E22" s="12">
        <v>-2</v>
      </c>
      <c r="F22" s="12">
        <v>-1</v>
      </c>
      <c r="G22" s="12">
        <v>-2</v>
      </c>
      <c r="H22" s="12">
        <v>0</v>
      </c>
      <c r="I22" s="12">
        <v>2</v>
      </c>
      <c r="J22" s="12">
        <v>1</v>
      </c>
      <c r="K22" s="12">
        <v>1</v>
      </c>
      <c r="L22" s="12">
        <v>1</v>
      </c>
      <c r="M22" s="12">
        <v>1</v>
      </c>
      <c r="N22" s="19" t="s">
        <v>91</v>
      </c>
      <c r="O22" s="12" t="s">
        <v>84</v>
      </c>
      <c r="P22" s="12">
        <v>1</v>
      </c>
      <c r="Q22" s="12">
        <v>1</v>
      </c>
      <c r="R22" s="12">
        <v>1</v>
      </c>
      <c r="S22" s="12">
        <v>0</v>
      </c>
      <c r="T22" s="12">
        <v>1</v>
      </c>
      <c r="U22" s="12">
        <v>1</v>
      </c>
      <c r="V22" s="12" t="s">
        <v>91</v>
      </c>
    </row>
    <row r="23" spans="1:22" s="13" customFormat="1">
      <c r="A23" s="17" t="s">
        <v>24</v>
      </c>
      <c r="B23" s="12">
        <v>1</v>
      </c>
      <c r="C23" s="12">
        <v>2</v>
      </c>
      <c r="D23" s="12">
        <v>2</v>
      </c>
      <c r="E23" s="12">
        <v>1</v>
      </c>
      <c r="F23" s="12">
        <v>2</v>
      </c>
      <c r="G23" s="12">
        <v>1</v>
      </c>
      <c r="H23" s="12">
        <v>1</v>
      </c>
      <c r="I23" s="12">
        <v>1</v>
      </c>
      <c r="J23" s="12">
        <v>2</v>
      </c>
      <c r="K23" s="12">
        <v>2</v>
      </c>
      <c r="L23" s="12">
        <v>2</v>
      </c>
      <c r="M23" s="12">
        <v>2</v>
      </c>
      <c r="N23" s="19" t="s">
        <v>194</v>
      </c>
      <c r="O23" s="12" t="s">
        <v>84</v>
      </c>
      <c r="P23" s="12">
        <v>1</v>
      </c>
      <c r="Q23" s="12">
        <v>0</v>
      </c>
      <c r="R23" s="12">
        <v>1</v>
      </c>
      <c r="S23" s="12">
        <v>2</v>
      </c>
      <c r="T23" s="12">
        <v>2</v>
      </c>
      <c r="U23" s="12">
        <v>1</v>
      </c>
      <c r="V23" s="12" t="s">
        <v>91</v>
      </c>
    </row>
    <row r="24" spans="1:22" s="13" customFormat="1">
      <c r="A24" s="17" t="s">
        <v>25</v>
      </c>
      <c r="B24" s="12">
        <v>0</v>
      </c>
      <c r="C24" s="12">
        <v>2</v>
      </c>
      <c r="D24" s="12">
        <v>1</v>
      </c>
      <c r="E24" s="12">
        <v>1</v>
      </c>
      <c r="F24" s="12">
        <v>2</v>
      </c>
      <c r="G24" s="12">
        <v>1</v>
      </c>
      <c r="H24" s="12">
        <v>2</v>
      </c>
      <c r="I24" s="12">
        <v>0</v>
      </c>
      <c r="J24" s="12">
        <v>2</v>
      </c>
      <c r="K24" s="12">
        <v>2</v>
      </c>
      <c r="L24" s="12">
        <v>2</v>
      </c>
      <c r="M24" s="12">
        <v>2</v>
      </c>
      <c r="N24" s="19" t="s">
        <v>91</v>
      </c>
      <c r="O24" s="12" t="s">
        <v>84</v>
      </c>
      <c r="P24" s="12">
        <v>2</v>
      </c>
      <c r="Q24" s="12">
        <v>0</v>
      </c>
      <c r="R24" s="12">
        <v>1</v>
      </c>
      <c r="S24" s="12">
        <v>1</v>
      </c>
      <c r="T24" s="12">
        <v>1</v>
      </c>
      <c r="U24" s="12">
        <v>2</v>
      </c>
      <c r="V24" s="12" t="s">
        <v>91</v>
      </c>
    </row>
    <row r="25" spans="1:22" s="13" customFormat="1">
      <c r="A25" s="17" t="s">
        <v>26</v>
      </c>
      <c r="B25" s="12">
        <v>0</v>
      </c>
      <c r="C25" s="12">
        <v>1</v>
      </c>
      <c r="D25" s="12">
        <v>1</v>
      </c>
      <c r="E25" s="12">
        <v>2</v>
      </c>
      <c r="F25" s="12">
        <v>1</v>
      </c>
      <c r="G25" s="12">
        <v>1</v>
      </c>
      <c r="H25" s="12">
        <v>0</v>
      </c>
      <c r="I25" s="12">
        <v>1</v>
      </c>
      <c r="J25" s="12">
        <v>1</v>
      </c>
      <c r="K25" s="12">
        <v>2</v>
      </c>
      <c r="L25" s="12">
        <v>1</v>
      </c>
      <c r="M25" s="12">
        <v>1</v>
      </c>
      <c r="N25" s="19" t="s">
        <v>91</v>
      </c>
      <c r="O25" s="12" t="s">
        <v>84</v>
      </c>
      <c r="P25" s="12">
        <v>1</v>
      </c>
      <c r="Q25" s="12">
        <v>0</v>
      </c>
      <c r="R25" s="12">
        <v>0</v>
      </c>
      <c r="S25" s="12">
        <v>1</v>
      </c>
      <c r="T25" s="12">
        <v>1</v>
      </c>
      <c r="U25" s="12">
        <v>1</v>
      </c>
      <c r="V25" s="12" t="s">
        <v>91</v>
      </c>
    </row>
    <row r="26" spans="1:22" s="13" customFormat="1">
      <c r="A26" s="17" t="s">
        <v>27</v>
      </c>
      <c r="B26" s="12">
        <v>1</v>
      </c>
      <c r="C26" s="12">
        <v>0</v>
      </c>
      <c r="D26" s="12">
        <v>1</v>
      </c>
      <c r="E26" s="12">
        <v>2</v>
      </c>
      <c r="F26" s="12">
        <v>2</v>
      </c>
      <c r="G26" s="12">
        <v>1</v>
      </c>
      <c r="H26" s="12">
        <v>0</v>
      </c>
      <c r="I26" s="12">
        <v>1</v>
      </c>
      <c r="J26" s="12">
        <v>2</v>
      </c>
      <c r="K26" s="12">
        <v>2</v>
      </c>
      <c r="L26" s="12">
        <v>2</v>
      </c>
      <c r="M26" s="12">
        <v>1</v>
      </c>
      <c r="N26" s="19" t="s">
        <v>195</v>
      </c>
      <c r="O26" s="12" t="s">
        <v>84</v>
      </c>
      <c r="P26" s="12">
        <v>1</v>
      </c>
      <c r="Q26" s="12">
        <v>0</v>
      </c>
      <c r="R26" s="12">
        <v>1</v>
      </c>
      <c r="S26" s="12">
        <v>2</v>
      </c>
      <c r="T26" s="12">
        <v>1</v>
      </c>
      <c r="U26" s="12">
        <v>2</v>
      </c>
      <c r="V26" s="12" t="s">
        <v>91</v>
      </c>
    </row>
    <row r="27" spans="1:22" s="13" customFormat="1">
      <c r="A27" s="17" t="s">
        <v>28</v>
      </c>
      <c r="B27" s="12">
        <v>2</v>
      </c>
      <c r="C27" s="12">
        <v>0</v>
      </c>
      <c r="D27" s="12">
        <v>2</v>
      </c>
      <c r="E27" s="12">
        <v>2</v>
      </c>
      <c r="F27" s="12">
        <v>2</v>
      </c>
      <c r="G27" s="12">
        <v>2</v>
      </c>
      <c r="H27" s="12">
        <v>2</v>
      </c>
      <c r="I27" s="12">
        <v>2</v>
      </c>
      <c r="J27" s="12">
        <v>-1</v>
      </c>
      <c r="K27" s="12">
        <v>1</v>
      </c>
      <c r="L27" s="12">
        <v>-2</v>
      </c>
      <c r="M27" s="12">
        <v>2</v>
      </c>
      <c r="N27" s="19" t="s">
        <v>102</v>
      </c>
      <c r="O27" s="12"/>
      <c r="P27" s="12"/>
      <c r="Q27" s="12"/>
      <c r="R27" s="12"/>
      <c r="S27" s="12"/>
      <c r="T27" s="12"/>
      <c r="U27" s="12"/>
      <c r="V27" s="12"/>
    </row>
    <row r="28" spans="1:22" s="13" customFormat="1">
      <c r="A28" s="17" t="s">
        <v>29</v>
      </c>
      <c r="B28" s="12">
        <v>-1</v>
      </c>
      <c r="C28" s="12">
        <v>1</v>
      </c>
      <c r="D28" s="12">
        <v>0</v>
      </c>
      <c r="E28" s="12">
        <v>2</v>
      </c>
      <c r="F28" s="12">
        <v>1</v>
      </c>
      <c r="G28" s="12">
        <v>-2</v>
      </c>
      <c r="H28" s="12">
        <v>-2</v>
      </c>
      <c r="I28" s="12">
        <v>1</v>
      </c>
      <c r="J28" s="12">
        <v>0</v>
      </c>
      <c r="K28" s="12">
        <v>0</v>
      </c>
      <c r="L28" s="12">
        <v>1</v>
      </c>
      <c r="M28" s="12">
        <v>2</v>
      </c>
      <c r="N28" s="19" t="s">
        <v>102</v>
      </c>
      <c r="O28" s="12"/>
      <c r="P28" s="12"/>
      <c r="Q28" s="12"/>
      <c r="R28" s="12"/>
      <c r="S28" s="12"/>
      <c r="T28" s="12"/>
      <c r="U28" s="12"/>
      <c r="V28" s="12"/>
    </row>
    <row r="29" spans="1:22" s="13" customFormat="1">
      <c r="A29" s="17" t="s">
        <v>30</v>
      </c>
      <c r="B29" s="12">
        <v>1</v>
      </c>
      <c r="C29" s="12">
        <v>2</v>
      </c>
      <c r="D29" s="12">
        <v>1</v>
      </c>
      <c r="E29" s="12">
        <v>1</v>
      </c>
      <c r="F29" s="12">
        <v>2</v>
      </c>
      <c r="G29" s="12">
        <v>2</v>
      </c>
      <c r="H29" s="12">
        <v>2</v>
      </c>
      <c r="I29" s="12">
        <v>1</v>
      </c>
      <c r="J29" s="12">
        <v>2</v>
      </c>
      <c r="K29" s="12">
        <v>2</v>
      </c>
      <c r="L29" s="12">
        <v>1</v>
      </c>
      <c r="M29" s="12">
        <v>2</v>
      </c>
      <c r="N29" s="17" t="s">
        <v>103</v>
      </c>
      <c r="O29" s="12"/>
      <c r="P29" s="12"/>
      <c r="Q29" s="12"/>
      <c r="R29" s="12"/>
      <c r="S29" s="12"/>
      <c r="T29" s="12"/>
      <c r="U29" s="12"/>
      <c r="V29" s="12"/>
    </row>
    <row r="30" spans="1:22" s="13" customFormat="1">
      <c r="A30" s="17" t="s">
        <v>31</v>
      </c>
      <c r="B30" s="12">
        <v>-2</v>
      </c>
      <c r="C30" s="12">
        <v>-1</v>
      </c>
      <c r="D30" s="12">
        <v>0</v>
      </c>
      <c r="E30" s="12">
        <v>-1</v>
      </c>
      <c r="F30" s="12">
        <v>-2</v>
      </c>
      <c r="G30" s="12">
        <v>1</v>
      </c>
      <c r="H30" s="12">
        <v>0</v>
      </c>
      <c r="I30" s="12">
        <v>0</v>
      </c>
      <c r="J30" s="12">
        <v>1</v>
      </c>
      <c r="K30" s="12">
        <v>-1</v>
      </c>
      <c r="L30" s="12">
        <v>-1</v>
      </c>
      <c r="M30" s="12">
        <v>2</v>
      </c>
      <c r="N30" s="19" t="s">
        <v>104</v>
      </c>
      <c r="O30" s="12"/>
      <c r="P30" s="12"/>
      <c r="Q30" s="12"/>
      <c r="R30" s="12"/>
      <c r="S30" s="12"/>
      <c r="T30" s="12"/>
      <c r="U30" s="12"/>
      <c r="V30" s="12"/>
    </row>
    <row r="31" spans="1:22" s="13" customFormat="1">
      <c r="A31" s="17" t="s">
        <v>32</v>
      </c>
      <c r="B31" s="12">
        <v>0</v>
      </c>
      <c r="C31" s="12">
        <v>1</v>
      </c>
      <c r="D31" s="12">
        <v>1</v>
      </c>
      <c r="E31" s="12">
        <v>2</v>
      </c>
      <c r="F31" s="12">
        <v>1</v>
      </c>
      <c r="G31" s="12">
        <v>0</v>
      </c>
      <c r="H31" s="12">
        <v>2</v>
      </c>
      <c r="I31" s="12">
        <v>1</v>
      </c>
      <c r="J31" s="12">
        <v>2</v>
      </c>
      <c r="K31" s="12">
        <v>1</v>
      </c>
      <c r="L31" s="12">
        <v>2</v>
      </c>
      <c r="M31" s="12">
        <v>2</v>
      </c>
      <c r="N31" s="19" t="s">
        <v>102</v>
      </c>
      <c r="O31" s="12"/>
      <c r="P31" s="12"/>
      <c r="Q31" s="12"/>
      <c r="R31" s="12"/>
      <c r="S31" s="12"/>
      <c r="T31" s="12"/>
      <c r="U31" s="12"/>
      <c r="V31" s="12"/>
    </row>
    <row r="32" spans="1:22" s="13" customFormat="1">
      <c r="A32" s="17" t="s">
        <v>33</v>
      </c>
      <c r="B32" s="12">
        <v>-1</v>
      </c>
      <c r="C32" s="12">
        <v>0</v>
      </c>
      <c r="D32" s="12">
        <v>1</v>
      </c>
      <c r="E32" s="12">
        <v>-2</v>
      </c>
      <c r="F32" s="12">
        <v>-1</v>
      </c>
      <c r="G32" s="12">
        <v>-2</v>
      </c>
      <c r="H32" s="12">
        <v>1</v>
      </c>
      <c r="I32" s="12">
        <v>1</v>
      </c>
      <c r="J32" s="12">
        <v>0</v>
      </c>
      <c r="K32" s="12">
        <v>0</v>
      </c>
      <c r="L32" s="12">
        <v>0</v>
      </c>
      <c r="M32" s="12">
        <v>2</v>
      </c>
      <c r="N32" s="19" t="s">
        <v>105</v>
      </c>
      <c r="O32" s="12"/>
      <c r="P32" s="12"/>
      <c r="Q32" s="12"/>
      <c r="R32" s="12"/>
      <c r="S32" s="12"/>
      <c r="T32" s="12"/>
      <c r="U32" s="12"/>
      <c r="V32" s="12"/>
    </row>
    <row r="33" spans="1:22" s="13" customFormat="1">
      <c r="A33" s="17" t="s">
        <v>34</v>
      </c>
      <c r="B33" s="12">
        <v>-1</v>
      </c>
      <c r="C33" s="12">
        <v>-1</v>
      </c>
      <c r="D33" s="12">
        <v>-1</v>
      </c>
      <c r="E33" s="12">
        <v>-2</v>
      </c>
      <c r="F33" s="12">
        <v>2</v>
      </c>
      <c r="G33" s="12">
        <v>-2</v>
      </c>
      <c r="H33" s="12">
        <v>2</v>
      </c>
      <c r="I33" s="12">
        <v>1</v>
      </c>
      <c r="J33" s="12">
        <v>1</v>
      </c>
      <c r="K33" s="12">
        <v>-1</v>
      </c>
      <c r="L33" s="12">
        <v>0</v>
      </c>
      <c r="M33" s="12">
        <v>2</v>
      </c>
      <c r="N33" s="19" t="s">
        <v>106</v>
      </c>
      <c r="O33" s="12"/>
      <c r="P33" s="12"/>
      <c r="Q33" s="12"/>
      <c r="R33" s="12"/>
      <c r="S33" s="12"/>
      <c r="T33" s="12"/>
      <c r="U33" s="12"/>
      <c r="V33" s="12"/>
    </row>
    <row r="34" spans="1:22" s="13" customFormat="1">
      <c r="A34" s="17" t="s">
        <v>35</v>
      </c>
      <c r="B34" s="12">
        <v>0</v>
      </c>
      <c r="C34" s="12">
        <v>2</v>
      </c>
      <c r="D34" s="12">
        <v>1</v>
      </c>
      <c r="E34" s="12">
        <v>2</v>
      </c>
      <c r="F34" s="12">
        <v>2</v>
      </c>
      <c r="G34" s="12">
        <v>-2</v>
      </c>
      <c r="H34" s="12">
        <v>2</v>
      </c>
      <c r="I34" s="12">
        <v>-1</v>
      </c>
      <c r="J34" s="12">
        <v>0</v>
      </c>
      <c r="K34" s="12">
        <v>-1</v>
      </c>
      <c r="L34" s="12">
        <v>2</v>
      </c>
      <c r="M34" s="12">
        <v>2</v>
      </c>
      <c r="N34" s="19" t="s">
        <v>102</v>
      </c>
      <c r="O34" s="12"/>
      <c r="P34" s="12"/>
      <c r="Q34" s="12"/>
      <c r="R34" s="12"/>
      <c r="S34" s="12"/>
      <c r="T34" s="12"/>
      <c r="U34" s="12"/>
      <c r="V34" s="12"/>
    </row>
    <row r="35" spans="1:22" s="13" customFormat="1">
      <c r="A35" s="17" t="s">
        <v>36</v>
      </c>
      <c r="B35" s="12">
        <v>0</v>
      </c>
      <c r="C35" s="12">
        <v>1</v>
      </c>
      <c r="D35" s="12">
        <v>2</v>
      </c>
      <c r="E35" s="12">
        <v>0</v>
      </c>
      <c r="F35" s="12">
        <v>1</v>
      </c>
      <c r="G35" s="12">
        <v>2</v>
      </c>
      <c r="H35" s="12">
        <v>1</v>
      </c>
      <c r="I35" s="12">
        <v>2</v>
      </c>
      <c r="J35" s="12">
        <v>1</v>
      </c>
      <c r="K35" s="12">
        <v>2</v>
      </c>
      <c r="L35" s="12">
        <v>2</v>
      </c>
      <c r="M35" s="12">
        <v>2</v>
      </c>
      <c r="N35" s="19" t="s">
        <v>107</v>
      </c>
      <c r="O35" s="12"/>
      <c r="P35" s="12"/>
      <c r="Q35" s="12"/>
      <c r="R35" s="12"/>
      <c r="S35" s="12"/>
      <c r="T35" s="12"/>
      <c r="U35" s="12"/>
      <c r="V35" s="12"/>
    </row>
    <row r="36" spans="1:22" s="13" customFormat="1">
      <c r="A36" s="17" t="s">
        <v>124</v>
      </c>
      <c r="B36" s="12">
        <v>2</v>
      </c>
      <c r="C36" s="12">
        <v>0</v>
      </c>
      <c r="D36" s="12">
        <v>2</v>
      </c>
      <c r="E36" s="12">
        <v>1</v>
      </c>
      <c r="F36" s="12">
        <v>1</v>
      </c>
      <c r="G36" s="12">
        <v>-2</v>
      </c>
      <c r="H36" s="12">
        <v>2</v>
      </c>
      <c r="I36" s="12">
        <v>2</v>
      </c>
      <c r="J36" s="12">
        <v>2</v>
      </c>
      <c r="K36" s="12">
        <v>1</v>
      </c>
      <c r="L36" s="12">
        <v>1</v>
      </c>
      <c r="M36" s="12">
        <v>2</v>
      </c>
      <c r="N36" s="19" t="s">
        <v>102</v>
      </c>
      <c r="O36" s="12"/>
      <c r="P36" s="12"/>
      <c r="Q36" s="12"/>
      <c r="R36" s="12"/>
      <c r="S36" s="12"/>
      <c r="T36" s="12"/>
      <c r="U36" s="12"/>
      <c r="V36" s="12"/>
    </row>
    <row r="37" spans="1:22" s="13" customFormat="1">
      <c r="A37" s="17" t="s">
        <v>125</v>
      </c>
      <c r="B37" s="12">
        <v>1</v>
      </c>
      <c r="C37" s="12">
        <v>2</v>
      </c>
      <c r="D37" s="12">
        <v>2</v>
      </c>
      <c r="E37" s="12">
        <v>2</v>
      </c>
      <c r="F37" s="12">
        <v>1</v>
      </c>
      <c r="G37" s="12">
        <v>-2</v>
      </c>
      <c r="H37" s="12">
        <v>0</v>
      </c>
      <c r="I37" s="12">
        <v>1</v>
      </c>
      <c r="J37" s="12">
        <v>2</v>
      </c>
      <c r="K37" s="12">
        <v>1</v>
      </c>
      <c r="L37" s="12">
        <v>1</v>
      </c>
      <c r="M37" s="12">
        <v>2</v>
      </c>
      <c r="N37" s="19" t="s">
        <v>102</v>
      </c>
      <c r="O37" s="12"/>
      <c r="P37" s="12"/>
      <c r="Q37" s="12"/>
      <c r="R37" s="12"/>
      <c r="S37" s="12"/>
      <c r="T37" s="12"/>
      <c r="U37" s="12"/>
      <c r="V37" s="12"/>
    </row>
    <row r="38" spans="1:22" s="13" customFormat="1">
      <c r="A38" s="17" t="s">
        <v>126</v>
      </c>
      <c r="B38" s="12">
        <v>1</v>
      </c>
      <c r="C38" s="12">
        <v>-1</v>
      </c>
      <c r="D38" s="12">
        <v>1</v>
      </c>
      <c r="E38" s="12">
        <v>1</v>
      </c>
      <c r="F38" s="12">
        <v>0</v>
      </c>
      <c r="G38" s="12">
        <v>-2</v>
      </c>
      <c r="H38" s="12">
        <v>0</v>
      </c>
      <c r="I38" s="12">
        <v>-1</v>
      </c>
      <c r="J38" s="12">
        <v>1</v>
      </c>
      <c r="K38" s="12">
        <v>0</v>
      </c>
      <c r="L38" s="12">
        <v>1</v>
      </c>
      <c r="M38" s="12">
        <v>1</v>
      </c>
      <c r="N38" s="19" t="s">
        <v>108</v>
      </c>
      <c r="O38" s="12"/>
      <c r="P38" s="12"/>
      <c r="Q38" s="12"/>
      <c r="R38" s="12"/>
      <c r="S38" s="12"/>
      <c r="T38" s="12"/>
      <c r="U38" s="12"/>
      <c r="V38" s="12"/>
    </row>
    <row r="39" spans="1:22" s="13" customFormat="1">
      <c r="A39" s="17" t="s">
        <v>127</v>
      </c>
      <c r="B39" s="12">
        <v>-1</v>
      </c>
      <c r="C39" s="12">
        <v>2</v>
      </c>
      <c r="D39" s="12">
        <v>2</v>
      </c>
      <c r="E39" s="12">
        <v>2</v>
      </c>
      <c r="F39" s="12">
        <v>2</v>
      </c>
      <c r="G39" s="12">
        <v>0</v>
      </c>
      <c r="H39" s="12">
        <v>-1</v>
      </c>
      <c r="I39" s="12">
        <v>0</v>
      </c>
      <c r="J39" s="12">
        <v>2</v>
      </c>
      <c r="K39" s="12">
        <v>2</v>
      </c>
      <c r="L39" s="12">
        <v>2</v>
      </c>
      <c r="M39" s="12">
        <v>1</v>
      </c>
      <c r="N39" s="19" t="s">
        <v>102</v>
      </c>
      <c r="O39" s="12"/>
      <c r="P39" s="12"/>
      <c r="Q39" s="12"/>
      <c r="R39" s="12"/>
      <c r="S39" s="12"/>
      <c r="T39" s="12"/>
      <c r="U39" s="12"/>
      <c r="V39" s="12"/>
    </row>
    <row r="40" spans="1:22" s="13" customFormat="1">
      <c r="A40" s="17" t="s">
        <v>128</v>
      </c>
      <c r="B40" s="12">
        <v>0</v>
      </c>
      <c r="C40" s="12">
        <v>1</v>
      </c>
      <c r="D40" s="12">
        <v>2</v>
      </c>
      <c r="E40" s="12">
        <v>0</v>
      </c>
      <c r="F40" s="12">
        <v>1</v>
      </c>
      <c r="G40" s="12">
        <v>2</v>
      </c>
      <c r="H40" s="12">
        <v>2</v>
      </c>
      <c r="I40" s="12">
        <v>2</v>
      </c>
      <c r="J40" s="12">
        <v>1</v>
      </c>
      <c r="K40" s="12">
        <v>1</v>
      </c>
      <c r="L40" s="12">
        <v>1</v>
      </c>
      <c r="M40" s="12">
        <v>2</v>
      </c>
      <c r="N40" s="19" t="s">
        <v>109</v>
      </c>
      <c r="O40" s="12"/>
      <c r="P40" s="12"/>
      <c r="Q40" s="12"/>
      <c r="R40" s="12"/>
      <c r="S40" s="12"/>
      <c r="T40" s="12"/>
      <c r="U40" s="12"/>
      <c r="V40" s="12"/>
    </row>
    <row r="41" spans="1:22" s="13" customFormat="1">
      <c r="A41" s="17" t="s">
        <v>129</v>
      </c>
      <c r="B41" s="12">
        <v>-1</v>
      </c>
      <c r="C41" s="12">
        <v>1</v>
      </c>
      <c r="D41" s="12">
        <v>1</v>
      </c>
      <c r="E41" s="12">
        <v>2</v>
      </c>
      <c r="F41" s="12">
        <v>2</v>
      </c>
      <c r="G41" s="12">
        <v>-2</v>
      </c>
      <c r="H41" s="12">
        <v>2</v>
      </c>
      <c r="I41" s="12">
        <v>2</v>
      </c>
      <c r="J41" s="12">
        <v>2</v>
      </c>
      <c r="K41" s="12">
        <v>2</v>
      </c>
      <c r="L41" s="12">
        <v>2</v>
      </c>
      <c r="M41" s="12">
        <v>1</v>
      </c>
      <c r="N41" s="19" t="s">
        <v>102</v>
      </c>
      <c r="O41" s="12"/>
      <c r="P41" s="12"/>
      <c r="Q41" s="12"/>
      <c r="R41" s="12"/>
      <c r="S41" s="12"/>
      <c r="T41" s="12"/>
      <c r="U41" s="12"/>
      <c r="V41" s="12"/>
    </row>
    <row r="42" spans="1:22" s="13" customFormat="1">
      <c r="A42" s="17" t="s">
        <v>130</v>
      </c>
      <c r="B42" s="12">
        <v>-2</v>
      </c>
      <c r="C42" s="12">
        <v>2</v>
      </c>
      <c r="D42" s="12">
        <v>2</v>
      </c>
      <c r="E42" s="12">
        <v>2</v>
      </c>
      <c r="F42" s="12">
        <v>2</v>
      </c>
      <c r="G42" s="12">
        <v>-2</v>
      </c>
      <c r="H42" s="12">
        <v>2</v>
      </c>
      <c r="I42" s="12">
        <v>2</v>
      </c>
      <c r="J42" s="12">
        <v>2</v>
      </c>
      <c r="K42" s="12">
        <v>2</v>
      </c>
      <c r="L42" s="12">
        <v>2</v>
      </c>
      <c r="M42" s="12">
        <v>2</v>
      </c>
      <c r="N42" s="19" t="s">
        <v>102</v>
      </c>
      <c r="O42" s="12"/>
      <c r="P42" s="12"/>
      <c r="Q42" s="12"/>
      <c r="R42" s="12"/>
      <c r="S42" s="12"/>
      <c r="T42" s="12"/>
      <c r="U42" s="12"/>
      <c r="V42" s="12"/>
    </row>
    <row r="43" spans="1:22" s="13" customFormat="1">
      <c r="A43" s="17" t="s">
        <v>131</v>
      </c>
      <c r="B43" s="12">
        <v>0</v>
      </c>
      <c r="C43" s="12">
        <v>0</v>
      </c>
      <c r="D43" s="12">
        <v>-1</v>
      </c>
      <c r="E43" s="12">
        <v>1</v>
      </c>
      <c r="F43" s="12">
        <v>-2</v>
      </c>
      <c r="G43" s="12">
        <v>1</v>
      </c>
      <c r="H43" s="12">
        <v>0</v>
      </c>
      <c r="I43" s="12">
        <v>-1</v>
      </c>
      <c r="J43" s="12">
        <v>2</v>
      </c>
      <c r="K43" s="12">
        <v>1</v>
      </c>
      <c r="L43" s="12">
        <v>2</v>
      </c>
      <c r="M43" s="12">
        <v>2</v>
      </c>
      <c r="N43" s="19" t="s">
        <v>102</v>
      </c>
      <c r="O43" s="12"/>
      <c r="P43" s="12"/>
      <c r="Q43" s="12"/>
      <c r="R43" s="12"/>
      <c r="S43" s="12"/>
      <c r="T43" s="12"/>
      <c r="U43" s="12"/>
      <c r="V43" s="12"/>
    </row>
    <row r="44" spans="1:22" s="13" customFormat="1">
      <c r="A44" s="17" t="s">
        <v>132</v>
      </c>
      <c r="B44" s="12">
        <v>2</v>
      </c>
      <c r="C44" s="12">
        <v>2</v>
      </c>
      <c r="D44" s="12">
        <v>2</v>
      </c>
      <c r="E44" s="12">
        <v>1</v>
      </c>
      <c r="F44" s="12">
        <v>2</v>
      </c>
      <c r="G44" s="12">
        <v>2</v>
      </c>
      <c r="H44" s="12">
        <v>-2</v>
      </c>
      <c r="I44" s="12">
        <v>2</v>
      </c>
      <c r="J44" s="12">
        <v>2</v>
      </c>
      <c r="K44" s="12">
        <v>2</v>
      </c>
      <c r="L44" s="12">
        <v>2</v>
      </c>
      <c r="M44" s="12">
        <v>2</v>
      </c>
      <c r="N44" s="19" t="s">
        <v>196</v>
      </c>
      <c r="O44" s="12"/>
      <c r="P44" s="12"/>
      <c r="Q44" s="12"/>
      <c r="R44" s="12"/>
      <c r="S44" s="12"/>
      <c r="T44" s="12"/>
      <c r="U44" s="12"/>
      <c r="V44" s="12"/>
    </row>
    <row r="45" spans="1:22" s="13" customFormat="1">
      <c r="A45" s="17" t="s">
        <v>133</v>
      </c>
      <c r="B45" s="12">
        <v>1</v>
      </c>
      <c r="C45" s="12">
        <v>2</v>
      </c>
      <c r="D45" s="12">
        <v>1</v>
      </c>
      <c r="E45" s="12">
        <v>0</v>
      </c>
      <c r="F45" s="12">
        <v>0</v>
      </c>
      <c r="G45" s="12">
        <v>1</v>
      </c>
      <c r="H45" s="12">
        <v>2</v>
      </c>
      <c r="I45" s="12">
        <v>2</v>
      </c>
      <c r="J45" s="12">
        <v>2</v>
      </c>
      <c r="K45" s="12">
        <v>2</v>
      </c>
      <c r="L45" s="12">
        <v>2</v>
      </c>
      <c r="M45" s="12">
        <v>2</v>
      </c>
      <c r="N45" s="19" t="s">
        <v>91</v>
      </c>
      <c r="O45" s="12"/>
      <c r="P45" s="12"/>
      <c r="Q45" s="12"/>
      <c r="R45" s="12"/>
      <c r="S45" s="12"/>
      <c r="T45" s="12"/>
      <c r="U45" s="12"/>
      <c r="V45" s="12"/>
    </row>
    <row r="46" spans="1:22" s="13" customFormat="1">
      <c r="A46" s="17" t="s">
        <v>134</v>
      </c>
      <c r="B46" s="12">
        <v>2</v>
      </c>
      <c r="C46" s="12">
        <v>0</v>
      </c>
      <c r="D46" s="12">
        <v>1</v>
      </c>
      <c r="E46" s="12">
        <v>0</v>
      </c>
      <c r="F46" s="12">
        <v>2</v>
      </c>
      <c r="G46" s="12">
        <v>1</v>
      </c>
      <c r="H46" s="12">
        <v>2</v>
      </c>
      <c r="I46" s="12">
        <v>2</v>
      </c>
      <c r="J46" s="12">
        <v>2</v>
      </c>
      <c r="K46" s="12">
        <v>2</v>
      </c>
      <c r="L46" s="12">
        <v>2</v>
      </c>
      <c r="M46" s="12">
        <v>2</v>
      </c>
      <c r="N46" s="19" t="s">
        <v>197</v>
      </c>
      <c r="O46" s="12"/>
      <c r="P46" s="12"/>
      <c r="Q46" s="12"/>
      <c r="R46" s="12"/>
      <c r="S46" s="12"/>
      <c r="T46" s="12"/>
      <c r="U46" s="12"/>
      <c r="V46" s="12"/>
    </row>
    <row r="47" spans="1:22" s="13" customFormat="1">
      <c r="A47" s="17" t="s">
        <v>135</v>
      </c>
      <c r="B47" s="12">
        <v>0</v>
      </c>
      <c r="C47" s="12">
        <v>-2</v>
      </c>
      <c r="D47" s="12">
        <v>0</v>
      </c>
      <c r="E47" s="12">
        <v>0</v>
      </c>
      <c r="F47" s="12">
        <v>-2</v>
      </c>
      <c r="G47" s="12">
        <v>-2</v>
      </c>
      <c r="H47" s="12">
        <v>2</v>
      </c>
      <c r="I47" s="12">
        <v>2</v>
      </c>
      <c r="J47" s="12">
        <v>2</v>
      </c>
      <c r="K47" s="12">
        <v>2</v>
      </c>
      <c r="L47" s="12">
        <v>1</v>
      </c>
      <c r="M47" s="12">
        <v>0</v>
      </c>
      <c r="N47" s="19" t="s">
        <v>198</v>
      </c>
      <c r="O47" s="12"/>
      <c r="P47" s="12"/>
      <c r="Q47" s="12"/>
      <c r="R47" s="12"/>
      <c r="S47" s="12"/>
      <c r="T47" s="12"/>
      <c r="U47" s="12"/>
      <c r="V47" s="12"/>
    </row>
    <row r="48" spans="1:22" s="13" customFormat="1">
      <c r="A48" s="17" t="s">
        <v>136</v>
      </c>
      <c r="B48" s="12">
        <v>0</v>
      </c>
      <c r="C48" s="12">
        <v>-1</v>
      </c>
      <c r="D48" s="12">
        <v>2</v>
      </c>
      <c r="E48" s="12">
        <v>1</v>
      </c>
      <c r="F48" s="12">
        <v>1</v>
      </c>
      <c r="G48" s="12">
        <v>0</v>
      </c>
      <c r="H48" s="12">
        <v>1</v>
      </c>
      <c r="I48" s="12">
        <v>0</v>
      </c>
      <c r="J48" s="12">
        <v>1</v>
      </c>
      <c r="K48" s="12">
        <v>2</v>
      </c>
      <c r="L48" s="12">
        <v>2</v>
      </c>
      <c r="M48" s="12">
        <v>2</v>
      </c>
      <c r="N48" s="19" t="s">
        <v>91</v>
      </c>
      <c r="O48" s="12"/>
      <c r="P48" s="12"/>
      <c r="Q48" s="12"/>
      <c r="R48" s="12"/>
      <c r="S48" s="12"/>
      <c r="T48" s="12"/>
      <c r="U48" s="12"/>
      <c r="V48" s="12"/>
    </row>
    <row r="49" spans="1:22" s="13" customFormat="1">
      <c r="A49" s="17" t="s">
        <v>137</v>
      </c>
      <c r="B49" s="12">
        <v>1</v>
      </c>
      <c r="C49" s="12">
        <v>2</v>
      </c>
      <c r="D49" s="12">
        <v>2</v>
      </c>
      <c r="E49" s="12">
        <v>2</v>
      </c>
      <c r="F49" s="12">
        <v>2</v>
      </c>
      <c r="G49" s="12">
        <v>0</v>
      </c>
      <c r="H49" s="12">
        <v>1</v>
      </c>
      <c r="I49" s="12">
        <v>2</v>
      </c>
      <c r="J49" s="12">
        <v>1</v>
      </c>
      <c r="K49" s="12">
        <v>2</v>
      </c>
      <c r="L49" s="12">
        <v>2</v>
      </c>
      <c r="M49" s="12">
        <v>1</v>
      </c>
      <c r="N49" s="19" t="s">
        <v>91</v>
      </c>
      <c r="O49" s="12"/>
      <c r="P49" s="12"/>
      <c r="Q49" s="12"/>
      <c r="R49" s="12"/>
      <c r="S49" s="12"/>
      <c r="T49" s="12"/>
      <c r="U49" s="12"/>
      <c r="V49" s="12"/>
    </row>
    <row r="50" spans="1:22" s="13" customFormat="1">
      <c r="A50" s="17" t="s">
        <v>138</v>
      </c>
      <c r="B50" s="12">
        <v>0</v>
      </c>
      <c r="C50" s="12">
        <v>0</v>
      </c>
      <c r="D50" s="12">
        <v>1</v>
      </c>
      <c r="E50" s="12">
        <v>0</v>
      </c>
      <c r="F50" s="12">
        <v>1</v>
      </c>
      <c r="G50" s="12">
        <v>0</v>
      </c>
      <c r="H50" s="12">
        <v>0</v>
      </c>
      <c r="I50" s="12">
        <v>0</v>
      </c>
      <c r="J50" s="12">
        <v>2</v>
      </c>
      <c r="K50" s="12">
        <v>2</v>
      </c>
      <c r="L50" s="12">
        <v>2</v>
      </c>
      <c r="M50" s="12">
        <v>2</v>
      </c>
      <c r="N50" s="19" t="s">
        <v>199</v>
      </c>
      <c r="O50" s="12"/>
      <c r="P50" s="12"/>
      <c r="Q50" s="12"/>
      <c r="R50" s="12"/>
      <c r="S50" s="12"/>
      <c r="T50" s="12"/>
      <c r="U50" s="12"/>
      <c r="V50" s="12"/>
    </row>
    <row r="51" spans="1:22" s="13" customFormat="1">
      <c r="A51" s="17" t="s">
        <v>139</v>
      </c>
      <c r="B51" s="12">
        <v>-1</v>
      </c>
      <c r="C51" s="12">
        <v>1</v>
      </c>
      <c r="D51" s="12">
        <v>1</v>
      </c>
      <c r="E51" s="12">
        <v>-1</v>
      </c>
      <c r="F51" s="12">
        <v>0</v>
      </c>
      <c r="G51" s="12">
        <v>2</v>
      </c>
      <c r="H51" s="12">
        <v>-1</v>
      </c>
      <c r="I51" s="12">
        <v>1</v>
      </c>
      <c r="J51" s="12">
        <v>1</v>
      </c>
      <c r="K51" s="12">
        <v>0</v>
      </c>
      <c r="L51" s="12">
        <v>-1</v>
      </c>
      <c r="M51" s="12">
        <v>-1</v>
      </c>
      <c r="N51" s="12" t="s">
        <v>200</v>
      </c>
      <c r="O51" s="12"/>
      <c r="P51" s="12"/>
      <c r="Q51" s="12"/>
      <c r="R51" s="12"/>
      <c r="S51" s="12"/>
      <c r="T51" s="12"/>
      <c r="U51" s="12"/>
      <c r="V51" s="12"/>
    </row>
    <row r="54" spans="1:22" s="53" customFormat="1">
      <c r="A54" s="52"/>
      <c r="B54" s="52" t="s">
        <v>110</v>
      </c>
      <c r="C54" s="52" t="s">
        <v>111</v>
      </c>
      <c r="D54" s="52" t="s">
        <v>111</v>
      </c>
      <c r="E54" s="52" t="s">
        <v>112</v>
      </c>
      <c r="F54" s="52" t="s">
        <v>117</v>
      </c>
      <c r="G54" s="52" t="s">
        <v>118</v>
      </c>
      <c r="H54" s="52" t="s">
        <v>119</v>
      </c>
      <c r="I54" s="52" t="s">
        <v>119</v>
      </c>
      <c r="J54" s="52" t="s">
        <v>120</v>
      </c>
      <c r="K54" s="52" t="s">
        <v>118</v>
      </c>
      <c r="L54" s="52" t="s">
        <v>112</v>
      </c>
      <c r="M54" s="52" t="s">
        <v>121</v>
      </c>
      <c r="N54" s="52"/>
      <c r="O54" s="52"/>
      <c r="P54" s="52" t="s">
        <v>255</v>
      </c>
      <c r="Q54" s="52" t="s">
        <v>253</v>
      </c>
      <c r="R54" s="52" t="s">
        <v>253</v>
      </c>
      <c r="S54" s="52" t="s">
        <v>252</v>
      </c>
      <c r="T54" s="52" t="s">
        <v>256</v>
      </c>
      <c r="U54" s="52" t="s">
        <v>254</v>
      </c>
      <c r="V54" s="52"/>
    </row>
    <row r="58" spans="1:22">
      <c r="B58" s="54" t="s">
        <v>113</v>
      </c>
      <c r="C58" s="54" t="s">
        <v>114</v>
      </c>
      <c r="D58" s="54" t="s">
        <v>115</v>
      </c>
      <c r="O58" s="54" t="s">
        <v>113</v>
      </c>
      <c r="P58" s="54" t="s">
        <v>114</v>
      </c>
      <c r="Q58" s="54" t="s">
        <v>115</v>
      </c>
    </row>
    <row r="59" spans="1:22">
      <c r="B59" s="20" t="s">
        <v>111</v>
      </c>
      <c r="C59" s="21">
        <f>AVERAGE(B2:D51)</f>
        <v>0.79333333333333333</v>
      </c>
      <c r="D59" s="21">
        <f>STDEV(B2:D51)</f>
        <v>1.1486593683590518</v>
      </c>
      <c r="O59" s="20" t="s">
        <v>255</v>
      </c>
      <c r="P59" s="21">
        <f>AVERAGE(P2:P26)</f>
        <v>1.44</v>
      </c>
      <c r="Q59" s="21">
        <f>STDEV(P2:P26)</f>
        <v>0.76811457478686074</v>
      </c>
    </row>
    <row r="60" spans="1:22">
      <c r="B60" s="20" t="s">
        <v>116</v>
      </c>
      <c r="C60" s="21">
        <f>AVERAGE(E2:E51,L2:L51)</f>
        <v>0.99</v>
      </c>
      <c r="D60" s="21">
        <f>STDEV(E2:E51,L2:L51)</f>
        <v>1.2101840581272976</v>
      </c>
      <c r="O60" s="20" t="s">
        <v>253</v>
      </c>
      <c r="P60" s="21">
        <f>AVERAGE(Q2:R26)</f>
        <v>1.24</v>
      </c>
      <c r="Q60" s="21">
        <f>STDEV(Q2:R26)</f>
        <v>0.8221425468536091</v>
      </c>
    </row>
    <row r="61" spans="1:22">
      <c r="B61" s="20" t="s">
        <v>117</v>
      </c>
      <c r="C61" s="21">
        <f>AVERAGE(F2:F51)</f>
        <v>1.04</v>
      </c>
      <c r="D61" s="21">
        <f>STDEV(F2:F51)</f>
        <v>1.1945454263066784</v>
      </c>
      <c r="O61" s="20" t="s">
        <v>252</v>
      </c>
      <c r="P61" s="21">
        <f>AVERAGE(S2:S26)</f>
        <v>1.44</v>
      </c>
      <c r="Q61" s="21">
        <f>STDEV(S2:S26)</f>
        <v>0.76811457478686074</v>
      </c>
    </row>
    <row r="62" spans="1:22">
      <c r="B62" s="20" t="s">
        <v>118</v>
      </c>
      <c r="C62" s="21">
        <f>AVERAGE(G2:G51:K2:K51)</f>
        <v>1</v>
      </c>
      <c r="D62" s="21">
        <f>STDEV(G2:G51:K2:K51)</f>
        <v>1.2321007625826008</v>
      </c>
      <c r="O62" s="23" t="s">
        <v>256</v>
      </c>
      <c r="P62" s="21">
        <f>AVERAGE(T2:T26)</f>
        <v>1.4</v>
      </c>
      <c r="Q62" s="21">
        <f>STDEV(T2:T26)</f>
        <v>0.6454972243679028</v>
      </c>
    </row>
    <row r="63" spans="1:22">
      <c r="B63" s="20" t="s">
        <v>119</v>
      </c>
      <c r="C63" s="21">
        <f>AVERAGE(H2:I51)</f>
        <v>1.03</v>
      </c>
      <c r="D63" s="21">
        <f>STDEV(H2:I51)</f>
        <v>1.1411052590016453</v>
      </c>
      <c r="O63" s="20" t="s">
        <v>254</v>
      </c>
      <c r="P63" s="20">
        <f>AVERAGE(U2:U26)</f>
        <v>1.32</v>
      </c>
      <c r="Q63" s="21">
        <f>STDEV(U2:U26)</f>
        <v>0.80208062770106425</v>
      </c>
    </row>
    <row r="64" spans="1:22">
      <c r="B64" s="20" t="s">
        <v>120</v>
      </c>
      <c r="C64" s="20">
        <f>AVERAGE(J2:J51)</f>
        <v>1.42</v>
      </c>
      <c r="D64" s="21">
        <f>STDEV(J2:J51)</f>
        <v>0.81039169163901914</v>
      </c>
    </row>
    <row r="65" spans="2:4">
      <c r="B65" s="20" t="s">
        <v>121</v>
      </c>
      <c r="C65" s="22">
        <f>AVERAGE(M2:M51)</f>
        <v>1.76</v>
      </c>
      <c r="D65" s="21">
        <f>STDEV(M2:M51)</f>
        <v>0.59109031044506299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64"/>
  <sheetViews>
    <sheetView topLeftCell="A42" workbookViewId="0">
      <selection activeCell="P63" sqref="P63"/>
    </sheetView>
  </sheetViews>
  <sheetFormatPr defaultRowHeight="15"/>
  <cols>
    <col min="2" max="2" width="16.28515625" customWidth="1"/>
    <col min="3" max="3" width="14.85546875" customWidth="1"/>
    <col min="4" max="4" width="17.5703125" customWidth="1"/>
    <col min="5" max="5" width="16.42578125" customWidth="1"/>
    <col min="6" max="6" width="18.140625" customWidth="1"/>
    <col min="7" max="8" width="18" customWidth="1"/>
    <col min="9" max="9" width="15.5703125" customWidth="1"/>
    <col min="10" max="10" width="16.5703125" customWidth="1"/>
    <col min="11" max="11" width="17.140625" customWidth="1"/>
    <col min="12" max="12" width="16.85546875" customWidth="1"/>
    <col min="13" max="13" width="18.5703125" customWidth="1"/>
    <col min="14" max="14" width="30" customWidth="1"/>
    <col min="15" max="15" width="20.140625" customWidth="1"/>
    <col min="16" max="16" width="16" customWidth="1"/>
    <col min="17" max="17" width="19.7109375" customWidth="1"/>
    <col min="18" max="18" width="16.28515625" customWidth="1"/>
    <col min="19" max="19" width="16" customWidth="1"/>
    <col min="20" max="20" width="14" customWidth="1"/>
    <col min="21" max="21" width="14.85546875" customWidth="1"/>
    <col min="22" max="22" width="22.42578125" customWidth="1"/>
  </cols>
  <sheetData>
    <row r="1" spans="1:24" s="14" customFormat="1">
      <c r="A1" s="14" t="s">
        <v>61</v>
      </c>
      <c r="B1" s="14" t="s">
        <v>62</v>
      </c>
      <c r="C1" s="14" t="s">
        <v>63</v>
      </c>
      <c r="D1" s="14" t="s">
        <v>64</v>
      </c>
      <c r="E1" s="14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4" t="s">
        <v>76</v>
      </c>
      <c r="Q1" s="14" t="s">
        <v>77</v>
      </c>
      <c r="R1" s="14" t="s">
        <v>78</v>
      </c>
      <c r="S1" s="14" t="s">
        <v>79</v>
      </c>
      <c r="T1" s="14" t="s">
        <v>80</v>
      </c>
      <c r="U1" s="14" t="s">
        <v>81</v>
      </c>
      <c r="V1" s="15" t="s">
        <v>82</v>
      </c>
      <c r="W1" s="16"/>
      <c r="X1" s="16"/>
    </row>
    <row r="2" spans="1:24" s="27" customFormat="1">
      <c r="A2" s="24" t="s">
        <v>140</v>
      </c>
      <c r="B2" s="25">
        <v>2</v>
      </c>
      <c r="C2" s="25">
        <v>2</v>
      </c>
      <c r="D2" s="25">
        <v>2</v>
      </c>
      <c r="E2" s="25">
        <v>2</v>
      </c>
      <c r="F2" s="25">
        <v>1</v>
      </c>
      <c r="G2" s="25">
        <v>1</v>
      </c>
      <c r="H2" s="25">
        <v>2</v>
      </c>
      <c r="I2" s="25">
        <v>1</v>
      </c>
      <c r="J2" s="25">
        <v>2</v>
      </c>
      <c r="K2" s="25">
        <v>2</v>
      </c>
      <c r="L2" s="25">
        <v>2</v>
      </c>
      <c r="M2" s="25">
        <v>2</v>
      </c>
      <c r="N2" s="25" t="s">
        <v>91</v>
      </c>
      <c r="O2" s="26" t="s">
        <v>84</v>
      </c>
      <c r="P2" s="25">
        <v>2</v>
      </c>
      <c r="Q2" s="25">
        <v>2</v>
      </c>
      <c r="R2" s="25">
        <v>1</v>
      </c>
      <c r="S2" s="25">
        <v>2</v>
      </c>
      <c r="T2" s="25">
        <v>1</v>
      </c>
      <c r="U2" s="25">
        <v>2</v>
      </c>
      <c r="V2" s="25" t="s">
        <v>91</v>
      </c>
    </row>
    <row r="3" spans="1:24" s="13" customFormat="1">
      <c r="A3" s="17" t="s">
        <v>142</v>
      </c>
      <c r="B3" s="12">
        <v>-1</v>
      </c>
      <c r="C3" s="12">
        <v>-1</v>
      </c>
      <c r="D3" s="12">
        <v>0</v>
      </c>
      <c r="E3" s="12">
        <v>0</v>
      </c>
      <c r="F3" s="12">
        <v>1</v>
      </c>
      <c r="G3" s="12">
        <v>-1</v>
      </c>
      <c r="H3" s="12">
        <v>2</v>
      </c>
      <c r="I3" s="12">
        <v>0</v>
      </c>
      <c r="J3" s="12">
        <v>1</v>
      </c>
      <c r="K3" s="12">
        <v>-1</v>
      </c>
      <c r="L3" s="12">
        <v>0</v>
      </c>
      <c r="M3" s="12">
        <v>2</v>
      </c>
      <c r="N3" s="12" t="s">
        <v>201</v>
      </c>
      <c r="O3" s="18" t="s">
        <v>84</v>
      </c>
      <c r="P3" s="12">
        <v>1</v>
      </c>
      <c r="Q3" s="12">
        <v>2</v>
      </c>
      <c r="R3" s="12">
        <v>1</v>
      </c>
      <c r="S3" s="12">
        <v>2</v>
      </c>
      <c r="T3" s="12">
        <v>2</v>
      </c>
      <c r="U3" s="12">
        <v>2</v>
      </c>
      <c r="V3" s="12" t="s">
        <v>202</v>
      </c>
    </row>
    <row r="4" spans="1:24" s="13" customFormat="1">
      <c r="A4" s="17" t="s">
        <v>143</v>
      </c>
      <c r="B4" s="12">
        <v>0</v>
      </c>
      <c r="C4" s="12">
        <v>2</v>
      </c>
      <c r="D4" s="12">
        <v>1</v>
      </c>
      <c r="E4" s="12">
        <v>2</v>
      </c>
      <c r="F4" s="12">
        <v>2</v>
      </c>
      <c r="G4" s="12">
        <v>0</v>
      </c>
      <c r="H4" s="12">
        <v>2</v>
      </c>
      <c r="I4" s="12">
        <v>1</v>
      </c>
      <c r="J4" s="12">
        <v>2</v>
      </c>
      <c r="K4" s="12">
        <v>2</v>
      </c>
      <c r="L4" s="12">
        <v>1</v>
      </c>
      <c r="M4" s="12">
        <v>2</v>
      </c>
      <c r="N4" s="12" t="s">
        <v>91</v>
      </c>
      <c r="O4" s="18" t="s">
        <v>84</v>
      </c>
      <c r="P4" s="12">
        <v>1</v>
      </c>
      <c r="Q4" s="12">
        <v>2</v>
      </c>
      <c r="R4" s="12">
        <v>0</v>
      </c>
      <c r="S4" s="12">
        <v>1</v>
      </c>
      <c r="T4" s="12">
        <v>2</v>
      </c>
      <c r="U4" s="12">
        <v>1</v>
      </c>
      <c r="V4" s="12" t="s">
        <v>91</v>
      </c>
    </row>
    <row r="5" spans="1:24" s="13" customFormat="1">
      <c r="A5" s="17" t="s">
        <v>144</v>
      </c>
      <c r="B5" s="12">
        <v>0</v>
      </c>
      <c r="C5" s="12">
        <v>1</v>
      </c>
      <c r="D5" s="12">
        <v>2</v>
      </c>
      <c r="E5" s="12">
        <v>1</v>
      </c>
      <c r="F5" s="12">
        <v>-2</v>
      </c>
      <c r="G5" s="12">
        <v>2</v>
      </c>
      <c r="H5" s="12">
        <v>2</v>
      </c>
      <c r="I5" s="12">
        <v>0</v>
      </c>
      <c r="J5" s="12">
        <v>1</v>
      </c>
      <c r="K5" s="12">
        <v>-2</v>
      </c>
      <c r="L5" s="12">
        <v>0</v>
      </c>
      <c r="M5" s="12">
        <v>2</v>
      </c>
      <c r="N5" s="12" t="s">
        <v>203</v>
      </c>
      <c r="O5" s="18" t="s">
        <v>84</v>
      </c>
      <c r="P5" s="12">
        <v>2</v>
      </c>
      <c r="Q5" s="12">
        <v>2</v>
      </c>
      <c r="R5" s="12">
        <v>2</v>
      </c>
      <c r="S5" s="12">
        <v>1</v>
      </c>
      <c r="T5" s="12">
        <v>2</v>
      </c>
      <c r="U5" s="12">
        <v>1</v>
      </c>
      <c r="V5" s="12" t="s">
        <v>91</v>
      </c>
    </row>
    <row r="6" spans="1:24" s="13" customFormat="1">
      <c r="A6" s="17" t="s">
        <v>145</v>
      </c>
      <c r="B6" s="12">
        <v>2</v>
      </c>
      <c r="C6" s="12">
        <v>2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2</v>
      </c>
      <c r="M6" s="12">
        <v>2</v>
      </c>
      <c r="N6" s="12" t="s">
        <v>91</v>
      </c>
      <c r="O6" s="18" t="s">
        <v>84</v>
      </c>
      <c r="P6" s="12">
        <v>2</v>
      </c>
      <c r="Q6" s="12">
        <v>2</v>
      </c>
      <c r="R6" s="12">
        <v>2</v>
      </c>
      <c r="S6" s="12">
        <v>2</v>
      </c>
      <c r="T6" s="12">
        <v>2</v>
      </c>
      <c r="U6" s="12">
        <v>2</v>
      </c>
      <c r="V6" s="12" t="s">
        <v>91</v>
      </c>
    </row>
    <row r="7" spans="1:24" s="13" customFormat="1">
      <c r="A7" s="17" t="s">
        <v>146</v>
      </c>
      <c r="B7" s="12">
        <v>2</v>
      </c>
      <c r="C7" s="12">
        <v>2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2</v>
      </c>
      <c r="J7" s="12">
        <v>2</v>
      </c>
      <c r="K7" s="12">
        <v>2</v>
      </c>
      <c r="L7" s="12">
        <v>2</v>
      </c>
      <c r="M7" s="12">
        <v>2</v>
      </c>
      <c r="N7" s="12" t="s">
        <v>91</v>
      </c>
      <c r="O7" s="18" t="s">
        <v>84</v>
      </c>
      <c r="P7" s="12">
        <v>2</v>
      </c>
      <c r="Q7" s="12">
        <v>2</v>
      </c>
      <c r="R7" s="12">
        <v>2</v>
      </c>
      <c r="S7" s="12">
        <v>2</v>
      </c>
      <c r="T7" s="12">
        <v>2</v>
      </c>
      <c r="U7" s="12">
        <v>2</v>
      </c>
      <c r="V7" s="12" t="s">
        <v>204</v>
      </c>
    </row>
    <row r="8" spans="1:24" s="13" customFormat="1">
      <c r="A8" s="17" t="s">
        <v>147</v>
      </c>
      <c r="B8" s="12">
        <v>2</v>
      </c>
      <c r="C8" s="12">
        <v>2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2</v>
      </c>
      <c r="N8" s="12" t="s">
        <v>91</v>
      </c>
      <c r="O8" s="18" t="s">
        <v>84</v>
      </c>
      <c r="P8" s="12">
        <v>2</v>
      </c>
      <c r="Q8" s="12">
        <v>2</v>
      </c>
      <c r="R8" s="12">
        <v>2</v>
      </c>
      <c r="S8" s="12">
        <v>2</v>
      </c>
      <c r="T8" s="12">
        <v>2</v>
      </c>
      <c r="U8" s="12">
        <v>2</v>
      </c>
      <c r="V8" s="12" t="s">
        <v>91</v>
      </c>
    </row>
    <row r="9" spans="1:24" s="13" customFormat="1">
      <c r="A9" s="17" t="s">
        <v>148</v>
      </c>
      <c r="B9" s="12">
        <v>2</v>
      </c>
      <c r="C9" s="12">
        <v>2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2" t="s">
        <v>91</v>
      </c>
      <c r="O9" s="18" t="s">
        <v>84</v>
      </c>
      <c r="P9" s="12">
        <v>2</v>
      </c>
      <c r="Q9" s="12">
        <v>2</v>
      </c>
      <c r="R9" s="12">
        <v>2</v>
      </c>
      <c r="S9" s="12">
        <v>2</v>
      </c>
      <c r="T9" s="12">
        <v>2</v>
      </c>
      <c r="U9" s="12">
        <v>2</v>
      </c>
      <c r="V9" s="12" t="s">
        <v>91</v>
      </c>
    </row>
    <row r="10" spans="1:24" s="13" customFormat="1">
      <c r="A10" s="17" t="s">
        <v>149</v>
      </c>
      <c r="B10" s="12">
        <v>1</v>
      </c>
      <c r="C10" s="12">
        <v>0</v>
      </c>
      <c r="D10" s="12">
        <v>2</v>
      </c>
      <c r="E10" s="12">
        <v>2</v>
      </c>
      <c r="F10" s="12">
        <v>1</v>
      </c>
      <c r="G10" s="12">
        <v>-2</v>
      </c>
      <c r="H10" s="12">
        <v>0</v>
      </c>
      <c r="I10" s="12">
        <v>1</v>
      </c>
      <c r="J10" s="12">
        <v>1</v>
      </c>
      <c r="K10" s="12">
        <v>2</v>
      </c>
      <c r="L10" s="12">
        <v>2</v>
      </c>
      <c r="M10" s="12">
        <v>1</v>
      </c>
      <c r="N10" s="12" t="s">
        <v>205</v>
      </c>
      <c r="O10" s="18" t="s">
        <v>84</v>
      </c>
      <c r="P10" s="12">
        <v>2</v>
      </c>
      <c r="Q10" s="12">
        <v>0</v>
      </c>
      <c r="R10" s="12">
        <v>1</v>
      </c>
      <c r="S10" s="12">
        <v>1</v>
      </c>
      <c r="T10" s="12">
        <v>0</v>
      </c>
      <c r="U10" s="12">
        <v>2</v>
      </c>
      <c r="V10" s="12" t="s">
        <v>91</v>
      </c>
    </row>
    <row r="11" spans="1:24" s="13" customFormat="1">
      <c r="A11" s="17" t="s">
        <v>150</v>
      </c>
      <c r="B11" s="12">
        <v>1</v>
      </c>
      <c r="C11" s="12">
        <v>2</v>
      </c>
      <c r="D11" s="12">
        <v>2</v>
      </c>
      <c r="E11" s="12">
        <v>2</v>
      </c>
      <c r="F11" s="12">
        <v>2</v>
      </c>
      <c r="G11" s="12">
        <v>1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  <c r="M11" s="12">
        <v>1</v>
      </c>
      <c r="N11" s="12" t="s">
        <v>91</v>
      </c>
      <c r="O11" s="18" t="s">
        <v>84</v>
      </c>
      <c r="P11" s="12">
        <v>2</v>
      </c>
      <c r="Q11" s="12">
        <v>2</v>
      </c>
      <c r="R11" s="12">
        <v>2</v>
      </c>
      <c r="S11" s="12">
        <v>2</v>
      </c>
      <c r="T11" s="12">
        <v>1</v>
      </c>
      <c r="U11" s="12">
        <v>2</v>
      </c>
      <c r="V11" s="12" t="s">
        <v>91</v>
      </c>
    </row>
    <row r="12" spans="1:24" s="13" customFormat="1">
      <c r="A12" s="17" t="s">
        <v>151</v>
      </c>
      <c r="B12" s="12">
        <v>2</v>
      </c>
      <c r="C12" s="12">
        <v>2</v>
      </c>
      <c r="D12" s="12">
        <v>2</v>
      </c>
      <c r="E12" s="12">
        <v>2</v>
      </c>
      <c r="F12" s="12">
        <v>2</v>
      </c>
      <c r="G12" s="12">
        <v>1</v>
      </c>
      <c r="H12" s="12">
        <v>2</v>
      </c>
      <c r="I12" s="12">
        <v>2</v>
      </c>
      <c r="J12" s="12">
        <v>2</v>
      </c>
      <c r="K12" s="12">
        <v>2</v>
      </c>
      <c r="L12" s="12">
        <v>2</v>
      </c>
      <c r="M12" s="12">
        <v>2</v>
      </c>
      <c r="N12" s="12" t="s">
        <v>91</v>
      </c>
      <c r="O12" s="18" t="s">
        <v>84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 t="s">
        <v>91</v>
      </c>
    </row>
    <row r="13" spans="1:24" s="13" customFormat="1">
      <c r="A13" s="17" t="s">
        <v>152</v>
      </c>
      <c r="B13" s="12">
        <v>2</v>
      </c>
      <c r="C13" s="12">
        <v>2</v>
      </c>
      <c r="D13" s="12">
        <v>2</v>
      </c>
      <c r="E13" s="12">
        <v>2</v>
      </c>
      <c r="F13" s="12">
        <v>2</v>
      </c>
      <c r="G13" s="12">
        <v>2</v>
      </c>
      <c r="H13" s="12">
        <v>2</v>
      </c>
      <c r="I13" s="12">
        <v>2</v>
      </c>
      <c r="J13" s="12">
        <v>2</v>
      </c>
      <c r="K13" s="12">
        <v>2</v>
      </c>
      <c r="L13" s="12">
        <v>2</v>
      </c>
      <c r="M13" s="12">
        <v>2</v>
      </c>
      <c r="N13" s="12" t="s">
        <v>91</v>
      </c>
      <c r="O13" s="18" t="s">
        <v>84</v>
      </c>
      <c r="P13" s="12">
        <v>2</v>
      </c>
      <c r="Q13" s="12">
        <v>2</v>
      </c>
      <c r="R13" s="12">
        <v>2</v>
      </c>
      <c r="S13" s="12">
        <v>2</v>
      </c>
      <c r="T13" s="12">
        <v>2</v>
      </c>
      <c r="U13" s="12">
        <v>2</v>
      </c>
      <c r="V13" s="12" t="s">
        <v>206</v>
      </c>
    </row>
    <row r="14" spans="1:24" s="13" customFormat="1">
      <c r="A14" s="17" t="s">
        <v>153</v>
      </c>
      <c r="B14" s="12">
        <v>1</v>
      </c>
      <c r="C14" s="12">
        <v>2</v>
      </c>
      <c r="D14" s="12">
        <v>0</v>
      </c>
      <c r="E14" s="12">
        <v>1</v>
      </c>
      <c r="F14" s="12">
        <v>2</v>
      </c>
      <c r="G14" s="12">
        <v>2</v>
      </c>
      <c r="H14" s="12">
        <v>2</v>
      </c>
      <c r="I14" s="12">
        <v>2</v>
      </c>
      <c r="J14" s="12">
        <v>2</v>
      </c>
      <c r="K14" s="12">
        <v>0</v>
      </c>
      <c r="L14" s="12">
        <v>1</v>
      </c>
      <c r="M14" s="12">
        <v>2</v>
      </c>
      <c r="N14" s="12" t="s">
        <v>91</v>
      </c>
      <c r="O14" s="18" t="s">
        <v>84</v>
      </c>
      <c r="P14" s="12">
        <v>2</v>
      </c>
      <c r="Q14" s="12">
        <v>2</v>
      </c>
      <c r="R14" s="12">
        <v>2</v>
      </c>
      <c r="S14" s="12">
        <v>2</v>
      </c>
      <c r="T14" s="12">
        <v>2</v>
      </c>
      <c r="U14" s="12">
        <v>2</v>
      </c>
      <c r="V14" s="12" t="s">
        <v>207</v>
      </c>
    </row>
    <row r="15" spans="1:24" s="13" customFormat="1">
      <c r="A15" s="17" t="s">
        <v>154</v>
      </c>
      <c r="B15" s="12">
        <v>-3</v>
      </c>
      <c r="C15" s="12">
        <v>-3</v>
      </c>
      <c r="D15" s="12">
        <v>-3</v>
      </c>
      <c r="E15" s="12">
        <v>0</v>
      </c>
      <c r="F15" s="12">
        <v>1</v>
      </c>
      <c r="G15" s="12">
        <v>-3</v>
      </c>
      <c r="H15" s="12">
        <v>-3</v>
      </c>
      <c r="I15" s="12">
        <v>-3</v>
      </c>
      <c r="J15" s="12">
        <v>-3</v>
      </c>
      <c r="K15" s="12">
        <v>-3</v>
      </c>
      <c r="L15" s="12">
        <v>-3</v>
      </c>
      <c r="M15" s="12">
        <v>-3</v>
      </c>
      <c r="N15" s="12" t="s">
        <v>192</v>
      </c>
      <c r="O15" s="18" t="s">
        <v>84</v>
      </c>
      <c r="P15" s="12">
        <v>-1</v>
      </c>
      <c r="Q15" s="12">
        <v>1</v>
      </c>
      <c r="R15" s="12">
        <v>2</v>
      </c>
      <c r="S15" s="12">
        <v>2</v>
      </c>
      <c r="T15" s="12">
        <v>2</v>
      </c>
      <c r="U15" s="12">
        <v>2</v>
      </c>
      <c r="V15" s="12" t="s">
        <v>208</v>
      </c>
    </row>
    <row r="16" spans="1:24" s="13" customFormat="1">
      <c r="A16" s="17" t="s">
        <v>155</v>
      </c>
      <c r="B16" s="12">
        <v>0</v>
      </c>
      <c r="C16" s="12">
        <v>1</v>
      </c>
      <c r="D16" s="12">
        <v>-1</v>
      </c>
      <c r="E16" s="12">
        <v>0</v>
      </c>
      <c r="F16" s="12">
        <v>2</v>
      </c>
      <c r="G16" s="12">
        <v>2</v>
      </c>
      <c r="H16" s="12">
        <v>0</v>
      </c>
      <c r="I16" s="12">
        <v>0</v>
      </c>
      <c r="J16" s="12">
        <v>-1</v>
      </c>
      <c r="K16" s="12">
        <v>1</v>
      </c>
      <c r="L16" s="12">
        <v>2</v>
      </c>
      <c r="M16" s="12">
        <v>1</v>
      </c>
      <c r="N16" s="12" t="s">
        <v>91</v>
      </c>
      <c r="O16" s="18" t="s">
        <v>84</v>
      </c>
      <c r="P16" s="12">
        <v>2</v>
      </c>
      <c r="Q16" s="12">
        <v>2</v>
      </c>
      <c r="R16" s="12">
        <v>1</v>
      </c>
      <c r="S16" s="12">
        <v>2</v>
      </c>
      <c r="T16" s="12">
        <v>2</v>
      </c>
      <c r="U16" s="12">
        <v>2</v>
      </c>
      <c r="V16" s="12" t="s">
        <v>91</v>
      </c>
    </row>
    <row r="17" spans="1:22" s="13" customFormat="1">
      <c r="A17" s="17" t="s">
        <v>156</v>
      </c>
      <c r="B17" s="12">
        <v>1</v>
      </c>
      <c r="C17" s="12">
        <v>2</v>
      </c>
      <c r="D17" s="12">
        <v>2</v>
      </c>
      <c r="E17" s="12">
        <v>2</v>
      </c>
      <c r="F17" s="12">
        <v>1</v>
      </c>
      <c r="G17" s="12">
        <v>2</v>
      </c>
      <c r="H17" s="12">
        <v>1</v>
      </c>
      <c r="I17" s="12">
        <v>2</v>
      </c>
      <c r="J17" s="12">
        <v>2</v>
      </c>
      <c r="K17" s="12">
        <v>2</v>
      </c>
      <c r="L17" s="12">
        <v>2</v>
      </c>
      <c r="M17" s="12">
        <v>2</v>
      </c>
      <c r="N17" s="12" t="s">
        <v>91</v>
      </c>
      <c r="O17" s="18" t="s">
        <v>84</v>
      </c>
      <c r="P17" s="12">
        <v>1</v>
      </c>
      <c r="Q17" s="12">
        <v>2</v>
      </c>
      <c r="R17" s="12">
        <v>2</v>
      </c>
      <c r="S17" s="12">
        <v>2</v>
      </c>
      <c r="T17" s="12">
        <v>2</v>
      </c>
      <c r="U17" s="12">
        <v>2</v>
      </c>
      <c r="V17" s="12" t="s">
        <v>91</v>
      </c>
    </row>
    <row r="18" spans="1:22" s="13" customFormat="1">
      <c r="A18" s="17" t="s">
        <v>157</v>
      </c>
      <c r="B18" s="12">
        <v>2</v>
      </c>
      <c r="C18" s="12">
        <v>2</v>
      </c>
      <c r="D18" s="12">
        <v>2</v>
      </c>
      <c r="E18" s="12">
        <v>-2</v>
      </c>
      <c r="F18" s="12">
        <v>2</v>
      </c>
      <c r="G18" s="12">
        <v>-2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 s="12">
        <v>2</v>
      </c>
      <c r="N18" s="12" t="s">
        <v>91</v>
      </c>
      <c r="O18" s="18" t="s">
        <v>84</v>
      </c>
      <c r="P18" s="12">
        <v>2</v>
      </c>
      <c r="Q18" s="12">
        <v>2</v>
      </c>
      <c r="R18" s="12">
        <v>2</v>
      </c>
      <c r="S18" s="12">
        <v>-2</v>
      </c>
      <c r="T18" s="12">
        <v>2</v>
      </c>
      <c r="U18" s="12">
        <v>2</v>
      </c>
      <c r="V18" s="12" t="s">
        <v>91</v>
      </c>
    </row>
    <row r="19" spans="1:22" s="13" customFormat="1">
      <c r="A19" s="17" t="s">
        <v>158</v>
      </c>
      <c r="B19" s="12">
        <v>2</v>
      </c>
      <c r="C19" s="12">
        <v>2</v>
      </c>
      <c r="D19" s="12">
        <v>2</v>
      </c>
      <c r="E19" s="12">
        <v>2</v>
      </c>
      <c r="F19" s="12">
        <v>2</v>
      </c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2">
        <v>2</v>
      </c>
      <c r="M19" s="12">
        <v>2</v>
      </c>
      <c r="N19" s="12" t="s">
        <v>91</v>
      </c>
      <c r="O19" s="18" t="s">
        <v>84</v>
      </c>
      <c r="P19" s="12">
        <v>2</v>
      </c>
      <c r="Q19" s="12">
        <v>2</v>
      </c>
      <c r="R19" s="12">
        <v>2</v>
      </c>
      <c r="S19" s="12">
        <v>2</v>
      </c>
      <c r="T19" s="12">
        <v>2</v>
      </c>
      <c r="U19" s="12">
        <v>2</v>
      </c>
      <c r="V19" s="12" t="s">
        <v>91</v>
      </c>
    </row>
    <row r="20" spans="1:22" s="13" customFormat="1">
      <c r="A20" s="17" t="s">
        <v>159</v>
      </c>
      <c r="B20" s="12">
        <v>-3</v>
      </c>
      <c r="C20" s="12">
        <v>-3</v>
      </c>
      <c r="D20" s="12">
        <v>-3</v>
      </c>
      <c r="E20" s="12">
        <v>-3</v>
      </c>
      <c r="F20" s="12">
        <v>-3</v>
      </c>
      <c r="G20" s="12">
        <v>-3</v>
      </c>
      <c r="H20" s="12">
        <v>-3</v>
      </c>
      <c r="I20" s="12">
        <v>-3</v>
      </c>
      <c r="J20" s="12">
        <v>-3</v>
      </c>
      <c r="K20" s="12">
        <v>-3</v>
      </c>
      <c r="L20" s="12">
        <v>-3</v>
      </c>
      <c r="M20" s="12">
        <v>-3</v>
      </c>
      <c r="N20" s="12" t="s">
        <v>209</v>
      </c>
      <c r="O20" s="18" t="s">
        <v>84</v>
      </c>
      <c r="P20" s="12">
        <v>-1</v>
      </c>
      <c r="Q20" s="12">
        <v>2</v>
      </c>
      <c r="R20" s="12">
        <v>2</v>
      </c>
      <c r="S20" s="12">
        <v>2</v>
      </c>
      <c r="T20" s="12">
        <v>2</v>
      </c>
      <c r="U20" s="12">
        <v>1</v>
      </c>
      <c r="V20" s="12" t="s">
        <v>210</v>
      </c>
    </row>
    <row r="21" spans="1:22" s="13" customFormat="1">
      <c r="A21" s="17" t="s">
        <v>160</v>
      </c>
      <c r="B21" s="12">
        <v>2</v>
      </c>
      <c r="C21" s="12">
        <v>2</v>
      </c>
      <c r="D21" s="12">
        <v>1</v>
      </c>
      <c r="E21" s="12">
        <v>2</v>
      </c>
      <c r="F21" s="12">
        <v>1</v>
      </c>
      <c r="G21" s="12">
        <v>2</v>
      </c>
      <c r="H21" s="12">
        <v>2</v>
      </c>
      <c r="I21" s="12">
        <v>2</v>
      </c>
      <c r="J21" s="12">
        <v>2</v>
      </c>
      <c r="K21" s="12">
        <v>1</v>
      </c>
      <c r="L21" s="12">
        <v>2</v>
      </c>
      <c r="M21" s="12">
        <v>2</v>
      </c>
      <c r="N21" s="12" t="s">
        <v>91</v>
      </c>
      <c r="O21" s="12" t="s">
        <v>84</v>
      </c>
      <c r="P21" s="12">
        <v>1</v>
      </c>
      <c r="Q21" s="12">
        <v>1</v>
      </c>
      <c r="R21" s="12">
        <v>2</v>
      </c>
      <c r="S21" s="12">
        <v>2</v>
      </c>
      <c r="T21" s="12">
        <v>1</v>
      </c>
      <c r="U21" s="12">
        <v>1</v>
      </c>
      <c r="V21" s="12" t="s">
        <v>91</v>
      </c>
    </row>
    <row r="22" spans="1:22" s="13" customFormat="1">
      <c r="A22" s="17" t="s">
        <v>161</v>
      </c>
      <c r="B22" s="12">
        <v>0</v>
      </c>
      <c r="C22" s="12">
        <v>-1</v>
      </c>
      <c r="D22" s="12">
        <v>2</v>
      </c>
      <c r="E22" s="12">
        <v>1</v>
      </c>
      <c r="F22" s="12">
        <v>1</v>
      </c>
      <c r="G22" s="12">
        <v>0</v>
      </c>
      <c r="H22" s="12">
        <v>1</v>
      </c>
      <c r="I22" s="12">
        <v>-1</v>
      </c>
      <c r="J22" s="12">
        <v>1</v>
      </c>
      <c r="K22" s="12">
        <v>2</v>
      </c>
      <c r="L22" s="12">
        <v>2</v>
      </c>
      <c r="M22" s="12">
        <v>2</v>
      </c>
      <c r="N22" s="12" t="s">
        <v>211</v>
      </c>
      <c r="O22" s="12" t="s">
        <v>84</v>
      </c>
      <c r="P22" s="12">
        <v>1</v>
      </c>
      <c r="Q22" s="12">
        <v>2</v>
      </c>
      <c r="R22" s="12">
        <v>1</v>
      </c>
      <c r="S22" s="12">
        <v>0</v>
      </c>
      <c r="T22" s="12">
        <v>1</v>
      </c>
      <c r="U22" s="12">
        <v>2</v>
      </c>
      <c r="V22" s="12" t="s">
        <v>97</v>
      </c>
    </row>
    <row r="23" spans="1:22" s="13" customFormat="1">
      <c r="A23" s="17" t="s">
        <v>162</v>
      </c>
      <c r="B23" s="12">
        <v>-1</v>
      </c>
      <c r="C23" s="12">
        <v>2</v>
      </c>
      <c r="D23" s="12">
        <v>2</v>
      </c>
      <c r="E23" s="12">
        <v>-2</v>
      </c>
      <c r="F23" s="12">
        <v>2</v>
      </c>
      <c r="G23" s="12">
        <v>0</v>
      </c>
      <c r="H23" s="12">
        <v>1</v>
      </c>
      <c r="I23" s="12">
        <v>2</v>
      </c>
      <c r="J23" s="12">
        <v>2</v>
      </c>
      <c r="K23" s="12">
        <v>2</v>
      </c>
      <c r="L23" s="12">
        <v>2</v>
      </c>
      <c r="M23" s="12">
        <v>1</v>
      </c>
      <c r="N23" s="12" t="s">
        <v>212</v>
      </c>
      <c r="O23" s="12" t="s">
        <v>84</v>
      </c>
      <c r="P23" s="12">
        <v>1</v>
      </c>
      <c r="Q23" s="12">
        <v>1</v>
      </c>
      <c r="R23" s="12">
        <v>2</v>
      </c>
      <c r="S23" s="12">
        <v>2</v>
      </c>
      <c r="T23" s="12">
        <v>0</v>
      </c>
      <c r="U23" s="12">
        <v>1</v>
      </c>
      <c r="V23" s="12" t="s">
        <v>213</v>
      </c>
    </row>
    <row r="24" spans="1:22" s="13" customFormat="1">
      <c r="A24" s="12" t="s">
        <v>163</v>
      </c>
      <c r="B24" s="12">
        <v>0</v>
      </c>
      <c r="C24" s="12">
        <v>0</v>
      </c>
      <c r="D24" s="12">
        <v>1</v>
      </c>
      <c r="E24" s="12">
        <v>0</v>
      </c>
      <c r="F24" s="12">
        <v>1</v>
      </c>
      <c r="G24" s="12">
        <v>0</v>
      </c>
      <c r="H24" s="12">
        <v>0</v>
      </c>
      <c r="I24" s="12">
        <v>0</v>
      </c>
      <c r="J24" s="12">
        <v>2</v>
      </c>
      <c r="K24" s="12">
        <v>2</v>
      </c>
      <c r="L24" s="12">
        <v>2</v>
      </c>
      <c r="M24" s="12">
        <v>2</v>
      </c>
      <c r="N24" s="12" t="s">
        <v>194</v>
      </c>
      <c r="O24" s="12" t="s">
        <v>84</v>
      </c>
      <c r="P24" s="12">
        <v>2</v>
      </c>
      <c r="Q24" s="12">
        <v>2</v>
      </c>
      <c r="R24" s="12">
        <v>2</v>
      </c>
      <c r="S24" s="12">
        <v>1</v>
      </c>
      <c r="T24" s="12">
        <v>2</v>
      </c>
      <c r="U24" s="12">
        <v>2</v>
      </c>
      <c r="V24" s="12" t="s">
        <v>91</v>
      </c>
    </row>
    <row r="25" spans="1:22" s="13" customFormat="1">
      <c r="A25" s="12" t="s">
        <v>164</v>
      </c>
      <c r="B25" s="12">
        <v>-2</v>
      </c>
      <c r="C25" s="12">
        <v>-2</v>
      </c>
      <c r="D25" s="12">
        <v>-2</v>
      </c>
      <c r="E25" s="12">
        <v>-1</v>
      </c>
      <c r="F25" s="12">
        <v>-2</v>
      </c>
      <c r="G25" s="12">
        <v>0</v>
      </c>
      <c r="H25" s="12">
        <v>0</v>
      </c>
      <c r="I25" s="12">
        <v>-1</v>
      </c>
      <c r="J25" s="12">
        <v>-2</v>
      </c>
      <c r="K25" s="12">
        <v>-2</v>
      </c>
      <c r="L25" s="12">
        <v>-2</v>
      </c>
      <c r="M25" s="12">
        <v>-1</v>
      </c>
      <c r="N25" s="12" t="s">
        <v>214</v>
      </c>
      <c r="O25" s="12" t="s">
        <v>84</v>
      </c>
      <c r="P25" s="12">
        <v>-2</v>
      </c>
      <c r="Q25" s="12">
        <v>-2</v>
      </c>
      <c r="R25" s="12">
        <v>-2</v>
      </c>
      <c r="S25" s="12">
        <v>-1</v>
      </c>
      <c r="T25" s="12">
        <v>-2</v>
      </c>
      <c r="U25" s="12">
        <v>-2</v>
      </c>
      <c r="V25" s="12" t="s">
        <v>193</v>
      </c>
    </row>
    <row r="26" spans="1:22" s="13" customFormat="1">
      <c r="A26" s="12" t="s">
        <v>165</v>
      </c>
      <c r="B26" s="31">
        <v>0</v>
      </c>
      <c r="C26" s="31">
        <v>-2</v>
      </c>
      <c r="D26" s="31">
        <v>0</v>
      </c>
      <c r="E26" s="31">
        <v>0</v>
      </c>
      <c r="F26" s="12">
        <v>-2</v>
      </c>
      <c r="G26" s="12">
        <v>-2</v>
      </c>
      <c r="H26" s="12">
        <v>2</v>
      </c>
      <c r="I26" s="12">
        <v>2</v>
      </c>
      <c r="J26" s="12">
        <v>2</v>
      </c>
      <c r="K26" s="12">
        <v>2</v>
      </c>
      <c r="L26" s="12">
        <v>1</v>
      </c>
      <c r="M26" s="12">
        <v>0</v>
      </c>
      <c r="N26" s="12" t="s">
        <v>215</v>
      </c>
      <c r="O26" s="12" t="s">
        <v>84</v>
      </c>
      <c r="P26" s="12">
        <v>0</v>
      </c>
      <c r="Q26" s="12">
        <v>1</v>
      </c>
      <c r="R26" s="12">
        <v>0</v>
      </c>
      <c r="S26" s="12">
        <v>2</v>
      </c>
      <c r="T26" s="12">
        <v>1</v>
      </c>
      <c r="U26" s="12">
        <v>2</v>
      </c>
      <c r="V26" s="12" t="s">
        <v>216</v>
      </c>
    </row>
    <row r="27" spans="1:22" s="13" customFormat="1">
      <c r="A27" s="12" t="s">
        <v>166</v>
      </c>
      <c r="B27" s="12">
        <v>2</v>
      </c>
      <c r="C27" s="12">
        <v>1</v>
      </c>
      <c r="D27" s="12">
        <v>2</v>
      </c>
      <c r="E27" s="12">
        <v>2</v>
      </c>
      <c r="F27" s="12">
        <v>0</v>
      </c>
      <c r="G27" s="12">
        <v>1</v>
      </c>
      <c r="H27" s="12">
        <v>2</v>
      </c>
      <c r="I27" s="12">
        <v>2</v>
      </c>
      <c r="J27" s="12">
        <v>1</v>
      </c>
      <c r="K27" s="12">
        <v>2</v>
      </c>
      <c r="L27" s="12">
        <v>1</v>
      </c>
      <c r="M27" s="12">
        <v>1</v>
      </c>
      <c r="N27" s="12" t="s">
        <v>91</v>
      </c>
      <c r="O27" s="12"/>
      <c r="P27" s="12"/>
      <c r="Q27" s="12"/>
      <c r="R27" s="12"/>
      <c r="S27" s="12"/>
      <c r="T27" s="12"/>
      <c r="U27" s="12"/>
      <c r="V27" s="12"/>
    </row>
    <row r="28" spans="1:22" s="13" customFormat="1">
      <c r="A28" s="12" t="s">
        <v>167</v>
      </c>
      <c r="B28" s="12">
        <v>0</v>
      </c>
      <c r="C28" s="12">
        <v>1</v>
      </c>
      <c r="D28" s="12">
        <v>1</v>
      </c>
      <c r="E28" s="12">
        <v>0</v>
      </c>
      <c r="F28" s="12">
        <v>1</v>
      </c>
      <c r="G28" s="12">
        <v>2</v>
      </c>
      <c r="H28" s="12">
        <v>2</v>
      </c>
      <c r="I28" s="12">
        <v>1</v>
      </c>
      <c r="J28" s="12">
        <v>1</v>
      </c>
      <c r="K28" s="12">
        <v>2</v>
      </c>
      <c r="L28" s="12">
        <v>0</v>
      </c>
      <c r="M28" s="12">
        <v>2</v>
      </c>
      <c r="N28" s="12" t="s">
        <v>91</v>
      </c>
      <c r="O28" s="12"/>
      <c r="P28" s="12"/>
      <c r="Q28" s="12"/>
      <c r="R28" s="12"/>
      <c r="S28" s="12"/>
      <c r="T28" s="12"/>
      <c r="U28" s="12"/>
      <c r="V28" s="12"/>
    </row>
    <row r="29" spans="1:22" s="13" customFormat="1">
      <c r="A29" s="12" t="s">
        <v>168</v>
      </c>
      <c r="B29" s="12">
        <v>0</v>
      </c>
      <c r="C29" s="17">
        <v>0</v>
      </c>
      <c r="D29" s="17">
        <v>-1</v>
      </c>
      <c r="E29" s="17">
        <v>1</v>
      </c>
      <c r="F29" s="17">
        <v>1</v>
      </c>
      <c r="G29" s="12">
        <v>2</v>
      </c>
      <c r="H29" s="12">
        <v>1</v>
      </c>
      <c r="I29" s="12">
        <v>2</v>
      </c>
      <c r="J29" s="12">
        <v>1</v>
      </c>
      <c r="K29" s="12">
        <v>1</v>
      </c>
      <c r="L29" s="12">
        <v>2</v>
      </c>
      <c r="M29" s="12">
        <v>0</v>
      </c>
      <c r="N29" s="12" t="s">
        <v>98</v>
      </c>
      <c r="O29" s="12"/>
      <c r="P29" s="12"/>
      <c r="Q29" s="12"/>
      <c r="R29" s="12"/>
      <c r="S29" s="12"/>
      <c r="T29" s="12"/>
      <c r="U29" s="12"/>
      <c r="V29" s="12"/>
    </row>
    <row r="30" spans="1:22" s="13" customFormat="1">
      <c r="A30" s="12" t="s">
        <v>169</v>
      </c>
      <c r="B30" s="12">
        <v>1</v>
      </c>
      <c r="C30" s="17">
        <v>2</v>
      </c>
      <c r="D30" s="17">
        <v>2</v>
      </c>
      <c r="E30" s="17">
        <v>2</v>
      </c>
      <c r="F30" s="17">
        <v>2</v>
      </c>
      <c r="G30" s="12">
        <v>2</v>
      </c>
      <c r="H30" s="12">
        <v>0</v>
      </c>
      <c r="I30" s="12">
        <v>2</v>
      </c>
      <c r="J30" s="12">
        <v>2</v>
      </c>
      <c r="K30" s="12">
        <v>2</v>
      </c>
      <c r="L30" s="12">
        <v>2</v>
      </c>
      <c r="M30" s="12">
        <v>2</v>
      </c>
      <c r="N30" s="12" t="s">
        <v>217</v>
      </c>
      <c r="O30" s="12"/>
      <c r="P30" s="12"/>
      <c r="Q30" s="12"/>
      <c r="R30" s="12"/>
      <c r="S30" s="12"/>
      <c r="T30" s="12"/>
      <c r="U30" s="12"/>
      <c r="V30" s="12"/>
    </row>
    <row r="31" spans="1:22" s="13" customFormat="1">
      <c r="A31" s="12" t="s">
        <v>170</v>
      </c>
      <c r="B31" s="12">
        <v>0</v>
      </c>
      <c r="C31" s="28">
        <v>2</v>
      </c>
      <c r="D31" s="28">
        <v>2</v>
      </c>
      <c r="E31" s="28">
        <v>-2</v>
      </c>
      <c r="F31" s="17">
        <v>2</v>
      </c>
      <c r="G31" s="12">
        <v>2</v>
      </c>
      <c r="H31" s="12">
        <v>2</v>
      </c>
      <c r="I31" s="12">
        <v>2</v>
      </c>
      <c r="J31" s="12">
        <v>0</v>
      </c>
      <c r="K31" s="12">
        <v>0</v>
      </c>
      <c r="L31" s="12">
        <v>1</v>
      </c>
      <c r="M31" s="12">
        <v>2</v>
      </c>
      <c r="N31" s="12" t="s">
        <v>91</v>
      </c>
      <c r="O31" s="12"/>
      <c r="P31" s="12"/>
      <c r="Q31" s="12"/>
      <c r="R31" s="12"/>
      <c r="S31" s="12"/>
      <c r="T31" s="12"/>
      <c r="U31" s="12"/>
      <c r="V31" s="12"/>
    </row>
    <row r="32" spans="1:22" s="13" customFormat="1">
      <c r="A32" s="12" t="s">
        <v>171</v>
      </c>
      <c r="B32" s="12">
        <v>1</v>
      </c>
      <c r="C32" s="28">
        <v>1</v>
      </c>
      <c r="D32" s="29">
        <v>2</v>
      </c>
      <c r="E32" s="29">
        <v>2</v>
      </c>
      <c r="F32" s="17">
        <v>1</v>
      </c>
      <c r="G32" s="12">
        <v>2</v>
      </c>
      <c r="H32" s="12">
        <v>1</v>
      </c>
      <c r="I32" s="12">
        <v>1</v>
      </c>
      <c r="J32" s="12">
        <v>2</v>
      </c>
      <c r="K32" s="12">
        <v>2</v>
      </c>
      <c r="L32" s="12">
        <v>2</v>
      </c>
      <c r="M32" s="12">
        <v>2</v>
      </c>
      <c r="N32" s="12" t="s">
        <v>218</v>
      </c>
      <c r="O32" s="12"/>
      <c r="P32" s="12"/>
      <c r="Q32" s="12"/>
      <c r="R32" s="12"/>
      <c r="S32" s="12"/>
      <c r="T32" s="12"/>
      <c r="U32" s="12"/>
      <c r="V32" s="12"/>
    </row>
    <row r="33" spans="1:22" s="13" customFormat="1">
      <c r="A33" s="12" t="s">
        <v>172</v>
      </c>
      <c r="B33" s="12">
        <v>1</v>
      </c>
      <c r="C33" s="28">
        <v>1</v>
      </c>
      <c r="D33" s="29">
        <v>2</v>
      </c>
      <c r="E33" s="29">
        <v>2</v>
      </c>
      <c r="F33" s="17">
        <v>1</v>
      </c>
      <c r="G33" s="12">
        <v>2</v>
      </c>
      <c r="H33" s="12">
        <v>2</v>
      </c>
      <c r="I33" s="12">
        <v>1</v>
      </c>
      <c r="J33" s="12">
        <v>2</v>
      </c>
      <c r="K33" s="12">
        <v>2</v>
      </c>
      <c r="L33" s="12">
        <v>2</v>
      </c>
      <c r="M33" s="12">
        <v>2</v>
      </c>
      <c r="N33" s="12" t="s">
        <v>91</v>
      </c>
      <c r="O33" s="12"/>
      <c r="P33" s="12"/>
      <c r="Q33" s="12"/>
      <c r="R33" s="12"/>
      <c r="S33" s="12"/>
      <c r="T33" s="12"/>
      <c r="U33" s="12"/>
      <c r="V33" s="12"/>
    </row>
    <row r="34" spans="1:22" s="13" customFormat="1">
      <c r="A34" s="12" t="s">
        <v>173</v>
      </c>
      <c r="B34" s="12">
        <v>0</v>
      </c>
      <c r="C34" s="28">
        <v>0</v>
      </c>
      <c r="D34" s="29">
        <v>1</v>
      </c>
      <c r="E34" s="29">
        <v>0</v>
      </c>
      <c r="F34" s="17">
        <v>1</v>
      </c>
      <c r="G34" s="12">
        <v>2</v>
      </c>
      <c r="H34" s="12">
        <v>1</v>
      </c>
      <c r="I34" s="12">
        <v>1</v>
      </c>
      <c r="J34" s="12">
        <v>2</v>
      </c>
      <c r="K34" s="12">
        <v>0</v>
      </c>
      <c r="L34" s="12">
        <v>1</v>
      </c>
      <c r="M34" s="12">
        <v>2</v>
      </c>
      <c r="N34" s="12" t="s">
        <v>192</v>
      </c>
      <c r="O34" s="12"/>
      <c r="P34" s="12"/>
      <c r="Q34" s="12"/>
      <c r="R34" s="12"/>
      <c r="S34" s="12"/>
      <c r="T34" s="12"/>
      <c r="U34" s="12"/>
      <c r="V34" s="12"/>
    </row>
    <row r="35" spans="1:22" s="13" customFormat="1">
      <c r="A35" s="12" t="s">
        <v>174</v>
      </c>
      <c r="B35" s="12">
        <v>1</v>
      </c>
      <c r="C35" s="28">
        <v>1</v>
      </c>
      <c r="D35" s="29">
        <v>1</v>
      </c>
      <c r="E35" s="29">
        <v>2</v>
      </c>
      <c r="F35" s="17">
        <v>2</v>
      </c>
      <c r="G35" s="12">
        <v>1</v>
      </c>
      <c r="H35" s="12">
        <v>2</v>
      </c>
      <c r="I35" s="12">
        <v>1</v>
      </c>
      <c r="J35" s="12">
        <v>1</v>
      </c>
      <c r="K35" s="12">
        <v>2</v>
      </c>
      <c r="L35" s="12">
        <v>2</v>
      </c>
      <c r="M35" s="12">
        <v>2</v>
      </c>
      <c r="N35" s="12" t="s">
        <v>91</v>
      </c>
      <c r="O35" s="12"/>
      <c r="P35" s="12"/>
      <c r="Q35" s="12"/>
      <c r="R35" s="12"/>
      <c r="S35" s="12"/>
      <c r="T35" s="12"/>
      <c r="U35" s="12"/>
      <c r="V35" s="12"/>
    </row>
    <row r="36" spans="1:22" s="13" customFormat="1">
      <c r="A36" s="12" t="s">
        <v>175</v>
      </c>
      <c r="B36" s="12">
        <v>1</v>
      </c>
      <c r="C36" s="28">
        <v>1</v>
      </c>
      <c r="D36" s="29">
        <v>1</v>
      </c>
      <c r="E36" s="29">
        <v>0</v>
      </c>
      <c r="F36" s="17">
        <v>2</v>
      </c>
      <c r="G36" s="12">
        <v>0</v>
      </c>
      <c r="H36" s="12">
        <v>1</v>
      </c>
      <c r="I36" s="12">
        <v>1</v>
      </c>
      <c r="J36" s="12">
        <v>2</v>
      </c>
      <c r="K36" s="12">
        <v>2</v>
      </c>
      <c r="L36" s="12">
        <v>1</v>
      </c>
      <c r="M36" s="12">
        <v>1</v>
      </c>
      <c r="N36" s="12" t="s">
        <v>219</v>
      </c>
      <c r="O36" s="12"/>
      <c r="P36" s="12"/>
      <c r="Q36" s="12"/>
      <c r="R36" s="12"/>
      <c r="S36" s="12"/>
      <c r="T36" s="12"/>
      <c r="U36" s="12"/>
      <c r="V36" s="12"/>
    </row>
    <row r="37" spans="1:22" s="13" customFormat="1">
      <c r="A37" s="12" t="s">
        <v>176</v>
      </c>
      <c r="B37" s="12">
        <v>1</v>
      </c>
      <c r="C37" s="28">
        <v>0</v>
      </c>
      <c r="D37" s="30">
        <v>0</v>
      </c>
      <c r="E37" s="29">
        <v>0</v>
      </c>
      <c r="F37" s="17">
        <v>-1</v>
      </c>
      <c r="G37" s="12">
        <v>0</v>
      </c>
      <c r="H37" s="12">
        <v>1</v>
      </c>
      <c r="I37" s="12">
        <v>1</v>
      </c>
      <c r="J37" s="12">
        <v>0</v>
      </c>
      <c r="K37" s="12">
        <v>0</v>
      </c>
      <c r="L37" s="12">
        <v>-1</v>
      </c>
      <c r="M37" s="12">
        <v>1</v>
      </c>
      <c r="N37" s="12" t="s">
        <v>91</v>
      </c>
      <c r="O37" s="12"/>
      <c r="P37" s="12"/>
      <c r="Q37" s="12"/>
      <c r="R37" s="12"/>
      <c r="S37" s="12"/>
      <c r="T37" s="12"/>
      <c r="U37" s="12"/>
      <c r="V37" s="12"/>
    </row>
    <row r="38" spans="1:22" s="13" customFormat="1">
      <c r="A38" s="12" t="s">
        <v>177</v>
      </c>
      <c r="B38" s="12">
        <v>-1</v>
      </c>
      <c r="C38" s="28">
        <v>0</v>
      </c>
      <c r="D38" s="30">
        <v>-1</v>
      </c>
      <c r="E38" s="29">
        <v>-2</v>
      </c>
      <c r="F38" s="17">
        <v>0</v>
      </c>
      <c r="G38" s="12">
        <v>1</v>
      </c>
      <c r="H38" s="12">
        <v>-1</v>
      </c>
      <c r="I38" s="12">
        <v>-2</v>
      </c>
      <c r="J38" s="12">
        <v>0</v>
      </c>
      <c r="K38" s="12">
        <v>-1</v>
      </c>
      <c r="L38" s="12">
        <v>-1</v>
      </c>
      <c r="M38" s="12">
        <v>0</v>
      </c>
      <c r="N38" s="12" t="s">
        <v>220</v>
      </c>
      <c r="O38" s="12"/>
      <c r="P38" s="12"/>
      <c r="Q38" s="12"/>
      <c r="R38" s="12"/>
      <c r="S38" s="12"/>
      <c r="T38" s="12"/>
      <c r="U38" s="12"/>
      <c r="V38" s="12"/>
    </row>
    <row r="39" spans="1:22" s="13" customFormat="1">
      <c r="A39" s="12" t="s">
        <v>178</v>
      </c>
      <c r="B39" s="12">
        <v>-1</v>
      </c>
      <c r="C39" s="17">
        <v>-1</v>
      </c>
      <c r="D39" s="17">
        <v>0</v>
      </c>
      <c r="E39" s="17">
        <v>0</v>
      </c>
      <c r="F39" s="17">
        <v>0</v>
      </c>
      <c r="G39" s="12">
        <v>-2</v>
      </c>
      <c r="H39" s="12">
        <v>0</v>
      </c>
      <c r="I39" s="12">
        <v>0</v>
      </c>
      <c r="J39" s="12">
        <v>2</v>
      </c>
      <c r="K39" s="12">
        <v>-1</v>
      </c>
      <c r="L39" s="12">
        <v>-1</v>
      </c>
      <c r="M39" s="12">
        <v>2</v>
      </c>
      <c r="N39" s="12" t="s">
        <v>192</v>
      </c>
      <c r="O39" s="12"/>
      <c r="P39" s="12"/>
      <c r="Q39" s="12"/>
      <c r="R39" s="12"/>
      <c r="S39" s="12"/>
      <c r="T39" s="12"/>
      <c r="U39" s="12"/>
      <c r="V39" s="12"/>
    </row>
    <row r="40" spans="1:22" s="13" customFormat="1">
      <c r="A40" s="12" t="s">
        <v>179</v>
      </c>
      <c r="B40" s="12">
        <v>2</v>
      </c>
      <c r="C40" s="17">
        <v>2</v>
      </c>
      <c r="D40" s="17">
        <v>2</v>
      </c>
      <c r="E40" s="17">
        <v>2</v>
      </c>
      <c r="F40" s="17">
        <v>2</v>
      </c>
      <c r="G40" s="12">
        <v>2</v>
      </c>
      <c r="H40" s="12">
        <v>2</v>
      </c>
      <c r="I40" s="12">
        <v>2</v>
      </c>
      <c r="J40" s="12">
        <v>2</v>
      </c>
      <c r="K40" s="12">
        <v>2</v>
      </c>
      <c r="L40" s="12">
        <v>2</v>
      </c>
      <c r="M40" s="12">
        <v>2</v>
      </c>
      <c r="N40" s="12" t="s">
        <v>221</v>
      </c>
      <c r="O40" s="12"/>
      <c r="P40" s="12"/>
      <c r="Q40" s="12"/>
      <c r="R40" s="12"/>
      <c r="S40" s="12"/>
      <c r="T40" s="12"/>
      <c r="U40" s="12"/>
      <c r="V40" s="12"/>
    </row>
    <row r="41" spans="1:22" s="13" customFormat="1">
      <c r="A41" s="12" t="s">
        <v>180</v>
      </c>
      <c r="B41" s="12">
        <v>0</v>
      </c>
      <c r="C41" s="17">
        <v>-2</v>
      </c>
      <c r="D41" s="17">
        <v>1</v>
      </c>
      <c r="E41" s="17">
        <v>1</v>
      </c>
      <c r="F41" s="17">
        <v>1</v>
      </c>
      <c r="G41" s="12">
        <v>-2</v>
      </c>
      <c r="H41" s="12">
        <v>-1</v>
      </c>
      <c r="I41" s="12">
        <v>1</v>
      </c>
      <c r="J41" s="12">
        <v>1</v>
      </c>
      <c r="K41" s="12">
        <v>0</v>
      </c>
      <c r="L41" s="12">
        <v>1</v>
      </c>
      <c r="M41" s="12">
        <v>1</v>
      </c>
      <c r="N41" s="12" t="s">
        <v>91</v>
      </c>
      <c r="O41" s="12"/>
      <c r="P41" s="12"/>
      <c r="Q41" s="12"/>
      <c r="R41" s="12"/>
      <c r="S41" s="12"/>
      <c r="T41" s="12"/>
      <c r="U41" s="12"/>
      <c r="V41" s="12"/>
    </row>
    <row r="42" spans="1:22" s="13" customFormat="1">
      <c r="A42" s="12" t="s">
        <v>181</v>
      </c>
      <c r="B42" s="12">
        <v>1</v>
      </c>
      <c r="C42" s="17">
        <v>2</v>
      </c>
      <c r="D42" s="17">
        <v>0</v>
      </c>
      <c r="E42" s="17">
        <v>1</v>
      </c>
      <c r="F42" s="17">
        <v>2</v>
      </c>
      <c r="G42" s="12">
        <v>2</v>
      </c>
      <c r="H42" s="12">
        <v>2</v>
      </c>
      <c r="I42" s="12">
        <v>2</v>
      </c>
      <c r="J42" s="12">
        <v>2</v>
      </c>
      <c r="K42" s="12">
        <v>0</v>
      </c>
      <c r="L42" s="12">
        <v>1</v>
      </c>
      <c r="M42" s="12">
        <v>2</v>
      </c>
      <c r="N42" s="12" t="s">
        <v>91</v>
      </c>
      <c r="O42" s="12"/>
      <c r="P42" s="12"/>
      <c r="Q42" s="12"/>
      <c r="R42" s="12"/>
      <c r="S42" s="12"/>
      <c r="T42" s="12"/>
      <c r="U42" s="12"/>
      <c r="V42" s="12"/>
    </row>
    <row r="43" spans="1:22" s="13" customFormat="1">
      <c r="A43" s="12" t="s">
        <v>182</v>
      </c>
      <c r="B43" s="12">
        <v>0</v>
      </c>
      <c r="C43" s="17">
        <v>2</v>
      </c>
      <c r="D43" s="17">
        <v>2</v>
      </c>
      <c r="E43" s="17">
        <v>2</v>
      </c>
      <c r="F43" s="17">
        <v>2</v>
      </c>
      <c r="G43" s="12">
        <v>2</v>
      </c>
      <c r="H43" s="12">
        <v>1</v>
      </c>
      <c r="I43" s="12">
        <v>2</v>
      </c>
      <c r="J43" s="12">
        <v>2</v>
      </c>
      <c r="K43" s="12">
        <v>2</v>
      </c>
      <c r="L43" s="12">
        <v>2</v>
      </c>
      <c r="M43" s="12">
        <v>2</v>
      </c>
      <c r="N43" s="12" t="s">
        <v>222</v>
      </c>
      <c r="O43" s="12"/>
      <c r="P43" s="12"/>
      <c r="Q43" s="12"/>
      <c r="R43" s="12"/>
      <c r="S43" s="12"/>
      <c r="T43" s="12"/>
      <c r="U43" s="12"/>
      <c r="V43" s="12"/>
    </row>
    <row r="44" spans="1:22" s="13" customFormat="1">
      <c r="A44" s="12" t="s">
        <v>183</v>
      </c>
      <c r="B44" s="12">
        <v>2</v>
      </c>
      <c r="C44" s="17">
        <v>-2</v>
      </c>
      <c r="D44" s="17">
        <v>2</v>
      </c>
      <c r="E44" s="17">
        <v>-2</v>
      </c>
      <c r="F44" s="17">
        <v>2</v>
      </c>
      <c r="G44" s="12">
        <v>1</v>
      </c>
      <c r="H44" s="12">
        <v>2</v>
      </c>
      <c r="I44" s="12">
        <v>-1</v>
      </c>
      <c r="J44" s="12">
        <v>2</v>
      </c>
      <c r="K44" s="12">
        <v>2</v>
      </c>
      <c r="L44" s="12">
        <v>1</v>
      </c>
      <c r="M44" s="12">
        <v>2</v>
      </c>
      <c r="N44" s="12" t="s">
        <v>223</v>
      </c>
      <c r="O44" s="12"/>
      <c r="P44" s="12"/>
      <c r="Q44" s="12"/>
      <c r="R44" s="12"/>
      <c r="S44" s="12"/>
      <c r="T44" s="12"/>
      <c r="U44" s="12"/>
      <c r="V44" s="12"/>
    </row>
    <row r="45" spans="1:22" s="13" customFormat="1">
      <c r="A45" s="12" t="s">
        <v>184</v>
      </c>
      <c r="B45" s="12">
        <v>2</v>
      </c>
      <c r="C45" s="12">
        <v>2</v>
      </c>
      <c r="D45" s="12">
        <v>2</v>
      </c>
      <c r="E45" s="12">
        <v>2</v>
      </c>
      <c r="F45" s="12">
        <v>2</v>
      </c>
      <c r="G45" s="12">
        <v>2</v>
      </c>
      <c r="H45" s="12">
        <v>2</v>
      </c>
      <c r="I45" s="12">
        <v>2</v>
      </c>
      <c r="J45" s="12">
        <v>2</v>
      </c>
      <c r="K45" s="12">
        <v>2</v>
      </c>
      <c r="L45" s="12">
        <v>2</v>
      </c>
      <c r="M45" s="12">
        <v>2</v>
      </c>
      <c r="N45" s="12" t="s">
        <v>224</v>
      </c>
      <c r="O45" s="12"/>
      <c r="P45" s="12"/>
      <c r="Q45" s="12"/>
      <c r="R45" s="12"/>
      <c r="S45" s="12"/>
      <c r="T45" s="12"/>
      <c r="U45" s="12"/>
      <c r="V45" s="12"/>
    </row>
    <row r="46" spans="1:22" s="13" customFormat="1">
      <c r="A46" s="12" t="s">
        <v>185</v>
      </c>
      <c r="B46" s="12">
        <v>2</v>
      </c>
      <c r="C46" s="12">
        <v>2</v>
      </c>
      <c r="D46" s="12">
        <v>2</v>
      </c>
      <c r="E46" s="12">
        <v>2</v>
      </c>
      <c r="F46" s="12">
        <v>2</v>
      </c>
      <c r="G46" s="12">
        <v>2</v>
      </c>
      <c r="H46" s="12">
        <v>-2</v>
      </c>
      <c r="I46" s="12">
        <v>2</v>
      </c>
      <c r="J46" s="12">
        <v>2</v>
      </c>
      <c r="K46" s="12">
        <v>2</v>
      </c>
      <c r="L46" s="12">
        <v>2</v>
      </c>
      <c r="M46" s="12">
        <v>2</v>
      </c>
      <c r="N46" s="12" t="s">
        <v>91</v>
      </c>
      <c r="O46" s="12"/>
      <c r="P46" s="12"/>
      <c r="Q46" s="12"/>
      <c r="R46" s="12"/>
      <c r="S46" s="12"/>
      <c r="T46" s="12"/>
      <c r="U46" s="12"/>
      <c r="V46" s="12"/>
    </row>
    <row r="47" spans="1:22" s="13" customFormat="1">
      <c r="A47" s="12" t="s">
        <v>186</v>
      </c>
      <c r="B47" s="12">
        <v>0</v>
      </c>
      <c r="C47" s="12">
        <v>-1</v>
      </c>
      <c r="D47" s="12">
        <v>0</v>
      </c>
      <c r="E47" s="12">
        <v>0</v>
      </c>
      <c r="F47" s="12">
        <v>-1</v>
      </c>
      <c r="G47" s="12">
        <v>1</v>
      </c>
      <c r="H47" s="12">
        <v>2</v>
      </c>
      <c r="I47" s="12">
        <v>0</v>
      </c>
      <c r="J47" s="12">
        <v>-1</v>
      </c>
      <c r="K47" s="12">
        <v>-1</v>
      </c>
      <c r="L47" s="12">
        <v>-1</v>
      </c>
      <c r="M47" s="12">
        <v>2</v>
      </c>
      <c r="N47" s="12" t="s">
        <v>225</v>
      </c>
      <c r="O47" s="12"/>
      <c r="P47" s="12"/>
      <c r="Q47" s="12"/>
      <c r="R47" s="12"/>
      <c r="S47" s="12"/>
      <c r="T47" s="12"/>
      <c r="U47" s="12"/>
      <c r="V47" s="12"/>
    </row>
    <row r="48" spans="1:22" s="13" customFormat="1">
      <c r="A48" s="12" t="s">
        <v>187</v>
      </c>
      <c r="B48" s="12">
        <v>2</v>
      </c>
      <c r="C48" s="12">
        <v>0</v>
      </c>
      <c r="D48" s="12">
        <v>2</v>
      </c>
      <c r="E48" s="12">
        <v>2</v>
      </c>
      <c r="F48" s="12">
        <v>2</v>
      </c>
      <c r="G48" s="12">
        <v>-1</v>
      </c>
      <c r="H48" s="12">
        <v>0</v>
      </c>
      <c r="I48" s="12">
        <v>2</v>
      </c>
      <c r="J48" s="12">
        <v>2</v>
      </c>
      <c r="K48" s="12">
        <v>2</v>
      </c>
      <c r="L48" s="12">
        <v>2</v>
      </c>
      <c r="M48" s="12">
        <v>2</v>
      </c>
      <c r="N48" s="12" t="s">
        <v>91</v>
      </c>
      <c r="O48" s="12"/>
      <c r="P48" s="12"/>
      <c r="Q48" s="12"/>
      <c r="R48" s="12"/>
      <c r="S48" s="12"/>
      <c r="T48" s="12"/>
      <c r="U48" s="12"/>
      <c r="V48" s="12"/>
    </row>
    <row r="49" spans="1:22" s="13" customFormat="1">
      <c r="A49" s="12" t="s">
        <v>188</v>
      </c>
      <c r="B49" s="12">
        <v>2</v>
      </c>
      <c r="C49" s="12">
        <v>2</v>
      </c>
      <c r="D49" s="12">
        <v>2</v>
      </c>
      <c r="E49" s="12">
        <v>2</v>
      </c>
      <c r="F49" s="12">
        <v>2</v>
      </c>
      <c r="G49" s="12">
        <v>2</v>
      </c>
      <c r="H49" s="12">
        <v>2</v>
      </c>
      <c r="I49" s="12">
        <v>1</v>
      </c>
      <c r="J49" s="12">
        <v>1</v>
      </c>
      <c r="K49" s="12">
        <v>2</v>
      </c>
      <c r="L49" s="12">
        <v>2</v>
      </c>
      <c r="M49" s="12">
        <v>2</v>
      </c>
      <c r="N49" s="12" t="s">
        <v>91</v>
      </c>
      <c r="O49" s="12"/>
      <c r="P49" s="12"/>
      <c r="Q49" s="12"/>
      <c r="R49" s="12"/>
      <c r="S49" s="12"/>
      <c r="T49" s="12"/>
      <c r="U49" s="12"/>
      <c r="V49" s="12"/>
    </row>
    <row r="50" spans="1:22" s="13" customFormat="1">
      <c r="A50" s="12" t="s">
        <v>189</v>
      </c>
      <c r="B50" s="12">
        <v>1</v>
      </c>
      <c r="C50" s="12">
        <v>0</v>
      </c>
      <c r="D50" s="12">
        <v>1</v>
      </c>
      <c r="E50" s="12">
        <v>0</v>
      </c>
      <c r="F50" s="12">
        <v>0</v>
      </c>
      <c r="G50" s="12">
        <v>-1</v>
      </c>
      <c r="H50" s="12">
        <v>2</v>
      </c>
      <c r="I50" s="12">
        <v>1</v>
      </c>
      <c r="J50" s="12">
        <v>1</v>
      </c>
      <c r="K50" s="12">
        <v>1</v>
      </c>
      <c r="L50" s="12">
        <v>1</v>
      </c>
      <c r="M50" s="12">
        <v>2</v>
      </c>
      <c r="N50" s="12" t="s">
        <v>91</v>
      </c>
      <c r="O50" s="12"/>
      <c r="P50" s="12"/>
      <c r="Q50" s="12"/>
      <c r="R50" s="12"/>
      <c r="S50" s="12"/>
      <c r="T50" s="12"/>
      <c r="U50" s="12"/>
      <c r="V50" s="12"/>
    </row>
    <row r="51" spans="1:22" s="13" customFormat="1">
      <c r="A51" s="12" t="s">
        <v>190</v>
      </c>
      <c r="B51" s="12">
        <v>2</v>
      </c>
      <c r="C51" s="12">
        <v>2</v>
      </c>
      <c r="D51" s="12">
        <v>2</v>
      </c>
      <c r="E51" s="12">
        <v>1</v>
      </c>
      <c r="F51" s="12">
        <v>1</v>
      </c>
      <c r="G51" s="12">
        <v>0</v>
      </c>
      <c r="H51" s="12">
        <v>1</v>
      </c>
      <c r="I51" s="12">
        <v>0</v>
      </c>
      <c r="J51" s="12">
        <v>2</v>
      </c>
      <c r="K51" s="12">
        <v>2</v>
      </c>
      <c r="L51" s="12">
        <v>1</v>
      </c>
      <c r="M51" s="12">
        <v>2</v>
      </c>
      <c r="N51" s="12" t="s">
        <v>91</v>
      </c>
      <c r="O51" s="12"/>
      <c r="P51" s="12"/>
      <c r="Q51" s="12"/>
      <c r="R51" s="12"/>
      <c r="S51" s="12"/>
      <c r="T51" s="12"/>
      <c r="U51" s="12"/>
      <c r="V51" s="12"/>
    </row>
    <row r="52" spans="1:22" s="13" customForma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s="13" customForma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s="53" customFormat="1">
      <c r="A54" s="52"/>
      <c r="B54" s="52" t="s">
        <v>110</v>
      </c>
      <c r="C54" s="52" t="s">
        <v>111</v>
      </c>
      <c r="D54" s="52" t="s">
        <v>111</v>
      </c>
      <c r="E54" s="52" t="s">
        <v>112</v>
      </c>
      <c r="F54" s="52" t="s">
        <v>117</v>
      </c>
      <c r="G54" s="52" t="s">
        <v>118</v>
      </c>
      <c r="H54" s="52" t="s">
        <v>119</v>
      </c>
      <c r="I54" s="52" t="s">
        <v>119</v>
      </c>
      <c r="J54" s="52" t="s">
        <v>120</v>
      </c>
      <c r="K54" s="52" t="s">
        <v>118</v>
      </c>
      <c r="L54" s="52" t="s">
        <v>112</v>
      </c>
      <c r="M54" s="52" t="s">
        <v>121</v>
      </c>
      <c r="N54" s="52"/>
      <c r="O54" s="52"/>
      <c r="P54" s="52" t="s">
        <v>255</v>
      </c>
      <c r="Q54" s="52" t="s">
        <v>253</v>
      </c>
      <c r="R54" s="52" t="s">
        <v>253</v>
      </c>
      <c r="S54" s="52" t="s">
        <v>252</v>
      </c>
      <c r="T54" s="52" t="s">
        <v>256</v>
      </c>
      <c r="U54" s="52" t="s">
        <v>254</v>
      </c>
      <c r="V54" s="52"/>
    </row>
    <row r="57" spans="1:22">
      <c r="B57" s="54" t="s">
        <v>113</v>
      </c>
      <c r="C57" s="54" t="s">
        <v>114</v>
      </c>
      <c r="D57" s="54" t="s">
        <v>115</v>
      </c>
    </row>
    <row r="58" spans="1:22">
      <c r="B58" s="20" t="s">
        <v>111</v>
      </c>
      <c r="C58" s="21">
        <f>AVERAGE(B2:D51)</f>
        <v>0.85333333333333339</v>
      </c>
      <c r="D58" s="21">
        <f>STDEV(B2:D51)</f>
        <v>1.3921480031375331</v>
      </c>
      <c r="O58" s="54" t="s">
        <v>113</v>
      </c>
      <c r="P58" s="54" t="s">
        <v>114</v>
      </c>
      <c r="Q58" s="54" t="s">
        <v>115</v>
      </c>
      <c r="R58" s="85"/>
    </row>
    <row r="59" spans="1:22">
      <c r="B59" s="20" t="s">
        <v>116</v>
      </c>
      <c r="C59" s="21">
        <f>AVERAGE(E2:E51,L2:L51)</f>
        <v>0.97</v>
      </c>
      <c r="D59" s="21">
        <f>STDEV(E2:E51,L2:L51)</f>
        <v>1.3813695443949161</v>
      </c>
      <c r="O59" s="20" t="s">
        <v>255</v>
      </c>
      <c r="P59" s="21">
        <f>AVERAGE(P2:P26)</f>
        <v>1.28</v>
      </c>
      <c r="Q59" s="21">
        <f>STDEV(P2:P26)</f>
        <v>1.1372481406154653</v>
      </c>
      <c r="R59" s="86"/>
    </row>
    <row r="60" spans="1:22">
      <c r="B60" s="20" t="s">
        <v>117</v>
      </c>
      <c r="C60" s="21">
        <f>AVERAGE(F2:F51)</f>
        <v>1.08</v>
      </c>
      <c r="D60" s="21">
        <f>STDEV(F2:F51)</f>
        <v>1.2751950631097941</v>
      </c>
      <c r="O60" s="20" t="s">
        <v>253</v>
      </c>
      <c r="P60" s="21">
        <f>AVERAGE(Q2:R26)</f>
        <v>1.54</v>
      </c>
      <c r="Q60" s="21">
        <f>STDEV(Q2:R26)</f>
        <v>0.93043768502478752</v>
      </c>
      <c r="R60" s="86"/>
    </row>
    <row r="61" spans="1:22">
      <c r="B61" s="20" t="s">
        <v>118</v>
      </c>
      <c r="C61" s="21">
        <f>AVERAGE(G2:G51:K2:K51)</f>
        <v>1.04</v>
      </c>
      <c r="D61" s="21">
        <f>STDEV(G2:G51:K2:K51)</f>
        <v>1.3820420256426975</v>
      </c>
      <c r="O61" s="20" t="s">
        <v>252</v>
      </c>
      <c r="P61" s="21">
        <f>AVERAGE(S2:S26)</f>
        <v>1.48</v>
      </c>
      <c r="Q61" s="21">
        <f>STDEV(S2:S26)</f>
        <v>1.0456258094238748</v>
      </c>
      <c r="R61" s="86"/>
    </row>
    <row r="62" spans="1:22">
      <c r="B62" s="20" t="s">
        <v>119</v>
      </c>
      <c r="C62" s="21">
        <f>AVERAGE(H2:I51)</f>
        <v>1.06</v>
      </c>
      <c r="D62" s="21">
        <f>STDEV(H2:I51)</f>
        <v>1.3012814197295424</v>
      </c>
      <c r="O62" s="23" t="s">
        <v>256</v>
      </c>
      <c r="P62" s="21">
        <f>AVERAGE(T2:T26)</f>
        <v>1.48</v>
      </c>
      <c r="Q62" s="21">
        <f>STDEV(T2:T26)</f>
        <v>0.96263527187957676</v>
      </c>
      <c r="R62" s="86"/>
    </row>
    <row r="63" spans="1:22">
      <c r="B63" s="20" t="s">
        <v>120</v>
      </c>
      <c r="C63" s="20">
        <f>AVERAGE(J2:J51)</f>
        <v>1.26</v>
      </c>
      <c r="D63" s="21">
        <f>STDEV(J2:J51)</f>
        <v>1.2747148540688125</v>
      </c>
      <c r="O63" s="20" t="s">
        <v>254</v>
      </c>
      <c r="P63" s="20">
        <f>AVERAGE(U2:U26)</f>
        <v>1.64</v>
      </c>
      <c r="Q63" s="21">
        <f>STDEV(U2:U26)</f>
        <v>0.86023252670426276</v>
      </c>
      <c r="R63" s="86"/>
    </row>
    <row r="64" spans="1:22">
      <c r="B64" s="20" t="s">
        <v>121</v>
      </c>
      <c r="C64" s="22">
        <f>AVERAGE(M2:M51)</f>
        <v>1.46</v>
      </c>
      <c r="D64" s="21">
        <f>STDEV(M2:M51)</f>
        <v>1.1466010106183495</v>
      </c>
      <c r="R64" s="8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19" workbookViewId="0">
      <selection activeCell="C43" sqref="C43"/>
    </sheetView>
  </sheetViews>
  <sheetFormatPr defaultRowHeight="15"/>
  <cols>
    <col min="1" max="1" width="28.5703125" customWidth="1"/>
    <col min="2" max="2" width="23.28515625" customWidth="1"/>
    <col min="3" max="3" width="34.85546875" customWidth="1"/>
    <col min="4" max="4" width="30.140625" customWidth="1"/>
    <col min="5" max="5" width="32.140625" customWidth="1"/>
    <col min="6" max="6" width="30.85546875" customWidth="1"/>
  </cols>
  <sheetData>
    <row r="1" spans="1:6">
      <c r="A1" s="14" t="s">
        <v>76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</row>
    <row r="2" spans="1:6">
      <c r="A2" s="12">
        <v>2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</row>
    <row r="3" spans="1:6">
      <c r="A3" s="12">
        <v>2</v>
      </c>
      <c r="B3" s="12">
        <v>2</v>
      </c>
      <c r="C3" s="12">
        <v>2</v>
      </c>
      <c r="D3" s="12">
        <v>2</v>
      </c>
      <c r="E3" s="12">
        <v>1</v>
      </c>
      <c r="F3" s="12">
        <v>2</v>
      </c>
    </row>
    <row r="4" spans="1:6">
      <c r="A4" s="12">
        <v>2</v>
      </c>
      <c r="B4" s="12">
        <v>1</v>
      </c>
      <c r="C4" s="12">
        <v>1</v>
      </c>
      <c r="D4" s="12">
        <v>0</v>
      </c>
      <c r="E4" s="12">
        <v>0</v>
      </c>
      <c r="F4" s="12">
        <v>0</v>
      </c>
    </row>
    <row r="5" spans="1:6">
      <c r="A5" s="12">
        <v>2</v>
      </c>
      <c r="B5" s="12">
        <v>2</v>
      </c>
      <c r="C5" s="12">
        <v>2</v>
      </c>
      <c r="D5" s="12">
        <v>2</v>
      </c>
      <c r="E5" s="12">
        <v>2</v>
      </c>
      <c r="F5" s="12">
        <v>1</v>
      </c>
    </row>
    <row r="6" spans="1:6">
      <c r="A6" s="12">
        <v>-1</v>
      </c>
      <c r="B6" s="12">
        <v>0</v>
      </c>
      <c r="C6" s="12">
        <v>1</v>
      </c>
      <c r="D6" s="12">
        <v>0</v>
      </c>
      <c r="E6" s="12">
        <v>1</v>
      </c>
      <c r="F6" s="12">
        <v>0</v>
      </c>
    </row>
    <row r="7" spans="1:6">
      <c r="A7" s="12">
        <v>1</v>
      </c>
      <c r="B7" s="12">
        <v>1</v>
      </c>
      <c r="C7" s="12">
        <v>2</v>
      </c>
      <c r="D7" s="12">
        <v>2</v>
      </c>
      <c r="E7" s="12">
        <v>2</v>
      </c>
      <c r="F7" s="12">
        <v>2</v>
      </c>
    </row>
    <row r="8" spans="1:6">
      <c r="A8" s="12">
        <v>1</v>
      </c>
      <c r="B8" s="12">
        <v>2</v>
      </c>
      <c r="C8" s="12">
        <v>2</v>
      </c>
      <c r="D8" s="12">
        <v>2</v>
      </c>
      <c r="E8" s="12">
        <v>1</v>
      </c>
      <c r="F8" s="12">
        <v>1</v>
      </c>
    </row>
    <row r="9" spans="1:6">
      <c r="A9" s="12">
        <v>1</v>
      </c>
      <c r="B9" s="12">
        <v>1</v>
      </c>
      <c r="C9" s="12">
        <v>0</v>
      </c>
      <c r="D9" s="12">
        <v>1</v>
      </c>
      <c r="E9" s="12">
        <v>1</v>
      </c>
      <c r="F9" s="12">
        <v>0</v>
      </c>
    </row>
    <row r="10" spans="1:6">
      <c r="A10" s="12">
        <v>2</v>
      </c>
      <c r="B10" s="12">
        <v>2</v>
      </c>
      <c r="C10" s="12">
        <v>2</v>
      </c>
      <c r="D10" s="12">
        <v>2</v>
      </c>
      <c r="E10" s="12">
        <v>2</v>
      </c>
      <c r="F10" s="12">
        <v>2</v>
      </c>
    </row>
    <row r="11" spans="1:6">
      <c r="A11" s="12">
        <v>2</v>
      </c>
      <c r="B11" s="12">
        <v>2</v>
      </c>
      <c r="C11" s="12">
        <v>2</v>
      </c>
      <c r="D11" s="12">
        <v>2</v>
      </c>
      <c r="E11" s="12">
        <v>2</v>
      </c>
      <c r="F11" s="12">
        <v>1</v>
      </c>
    </row>
    <row r="12" spans="1:6">
      <c r="A12" s="12">
        <v>2</v>
      </c>
      <c r="B12" s="12">
        <v>2</v>
      </c>
      <c r="C12" s="12">
        <v>2</v>
      </c>
      <c r="D12" s="12">
        <v>2</v>
      </c>
      <c r="E12" s="12">
        <v>2</v>
      </c>
      <c r="F12" s="12">
        <v>2</v>
      </c>
    </row>
    <row r="13" spans="1:6">
      <c r="A13" s="12">
        <v>2</v>
      </c>
      <c r="B13" s="12">
        <v>2</v>
      </c>
      <c r="C13" s="12">
        <v>2</v>
      </c>
      <c r="D13" s="12">
        <v>2</v>
      </c>
      <c r="E13" s="12">
        <v>2</v>
      </c>
      <c r="F13" s="12">
        <v>2</v>
      </c>
    </row>
    <row r="14" spans="1:6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</row>
    <row r="15" spans="1:6">
      <c r="A15" s="12">
        <v>2</v>
      </c>
      <c r="B15" s="12">
        <v>2</v>
      </c>
      <c r="C15" s="12">
        <v>1</v>
      </c>
      <c r="D15" s="12">
        <v>2</v>
      </c>
      <c r="E15" s="12">
        <v>2</v>
      </c>
      <c r="F15" s="12">
        <v>2</v>
      </c>
    </row>
    <row r="16" spans="1:6">
      <c r="A16" s="12">
        <v>2</v>
      </c>
      <c r="B16" s="12">
        <v>2</v>
      </c>
      <c r="C16" s="12">
        <v>2</v>
      </c>
      <c r="D16" s="12">
        <v>1</v>
      </c>
      <c r="E16" s="12">
        <v>2</v>
      </c>
      <c r="F16" s="12">
        <v>2</v>
      </c>
    </row>
    <row r="17" spans="1:6">
      <c r="A17" s="12">
        <v>2</v>
      </c>
      <c r="B17" s="12">
        <v>2</v>
      </c>
      <c r="C17" s="12">
        <v>2</v>
      </c>
      <c r="D17" s="12">
        <v>2</v>
      </c>
      <c r="E17" s="12">
        <v>2</v>
      </c>
      <c r="F17" s="12">
        <v>2</v>
      </c>
    </row>
    <row r="18" spans="1:6">
      <c r="A18" s="12">
        <v>2</v>
      </c>
      <c r="B18" s="12">
        <v>2</v>
      </c>
      <c r="C18" s="12">
        <v>2</v>
      </c>
      <c r="D18" s="12">
        <v>2</v>
      </c>
      <c r="E18" s="12">
        <v>2</v>
      </c>
      <c r="F18" s="12">
        <v>2</v>
      </c>
    </row>
    <row r="19" spans="1:6">
      <c r="A19" s="12">
        <v>2</v>
      </c>
      <c r="B19" s="12">
        <v>2</v>
      </c>
      <c r="C19" s="12">
        <v>1</v>
      </c>
      <c r="D19" s="12">
        <v>2</v>
      </c>
      <c r="E19" s="12">
        <v>1</v>
      </c>
      <c r="F19" s="12">
        <v>2</v>
      </c>
    </row>
    <row r="20" spans="1:6">
      <c r="A20" s="12">
        <v>1</v>
      </c>
      <c r="B20" s="12">
        <v>1</v>
      </c>
      <c r="C20" s="12">
        <v>0</v>
      </c>
      <c r="D20" s="12">
        <v>1</v>
      </c>
      <c r="E20" s="12">
        <v>1</v>
      </c>
      <c r="F20" s="12">
        <v>1</v>
      </c>
    </row>
    <row r="21" spans="1:6">
      <c r="A21" s="12">
        <v>1</v>
      </c>
      <c r="B21" s="12">
        <v>0</v>
      </c>
      <c r="C21" s="12">
        <v>0</v>
      </c>
      <c r="D21" s="12">
        <v>1</v>
      </c>
      <c r="E21" s="12">
        <v>1</v>
      </c>
      <c r="F21" s="12">
        <v>0</v>
      </c>
    </row>
    <row r="22" spans="1:6">
      <c r="A22" s="12">
        <v>1</v>
      </c>
      <c r="B22" s="12">
        <v>1</v>
      </c>
      <c r="C22" s="12">
        <v>1</v>
      </c>
      <c r="D22" s="12">
        <v>0</v>
      </c>
      <c r="E22" s="12">
        <v>1</v>
      </c>
      <c r="F22" s="12">
        <v>1</v>
      </c>
    </row>
    <row r="23" spans="1:6">
      <c r="A23" s="12">
        <v>1</v>
      </c>
      <c r="B23" s="12">
        <v>0</v>
      </c>
      <c r="C23" s="12">
        <v>1</v>
      </c>
      <c r="D23" s="12">
        <v>2</v>
      </c>
      <c r="E23" s="12">
        <v>2</v>
      </c>
      <c r="F23" s="12">
        <v>1</v>
      </c>
    </row>
    <row r="24" spans="1:6">
      <c r="A24" s="12">
        <v>2</v>
      </c>
      <c r="B24" s="12">
        <v>0</v>
      </c>
      <c r="C24" s="12">
        <v>1</v>
      </c>
      <c r="D24" s="12">
        <v>1</v>
      </c>
      <c r="E24" s="12">
        <v>1</v>
      </c>
      <c r="F24" s="12">
        <v>2</v>
      </c>
    </row>
    <row r="25" spans="1:6">
      <c r="A25" s="12">
        <v>1</v>
      </c>
      <c r="B25" s="12">
        <v>0</v>
      </c>
      <c r="C25" s="12">
        <v>0</v>
      </c>
      <c r="D25" s="12">
        <v>1</v>
      </c>
      <c r="E25" s="12">
        <v>1</v>
      </c>
      <c r="F25" s="12">
        <v>1</v>
      </c>
    </row>
    <row r="26" spans="1:6">
      <c r="A26" s="12">
        <v>1</v>
      </c>
      <c r="B26" s="12">
        <v>0</v>
      </c>
      <c r="C26" s="12">
        <v>1</v>
      </c>
      <c r="D26" s="12">
        <v>2</v>
      </c>
      <c r="E26" s="12">
        <v>1</v>
      </c>
      <c r="F26" s="12">
        <v>2</v>
      </c>
    </row>
    <row r="29" spans="1:6">
      <c r="A29" s="52" t="s">
        <v>255</v>
      </c>
      <c r="B29" s="52" t="s">
        <v>253</v>
      </c>
      <c r="C29" s="52" t="s">
        <v>253</v>
      </c>
      <c r="D29" s="52" t="s">
        <v>252</v>
      </c>
      <c r="E29" s="52" t="s">
        <v>256</v>
      </c>
      <c r="F29" s="52" t="s">
        <v>254</v>
      </c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54" t="s">
        <v>113</v>
      </c>
      <c r="B33" s="54" t="s">
        <v>114</v>
      </c>
      <c r="C33" s="54" t="s">
        <v>115</v>
      </c>
      <c r="D33" s="12"/>
      <c r="E33" s="12"/>
      <c r="F33" s="12"/>
    </row>
    <row r="34" spans="1:6">
      <c r="A34" s="20" t="s">
        <v>255</v>
      </c>
      <c r="B34" s="21">
        <f>AVERAGE(A2:A26)</f>
        <v>1.44</v>
      </c>
      <c r="C34" s="21">
        <f>STDEV(A2:A26)</f>
        <v>0.76811457478686074</v>
      </c>
      <c r="D34" s="12"/>
      <c r="E34" s="12"/>
      <c r="F34" s="12"/>
    </row>
    <row r="35" spans="1:6">
      <c r="A35" s="20" t="s">
        <v>253</v>
      </c>
      <c r="B35" s="21">
        <f>AVERAGE(B2:C26)</f>
        <v>1.24</v>
      </c>
      <c r="C35" s="21">
        <f>STDEV(B2:C26)</f>
        <v>0.8221425468536091</v>
      </c>
      <c r="D35" s="12"/>
      <c r="E35" s="12"/>
      <c r="F35" s="12"/>
    </row>
    <row r="36" spans="1:6">
      <c r="A36" s="20" t="s">
        <v>252</v>
      </c>
      <c r="B36" s="21">
        <f>AVERAGE(D2:D26)</f>
        <v>1.44</v>
      </c>
      <c r="C36" s="21">
        <f>STDEV(D2:D26)</f>
        <v>0.76811457478686074</v>
      </c>
      <c r="D36" s="12"/>
      <c r="E36" s="12"/>
      <c r="F36" s="12"/>
    </row>
    <row r="37" spans="1:6">
      <c r="A37" s="23" t="s">
        <v>256</v>
      </c>
      <c r="B37" s="21">
        <f>AVERAGE(E2:E26)</f>
        <v>1.4</v>
      </c>
      <c r="C37" s="21">
        <f>STDEV(E2:E26)</f>
        <v>0.6454972243679028</v>
      </c>
      <c r="D37" s="12"/>
      <c r="E37" s="12"/>
      <c r="F37" s="12"/>
    </row>
    <row r="38" spans="1:6">
      <c r="A38" s="20" t="s">
        <v>254</v>
      </c>
      <c r="B38" s="21">
        <f>AVERAGE(F2:F26)</f>
        <v>1.32</v>
      </c>
      <c r="C38" s="21">
        <f>STDEV(F2:F26)</f>
        <v>0.80208062770106425</v>
      </c>
      <c r="D38" s="12"/>
      <c r="E38" s="12"/>
      <c r="F38" s="1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"/>
  <sheetViews>
    <sheetView topLeftCell="A16" workbookViewId="0">
      <selection activeCell="B37" sqref="B37"/>
    </sheetView>
  </sheetViews>
  <sheetFormatPr defaultRowHeight="15"/>
  <cols>
    <col min="1" max="1" width="18.85546875" customWidth="1"/>
    <col min="2" max="2" width="18.28515625" customWidth="1"/>
    <col min="3" max="3" width="20.85546875" customWidth="1"/>
    <col min="4" max="4" width="29.42578125" customWidth="1"/>
    <col min="5" max="5" width="23.140625" customWidth="1"/>
    <col min="6" max="6" width="27.7109375" customWidth="1"/>
  </cols>
  <sheetData>
    <row r="1" spans="1:6">
      <c r="A1" s="14" t="s">
        <v>76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</row>
    <row r="2" spans="1:6">
      <c r="A2" s="25">
        <v>2</v>
      </c>
      <c r="B2" s="25">
        <v>2</v>
      </c>
      <c r="C2" s="25">
        <v>1</v>
      </c>
      <c r="D2" s="25">
        <v>2</v>
      </c>
      <c r="E2" s="25">
        <v>1</v>
      </c>
      <c r="F2" s="25">
        <v>2</v>
      </c>
    </row>
    <row r="3" spans="1:6">
      <c r="A3" s="12">
        <v>1</v>
      </c>
      <c r="B3" s="12">
        <v>2</v>
      </c>
      <c r="C3" s="12">
        <v>1</v>
      </c>
      <c r="D3" s="12">
        <v>2</v>
      </c>
      <c r="E3" s="12">
        <v>2</v>
      </c>
      <c r="F3" s="12">
        <v>2</v>
      </c>
    </row>
    <row r="4" spans="1:6">
      <c r="A4" s="12">
        <v>1</v>
      </c>
      <c r="B4" s="12">
        <v>2</v>
      </c>
      <c r="C4" s="12">
        <v>0</v>
      </c>
      <c r="D4" s="12">
        <v>1</v>
      </c>
      <c r="E4" s="12">
        <v>2</v>
      </c>
      <c r="F4" s="12">
        <v>1</v>
      </c>
    </row>
    <row r="5" spans="1:6">
      <c r="A5" s="12">
        <v>2</v>
      </c>
      <c r="B5" s="12">
        <v>2</v>
      </c>
      <c r="C5" s="12">
        <v>2</v>
      </c>
      <c r="D5" s="12">
        <v>1</v>
      </c>
      <c r="E5" s="12">
        <v>2</v>
      </c>
      <c r="F5" s="12">
        <v>1</v>
      </c>
    </row>
    <row r="6" spans="1:6">
      <c r="A6" s="12">
        <v>2</v>
      </c>
      <c r="B6" s="12">
        <v>2</v>
      </c>
      <c r="C6" s="12">
        <v>2</v>
      </c>
      <c r="D6" s="12">
        <v>2</v>
      </c>
      <c r="E6" s="12">
        <v>2</v>
      </c>
      <c r="F6" s="12">
        <v>2</v>
      </c>
    </row>
    <row r="7" spans="1:6">
      <c r="A7" s="12">
        <v>2</v>
      </c>
      <c r="B7" s="12">
        <v>2</v>
      </c>
      <c r="C7" s="12">
        <v>2</v>
      </c>
      <c r="D7" s="12">
        <v>2</v>
      </c>
      <c r="E7" s="12">
        <v>2</v>
      </c>
      <c r="F7" s="12">
        <v>2</v>
      </c>
    </row>
    <row r="8" spans="1:6">
      <c r="A8" s="12">
        <v>2</v>
      </c>
      <c r="B8" s="12">
        <v>2</v>
      </c>
      <c r="C8" s="12">
        <v>2</v>
      </c>
      <c r="D8" s="12">
        <v>2</v>
      </c>
      <c r="E8" s="12">
        <v>2</v>
      </c>
      <c r="F8" s="12">
        <v>2</v>
      </c>
    </row>
    <row r="9" spans="1:6">
      <c r="A9" s="12">
        <v>2</v>
      </c>
      <c r="B9" s="12">
        <v>2</v>
      </c>
      <c r="C9" s="12">
        <v>2</v>
      </c>
      <c r="D9" s="12">
        <v>2</v>
      </c>
      <c r="E9" s="12">
        <v>2</v>
      </c>
      <c r="F9" s="12">
        <v>2</v>
      </c>
    </row>
    <row r="10" spans="1:6">
      <c r="A10" s="12">
        <v>2</v>
      </c>
      <c r="B10" s="12">
        <v>0</v>
      </c>
      <c r="C10" s="12">
        <v>1</v>
      </c>
      <c r="D10" s="12">
        <v>1</v>
      </c>
      <c r="E10" s="12">
        <v>0</v>
      </c>
      <c r="F10" s="12">
        <v>2</v>
      </c>
    </row>
    <row r="11" spans="1:6">
      <c r="A11" s="12">
        <v>2</v>
      </c>
      <c r="B11" s="12">
        <v>2</v>
      </c>
      <c r="C11" s="12">
        <v>2</v>
      </c>
      <c r="D11" s="12">
        <v>2</v>
      </c>
      <c r="E11" s="12">
        <v>1</v>
      </c>
      <c r="F11" s="12">
        <v>2</v>
      </c>
    </row>
    <row r="12" spans="1:6">
      <c r="A12" s="12">
        <v>2</v>
      </c>
      <c r="B12" s="12">
        <v>2</v>
      </c>
      <c r="C12" s="12">
        <v>2</v>
      </c>
      <c r="D12" s="12">
        <v>2</v>
      </c>
      <c r="E12" s="12">
        <v>2</v>
      </c>
      <c r="F12" s="12">
        <v>2</v>
      </c>
    </row>
    <row r="13" spans="1:6">
      <c r="A13" s="12">
        <v>2</v>
      </c>
      <c r="B13" s="12">
        <v>2</v>
      </c>
      <c r="C13" s="12">
        <v>2</v>
      </c>
      <c r="D13" s="12">
        <v>2</v>
      </c>
      <c r="E13" s="12">
        <v>2</v>
      </c>
      <c r="F13" s="12">
        <v>2</v>
      </c>
    </row>
    <row r="14" spans="1:6">
      <c r="A14" s="12">
        <v>2</v>
      </c>
      <c r="B14" s="12">
        <v>2</v>
      </c>
      <c r="C14" s="12">
        <v>2</v>
      </c>
      <c r="D14" s="12">
        <v>2</v>
      </c>
      <c r="E14" s="12">
        <v>2</v>
      </c>
      <c r="F14" s="12">
        <v>2</v>
      </c>
    </row>
    <row r="15" spans="1:6">
      <c r="A15" s="12">
        <v>-1</v>
      </c>
      <c r="B15" s="12">
        <v>1</v>
      </c>
      <c r="C15" s="12">
        <v>2</v>
      </c>
      <c r="D15" s="12">
        <v>2</v>
      </c>
      <c r="E15" s="12">
        <v>2</v>
      </c>
      <c r="F15" s="12">
        <v>2</v>
      </c>
    </row>
    <row r="16" spans="1:6">
      <c r="A16" s="12">
        <v>2</v>
      </c>
      <c r="B16" s="12">
        <v>2</v>
      </c>
      <c r="C16" s="12">
        <v>1</v>
      </c>
      <c r="D16" s="12">
        <v>2</v>
      </c>
      <c r="E16" s="12">
        <v>2</v>
      </c>
      <c r="F16" s="12">
        <v>2</v>
      </c>
    </row>
    <row r="17" spans="1:6">
      <c r="A17" s="12">
        <v>1</v>
      </c>
      <c r="B17" s="12">
        <v>2</v>
      </c>
      <c r="C17" s="12">
        <v>2</v>
      </c>
      <c r="D17" s="12">
        <v>2</v>
      </c>
      <c r="E17" s="12">
        <v>2</v>
      </c>
      <c r="F17" s="12">
        <v>2</v>
      </c>
    </row>
    <row r="18" spans="1:6">
      <c r="A18" s="12">
        <v>2</v>
      </c>
      <c r="B18" s="12">
        <v>2</v>
      </c>
      <c r="C18" s="12">
        <v>2</v>
      </c>
      <c r="D18" s="12">
        <v>-2</v>
      </c>
      <c r="E18" s="12">
        <v>2</v>
      </c>
      <c r="F18" s="12">
        <v>2</v>
      </c>
    </row>
    <row r="19" spans="1:6">
      <c r="A19" s="12">
        <v>2</v>
      </c>
      <c r="B19" s="12">
        <v>2</v>
      </c>
      <c r="C19" s="12">
        <v>2</v>
      </c>
      <c r="D19" s="12">
        <v>2</v>
      </c>
      <c r="E19" s="12">
        <v>2</v>
      </c>
      <c r="F19" s="12">
        <v>2</v>
      </c>
    </row>
    <row r="20" spans="1:6">
      <c r="A20" s="12">
        <v>-1</v>
      </c>
      <c r="B20" s="12">
        <v>2</v>
      </c>
      <c r="C20" s="12">
        <v>2</v>
      </c>
      <c r="D20" s="12">
        <v>2</v>
      </c>
      <c r="E20" s="12">
        <v>2</v>
      </c>
      <c r="F20" s="12">
        <v>1</v>
      </c>
    </row>
    <row r="21" spans="1:6">
      <c r="A21" s="12">
        <v>1</v>
      </c>
      <c r="B21" s="12">
        <v>1</v>
      </c>
      <c r="C21" s="12">
        <v>2</v>
      </c>
      <c r="D21" s="12">
        <v>2</v>
      </c>
      <c r="E21" s="12">
        <v>1</v>
      </c>
      <c r="F21" s="12">
        <v>1</v>
      </c>
    </row>
    <row r="22" spans="1:6">
      <c r="A22" s="12">
        <v>1</v>
      </c>
      <c r="B22" s="12">
        <v>2</v>
      </c>
      <c r="C22" s="12">
        <v>1</v>
      </c>
      <c r="D22" s="12">
        <v>0</v>
      </c>
      <c r="E22" s="12">
        <v>1</v>
      </c>
      <c r="F22" s="12">
        <v>2</v>
      </c>
    </row>
    <row r="23" spans="1:6">
      <c r="A23" s="12">
        <v>1</v>
      </c>
      <c r="B23" s="12">
        <v>1</v>
      </c>
      <c r="C23" s="12">
        <v>2</v>
      </c>
      <c r="D23" s="12">
        <v>2</v>
      </c>
      <c r="E23" s="12">
        <v>0</v>
      </c>
      <c r="F23" s="12">
        <v>1</v>
      </c>
    </row>
    <row r="24" spans="1:6">
      <c r="A24" s="12">
        <v>2</v>
      </c>
      <c r="B24" s="12">
        <v>2</v>
      </c>
      <c r="C24" s="12">
        <v>2</v>
      </c>
      <c r="D24" s="12">
        <v>1</v>
      </c>
      <c r="E24" s="12">
        <v>2</v>
      </c>
      <c r="F24" s="12">
        <v>2</v>
      </c>
    </row>
    <row r="25" spans="1:6">
      <c r="A25" s="12">
        <v>-2</v>
      </c>
      <c r="B25" s="12">
        <v>-2</v>
      </c>
      <c r="C25" s="12">
        <v>-2</v>
      </c>
      <c r="D25" s="12">
        <v>-1</v>
      </c>
      <c r="E25" s="12">
        <v>-2</v>
      </c>
      <c r="F25" s="12">
        <v>-2</v>
      </c>
    </row>
    <row r="26" spans="1:6">
      <c r="A26" s="12">
        <v>0</v>
      </c>
      <c r="B26" s="12">
        <v>1</v>
      </c>
      <c r="C26" s="12">
        <v>0</v>
      </c>
      <c r="D26" s="12">
        <v>2</v>
      </c>
      <c r="E26" s="12">
        <v>1</v>
      </c>
      <c r="F26" s="12">
        <v>2</v>
      </c>
    </row>
    <row r="29" spans="1:6">
      <c r="A29" s="52" t="s">
        <v>255</v>
      </c>
      <c r="B29" s="52" t="s">
        <v>253</v>
      </c>
      <c r="C29" s="52" t="s">
        <v>253</v>
      </c>
      <c r="D29" s="52" t="s">
        <v>252</v>
      </c>
      <c r="E29" s="52" t="s">
        <v>256</v>
      </c>
      <c r="F29" s="52" t="s">
        <v>254</v>
      </c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54" t="s">
        <v>113</v>
      </c>
      <c r="B33" s="54" t="s">
        <v>114</v>
      </c>
      <c r="C33" s="54" t="s">
        <v>115</v>
      </c>
      <c r="D33" s="12"/>
      <c r="E33" s="12"/>
      <c r="F33" s="12"/>
    </row>
    <row r="34" spans="1:6">
      <c r="A34" s="20" t="s">
        <v>255</v>
      </c>
      <c r="B34" s="21">
        <f>AVERAGE(A2:A26)</f>
        <v>1.28</v>
      </c>
      <c r="C34" s="21">
        <f>STDEV(A2:A26)</f>
        <v>1.1372481406154653</v>
      </c>
      <c r="D34" s="12"/>
      <c r="E34" s="12"/>
      <c r="F34" s="12"/>
    </row>
    <row r="35" spans="1:6">
      <c r="A35" s="20" t="s">
        <v>253</v>
      </c>
      <c r="B35" s="21">
        <f>AVERAGE(B2:C26)</f>
        <v>1.54</v>
      </c>
      <c r="C35" s="21">
        <f>STDEV(B2:C26)</f>
        <v>0.93043768502478752</v>
      </c>
      <c r="D35" s="12"/>
      <c r="E35" s="12"/>
      <c r="F35" s="12"/>
    </row>
    <row r="36" spans="1:6">
      <c r="A36" s="20" t="s">
        <v>252</v>
      </c>
      <c r="B36" s="21">
        <f>AVERAGE(D2:D26)</f>
        <v>1.48</v>
      </c>
      <c r="C36" s="21">
        <f>STDEV(D2:D26)</f>
        <v>1.0456258094238748</v>
      </c>
      <c r="D36" s="12"/>
      <c r="E36" s="12"/>
      <c r="F36" s="12"/>
    </row>
    <row r="37" spans="1:6">
      <c r="A37" s="23" t="s">
        <v>256</v>
      </c>
      <c r="B37" s="21">
        <f>AVERAGE(E2:E26)</f>
        <v>1.48</v>
      </c>
      <c r="C37" s="21">
        <f>STDEV(E2:E26)</f>
        <v>0.96263527187957676</v>
      </c>
      <c r="D37" s="12"/>
      <c r="E37" s="12"/>
      <c r="F37" s="12"/>
    </row>
    <row r="38" spans="1:6">
      <c r="A38" s="20" t="s">
        <v>254</v>
      </c>
      <c r="B38" s="21">
        <f>AVERAGE(F2:F26)</f>
        <v>1.64</v>
      </c>
      <c r="C38" s="21">
        <f>STDEV(F2:F26)</f>
        <v>0.86023252670426276</v>
      </c>
      <c r="D38" s="12"/>
      <c r="E38" s="12"/>
      <c r="F38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Brutos</vt:lpstr>
      <vt:lpstr>Escala Likert</vt:lpstr>
      <vt:lpstr>Analise 1 - Categorias</vt:lpstr>
      <vt:lpstr>Analise 2 - Likert JEDi 2 ano</vt:lpstr>
      <vt:lpstr>Analise 3 - Likert JEDi 3 ano</vt:lpstr>
      <vt:lpstr>Analise 4 - Likert STI 2 ano</vt:lpstr>
      <vt:lpstr>Analise 5 - Likert STI 3 ano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jonesmoreira</dc:creator>
  <cp:lastModifiedBy>jonesmoreira</cp:lastModifiedBy>
  <dcterms:created xsi:type="dcterms:W3CDTF">2024-05-18T12:23:52Z</dcterms:created>
  <dcterms:modified xsi:type="dcterms:W3CDTF">2024-07-08T04:22:06Z</dcterms:modified>
</cp:coreProperties>
</file>