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trentondianovich/Downloads/job/previous work/"/>
    </mc:Choice>
  </mc:AlternateContent>
  <xr:revisionPtr revIDLastSave="0" documentId="8_{FC1E9379-C00F-734C-A013-11CAD60134C4}" xr6:coauthVersionLast="47" xr6:coauthVersionMax="47" xr10:uidLastSave="{00000000-0000-0000-0000-000000000000}"/>
  <bookViews>
    <workbookView xWindow="0" yWindow="740" windowWidth="16580" windowHeight="17460" activeTab="1" xr2:uid="{E5592E0A-3438-4CA5-BFD9-43D24ECD88B7}"/>
  </bookViews>
  <sheets>
    <sheet name="RentRoll" sheetId="8" r:id="rId1"/>
    <sheet name="Cash_Flow" sheetId="2" r:id="rId2"/>
    <sheet name="Loan Amortization" sheetId="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2" i="2" l="1"/>
  <c r="E32" i="2" l="1"/>
  <c r="F32" i="2" s="1"/>
  <c r="G32" i="2" s="1"/>
  <c r="H32" i="2" s="1"/>
  <c r="I32" i="2" s="1"/>
  <c r="J32" i="2" s="1"/>
  <c r="K32" i="2" s="1"/>
  <c r="L32" i="2" s="1"/>
  <c r="M32" i="2" s="1"/>
  <c r="D34" i="2"/>
  <c r="C50" i="2" s="1"/>
  <c r="F39" i="2"/>
  <c r="G39" i="2" s="1"/>
  <c r="E39" i="2"/>
  <c r="D18" i="2"/>
  <c r="D19" i="2"/>
  <c r="E13" i="2"/>
  <c r="E15" i="2"/>
  <c r="E16" i="2"/>
  <c r="E18" i="2"/>
  <c r="E17" i="2"/>
  <c r="E19" i="2"/>
  <c r="E40" i="2"/>
  <c r="D13" i="2"/>
  <c r="F13" i="2"/>
  <c r="G13" i="2"/>
  <c r="H13" i="2"/>
  <c r="I13" i="2"/>
  <c r="J13" i="2"/>
  <c r="K13" i="2"/>
  <c r="L13" i="2"/>
  <c r="M13" i="2"/>
  <c r="D15" i="2"/>
  <c r="D16" i="2"/>
  <c r="D17" i="2"/>
  <c r="D30" i="2"/>
  <c r="F15" i="2"/>
  <c r="G15" i="2"/>
  <c r="H15" i="2"/>
  <c r="I15" i="2"/>
  <c r="J15" i="2"/>
  <c r="K15" i="2"/>
  <c r="L15" i="2"/>
  <c r="M15" i="2"/>
  <c r="D9" i="2"/>
  <c r="D4" i="2"/>
  <c r="F36" i="8"/>
  <c r="C40" i="8"/>
  <c r="C39" i="8"/>
  <c r="M16" i="2"/>
  <c r="M17" i="2"/>
  <c r="M18" i="2"/>
  <c r="M19" i="2"/>
  <c r="E22" i="2"/>
  <c r="F22" i="2"/>
  <c r="G22" i="2"/>
  <c r="H22" i="2"/>
  <c r="I22" i="2"/>
  <c r="J22" i="2"/>
  <c r="K22" i="2"/>
  <c r="L22" i="2"/>
  <c r="M22" i="2"/>
  <c r="E23" i="2"/>
  <c r="F23" i="2" s="1"/>
  <c r="G23" i="2" s="1"/>
  <c r="H23" i="2" s="1"/>
  <c r="I23" i="2" s="1"/>
  <c r="J23" i="2" s="1"/>
  <c r="K23" i="2" s="1"/>
  <c r="L23" i="2" s="1"/>
  <c r="M23" i="2" s="1"/>
  <c r="E24" i="2"/>
  <c r="F24" i="2"/>
  <c r="G24" i="2"/>
  <c r="H24" i="2"/>
  <c r="I24" i="2"/>
  <c r="J24" i="2"/>
  <c r="K24" i="2"/>
  <c r="L24" i="2"/>
  <c r="M24" i="2"/>
  <c r="E25" i="2"/>
  <c r="F25" i="2"/>
  <c r="G25" i="2"/>
  <c r="H25" i="2"/>
  <c r="I25" i="2"/>
  <c r="J25" i="2"/>
  <c r="K25" i="2"/>
  <c r="L25" i="2"/>
  <c r="M25" i="2"/>
  <c r="E26" i="2"/>
  <c r="F26" i="2"/>
  <c r="G26" i="2"/>
  <c r="H26" i="2"/>
  <c r="I26" i="2"/>
  <c r="J26" i="2"/>
  <c r="K26" i="2"/>
  <c r="L26" i="2"/>
  <c r="M26" i="2"/>
  <c r="E27" i="2"/>
  <c r="F27" i="2"/>
  <c r="G27" i="2"/>
  <c r="H27" i="2"/>
  <c r="I27" i="2"/>
  <c r="J27" i="2"/>
  <c r="K27" i="2"/>
  <c r="L27" i="2"/>
  <c r="M27" i="2"/>
  <c r="E28" i="2"/>
  <c r="F28" i="2"/>
  <c r="G28" i="2"/>
  <c r="H28" i="2"/>
  <c r="I28" i="2"/>
  <c r="J28" i="2"/>
  <c r="K28" i="2"/>
  <c r="L28" i="2"/>
  <c r="M28" i="2"/>
  <c r="E29" i="2"/>
  <c r="F29" i="2"/>
  <c r="G29" i="2"/>
  <c r="H29" i="2"/>
  <c r="I29" i="2"/>
  <c r="J29" i="2"/>
  <c r="K29" i="2"/>
  <c r="L29" i="2"/>
  <c r="M29" i="2"/>
  <c r="E9" i="2"/>
  <c r="I9" i="2"/>
  <c r="M9" i="2"/>
  <c r="M30" i="2"/>
  <c r="B1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L16" i="2"/>
  <c r="L17" i="2"/>
  <c r="L18" i="2"/>
  <c r="L19" i="2"/>
  <c r="H9" i="2"/>
  <c r="L9" i="2"/>
  <c r="L30" i="2"/>
  <c r="K16" i="2"/>
  <c r="K17" i="2"/>
  <c r="K18" i="2"/>
  <c r="K19" i="2"/>
  <c r="G9" i="2"/>
  <c r="K9" i="2"/>
  <c r="K30" i="2"/>
  <c r="J16" i="2"/>
  <c r="J17" i="2"/>
  <c r="J18" i="2"/>
  <c r="J19" i="2"/>
  <c r="F9" i="2"/>
  <c r="J9" i="2"/>
  <c r="J30" i="2"/>
  <c r="I16" i="2"/>
  <c r="I17" i="2"/>
  <c r="I18" i="2"/>
  <c r="I19" i="2"/>
  <c r="I30" i="2"/>
  <c r="H16" i="2"/>
  <c r="H17" i="2"/>
  <c r="H18" i="2"/>
  <c r="H19" i="2"/>
  <c r="H30" i="2"/>
  <c r="G16" i="2"/>
  <c r="G17" i="2"/>
  <c r="G18" i="2"/>
  <c r="G19" i="2"/>
  <c r="G30" i="2"/>
  <c r="F16" i="2"/>
  <c r="F17" i="2"/>
  <c r="F18" i="2"/>
  <c r="F19" i="2"/>
  <c r="F30" i="2"/>
  <c r="F40" i="2"/>
  <c r="E30" i="2"/>
  <c r="D40" i="2"/>
  <c r="E28" i="8"/>
  <c r="E29" i="8"/>
  <c r="E30" i="8"/>
  <c r="E31" i="8"/>
  <c r="E36" i="8"/>
  <c r="H28" i="8"/>
  <c r="H29" i="8"/>
  <c r="H30" i="8"/>
  <c r="H31" i="8"/>
  <c r="H36" i="8"/>
  <c r="G17" i="8"/>
  <c r="D17" i="8"/>
  <c r="E17" i="8"/>
  <c r="F14" i="8"/>
  <c r="H14" i="8"/>
  <c r="F15" i="8"/>
  <c r="H15" i="8"/>
  <c r="F16" i="8"/>
  <c r="H16" i="8"/>
  <c r="H10" i="8"/>
  <c r="H11" i="8"/>
  <c r="H12" i="8"/>
  <c r="H13" i="8"/>
  <c r="F10" i="8"/>
  <c r="F11" i="8"/>
  <c r="F12" i="8"/>
  <c r="F13" i="8"/>
  <c r="C36" i="8"/>
  <c r="B25" i="8"/>
  <c r="B5" i="8"/>
  <c r="I28" i="8"/>
  <c r="I29" i="8"/>
  <c r="I30" i="8"/>
  <c r="I31" i="8"/>
  <c r="H32" i="8"/>
  <c r="I32" i="8"/>
  <c r="H33" i="8"/>
  <c r="I33" i="8"/>
  <c r="H34" i="8"/>
  <c r="I34" i="8"/>
  <c r="I36" i="8"/>
  <c r="E32" i="8"/>
  <c r="E33" i="8"/>
  <c r="E34" i="8"/>
  <c r="G36" i="8"/>
  <c r="G34" i="8"/>
  <c r="G33" i="8"/>
  <c r="G32" i="8"/>
  <c r="G31" i="8"/>
  <c r="G30" i="8"/>
  <c r="G29" i="8"/>
  <c r="G28" i="8"/>
  <c r="F8" i="8"/>
  <c r="H8" i="8"/>
  <c r="F9" i="8"/>
  <c r="H9" i="8"/>
  <c r="F17" i="8"/>
  <c r="H17" i="8"/>
  <c r="C56" i="2" l="1"/>
  <c r="C51" i="2"/>
  <c r="C53" i="2" s="1"/>
  <c r="C59" i="2" s="1"/>
  <c r="C68" i="2" s="1"/>
  <c r="D42" i="2"/>
  <c r="D68" i="2" s="1"/>
  <c r="H39" i="2"/>
  <c r="G40" i="2"/>
  <c r="E34" i="2" l="1"/>
  <c r="B12" i="9"/>
  <c r="C60" i="2"/>
  <c r="H40" i="2"/>
  <c r="I39" i="2"/>
  <c r="B14" i="9" l="1"/>
  <c r="B2" i="9" s="1"/>
  <c r="C72" i="2"/>
  <c r="C76" i="2" s="1"/>
  <c r="C58" i="2"/>
  <c r="C61" i="2"/>
  <c r="D65" i="2"/>
  <c r="F34" i="2"/>
  <c r="E42" i="2"/>
  <c r="E68" i="2" s="1"/>
  <c r="E65" i="2"/>
  <c r="I40" i="2"/>
  <c r="J39" i="2"/>
  <c r="G34" i="2" l="1"/>
  <c r="F42" i="2"/>
  <c r="F68" i="2" s="1"/>
  <c r="F65" i="2"/>
  <c r="I66" i="9"/>
  <c r="I10" i="9"/>
  <c r="I74" i="9"/>
  <c r="I19" i="9"/>
  <c r="I83" i="9"/>
  <c r="I120" i="9"/>
  <c r="I20" i="9"/>
  <c r="I92" i="9"/>
  <c r="I29" i="9"/>
  <c r="I93" i="9"/>
  <c r="I38" i="9"/>
  <c r="I102" i="9"/>
  <c r="I25" i="9"/>
  <c r="I31" i="9"/>
  <c r="I103" i="9"/>
  <c r="I48" i="9"/>
  <c r="I33" i="9"/>
  <c r="I43" i="9"/>
  <c r="I44" i="9"/>
  <c r="I62" i="9"/>
  <c r="I55" i="9"/>
  <c r="I72" i="9"/>
  <c r="I106" i="9"/>
  <c r="I115" i="9"/>
  <c r="I97" i="9"/>
  <c r="I52" i="9"/>
  <c r="G3" i="9"/>
  <c r="I61" i="9"/>
  <c r="I6" i="9"/>
  <c r="I111" i="9"/>
  <c r="I63" i="9"/>
  <c r="I114" i="9"/>
  <c r="I60" i="9"/>
  <c r="I14" i="9"/>
  <c r="I119" i="9"/>
  <c r="I88" i="9"/>
  <c r="I18" i="9"/>
  <c r="I82" i="9"/>
  <c r="I27" i="9"/>
  <c r="I91" i="9"/>
  <c r="I17" i="9"/>
  <c r="I28" i="9"/>
  <c r="I116" i="9"/>
  <c r="I37" i="9"/>
  <c r="I101" i="9"/>
  <c r="I46" i="9"/>
  <c r="I110" i="9"/>
  <c r="I57" i="9"/>
  <c r="I39" i="9"/>
  <c r="I41" i="9"/>
  <c r="I56" i="9"/>
  <c r="I65" i="9"/>
  <c r="I45" i="9"/>
  <c r="I54" i="9"/>
  <c r="I73" i="9"/>
  <c r="I105" i="9"/>
  <c r="I34" i="9"/>
  <c r="I81" i="9"/>
  <c r="I53" i="9"/>
  <c r="I95" i="9"/>
  <c r="I8" i="9"/>
  <c r="I51" i="9"/>
  <c r="I70" i="9"/>
  <c r="I121" i="9"/>
  <c r="I80" i="9"/>
  <c r="I84" i="9"/>
  <c r="I69" i="9"/>
  <c r="I7" i="9"/>
  <c r="I24" i="9"/>
  <c r="I26" i="9"/>
  <c r="I90" i="9"/>
  <c r="I35" i="9"/>
  <c r="I99" i="9"/>
  <c r="I36" i="9"/>
  <c r="I49" i="9"/>
  <c r="I109" i="9"/>
  <c r="I118" i="9"/>
  <c r="I47" i="9"/>
  <c r="I64" i="9"/>
  <c r="I98" i="9"/>
  <c r="I107" i="9"/>
  <c r="I113" i="9"/>
  <c r="I117" i="9"/>
  <c r="I89" i="9"/>
  <c r="I42" i="9"/>
  <c r="I16" i="9"/>
  <c r="I50" i="9"/>
  <c r="I59" i="9"/>
  <c r="I3" i="9"/>
  <c r="I5" i="9"/>
  <c r="I78" i="9"/>
  <c r="I71" i="9"/>
  <c r="I58" i="9"/>
  <c r="I122" i="9"/>
  <c r="I67" i="9"/>
  <c r="I100" i="9"/>
  <c r="I4" i="9"/>
  <c r="I68" i="9"/>
  <c r="I13" i="9"/>
  <c r="I77" i="9"/>
  <c r="I22" i="9"/>
  <c r="I86" i="9"/>
  <c r="I104" i="9"/>
  <c r="I15" i="9"/>
  <c r="I79" i="9"/>
  <c r="I32" i="9"/>
  <c r="I96" i="9"/>
  <c r="I11" i="9"/>
  <c r="I75" i="9"/>
  <c r="I108" i="9"/>
  <c r="I12" i="9"/>
  <c r="I76" i="9"/>
  <c r="I21" i="9"/>
  <c r="I85" i="9"/>
  <c r="I30" i="9"/>
  <c r="I94" i="9"/>
  <c r="I9" i="9"/>
  <c r="I23" i="9"/>
  <c r="I87" i="9"/>
  <c r="I40" i="9"/>
  <c r="I112" i="9"/>
  <c r="K39" i="2"/>
  <c r="J40" i="2"/>
  <c r="J3" i="9" l="1"/>
  <c r="K3" i="9"/>
  <c r="G4" i="9" s="1"/>
  <c r="H3" i="9"/>
  <c r="G65" i="2"/>
  <c r="G42" i="2"/>
  <c r="H34" i="2"/>
  <c r="K40" i="2"/>
  <c r="L39" i="2"/>
  <c r="H65" i="2" l="1"/>
  <c r="H42" i="2"/>
  <c r="G68" i="2"/>
  <c r="I34" i="2"/>
  <c r="H44" i="2"/>
  <c r="H72" i="2" s="1"/>
  <c r="F44" i="2"/>
  <c r="M44" i="2"/>
  <c r="K44" i="2"/>
  <c r="K72" i="2" s="1"/>
  <c r="D44" i="2"/>
  <c r="J44" i="2"/>
  <c r="J72" i="2" s="1"/>
  <c r="I44" i="2"/>
  <c r="I72" i="2" s="1"/>
  <c r="E44" i="2"/>
  <c r="G44" i="2"/>
  <c r="L44" i="2"/>
  <c r="L72" i="2" s="1"/>
  <c r="K4" i="9"/>
  <c r="G5" i="9" s="1"/>
  <c r="J4" i="9"/>
  <c r="H4" i="9" s="1"/>
  <c r="L40" i="2"/>
  <c r="M39" i="2"/>
  <c r="M40" i="2" s="1"/>
  <c r="H64" i="2" l="1"/>
  <c r="G64" i="2"/>
  <c r="G72" i="2"/>
  <c r="E64" i="2"/>
  <c r="E72" i="2"/>
  <c r="E46" i="2"/>
  <c r="J34" i="2"/>
  <c r="I65" i="2"/>
  <c r="I64" i="2"/>
  <c r="I42" i="2"/>
  <c r="G46" i="2"/>
  <c r="D46" i="2"/>
  <c r="D64" i="2"/>
  <c r="D72" i="2"/>
  <c r="J5" i="9"/>
  <c r="H5" i="9" s="1"/>
  <c r="K5" i="9"/>
  <c r="G6" i="9" s="1"/>
  <c r="H68" i="2"/>
  <c r="H46" i="2"/>
  <c r="F72" i="2"/>
  <c r="F46" i="2"/>
  <c r="F64" i="2"/>
  <c r="K34" i="2" l="1"/>
  <c r="F76" i="2"/>
  <c r="F79" i="2" s="1"/>
  <c r="F63" i="2"/>
  <c r="D76" i="2"/>
  <c r="D79" i="2" s="1"/>
  <c r="D63" i="2"/>
  <c r="J65" i="2"/>
  <c r="J64" i="2"/>
  <c r="J42" i="2"/>
  <c r="G76" i="2"/>
  <c r="G79" i="2" s="1"/>
  <c r="G63" i="2"/>
  <c r="E63" i="2"/>
  <c r="E76" i="2"/>
  <c r="E79" i="2" s="1"/>
  <c r="H76" i="2"/>
  <c r="H79" i="2" s="1"/>
  <c r="H63" i="2"/>
  <c r="I68" i="2"/>
  <c r="I46" i="2"/>
  <c r="J6" i="9"/>
  <c r="H6" i="9" s="1"/>
  <c r="K6" i="9"/>
  <c r="G7" i="9" s="1"/>
  <c r="K7" i="9" l="1"/>
  <c r="G8" i="9" s="1"/>
  <c r="J7" i="9"/>
  <c r="H7" i="9" s="1"/>
  <c r="L34" i="2"/>
  <c r="M34" i="2"/>
  <c r="I76" i="2"/>
  <c r="I79" i="2" s="1"/>
  <c r="I63" i="2"/>
  <c r="J68" i="2"/>
  <c r="J46" i="2"/>
  <c r="K65" i="2"/>
  <c r="K64" i="2"/>
  <c r="K42" i="2"/>
  <c r="J63" i="2" l="1"/>
  <c r="J76" i="2"/>
  <c r="J79" i="2" s="1"/>
  <c r="M50" i="2"/>
  <c r="M52" i="2" s="1"/>
  <c r="M65" i="2"/>
  <c r="M64" i="2"/>
  <c r="M42" i="2"/>
  <c r="K68" i="2"/>
  <c r="K46" i="2"/>
  <c r="L65" i="2"/>
  <c r="L64" i="2"/>
  <c r="L42" i="2"/>
  <c r="K8" i="9"/>
  <c r="G9" i="9" s="1"/>
  <c r="J8" i="9"/>
  <c r="H8" i="9" s="1"/>
  <c r="K76" i="2" l="1"/>
  <c r="K79" i="2" s="1"/>
  <c r="K63" i="2"/>
  <c r="K9" i="9"/>
  <c r="G10" i="9" s="1"/>
  <c r="J9" i="9"/>
  <c r="H9" i="9" s="1"/>
  <c r="L68" i="2"/>
  <c r="C69" i="2" s="1"/>
  <c r="L46" i="2"/>
  <c r="M68" i="2"/>
  <c r="M46" i="2"/>
  <c r="M63" i="2" s="1"/>
  <c r="L76" i="2" l="1"/>
  <c r="L79" i="2" s="1"/>
  <c r="L63" i="2"/>
  <c r="J10" i="9"/>
  <c r="H10" i="9" s="1"/>
  <c r="K10" i="9"/>
  <c r="G11" i="9" s="1"/>
  <c r="K11" i="9" l="1"/>
  <c r="G12" i="9" s="1"/>
  <c r="J11" i="9"/>
  <c r="H11" i="9" s="1"/>
  <c r="J12" i="9" l="1"/>
  <c r="H12" i="9" s="1"/>
  <c r="K12" i="9"/>
  <c r="G13" i="9" s="1"/>
  <c r="K13" i="9" l="1"/>
  <c r="G14" i="9" s="1"/>
  <c r="J13" i="9"/>
  <c r="H13" i="9" s="1"/>
  <c r="J14" i="9" l="1"/>
  <c r="H14" i="9" s="1"/>
  <c r="K14" i="9"/>
  <c r="G15" i="9" s="1"/>
  <c r="K15" i="9" l="1"/>
  <c r="G16" i="9" s="1"/>
  <c r="J15" i="9"/>
  <c r="H15" i="9" s="1"/>
  <c r="J16" i="9" l="1"/>
  <c r="H16" i="9" s="1"/>
  <c r="K16" i="9"/>
  <c r="G17" i="9" s="1"/>
  <c r="K17" i="9" l="1"/>
  <c r="G18" i="9" s="1"/>
  <c r="J17" i="9"/>
  <c r="H17" i="9" s="1"/>
  <c r="J18" i="9" l="1"/>
  <c r="H18" i="9" s="1"/>
  <c r="K18" i="9"/>
  <c r="G19" i="9" s="1"/>
  <c r="K19" i="9" l="1"/>
  <c r="G20" i="9" s="1"/>
  <c r="J19" i="9"/>
  <c r="H19" i="9" s="1"/>
  <c r="J20" i="9" l="1"/>
  <c r="H20" i="9" s="1"/>
  <c r="K20" i="9"/>
  <c r="G21" i="9" s="1"/>
  <c r="K21" i="9" l="1"/>
  <c r="G22" i="9" s="1"/>
  <c r="J21" i="9"/>
  <c r="H21" i="9" s="1"/>
  <c r="J22" i="9" l="1"/>
  <c r="H22" i="9" s="1"/>
  <c r="K22" i="9"/>
  <c r="G23" i="9" s="1"/>
  <c r="K23" i="9" l="1"/>
  <c r="G24" i="9" s="1"/>
  <c r="J23" i="9"/>
  <c r="H23" i="9" s="1"/>
  <c r="J24" i="9" l="1"/>
  <c r="H24" i="9" s="1"/>
  <c r="K24" i="9"/>
  <c r="G25" i="9" s="1"/>
  <c r="K25" i="9" l="1"/>
  <c r="G26" i="9" s="1"/>
  <c r="J25" i="9"/>
  <c r="H25" i="9" s="1"/>
  <c r="J26" i="9" l="1"/>
  <c r="H26" i="9" s="1"/>
  <c r="K26" i="9"/>
  <c r="G27" i="9" s="1"/>
  <c r="K27" i="9" l="1"/>
  <c r="G28" i="9" s="1"/>
  <c r="J27" i="9"/>
  <c r="H27" i="9" s="1"/>
  <c r="J28" i="9" l="1"/>
  <c r="H28" i="9" s="1"/>
  <c r="K28" i="9"/>
  <c r="G29" i="9" s="1"/>
  <c r="K29" i="9" l="1"/>
  <c r="G30" i="9" s="1"/>
  <c r="J29" i="9"/>
  <c r="H29" i="9" s="1"/>
  <c r="J30" i="9" l="1"/>
  <c r="H30" i="9" s="1"/>
  <c r="K30" i="9"/>
  <c r="G31" i="9" s="1"/>
  <c r="K31" i="9" l="1"/>
  <c r="G32" i="9" s="1"/>
  <c r="J31" i="9"/>
  <c r="H31" i="9" s="1"/>
  <c r="J32" i="9" l="1"/>
  <c r="H32" i="9" s="1"/>
  <c r="K32" i="9"/>
  <c r="G33" i="9" s="1"/>
  <c r="K33" i="9" l="1"/>
  <c r="G34" i="9" s="1"/>
  <c r="J33" i="9"/>
  <c r="H33" i="9" s="1"/>
  <c r="J34" i="9" l="1"/>
  <c r="H34" i="9" s="1"/>
  <c r="K34" i="9"/>
  <c r="G35" i="9" s="1"/>
  <c r="K35" i="9" l="1"/>
  <c r="G36" i="9" s="1"/>
  <c r="J35" i="9"/>
  <c r="H35" i="9" s="1"/>
  <c r="J36" i="9" l="1"/>
  <c r="H36" i="9" s="1"/>
  <c r="K36" i="9"/>
  <c r="G37" i="9" s="1"/>
  <c r="K37" i="9" l="1"/>
  <c r="G38" i="9" s="1"/>
  <c r="J37" i="9"/>
  <c r="H37" i="9" s="1"/>
  <c r="J38" i="9" l="1"/>
  <c r="H38" i="9" s="1"/>
  <c r="K38" i="9"/>
  <c r="G39" i="9" s="1"/>
  <c r="K39" i="9" l="1"/>
  <c r="G40" i="9" s="1"/>
  <c r="J39" i="9"/>
  <c r="H39" i="9" s="1"/>
  <c r="J40" i="9" l="1"/>
  <c r="H40" i="9" s="1"/>
  <c r="K40" i="9"/>
  <c r="G41" i="9" s="1"/>
  <c r="K41" i="9" l="1"/>
  <c r="G42" i="9" s="1"/>
  <c r="J41" i="9"/>
  <c r="H41" i="9" s="1"/>
  <c r="J42" i="9" l="1"/>
  <c r="H42" i="9" s="1"/>
  <c r="K42" i="9"/>
  <c r="G43" i="9" s="1"/>
  <c r="K43" i="9" l="1"/>
  <c r="G44" i="9" s="1"/>
  <c r="J43" i="9"/>
  <c r="H43" i="9" s="1"/>
  <c r="J44" i="9" l="1"/>
  <c r="H44" i="9" s="1"/>
  <c r="K44" i="9"/>
  <c r="G45" i="9" s="1"/>
  <c r="K45" i="9" l="1"/>
  <c r="G46" i="9" s="1"/>
  <c r="J45" i="9"/>
  <c r="H45" i="9" s="1"/>
  <c r="J46" i="9" l="1"/>
  <c r="H46" i="9" s="1"/>
  <c r="K46" i="9"/>
  <c r="G47" i="9" s="1"/>
  <c r="K47" i="9" l="1"/>
  <c r="G48" i="9" s="1"/>
  <c r="J47" i="9"/>
  <c r="H47" i="9" s="1"/>
  <c r="J48" i="9" l="1"/>
  <c r="H48" i="9" s="1"/>
  <c r="K48" i="9"/>
  <c r="G49" i="9" s="1"/>
  <c r="K49" i="9" l="1"/>
  <c r="G50" i="9" s="1"/>
  <c r="J49" i="9"/>
  <c r="H49" i="9" s="1"/>
  <c r="J50" i="9" l="1"/>
  <c r="H50" i="9" s="1"/>
  <c r="K50" i="9"/>
  <c r="G51" i="9" s="1"/>
  <c r="K51" i="9" l="1"/>
  <c r="G52" i="9" s="1"/>
  <c r="J51" i="9"/>
  <c r="H51" i="9" s="1"/>
  <c r="J52" i="9" l="1"/>
  <c r="H52" i="9" s="1"/>
  <c r="K52" i="9"/>
  <c r="G53" i="9" s="1"/>
  <c r="K53" i="9" l="1"/>
  <c r="G54" i="9" s="1"/>
  <c r="J53" i="9"/>
  <c r="H53" i="9" s="1"/>
  <c r="J54" i="9" l="1"/>
  <c r="H54" i="9" s="1"/>
  <c r="K54" i="9"/>
  <c r="G55" i="9" s="1"/>
  <c r="K55" i="9" l="1"/>
  <c r="G56" i="9" s="1"/>
  <c r="J55" i="9"/>
  <c r="H55" i="9" s="1"/>
  <c r="J56" i="9" l="1"/>
  <c r="H56" i="9" s="1"/>
  <c r="K56" i="9"/>
  <c r="G57" i="9" s="1"/>
  <c r="K57" i="9" l="1"/>
  <c r="G58" i="9" s="1"/>
  <c r="J57" i="9"/>
  <c r="H57" i="9" s="1"/>
  <c r="J58" i="9" l="1"/>
  <c r="H58" i="9" s="1"/>
  <c r="K58" i="9"/>
  <c r="G59" i="9" s="1"/>
  <c r="K59" i="9" l="1"/>
  <c r="G60" i="9" s="1"/>
  <c r="J59" i="9"/>
  <c r="H59" i="9" s="1"/>
  <c r="J60" i="9" l="1"/>
  <c r="H60" i="9" s="1"/>
  <c r="K60" i="9"/>
  <c r="G61" i="9" s="1"/>
  <c r="K61" i="9" l="1"/>
  <c r="G62" i="9" s="1"/>
  <c r="J61" i="9"/>
  <c r="H61" i="9" s="1"/>
  <c r="J62" i="9" l="1"/>
  <c r="H62" i="9" s="1"/>
  <c r="K62" i="9"/>
  <c r="G63" i="9" s="1"/>
  <c r="K63" i="9" l="1"/>
  <c r="G64" i="9" s="1"/>
  <c r="J63" i="9"/>
  <c r="H63" i="9" s="1"/>
  <c r="J64" i="9" l="1"/>
  <c r="H64" i="9" s="1"/>
  <c r="K64" i="9"/>
  <c r="G65" i="9" s="1"/>
  <c r="K65" i="9" l="1"/>
  <c r="G66" i="9" s="1"/>
  <c r="J65" i="9"/>
  <c r="H65" i="9" s="1"/>
  <c r="J66" i="9" l="1"/>
  <c r="H66" i="9" s="1"/>
  <c r="K66" i="9"/>
  <c r="G67" i="9" s="1"/>
  <c r="K67" i="9" l="1"/>
  <c r="G68" i="9" s="1"/>
  <c r="J67" i="9"/>
  <c r="H67" i="9" s="1"/>
  <c r="J68" i="9" l="1"/>
  <c r="H68" i="9" s="1"/>
  <c r="K68" i="9"/>
  <c r="G69" i="9" s="1"/>
  <c r="K69" i="9" l="1"/>
  <c r="G70" i="9" s="1"/>
  <c r="J69" i="9"/>
  <c r="H69" i="9" s="1"/>
  <c r="J70" i="9" l="1"/>
  <c r="H70" i="9" s="1"/>
  <c r="K70" i="9"/>
  <c r="G71" i="9" s="1"/>
  <c r="K71" i="9" l="1"/>
  <c r="G72" i="9" s="1"/>
  <c r="J71" i="9"/>
  <c r="H71" i="9" s="1"/>
  <c r="J72" i="9" l="1"/>
  <c r="H72" i="9" s="1"/>
  <c r="K72" i="9"/>
  <c r="G73" i="9" s="1"/>
  <c r="K73" i="9" l="1"/>
  <c r="G74" i="9" s="1"/>
  <c r="J73" i="9"/>
  <c r="H73" i="9" s="1"/>
  <c r="J74" i="9" l="1"/>
  <c r="H74" i="9" s="1"/>
  <c r="K74" i="9"/>
  <c r="G75" i="9" s="1"/>
  <c r="K75" i="9" l="1"/>
  <c r="G76" i="9" s="1"/>
  <c r="J75" i="9"/>
  <c r="H75" i="9" s="1"/>
  <c r="J76" i="9" l="1"/>
  <c r="H76" i="9" s="1"/>
  <c r="K76" i="9"/>
  <c r="G77" i="9" s="1"/>
  <c r="K77" i="9" l="1"/>
  <c r="G78" i="9" s="1"/>
  <c r="J77" i="9"/>
  <c r="H77" i="9" s="1"/>
  <c r="J78" i="9" l="1"/>
  <c r="H78" i="9" s="1"/>
  <c r="K78" i="9"/>
  <c r="G79" i="9" s="1"/>
  <c r="K79" i="9" l="1"/>
  <c r="G80" i="9" s="1"/>
  <c r="J79" i="9"/>
  <c r="H79" i="9" s="1"/>
  <c r="J80" i="9" l="1"/>
  <c r="H80" i="9" s="1"/>
  <c r="K80" i="9"/>
  <c r="G81" i="9" s="1"/>
  <c r="K81" i="9" l="1"/>
  <c r="G82" i="9" s="1"/>
  <c r="J81" i="9"/>
  <c r="H81" i="9" s="1"/>
  <c r="J82" i="9" l="1"/>
  <c r="H82" i="9" s="1"/>
  <c r="K82" i="9"/>
  <c r="G83" i="9" s="1"/>
  <c r="K83" i="9" l="1"/>
  <c r="G84" i="9" s="1"/>
  <c r="J83" i="9"/>
  <c r="H83" i="9" s="1"/>
  <c r="J84" i="9" l="1"/>
  <c r="H84" i="9" s="1"/>
  <c r="K84" i="9"/>
  <c r="G85" i="9" s="1"/>
  <c r="K85" i="9" l="1"/>
  <c r="G86" i="9" s="1"/>
  <c r="J85" i="9"/>
  <c r="H85" i="9" s="1"/>
  <c r="J86" i="9" l="1"/>
  <c r="H86" i="9" s="1"/>
  <c r="K86" i="9"/>
  <c r="G87" i="9" s="1"/>
  <c r="K87" i="9" l="1"/>
  <c r="G88" i="9" s="1"/>
  <c r="J87" i="9"/>
  <c r="H87" i="9" s="1"/>
  <c r="J88" i="9" l="1"/>
  <c r="H88" i="9" s="1"/>
  <c r="K88" i="9"/>
  <c r="G89" i="9" s="1"/>
  <c r="K89" i="9" l="1"/>
  <c r="G90" i="9" s="1"/>
  <c r="J89" i="9"/>
  <c r="H89" i="9" s="1"/>
  <c r="J90" i="9" l="1"/>
  <c r="H90" i="9" s="1"/>
  <c r="K90" i="9"/>
  <c r="G91" i="9" s="1"/>
  <c r="K91" i="9" l="1"/>
  <c r="G92" i="9" s="1"/>
  <c r="J91" i="9"/>
  <c r="H91" i="9" s="1"/>
  <c r="J92" i="9" l="1"/>
  <c r="H92" i="9" s="1"/>
  <c r="K92" i="9"/>
  <c r="G93" i="9" s="1"/>
  <c r="K93" i="9" l="1"/>
  <c r="G94" i="9" s="1"/>
  <c r="J93" i="9"/>
  <c r="H93" i="9" s="1"/>
  <c r="J94" i="9" l="1"/>
  <c r="H94" i="9" s="1"/>
  <c r="K94" i="9"/>
  <c r="G95" i="9" s="1"/>
  <c r="K95" i="9" l="1"/>
  <c r="G96" i="9" s="1"/>
  <c r="J95" i="9"/>
  <c r="H95" i="9" s="1"/>
  <c r="K96" i="9" l="1"/>
  <c r="G97" i="9" s="1"/>
  <c r="J96" i="9"/>
  <c r="H96" i="9" s="1"/>
  <c r="J97" i="9" l="1"/>
  <c r="H97" i="9" s="1"/>
  <c r="K97" i="9"/>
  <c r="G98" i="9" s="1"/>
  <c r="J98" i="9" l="1"/>
  <c r="H98" i="9" s="1"/>
  <c r="K98" i="9"/>
  <c r="G99" i="9" s="1"/>
  <c r="K99" i="9" l="1"/>
  <c r="G100" i="9" s="1"/>
  <c r="J99" i="9"/>
  <c r="H99" i="9" s="1"/>
  <c r="J100" i="9" l="1"/>
  <c r="H100" i="9" s="1"/>
  <c r="K100" i="9"/>
  <c r="G101" i="9" s="1"/>
  <c r="K101" i="9" l="1"/>
  <c r="G102" i="9" s="1"/>
  <c r="J101" i="9"/>
  <c r="H101" i="9" s="1"/>
  <c r="J102" i="9" l="1"/>
  <c r="H102" i="9" s="1"/>
  <c r="K102" i="9"/>
  <c r="G103" i="9" s="1"/>
  <c r="K103" i="9" l="1"/>
  <c r="G104" i="9" s="1"/>
  <c r="J103" i="9"/>
  <c r="H103" i="9" s="1"/>
  <c r="J104" i="9" l="1"/>
  <c r="H104" i="9" s="1"/>
  <c r="K104" i="9"/>
  <c r="G105" i="9" s="1"/>
  <c r="J105" i="9" l="1"/>
  <c r="H105" i="9" s="1"/>
  <c r="K105" i="9"/>
  <c r="G106" i="9" s="1"/>
  <c r="J106" i="9" l="1"/>
  <c r="H106" i="9" s="1"/>
  <c r="K106" i="9"/>
  <c r="G107" i="9" s="1"/>
  <c r="K107" i="9" l="1"/>
  <c r="G108" i="9" s="1"/>
  <c r="J107" i="9"/>
  <c r="H107" i="9" s="1"/>
  <c r="J108" i="9" l="1"/>
  <c r="H108" i="9" s="1"/>
  <c r="K108" i="9"/>
  <c r="G109" i="9" s="1"/>
  <c r="K109" i="9" l="1"/>
  <c r="G110" i="9" s="1"/>
  <c r="J109" i="9"/>
  <c r="H109" i="9" s="1"/>
  <c r="J110" i="9" l="1"/>
  <c r="H110" i="9" s="1"/>
  <c r="K110" i="9"/>
  <c r="G111" i="9" s="1"/>
  <c r="K111" i="9" l="1"/>
  <c r="G112" i="9" s="1"/>
  <c r="J111" i="9"/>
  <c r="H111" i="9" s="1"/>
  <c r="J112" i="9" l="1"/>
  <c r="H112" i="9" s="1"/>
  <c r="K112" i="9"/>
  <c r="G113" i="9" s="1"/>
  <c r="J113" i="9" l="1"/>
  <c r="H113" i="9" s="1"/>
  <c r="K113" i="9"/>
  <c r="G114" i="9" s="1"/>
  <c r="J114" i="9" l="1"/>
  <c r="H114" i="9" s="1"/>
  <c r="K114" i="9"/>
  <c r="G115" i="9" s="1"/>
  <c r="K115" i="9" l="1"/>
  <c r="G116" i="9" s="1"/>
  <c r="J115" i="9"/>
  <c r="H115" i="9" s="1"/>
  <c r="J116" i="9" l="1"/>
  <c r="H116" i="9" s="1"/>
  <c r="K116" i="9"/>
  <c r="G117" i="9" s="1"/>
  <c r="K117" i="9" l="1"/>
  <c r="G118" i="9" s="1"/>
  <c r="J117" i="9"/>
  <c r="H117" i="9" s="1"/>
  <c r="J118" i="9" l="1"/>
  <c r="H118" i="9" s="1"/>
  <c r="K118" i="9"/>
  <c r="G119" i="9" s="1"/>
  <c r="K119" i="9" l="1"/>
  <c r="G120" i="9" s="1"/>
  <c r="J119" i="9"/>
  <c r="H119" i="9" s="1"/>
  <c r="J120" i="9" l="1"/>
  <c r="H120" i="9" s="1"/>
  <c r="K120" i="9"/>
  <c r="G121" i="9" s="1"/>
  <c r="J121" i="9" l="1"/>
  <c r="H121" i="9" s="1"/>
  <c r="K121" i="9"/>
  <c r="G122" i="9" s="1"/>
  <c r="J122" i="9" l="1"/>
  <c r="H122" i="9" s="1"/>
  <c r="K122" i="9"/>
  <c r="B7" i="9" l="1"/>
  <c r="M53" i="2"/>
  <c r="M55" i="2" l="1"/>
  <c r="M72" i="2"/>
  <c r="C73" i="2" s="1"/>
  <c r="M76" i="2" l="1"/>
  <c r="M79" i="2" l="1"/>
  <c r="C79" i="2" s="1"/>
  <c r="C77" i="2"/>
  <c r="C8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Trenton Dianovich</author>
  </authors>
  <commentList>
    <comment ref="C28" authorId="0" shapeId="0" xr:uid="{F3CDB8DE-4D2B-2649-8BFA-CEB282840A2D}">
      <text>
        <r>
          <rPr>
            <sz val="10"/>
            <color rgb="FF000000"/>
            <rFont val="Tahoma"/>
            <family val="2"/>
          </rPr>
          <t xml:space="preserve">One A1 unit not collecting rent.
</t>
        </r>
        <r>
          <rPr>
            <sz val="10"/>
            <color rgb="FF000000"/>
            <rFont val="Tahoma"/>
            <family val="2"/>
          </rPr>
          <t>Total A1 units = 63</t>
        </r>
      </text>
    </comment>
    <comment ref="C29" authorId="0" shapeId="0" xr:uid="{73A709CF-6262-8843-99FF-3653EDA7034E}">
      <text>
        <r>
          <rPr>
            <sz val="10"/>
            <color rgb="FF000000"/>
            <rFont val="Tahoma"/>
            <family val="2"/>
          </rPr>
          <t>Two A2 units not collecting rent. Total A2 units = 62</t>
        </r>
      </text>
    </comment>
    <comment ref="C30" authorId="0" shapeId="0" xr:uid="{CBBB2286-7DF2-5543-AC79-BBD22AD1BEFC}">
      <text>
        <r>
          <rPr>
            <sz val="10"/>
            <color rgb="FF000000"/>
            <rFont val="Tahoma"/>
            <family val="2"/>
          </rPr>
          <t>One B1 unit not collecting rent. Total B1 units = 75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tc={D8EB4348-581B-984A-BE92-9843AB723735}</author>
    <author>tc={79C657C2-3C86-4CAD-90E7-828875DE911E}</author>
    <author>tc={4FC43820-99F7-244F-8CB3-25B48044C39B}</author>
    <author>tc={123E0448-A911-448C-859A-31815EE65730}</author>
    <author>tc={35329663-3A52-41AF-8CB4-9DCE2BADF00A}</author>
    <author>tc={79F92BC5-6BE0-4970-86DE-AE2439CFA44E}</author>
    <author>tc={CC25AA8F-19CB-4C7E-A5EC-78CD5B633552}</author>
    <author>tc={F5097203-2E69-474A-AE3F-584A10EFD77D}</author>
    <author>tc={A4A047DC-CF6A-4A81-8359-A746EEF6738C}</author>
    <author>tc={92CF17E0-E9C7-4B27-A8AA-B9AEBF9DAD55}</author>
    <author>tc={B3ADD399-C47C-459D-8153-DA2F57363768}</author>
    <author>tc={BCD9AB89-4E1D-4705-9505-60ECBBEB804D}</author>
    <author>tc={2E3B2F7A-7718-40E9-ACB4-1F466B578226}</author>
    <author>tc={6BC2EF78-4455-408F-B019-388EDDD1FF3A}</author>
    <author>tc={14D88724-45A6-4A94-9532-2A379FB6FB91}</author>
  </authors>
  <commentList>
    <comment ref="B2" authorId="0" shapeId="0" xr:uid="{D8EB4348-581B-984A-BE92-9843AB723735}">
      <text>
        <t>[Threaded comment]
Your version of Excel allows you to read this threaded comment; however, any edits to it will get removed if the file is opened in a newer version of Excel. Learn more: https://go.microsoft.com/fwlink/?linkid=870924
Comment:
    IF NOT INSTRUCTED, ASSUMPTIONS MUST BE SUPPORTED USING MARKET RESEARCH</t>
      </text>
    </comment>
    <comment ref="B8" authorId="1" shapeId="0" xr:uid="{79C657C2-3C86-4CAD-90E7-828875DE911E}">
      <text>
        <t xml:space="preserve">[Threaded comment]
Your version of Excel allows you to read this threaded comment; however, any edits to it will get removed if the file is opened in a newer version of Excel. Learn more: https://go.microsoft.com/fwlink/?linkid=870924
Comment:
    Reserved dollars for future major repairs to building components (e.g., roof replacement, new parking). </t>
      </text>
    </comment>
    <comment ref="D13" authorId="2" shapeId="0" xr:uid="{4FC43820-99F7-244F-8CB3-25B48044C39B}">
      <text>
        <t>[Threaded comment]
Your version of Excel allows you to read this threaded comment; however, any edits to it will get removed if the file is opened in a newer version of Excel. Learn more: https://go.microsoft.com/fwlink/?linkid=870924
Comment:
    LINK TO RENT ROLL TOTAL POTENTIAL BASE RENTAL</t>
      </text>
    </comment>
    <comment ref="C49" authorId="3" shapeId="0" xr:uid="{123E0448-A911-448C-859A-31815EE65730}">
      <text>
        <t>[Threaded comment]
Your version of Excel allows you to read this threaded comment; however, any edits to it will get removed if the file is opened in a newer version of Excel. Learn more: https://go.microsoft.com/fwlink/?linkid=870924
Comment:
    ENTER THE RECOMMENDED CAP RATE BASED ON MARKET DATA</t>
      </text>
    </comment>
    <comment ref="M49" authorId="4" shapeId="0" xr:uid="{35329663-3A52-41AF-8CB4-9DCE2BADF00A}">
      <text>
        <t>[Threaded comment]
Your version of Excel allows you to read this threaded comment; however, any edits to it will get removed if the file is opened in a newer version of Excel. Learn more: https://go.microsoft.com/fwlink/?linkid=870924
Comment:
    ENTER THE CAP RATE TO BE USED IN THE FUTURE SALE (A.K.A. TERMINAL VALUE CAP RATE OR EXIT CAP RATE)</t>
      </text>
    </comment>
    <comment ref="C50" authorId="5" shapeId="0" xr:uid="{79F92BC5-6BE0-4970-86DE-AE2439CFA44E}">
      <text>
        <t>[Threaded comment]
Your version of Excel allows you to read this threaded comment; however, any edits to it will get removed if the file is opened in a newer version of Excel. Learn more: https://go.microsoft.com/fwlink/?linkid=870924
Comment:
    ACQUISITION PRICE OR TOTAL COST</t>
      </text>
    </comment>
    <comment ref="M50" authorId="6" shapeId="0" xr:uid="{CC25AA8F-19CB-4C7E-A5EC-78CD5B633552}">
      <text>
        <t>[Threaded comment]
Your version of Excel allows you to read this threaded comment; however, any edits to it will get removed if the file is opened in a newer version of Excel. Learn more: https://go.microsoft.com/fwlink/?linkid=870924
Comment:
    ASSUMED FUTURE SALE VALUE (A.K.A. TERMINAL VALUE OR EXIT VALUE). THIS IS TO BE BASED ON CAP RATE PROJECTED FOR FUTURE SALE DATE AND THE YEAR OF THE SALE. BY DEFAULT, THIS IS SET TO YEAR 10, BUT WILL NEED CHANGED IF A DIFFERENT YEAR OF SALE IS NEEDED.</t>
      </text>
    </comment>
    <comment ref="C51" authorId="7" shapeId="0" xr:uid="{F5097203-2E69-474A-AE3F-584A10EFD77D}">
      <text>
        <t xml:space="preserve">[Threaded comment]
Your version of Excel allows you to read this threaded comment; however, any edits to it will get removed if the file is opened in a newer version of Excel. Learn more: https://go.microsoft.com/fwlink/?linkid=870924
Comment:
    ENTER THE TOTAL ACQUISITION PRICE. DO NOT USE A REFERENCE FORMULA, BE SURE TO HAND KEY. </t>
      </text>
    </comment>
    <comment ref="C52" authorId="8" shapeId="0" xr:uid="{A4A047DC-CF6A-4A81-8359-A746EEF6738C}">
      <text>
        <t>[Threaded comment]
Your version of Excel allows you to read this threaded comment; however, any edits to it will get removed if the file is opened in a newer version of Excel. Learn more: https://go.microsoft.com/fwlink/?linkid=870924
Comment:
    Other costs such as closing costs, and initial capital items (roofs, parking, deferred maintenance, equipment, etc.).</t>
      </text>
    </comment>
    <comment ref="M55" authorId="9" shapeId="0" xr:uid="{92CF17E0-E9C7-4B27-A8AA-B9AEBF9DAD55}">
      <text>
        <t>[Threaded comment]
Your version of Excel allows you to read this threaded comment; however, any edits to it will get removed if the file is opened in a newer version of Excel. Learn more: https://go.microsoft.com/fwlink/?linkid=870924
Comment:
    SEE CLASS OR TEXTBOOK FOR RESIDUAL VALUE</t>
      </text>
    </comment>
    <comment ref="C56" authorId="10" shapeId="0" xr:uid="{B3ADD399-C47C-459D-8153-DA2F57363768}">
      <text>
        <t>[Threaded comment]
Your version of Excel allows you to read this threaded comment; however, any edits to it will get removed if the file is opened in a newer version of Excel. Learn more: https://go.microsoft.com/fwlink/?linkid=870924
Comment:
    ENTER THE ACQUISITION PRICE OR THE STABILIZED PROJECTED VALUE FOR A DEVELOPMENT PROJECT. DO NOT USE A REFERENCE FORMULA. BE SURE TO HAND KEY THIS CELL.</t>
      </text>
    </comment>
    <comment ref="C57" authorId="11" shapeId="0" xr:uid="{BCD9AB89-4E1D-4705-9505-60ECBBEB804D}">
      <text>
        <t xml:space="preserve">[Threaded comment]
Your version of Excel allows you to read this threaded comment; however, any edits to it will get removed if the file is opened in a newer version of Excel. Learn more: https://go.microsoft.com/fwlink/?linkid=870924
Comment:
    ENTER DESIRED LTV, BE CAREFUL TO CHECK OTHER LENDER METRICS FOR LOAN QUALIFICATION. </t>
      </text>
    </comment>
    <comment ref="C69" authorId="12" shapeId="0" xr:uid="{2E3B2F7A-7718-40E9-ACB4-1F466B578226}">
      <text>
        <t xml:space="preserve">[Threaded comment]
Your version of Excel allows you to read this threaded comment; however, any edits to it will get removed if the file is opened in a newer version of Excel. Learn more: https://go.microsoft.com/fwlink/?linkid=870924
Comment:
    Also known as property-level IRR, this IRR assumes no use of debt financing in an investment. This is the discount rate that sets the NPV of expected future project cash flows equal to zero. It tells the average annual compounded return on every dollar invested for the project duration. 
</t>
      </text>
    </comment>
    <comment ref="C77" authorId="13" shapeId="0" xr:uid="{6BC2EF78-4455-408F-B019-388EDDD1FF3A}">
      <text>
        <t xml:space="preserve">[Threaded comment]
Your version of Excel allows you to read this threaded comment; however, any edits to it will get removed if the file is opened in a newer version of Excel. Learn more: https://go.microsoft.com/fwlink/?linkid=870924
Comment:
    This is the discount rate that sets the NPV of expected future equity cash flows equal to zero. It tells the equity investor the average annual compounded return on every cash equity dollar invested for the investment duration. </t>
      </text>
    </comment>
    <comment ref="C81" authorId="14" shapeId="0" xr:uid="{14D88724-45A6-4A94-9532-2A379FB6FB91}">
      <text>
        <t xml:space="preserve">[Threaded comment]
Your version of Excel allows you to read this threaded comment; however, any edits to it will get removed if the file is opened in a newer version of Excel. Learn more: https://go.microsoft.com/fwlink/?linkid=870924
Comment:
    The present value of the cash flows the investment generates minus your initial investment. </t>
      </text>
    </comment>
  </commentList>
</comments>
</file>

<file path=xl/sharedStrings.xml><?xml version="1.0" encoding="utf-8"?>
<sst xmlns="http://schemas.openxmlformats.org/spreadsheetml/2006/main" count="191" uniqueCount="119">
  <si>
    <t>COMMERCIAL PROPERTY RENT ROLL (NOT APARTMENTS)</t>
  </si>
  <si>
    <t>Property Size</t>
  </si>
  <si>
    <t>Lease</t>
  </si>
  <si>
    <t xml:space="preserve">Monthly </t>
  </si>
  <si>
    <t xml:space="preserve">Annual </t>
  </si>
  <si>
    <t>Tenant Name</t>
  </si>
  <si>
    <t>Type</t>
  </si>
  <si>
    <t>Size</t>
  </si>
  <si>
    <t>Rent</t>
  </si>
  <si>
    <t>Rent/SF</t>
  </si>
  <si>
    <t xml:space="preserve">  TOTAL</t>
  </si>
  <si>
    <t>APARTMENTS RENT ROLL</t>
  </si>
  <si>
    <t>Unit</t>
  </si>
  <si>
    <t>Number of</t>
  </si>
  <si>
    <t>Total Units</t>
  </si>
  <si>
    <t>Monthly</t>
  </si>
  <si>
    <t>Annual</t>
  </si>
  <si>
    <t>Units</t>
  </si>
  <si>
    <t>Rent/Unit</t>
  </si>
  <si>
    <t>1br/1ba</t>
  </si>
  <si>
    <t>ASSUMPTIONS TABLE</t>
  </si>
  <si>
    <t>Year 0</t>
  </si>
  <si>
    <t>Year 1</t>
  </si>
  <si>
    <t>Year 2</t>
  </si>
  <si>
    <t>Year 3</t>
  </si>
  <si>
    <t>Year 4</t>
  </si>
  <si>
    <t>Year 5</t>
  </si>
  <si>
    <t>Year 6</t>
  </si>
  <si>
    <t>Year 7</t>
  </si>
  <si>
    <t>Year 8</t>
  </si>
  <si>
    <t>Year 9</t>
  </si>
  <si>
    <t>Year 10</t>
  </si>
  <si>
    <t>Rent/Income  % Growth</t>
  </si>
  <si>
    <t>Vacancy Rate % GPR</t>
  </si>
  <si>
    <t>Credit Loss %</t>
  </si>
  <si>
    <t>Expense % Growth</t>
  </si>
  <si>
    <t>Management Fee %</t>
  </si>
  <si>
    <t>Reserves/CapX (SF or UNIT)</t>
  </si>
  <si>
    <t>Size (SF or UNIT)</t>
  </si>
  <si>
    <t>Potential Gross Base Rent</t>
  </si>
  <si>
    <t>Potential Expense Reimbursements</t>
  </si>
  <si>
    <t>Other Income</t>
  </si>
  <si>
    <t>Potential Gross Revenue (PGR)</t>
  </si>
  <si>
    <t>LESS: Vacancy</t>
  </si>
  <si>
    <t>LESS: Credit Loss</t>
  </si>
  <si>
    <t>LESS: OPERATING EXPENSES</t>
  </si>
  <si>
    <t xml:space="preserve">  Utilities</t>
  </si>
  <si>
    <t xml:space="preserve">  Administrative</t>
  </si>
  <si>
    <t xml:space="preserve">  Other/Misc.</t>
  </si>
  <si>
    <t xml:space="preserve">  Reserves/CapX</t>
  </si>
  <si>
    <t xml:space="preserve">  Management Fee</t>
  </si>
  <si>
    <t>TOTAL OPERATING EXPENSES</t>
  </si>
  <si>
    <t>NET OPERATING INCOME (NOI)</t>
  </si>
  <si>
    <t>LESS: CAPITAL/LEASING COSTS</t>
  </si>
  <si>
    <t xml:space="preserve">  Tenant Improvements</t>
  </si>
  <si>
    <t xml:space="preserve">  Leasing Commissions</t>
  </si>
  <si>
    <t xml:space="preserve">  Capital Expenditures</t>
  </si>
  <si>
    <t>TOTAL CAPITAL/LEASING COSTS</t>
  </si>
  <si>
    <t>CASH FLOW BEFORE DEBT SERVICE</t>
  </si>
  <si>
    <t>LESS: ANNUAL DEBT SERVICE (ADS)</t>
  </si>
  <si>
    <t xml:space="preserve">   CAP RATE - Going In</t>
  </si>
  <si>
    <t>VALUE - Going In (NOI/CAP RATE)</t>
  </si>
  <si>
    <t>PURCHASE PRICE</t>
  </si>
  <si>
    <t>OTHER COSTS</t>
  </si>
  <si>
    <t>TOTAL PROJECT COSTS</t>
  </si>
  <si>
    <t>LTV-Loan to Value</t>
  </si>
  <si>
    <t>LTC-Loan to Cost (Total Project Cost)</t>
  </si>
  <si>
    <t>VALUE</t>
  </si>
  <si>
    <t>TOTAL PROJECT COST</t>
  </si>
  <si>
    <t>Projected Value @ Sale Year</t>
  </si>
  <si>
    <t>T-CHART PROJECT LEVEL</t>
  </si>
  <si>
    <t>IRR - PROJECT ===============&gt;&gt;</t>
  </si>
  <si>
    <t>T-CHART LENDER LEVEL</t>
  </si>
  <si>
    <t>IRR - LENDER ===============&gt;&gt;</t>
  </si>
  <si>
    <t>T-CHART INVESTOR (CASH EQUITY)</t>
  </si>
  <si>
    <t>IRR - INVESTOR ================&gt;&gt;</t>
  </si>
  <si>
    <t>Present Value PV</t>
  </si>
  <si>
    <t>Discount Rate</t>
  </si>
  <si>
    <t>Net Present Value NPV</t>
  </si>
  <si>
    <t>Loan Terms</t>
  </si>
  <si>
    <t xml:space="preserve">Loan Ammortization </t>
  </si>
  <si>
    <t xml:space="preserve">Loan Amount </t>
  </si>
  <si>
    <t xml:space="preserve">Month </t>
  </si>
  <si>
    <t xml:space="preserve">Beginning Balance </t>
  </si>
  <si>
    <t>Total Payment</t>
  </si>
  <si>
    <t xml:space="preserve">Principal Payment </t>
  </si>
  <si>
    <t>Interest Payment</t>
  </si>
  <si>
    <t xml:space="preserve">Ending Balance </t>
  </si>
  <si>
    <t>Amortization</t>
  </si>
  <si>
    <t xml:space="preserve">Interest Only Period </t>
  </si>
  <si>
    <t xml:space="preserve">Rate </t>
  </si>
  <si>
    <t>Term</t>
  </si>
  <si>
    <t>Balloon Payment</t>
  </si>
  <si>
    <t>Loan Amount</t>
  </si>
  <si>
    <t>Property Price</t>
  </si>
  <si>
    <t>LTV</t>
  </si>
  <si>
    <r>
      <t xml:space="preserve">[ROR] CASH-ON-CASH RETURN </t>
    </r>
    <r>
      <rPr>
        <b/>
        <sz val="8"/>
        <color rgb="FF7030A0"/>
        <rFont val="Calibri (Body)"/>
      </rPr>
      <t xml:space="preserve">(BTCF/CASH EQUITY) </t>
    </r>
    <r>
      <rPr>
        <b/>
        <sz val="8"/>
        <color theme="1"/>
        <rFont val="Calibri"/>
        <family val="2"/>
        <scheme val="minor"/>
      </rPr>
      <t>=</t>
    </r>
  </si>
  <si>
    <r>
      <t>[DSCR] DEBT SERVICE COVERAGE RATIO</t>
    </r>
    <r>
      <rPr>
        <b/>
        <sz val="8"/>
        <color rgb="FF7030A0"/>
        <rFont val="Calibri (Body)"/>
      </rPr>
      <t xml:space="preserve"> (NOI/ADS)</t>
    </r>
    <r>
      <rPr>
        <b/>
        <sz val="8"/>
        <color theme="1"/>
        <rFont val="Calibri"/>
        <family val="2"/>
        <scheme val="minor"/>
      </rPr>
      <t xml:space="preserve"> =</t>
    </r>
  </si>
  <si>
    <r>
      <t xml:space="preserve"> [DY] DEBT YIELD</t>
    </r>
    <r>
      <rPr>
        <b/>
        <sz val="8"/>
        <color rgb="FF7030A0"/>
        <rFont val="Calibri"/>
        <family val="2"/>
        <scheme val="minor"/>
      </rPr>
      <t xml:space="preserve"> (NOI/LOAN AMOUNT)</t>
    </r>
    <r>
      <rPr>
        <b/>
        <sz val="8"/>
        <color theme="1"/>
        <rFont val="Calibri"/>
        <family val="2"/>
        <scheme val="minor"/>
      </rPr>
      <t>=</t>
    </r>
  </si>
  <si>
    <t>NET CASH FLOW (BTCF)</t>
  </si>
  <si>
    <t>LESS: Commission&amp;Closing Cost@ Sale Year</t>
  </si>
  <si>
    <t>LESS: Projected Loan Balance@ Sale Year</t>
  </si>
  <si>
    <r>
      <rPr>
        <b/>
        <u/>
        <sz val="9"/>
        <color theme="1"/>
        <rFont val="Calibri (Body)"/>
      </rPr>
      <t xml:space="preserve">Residual </t>
    </r>
    <r>
      <rPr>
        <b/>
        <sz val="9"/>
        <color theme="1"/>
        <rFont val="Calibri"/>
        <family val="2"/>
        <scheme val="minor"/>
      </rPr>
      <t xml:space="preserve">Cash Proceeds @ Sale Year </t>
    </r>
  </si>
  <si>
    <t>SALE YEAR VALUE</t>
  </si>
  <si>
    <t>SALE YEAR CAP RATE</t>
  </si>
  <si>
    <t>= INVESTOR CASH EQUITY</t>
  </si>
  <si>
    <t>(LESS: LOAN AMOUNT)</t>
  </si>
  <si>
    <t>2br/2ba</t>
  </si>
  <si>
    <t>3br/2ba</t>
  </si>
  <si>
    <t>Current Vacant Units</t>
  </si>
  <si>
    <t>Current Vacancy Rate</t>
  </si>
  <si>
    <t>Scheduled Move Outs</t>
  </si>
  <si>
    <t xml:space="preserve">  Repairs &amp; Maintenance</t>
  </si>
  <si>
    <t xml:space="preserve">  Taxes &amp; Insurance</t>
  </si>
  <si>
    <t xml:space="preserve">  Advertising &amp; Marketing</t>
  </si>
  <si>
    <t xml:space="preserve">  Professional Services</t>
  </si>
  <si>
    <t xml:space="preserve">  Personnel</t>
  </si>
  <si>
    <t>Current Occupancy Rate</t>
  </si>
  <si>
    <t>Effective Gross Income (EGI)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</si>
</sst>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44" formatCode="_(&quot;$&quot;* #,##0.00_);_(&quot;$&quot;* \(#,##0.00\);_(&quot;$&quot;* &quot;-&quot;??_);_(@_)"/>
    <numFmt numFmtId="43" formatCode="_(* #,##0.00_);_(* \(#,##0.00\);_(* &quot;-&quot;??_);_(@_)"/>
    <numFmt numFmtId="164" formatCode="0_);\(0\)"/>
    <numFmt numFmtId="165" formatCode="_(&quot;$&quot;* #,##0_);_(&quot;$&quot;* \(#,##0\);_(&quot;$&quot;* &quot;-&quot;??_);_(@_)"/>
    <numFmt numFmtId="166" formatCode="_(* #,##0_);_(* \(#,##0\);_(* &quot;-&quot;??_);_(@_)"/>
    <numFmt numFmtId="167" formatCode="0.0%"/>
    <numFmt numFmtId="168" formatCode="0.0000%"/>
    <numFmt numFmtId="169" formatCode="&quot;$&quot;#,##0"/>
    <numFmt numFmtId="170" formatCode="0\ &quot;Years&quot;\ "/>
    <numFmt numFmtId="171" formatCode="0\ &quot;Months&quot;\ "/>
    <numFmt numFmtId="172" formatCode="&quot;$&quot;#,##0.00"/>
  </numFmts>
  <fonts count="28" x14ac:knownFonts="1">
    <font>
      <sz val="11"/>
      <color theme="1"/>
      <name val="Calibri"/>
      <family val="2"/>
      <scheme val="minor"/>
    </font>
    <font>
      <sz val="11"/>
      <color theme="1"/>
      <name val="Calibri"/>
      <family val="2"/>
      <scheme val="minor"/>
    </font>
    <font>
      <sz val="9"/>
      <color theme="1"/>
      <name val="Calibri"/>
      <family val="2"/>
      <scheme val="minor"/>
    </font>
    <font>
      <sz val="9"/>
      <color theme="1" tint="0.34998626667073579"/>
      <name val="Calibri"/>
      <family val="2"/>
      <scheme val="minor"/>
    </font>
    <font>
      <b/>
      <sz val="9"/>
      <color theme="1" tint="0.34998626667073579"/>
      <name val="Calibri"/>
      <family val="2"/>
      <scheme val="minor"/>
    </font>
    <font>
      <b/>
      <sz val="9"/>
      <color rgb="FFFF0000"/>
      <name val="Calibri"/>
      <family val="2"/>
      <scheme val="minor"/>
    </font>
    <font>
      <sz val="12"/>
      <color theme="1"/>
      <name val="Calibri"/>
      <family val="2"/>
      <scheme val="minor"/>
    </font>
    <font>
      <sz val="9"/>
      <color rgb="FFFF0000"/>
      <name val="Calibri"/>
      <family val="2"/>
      <scheme val="minor"/>
    </font>
    <font>
      <sz val="9"/>
      <color theme="2" tint="-0.89999084444715716"/>
      <name val="Calibri"/>
      <family val="2"/>
      <scheme val="minor"/>
    </font>
    <font>
      <b/>
      <sz val="9"/>
      <color rgb="FF002060"/>
      <name val="Calibri"/>
      <family val="2"/>
      <scheme val="minor"/>
    </font>
    <font>
      <sz val="9"/>
      <color rgb="FF002060"/>
      <name val="Calibri"/>
      <family val="2"/>
      <scheme val="minor"/>
    </font>
    <font>
      <b/>
      <sz val="9"/>
      <color theme="1"/>
      <name val="Calibri"/>
      <family val="2"/>
      <scheme val="minor"/>
    </font>
    <font>
      <sz val="9"/>
      <name val="Calibri"/>
      <family val="2"/>
      <scheme val="minor"/>
    </font>
    <font>
      <b/>
      <sz val="9"/>
      <name val="Calibri"/>
      <family val="2"/>
      <scheme val="minor"/>
    </font>
    <font>
      <sz val="20"/>
      <color theme="1"/>
      <name val="Calibri"/>
      <family val="2"/>
      <scheme val="minor"/>
    </font>
    <font>
      <b/>
      <sz val="10"/>
      <color theme="1"/>
      <name val="Calibri"/>
      <family val="2"/>
      <scheme val="minor"/>
    </font>
    <font>
      <sz val="12"/>
      <color theme="0"/>
      <name val="Franklin Gothic Book"/>
      <family val="2"/>
    </font>
    <font>
      <sz val="12"/>
      <color theme="1"/>
      <name val="Franklin Gothic Book"/>
      <family val="2"/>
    </font>
    <font>
      <b/>
      <u/>
      <sz val="12"/>
      <color theme="0"/>
      <name val="Franklin Gothic Book"/>
      <family val="2"/>
    </font>
    <font>
      <b/>
      <sz val="12"/>
      <color theme="4"/>
      <name val="Franklin Gothic Book"/>
      <family val="2"/>
    </font>
    <font>
      <b/>
      <sz val="12"/>
      <color theme="1"/>
      <name val="Franklin Gothic Book"/>
      <family val="2"/>
    </font>
    <font>
      <b/>
      <sz val="12"/>
      <name val="Franklin Gothic Book"/>
      <family val="2"/>
    </font>
    <font>
      <b/>
      <sz val="8"/>
      <color theme="1"/>
      <name val="Calibri"/>
      <family val="2"/>
      <scheme val="minor"/>
    </font>
    <font>
      <b/>
      <sz val="8"/>
      <color rgb="FF7030A0"/>
      <name val="Calibri (Body)"/>
    </font>
    <font>
      <b/>
      <sz val="8"/>
      <color rgb="FF7030A0"/>
      <name val="Calibri"/>
      <family val="2"/>
      <scheme val="minor"/>
    </font>
    <font>
      <b/>
      <sz val="8"/>
      <color rgb="FF002060"/>
      <name val="Calibri"/>
      <family val="2"/>
      <scheme val="minor"/>
    </font>
    <font>
      <b/>
      <u/>
      <sz val="9"/>
      <color theme="1"/>
      <name val="Calibri (Body)"/>
    </font>
    <font>
      <sz val="10"/>
      <color rgb="FF000000"/>
      <name val="Tahoma"/>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4" tint="0.79998168889431442"/>
        <bgColor indexed="64"/>
      </patternFill>
    </fill>
  </fills>
  <borders count="18">
    <border>
      <left/>
      <right/>
      <top/>
      <bottom/>
      <diagonal/>
    </border>
    <border>
      <left/>
      <right/>
      <top/>
      <bottom style="thin">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s>
  <cellStyleXfs count="7">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9" fontId="6" fillId="0" borderId="0" applyFont="0" applyFill="0" applyBorder="0" applyAlignment="0" applyProtection="0"/>
    <xf numFmtId="44" fontId="6" fillId="0" borderId="0" applyFont="0" applyFill="0" applyBorder="0" applyAlignment="0" applyProtection="0"/>
    <xf numFmtId="43" fontId="1" fillId="0" borderId="0" applyFont="0" applyFill="0" applyBorder="0" applyAlignment="0" applyProtection="0"/>
  </cellStyleXfs>
  <cellXfs count="130">
    <xf numFmtId="0" fontId="0" fillId="0" borderId="0" xfId="0"/>
    <xf numFmtId="0" fontId="2" fillId="0" borderId="0" xfId="0" applyFont="1"/>
    <xf numFmtId="0" fontId="3" fillId="0" borderId="0" xfId="0" applyFont="1" applyAlignment="1">
      <alignment horizontal="left" indent="1"/>
    </xf>
    <xf numFmtId="38" fontId="3" fillId="0" borderId="0" xfId="1" applyNumberFormat="1" applyFont="1" applyFill="1" applyBorder="1"/>
    <xf numFmtId="38" fontId="4" fillId="0" borderId="0" xfId="1" applyNumberFormat="1" applyFont="1" applyFill="1" applyBorder="1"/>
    <xf numFmtId="0" fontId="4" fillId="0" borderId="0" xfId="0" applyFont="1" applyAlignment="1">
      <alignment horizontal="left" indent="1"/>
    </xf>
    <xf numFmtId="38" fontId="3" fillId="0" borderId="0" xfId="1" applyNumberFormat="1" applyFont="1" applyFill="1" applyBorder="1" applyAlignment="1"/>
    <xf numFmtId="0" fontId="3" fillId="0" borderId="0" xfId="0" applyFont="1"/>
    <xf numFmtId="0" fontId="3" fillId="0" borderId="0" xfId="0" applyFont="1" applyAlignment="1">
      <alignment horizontal="left" vertical="top" indent="1"/>
    </xf>
    <xf numFmtId="0" fontId="4" fillId="0" borderId="0" xfId="0" applyFont="1"/>
    <xf numFmtId="164" fontId="3" fillId="0" borderId="0" xfId="0" applyNumberFormat="1" applyFont="1" applyAlignment="1">
      <alignment horizontal="right"/>
    </xf>
    <xf numFmtId="164" fontId="3" fillId="0" borderId="0" xfId="0" applyNumberFormat="1" applyFont="1"/>
    <xf numFmtId="43" fontId="2" fillId="0" borderId="0" xfId="0" applyNumberFormat="1" applyFont="1"/>
    <xf numFmtId="0" fontId="6" fillId="0" borderId="0" xfId="3"/>
    <xf numFmtId="166" fontId="0" fillId="0" borderId="0" xfId="6" applyNumberFormat="1" applyFont="1"/>
    <xf numFmtId="43" fontId="0" fillId="0" borderId="0" xfId="6" applyFont="1"/>
    <xf numFmtId="166" fontId="0" fillId="0" borderId="1" xfId="6" applyNumberFormat="1" applyFont="1" applyBorder="1"/>
    <xf numFmtId="166" fontId="0" fillId="0" borderId="0" xfId="0" applyNumberFormat="1"/>
    <xf numFmtId="166" fontId="2" fillId="0" borderId="0" xfId="6" applyNumberFormat="1" applyFont="1"/>
    <xf numFmtId="0" fontId="0" fillId="0" borderId="0" xfId="0" applyAlignment="1">
      <alignment horizontal="center"/>
    </xf>
    <xf numFmtId="0" fontId="0" fillId="0" borderId="1" xfId="0" applyBorder="1"/>
    <xf numFmtId="0" fontId="0" fillId="0" borderId="1" xfId="0" applyBorder="1" applyAlignment="1">
      <alignment horizontal="center"/>
    </xf>
    <xf numFmtId="166" fontId="0" fillId="0" borderId="0" xfId="6" applyNumberFormat="1" applyFont="1" applyAlignment="1"/>
    <xf numFmtId="0" fontId="0" fillId="0" borderId="0" xfId="0" applyAlignment="1">
      <alignment horizontal="right"/>
    </xf>
    <xf numFmtId="166" fontId="2" fillId="0" borderId="0" xfId="0" applyNumberFormat="1" applyFont="1"/>
    <xf numFmtId="10" fontId="2" fillId="2" borderId="0" xfId="2" applyNumberFormat="1" applyFont="1" applyFill="1"/>
    <xf numFmtId="166" fontId="7" fillId="0" borderId="0" xfId="6" applyNumberFormat="1" applyFont="1"/>
    <xf numFmtId="44" fontId="0" fillId="0" borderId="0" xfId="1" applyFont="1"/>
    <xf numFmtId="165" fontId="0" fillId="0" borderId="0" xfId="1" applyNumberFormat="1" applyFont="1"/>
    <xf numFmtId="0" fontId="7" fillId="0" borderId="0" xfId="0" applyFont="1" applyAlignment="1">
      <alignment horizontal="left" indent="1"/>
    </xf>
    <xf numFmtId="166" fontId="7" fillId="0" borderId="0" xfId="0" applyNumberFormat="1" applyFont="1"/>
    <xf numFmtId="167" fontId="2" fillId="0" borderId="0" xfId="2" applyNumberFormat="1" applyFont="1"/>
    <xf numFmtId="38" fontId="7" fillId="0" borderId="0" xfId="1" applyNumberFormat="1" applyFont="1" applyFill="1" applyBorder="1"/>
    <xf numFmtId="38" fontId="7" fillId="2" borderId="0" xfId="1" applyNumberFormat="1" applyFont="1" applyFill="1" applyBorder="1"/>
    <xf numFmtId="38" fontId="7" fillId="0" borderId="1" xfId="1" applyNumberFormat="1" applyFont="1" applyFill="1" applyBorder="1"/>
    <xf numFmtId="38" fontId="7" fillId="0" borderId="0" xfId="1" applyNumberFormat="1" applyFont="1" applyFill="1" applyBorder="1" applyAlignment="1"/>
    <xf numFmtId="166" fontId="7" fillId="2" borderId="0" xfId="6" applyNumberFormat="1" applyFont="1" applyFill="1"/>
    <xf numFmtId="164" fontId="3" fillId="0" borderId="1" xfId="0" applyNumberFormat="1" applyFont="1" applyBorder="1" applyAlignment="1">
      <alignment horizontal="center"/>
    </xf>
    <xf numFmtId="0" fontId="3" fillId="0" borderId="1" xfId="0" applyFont="1" applyBorder="1" applyAlignment="1">
      <alignment horizontal="right"/>
    </xf>
    <xf numFmtId="10" fontId="2" fillId="0" borderId="0" xfId="2" applyNumberFormat="1" applyFont="1" applyFill="1"/>
    <xf numFmtId="166" fontId="2" fillId="0" borderId="0" xfId="6" applyNumberFormat="1" applyFont="1" applyFill="1"/>
    <xf numFmtId="43" fontId="2" fillId="0" borderId="0" xfId="6" applyFont="1" applyAlignment="1">
      <alignment horizontal="right"/>
    </xf>
    <xf numFmtId="167" fontId="2" fillId="0" borderId="0" xfId="2" applyNumberFormat="1" applyFont="1" applyAlignment="1">
      <alignment horizontal="right"/>
    </xf>
    <xf numFmtId="166" fontId="2" fillId="0" borderId="2" xfId="0" applyNumberFormat="1" applyFont="1" applyBorder="1"/>
    <xf numFmtId="0" fontId="4" fillId="0" borderId="3" xfId="0" applyFont="1" applyBorder="1" applyAlignment="1">
      <alignment horizontal="left" indent="1"/>
    </xf>
    <xf numFmtId="6" fontId="2" fillId="0" borderId="4" xfId="0" applyNumberFormat="1" applyFont="1" applyBorder="1"/>
    <xf numFmtId="6" fontId="2" fillId="0" borderId="5" xfId="0" applyNumberFormat="1" applyFont="1" applyBorder="1"/>
    <xf numFmtId="0" fontId="4" fillId="0" borderId="6" xfId="0" applyFont="1" applyBorder="1" applyAlignment="1">
      <alignment horizontal="left" indent="1"/>
    </xf>
    <xf numFmtId="10" fontId="2" fillId="0" borderId="7" xfId="2" applyNumberFormat="1" applyFont="1" applyBorder="1"/>
    <xf numFmtId="0" fontId="2" fillId="0" borderId="7" xfId="0" applyFont="1" applyBorder="1"/>
    <xf numFmtId="0" fontId="2" fillId="0" borderId="8" xfId="0" applyFont="1" applyBorder="1"/>
    <xf numFmtId="168" fontId="2" fillId="0" borderId="8" xfId="2" applyNumberFormat="1" applyFont="1" applyBorder="1"/>
    <xf numFmtId="166" fontId="8" fillId="0" borderId="4" xfId="0" applyNumberFormat="1" applyFont="1" applyBorder="1"/>
    <xf numFmtId="0" fontId="7" fillId="0" borderId="0" xfId="0" applyFont="1" applyAlignment="1">
      <alignment horizontal="left" vertical="top" indent="1"/>
    </xf>
    <xf numFmtId="0" fontId="5" fillId="0" borderId="0" xfId="0" applyFont="1" applyAlignment="1">
      <alignment horizontal="left" indent="1"/>
    </xf>
    <xf numFmtId="38" fontId="5" fillId="0" borderId="0" xfId="1" applyNumberFormat="1" applyFont="1" applyFill="1" applyBorder="1"/>
    <xf numFmtId="0" fontId="9" fillId="0" borderId="2" xfId="0" applyFont="1" applyBorder="1" applyAlignment="1">
      <alignment horizontal="left" indent="1"/>
    </xf>
    <xf numFmtId="0" fontId="9" fillId="0" borderId="2" xfId="0" applyFont="1" applyBorder="1" applyAlignment="1">
      <alignment horizontal="left" vertical="top" indent="1"/>
    </xf>
    <xf numFmtId="164" fontId="9" fillId="0" borderId="9" xfId="0" applyNumberFormat="1" applyFont="1" applyBorder="1" applyAlignment="1">
      <alignment horizontal="center"/>
    </xf>
    <xf numFmtId="0" fontId="9" fillId="0" borderId="9" xfId="0" applyFont="1" applyBorder="1" applyAlignment="1">
      <alignment horizontal="right"/>
    </xf>
    <xf numFmtId="38" fontId="9" fillId="0" borderId="2" xfId="1" applyNumberFormat="1" applyFont="1" applyFill="1" applyBorder="1"/>
    <xf numFmtId="38" fontId="9" fillId="0" borderId="2" xfId="0" applyNumberFormat="1" applyFont="1" applyBorder="1"/>
    <xf numFmtId="38" fontId="10" fillId="0" borderId="0" xfId="1" applyNumberFormat="1" applyFont="1" applyFill="1" applyBorder="1"/>
    <xf numFmtId="38" fontId="10" fillId="2" borderId="0" xfId="1" applyNumberFormat="1" applyFont="1" applyFill="1" applyBorder="1"/>
    <xf numFmtId="0" fontId="11" fillId="0" borderId="9" xfId="0" applyFont="1" applyBorder="1"/>
    <xf numFmtId="0" fontId="11" fillId="0" borderId="9" xfId="0" applyFont="1" applyBorder="1" applyAlignment="1">
      <alignment horizontal="right"/>
    </xf>
    <xf numFmtId="10" fontId="11" fillId="2" borderId="9" xfId="0" applyNumberFormat="1" applyFont="1" applyFill="1" applyBorder="1"/>
    <xf numFmtId="10" fontId="11" fillId="2" borderId="9" xfId="2" applyNumberFormat="1" applyFont="1" applyFill="1" applyBorder="1"/>
    <xf numFmtId="166" fontId="11" fillId="2" borderId="9" xfId="6" applyNumberFormat="1" applyFont="1" applyFill="1" applyBorder="1"/>
    <xf numFmtId="165" fontId="1" fillId="0" borderId="0" xfId="1" applyNumberFormat="1" applyFont="1" applyBorder="1"/>
    <xf numFmtId="165" fontId="2" fillId="0" borderId="2" xfId="1" applyNumberFormat="1" applyFont="1" applyBorder="1"/>
    <xf numFmtId="0" fontId="2" fillId="0" borderId="0" xfId="0" applyFont="1" applyAlignment="1">
      <alignment horizontal="left" indent="1"/>
    </xf>
    <xf numFmtId="0" fontId="2" fillId="0" borderId="2" xfId="0" applyFont="1" applyBorder="1"/>
    <xf numFmtId="0" fontId="9" fillId="0" borderId="0" xfId="0" applyFont="1"/>
    <xf numFmtId="0" fontId="11" fillId="0" borderId="9" xfId="0" applyFont="1" applyBorder="1" applyAlignment="1">
      <alignment horizontal="center"/>
    </xf>
    <xf numFmtId="0" fontId="11" fillId="0" borderId="0" xfId="0" applyFont="1" applyAlignment="1">
      <alignment horizontal="left"/>
    </xf>
    <xf numFmtId="0" fontId="11" fillId="0" borderId="0" xfId="0" applyFont="1" applyAlignment="1">
      <alignment horizontal="left" indent="1"/>
    </xf>
    <xf numFmtId="0" fontId="11" fillId="0" borderId="1" xfId="0" applyFont="1" applyBorder="1" applyAlignment="1">
      <alignment horizontal="left" indent="1"/>
    </xf>
    <xf numFmtId="0" fontId="11" fillId="0" borderId="2" xfId="0" applyFont="1" applyBorder="1" applyAlignment="1">
      <alignment horizontal="left" indent="1"/>
    </xf>
    <xf numFmtId="0" fontId="11" fillId="0" borderId="0" xfId="0" applyFont="1" applyAlignment="1">
      <alignment horizontal="right" indent="1"/>
    </xf>
    <xf numFmtId="0" fontId="13" fillId="0" borderId="0" xfId="0" applyFont="1" applyAlignment="1">
      <alignment horizontal="left" indent="1"/>
    </xf>
    <xf numFmtId="0" fontId="0" fillId="2" borderId="0" xfId="0" applyFill="1"/>
    <xf numFmtId="166" fontId="0" fillId="2" borderId="0" xfId="6" applyNumberFormat="1" applyFont="1" applyFill="1"/>
    <xf numFmtId="43" fontId="0" fillId="2" borderId="0" xfId="6" applyFont="1" applyFill="1"/>
    <xf numFmtId="165" fontId="0" fillId="2" borderId="0" xfId="1" applyNumberFormat="1" applyFont="1" applyFill="1"/>
    <xf numFmtId="44" fontId="0" fillId="2" borderId="0" xfId="1" applyFont="1" applyFill="1"/>
    <xf numFmtId="0" fontId="9" fillId="0" borderId="2" xfId="0" applyFont="1" applyBorder="1" applyAlignment="1">
      <alignment horizontal="left" vertical="top" wrapText="1" indent="1"/>
    </xf>
    <xf numFmtId="0" fontId="15" fillId="0" borderId="9" xfId="0" applyFont="1" applyBorder="1"/>
    <xf numFmtId="0" fontId="17" fillId="5" borderId="10" xfId="3" applyFont="1" applyFill="1" applyBorder="1" applyAlignment="1">
      <alignment horizontal="right"/>
    </xf>
    <xf numFmtId="169" fontId="17" fillId="0" borderId="11" xfId="3" applyNumberFormat="1" applyFont="1" applyBorder="1" applyAlignment="1">
      <alignment horizontal="center"/>
    </xf>
    <xf numFmtId="0" fontId="18" fillId="4" borderId="12" xfId="3" applyFont="1" applyFill="1" applyBorder="1" applyAlignment="1">
      <alignment horizontal="center"/>
    </xf>
    <xf numFmtId="0" fontId="18" fillId="4" borderId="13" xfId="3" applyFont="1" applyFill="1" applyBorder="1" applyAlignment="1">
      <alignment horizontal="center"/>
    </xf>
    <xf numFmtId="0" fontId="18" fillId="4" borderId="14" xfId="3" applyFont="1" applyFill="1" applyBorder="1" applyAlignment="1">
      <alignment horizontal="center"/>
    </xf>
    <xf numFmtId="170" fontId="19" fillId="0" borderId="11" xfId="3" applyNumberFormat="1" applyFont="1" applyBorder="1" applyAlignment="1">
      <alignment horizontal="center"/>
    </xf>
    <xf numFmtId="0" fontId="17" fillId="0" borderId="10" xfId="3" applyFont="1" applyBorder="1" applyAlignment="1">
      <alignment horizontal="center"/>
    </xf>
    <xf numFmtId="169" fontId="17" fillId="6" borderId="0" xfId="3" applyNumberFormat="1" applyFont="1" applyFill="1" applyAlignment="1">
      <alignment horizontal="center"/>
    </xf>
    <xf numFmtId="169" fontId="17" fillId="6" borderId="11" xfId="3" applyNumberFormat="1" applyFont="1" applyFill="1" applyBorder="1" applyAlignment="1">
      <alignment horizontal="center"/>
    </xf>
    <xf numFmtId="171" fontId="19" fillId="0" borderId="11" xfId="3" applyNumberFormat="1" applyFont="1" applyBorder="1" applyAlignment="1">
      <alignment horizontal="center"/>
    </xf>
    <xf numFmtId="10" fontId="19" fillId="0" borderId="11" xfId="4" applyNumberFormat="1" applyFont="1" applyBorder="1" applyAlignment="1">
      <alignment horizontal="center"/>
    </xf>
    <xf numFmtId="0" fontId="17" fillId="5" borderId="15" xfId="3" applyFont="1" applyFill="1" applyBorder="1" applyAlignment="1">
      <alignment horizontal="right"/>
    </xf>
    <xf numFmtId="169" fontId="17" fillId="6" borderId="16" xfId="3" applyNumberFormat="1" applyFont="1" applyFill="1" applyBorder="1" applyAlignment="1">
      <alignment horizontal="center"/>
    </xf>
    <xf numFmtId="0" fontId="20" fillId="5" borderId="9" xfId="3" applyFont="1" applyFill="1" applyBorder="1" applyAlignment="1">
      <alignment horizontal="right"/>
    </xf>
    <xf numFmtId="169" fontId="21" fillId="6" borderId="14" xfId="3" applyNumberFormat="1" applyFont="1" applyFill="1" applyBorder="1" applyAlignment="1">
      <alignment horizontal="center"/>
    </xf>
    <xf numFmtId="172" fontId="6" fillId="0" borderId="0" xfId="3" applyNumberFormat="1"/>
    <xf numFmtId="0" fontId="17" fillId="0" borderId="15" xfId="3" applyFont="1" applyBorder="1" applyAlignment="1">
      <alignment horizontal="center"/>
    </xf>
    <xf numFmtId="169" fontId="17" fillId="6" borderId="1" xfId="3" applyNumberFormat="1" applyFont="1" applyFill="1" applyBorder="1" applyAlignment="1">
      <alignment horizontal="center"/>
    </xf>
    <xf numFmtId="0" fontId="22" fillId="0" borderId="0" xfId="0" applyFont="1" applyAlignment="1">
      <alignment horizontal="right" indent="1"/>
    </xf>
    <xf numFmtId="38" fontId="25" fillId="0" borderId="2" xfId="0" applyNumberFormat="1" applyFont="1" applyBorder="1"/>
    <xf numFmtId="165" fontId="2" fillId="0" borderId="17" xfId="1" applyNumberFormat="1" applyFont="1" applyBorder="1"/>
    <xf numFmtId="0" fontId="11" fillId="0" borderId="2" xfId="0" quotePrefix="1" applyFont="1" applyBorder="1" applyAlignment="1">
      <alignment horizontal="left" indent="1"/>
    </xf>
    <xf numFmtId="0" fontId="13" fillId="0" borderId="0" xfId="0" quotePrefix="1" applyFont="1" applyAlignment="1">
      <alignment horizontal="left" indent="1"/>
    </xf>
    <xf numFmtId="9" fontId="2" fillId="3" borderId="9" xfId="2" applyFont="1" applyFill="1" applyBorder="1" applyAlignment="1">
      <alignment horizontal="right" indent="1"/>
    </xf>
    <xf numFmtId="165" fontId="2" fillId="2" borderId="9" xfId="1" applyNumberFormat="1" applyFont="1" applyFill="1" applyBorder="1"/>
    <xf numFmtId="9" fontId="2" fillId="2" borderId="9" xfId="2" applyFont="1" applyFill="1" applyBorder="1" applyAlignment="1">
      <alignment horizontal="right" indent="1"/>
    </xf>
    <xf numFmtId="165" fontId="12" fillId="0" borderId="9" xfId="1" applyNumberFormat="1" applyFont="1" applyBorder="1"/>
    <xf numFmtId="10" fontId="2" fillId="2" borderId="9" xfId="2" applyNumberFormat="1" applyFont="1" applyFill="1" applyBorder="1"/>
    <xf numFmtId="166" fontId="2" fillId="0" borderId="9" xfId="6" applyNumberFormat="1" applyFont="1" applyBorder="1"/>
    <xf numFmtId="10" fontId="2" fillId="2" borderId="0" xfId="0" applyNumberFormat="1" applyFont="1" applyFill="1"/>
    <xf numFmtId="9" fontId="0" fillId="0" borderId="0" xfId="0" applyNumberFormat="1"/>
    <xf numFmtId="10" fontId="0" fillId="0" borderId="0" xfId="2" applyNumberFormat="1" applyFont="1"/>
    <xf numFmtId="44" fontId="11" fillId="2" borderId="9" xfId="1" applyFont="1" applyFill="1" applyBorder="1" applyAlignment="1">
      <alignment horizontal="right"/>
    </xf>
    <xf numFmtId="10" fontId="11" fillId="2" borderId="9" xfId="0" applyNumberFormat="1" applyFont="1" applyFill="1" applyBorder="1" applyAlignment="1">
      <alignment horizontal="right"/>
    </xf>
    <xf numFmtId="9" fontId="3" fillId="0" borderId="0" xfId="2" applyFont="1" applyFill="1" applyBorder="1"/>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6" fillId="4" borderId="9" xfId="3" applyFont="1" applyFill="1" applyBorder="1" applyAlignment="1">
      <alignment horizontal="center"/>
    </xf>
  </cellXfs>
  <cellStyles count="7">
    <cellStyle name="Comma" xfId="6" builtinId="3"/>
    <cellStyle name="Currency" xfId="1" builtinId="4"/>
    <cellStyle name="Currency 2" xfId="5" xr:uid="{1FB84E14-6551-48FE-A8B0-180742AA6582}"/>
    <cellStyle name="Normal" xfId="0" builtinId="0"/>
    <cellStyle name="Normal 2" xfId="3" xr:uid="{3E53A9EC-9BC9-464B-B94D-B9CA8F1651D3}"/>
    <cellStyle name="Percent" xfId="2" builtinId="5"/>
    <cellStyle name="Percent 2" xfId="4" xr:uid="{2DF43BA1-F58F-4743-9610-19283F815E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0</xdr:colOff>
      <xdr:row>51</xdr:row>
      <xdr:rowOff>71437</xdr:rowOff>
    </xdr:from>
    <xdr:to>
      <xdr:col>11</xdr:col>
      <xdr:colOff>611188</xdr:colOff>
      <xdr:row>51</xdr:row>
      <xdr:rowOff>91722</xdr:rowOff>
    </xdr:to>
    <xdr:cxnSp macro="">
      <xdr:nvCxnSpPr>
        <xdr:cNvPr id="2" name="Straight Arrow Connector 1">
          <a:extLst>
            <a:ext uri="{FF2B5EF4-FFF2-40B4-BE49-F238E27FC236}">
              <a16:creationId xmlns:a16="http://schemas.microsoft.com/office/drawing/2014/main" id="{F483DEBC-EB52-4031-B452-70EED36DD3F7}"/>
            </a:ext>
          </a:extLst>
        </xdr:cNvPr>
        <xdr:cNvCxnSpPr/>
      </xdr:nvCxnSpPr>
      <xdr:spPr>
        <a:xfrm flipV="1">
          <a:off x="5101167" y="11134548"/>
          <a:ext cx="4103688" cy="2028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0</xdr:colOff>
      <xdr:row>52</xdr:row>
      <xdr:rowOff>87312</xdr:rowOff>
    </xdr:from>
    <xdr:to>
      <xdr:col>11</xdr:col>
      <xdr:colOff>619125</xdr:colOff>
      <xdr:row>52</xdr:row>
      <xdr:rowOff>91723</xdr:rowOff>
    </xdr:to>
    <xdr:cxnSp macro="">
      <xdr:nvCxnSpPr>
        <xdr:cNvPr id="3" name="Straight Arrow Connector 2">
          <a:extLst>
            <a:ext uri="{FF2B5EF4-FFF2-40B4-BE49-F238E27FC236}">
              <a16:creationId xmlns:a16="http://schemas.microsoft.com/office/drawing/2014/main" id="{73057440-EB14-45C3-AFA2-D54B8F3E28C6}"/>
            </a:ext>
          </a:extLst>
        </xdr:cNvPr>
        <xdr:cNvCxnSpPr/>
      </xdr:nvCxnSpPr>
      <xdr:spPr>
        <a:xfrm flipV="1">
          <a:off x="5101167" y="11305645"/>
          <a:ext cx="4111625" cy="4411"/>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56444</xdr:colOff>
      <xdr:row>54</xdr:row>
      <xdr:rowOff>84666</xdr:rowOff>
    </xdr:from>
    <xdr:to>
      <xdr:col>11</xdr:col>
      <xdr:colOff>611187</xdr:colOff>
      <xdr:row>54</xdr:row>
      <xdr:rowOff>94368</xdr:rowOff>
    </xdr:to>
    <xdr:cxnSp macro="">
      <xdr:nvCxnSpPr>
        <xdr:cNvPr id="4" name="Straight Arrow Connector 3">
          <a:extLst>
            <a:ext uri="{FF2B5EF4-FFF2-40B4-BE49-F238E27FC236}">
              <a16:creationId xmlns:a16="http://schemas.microsoft.com/office/drawing/2014/main" id="{8D3CD283-DE50-4909-B994-658BB0F307F8}"/>
            </a:ext>
          </a:extLst>
        </xdr:cNvPr>
        <xdr:cNvCxnSpPr/>
      </xdr:nvCxnSpPr>
      <xdr:spPr>
        <a:xfrm>
          <a:off x="5157611" y="11613444"/>
          <a:ext cx="4047243" cy="9702"/>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12700</xdr:colOff>
      <xdr:row>48</xdr:row>
      <xdr:rowOff>76200</xdr:rowOff>
    </xdr:from>
    <xdr:to>
      <xdr:col>11</xdr:col>
      <xdr:colOff>679450</xdr:colOff>
      <xdr:row>48</xdr:row>
      <xdr:rowOff>82550</xdr:rowOff>
    </xdr:to>
    <xdr:cxnSp macro="">
      <xdr:nvCxnSpPr>
        <xdr:cNvPr id="5" name="Straight Arrow Connector 4">
          <a:extLst>
            <a:ext uri="{FF2B5EF4-FFF2-40B4-BE49-F238E27FC236}">
              <a16:creationId xmlns:a16="http://schemas.microsoft.com/office/drawing/2014/main" id="{CCA4F13E-D335-C94B-82D2-73C38103CACE}"/>
            </a:ext>
          </a:extLst>
        </xdr:cNvPr>
        <xdr:cNvCxnSpPr/>
      </xdr:nvCxnSpPr>
      <xdr:spPr>
        <a:xfrm flipV="1">
          <a:off x="4381500" y="7442200"/>
          <a:ext cx="4883150" cy="635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12700</xdr:colOff>
      <xdr:row>49</xdr:row>
      <xdr:rowOff>101600</xdr:rowOff>
    </xdr:from>
    <xdr:to>
      <xdr:col>11</xdr:col>
      <xdr:colOff>679450</xdr:colOff>
      <xdr:row>49</xdr:row>
      <xdr:rowOff>107950</xdr:rowOff>
    </xdr:to>
    <xdr:cxnSp macro="">
      <xdr:nvCxnSpPr>
        <xdr:cNvPr id="8" name="Straight Arrow Connector 7">
          <a:extLst>
            <a:ext uri="{FF2B5EF4-FFF2-40B4-BE49-F238E27FC236}">
              <a16:creationId xmlns:a16="http://schemas.microsoft.com/office/drawing/2014/main" id="{0712DE81-10A1-DA49-9218-71BD04E7CD82}"/>
            </a:ext>
          </a:extLst>
        </xdr:cNvPr>
        <xdr:cNvCxnSpPr/>
      </xdr:nvCxnSpPr>
      <xdr:spPr>
        <a:xfrm flipV="1">
          <a:off x="4381500" y="7620000"/>
          <a:ext cx="4883150" cy="635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35277</xdr:colOff>
      <xdr:row>53</xdr:row>
      <xdr:rowOff>87312</xdr:rowOff>
    </xdr:from>
    <xdr:to>
      <xdr:col>11</xdr:col>
      <xdr:colOff>619125</xdr:colOff>
      <xdr:row>53</xdr:row>
      <xdr:rowOff>98777</xdr:rowOff>
    </xdr:to>
    <xdr:cxnSp macro="">
      <xdr:nvCxnSpPr>
        <xdr:cNvPr id="9" name="Straight Arrow Connector 8">
          <a:extLst>
            <a:ext uri="{FF2B5EF4-FFF2-40B4-BE49-F238E27FC236}">
              <a16:creationId xmlns:a16="http://schemas.microsoft.com/office/drawing/2014/main" id="{B70E614B-3936-F44F-912F-446A747A1839}"/>
            </a:ext>
          </a:extLst>
        </xdr:cNvPr>
        <xdr:cNvCxnSpPr/>
      </xdr:nvCxnSpPr>
      <xdr:spPr>
        <a:xfrm flipV="1">
          <a:off x="5136444" y="11460868"/>
          <a:ext cx="4076348" cy="1146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Paul Kraft" id="{F5860B47-9941-0949-B460-30476BBECA66}" userId="44fc4d20fea9a9db"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10-03T01:54:16.60" personId="{F5860B47-9941-0949-B460-30476BBECA66}" id="{D8EB4348-581B-984A-BE92-9843AB723735}">
    <text>IF NOT INSTRUCTED, ASSUMPTIONS MUST BE SUPPORTED USING MARKET RESEARCH</text>
  </threadedComment>
  <threadedComment ref="B8" dT="2023-01-05T16:07:37.41" personId="{F5860B47-9941-0949-B460-30476BBECA66}" id="{79C657C2-3C86-4CAD-90E7-828875DE911E}">
    <text xml:space="preserve">Reserved dollars for future major repairs to building components (e.g., roof replacement, new parking). </text>
  </threadedComment>
  <threadedComment ref="D13" dT="2022-10-03T01:45:12.37" personId="{F5860B47-9941-0949-B460-30476BBECA66}" id="{4FC43820-99F7-244F-8CB3-25B48044C39B}">
    <text>LINK TO RENT ROLL TOTAL POTENTIAL BASE RENTAL</text>
  </threadedComment>
  <threadedComment ref="C49" dT="2022-10-04T22:50:16.58" personId="{F5860B47-9941-0949-B460-30476BBECA66}" id="{123E0448-A911-448C-859A-31815EE65730}">
    <text>ENTER THE RECOMMENDED CAP RATE BASED ON MARKET DATA</text>
  </threadedComment>
  <threadedComment ref="M49" dT="2022-10-04T22:51:54.65" personId="{F5860B47-9941-0949-B460-30476BBECA66}" id="{35329663-3A52-41AF-8CB4-9DCE2BADF00A}">
    <text>ENTER THE CAP RATE TO BE USED IN THE FUTURE SALE (A.K.A. TERMINAL VALUE CAP RATE OR EXIT CAP RATE)</text>
  </threadedComment>
  <threadedComment ref="C50" dT="2022-10-03T01:46:51.28" personId="{F5860B47-9941-0949-B460-30476BBECA66}" id="{79F92BC5-6BE0-4970-86DE-AE2439CFA44E}">
    <text>ACQUISITION PRICE OR TOTAL COST</text>
  </threadedComment>
  <threadedComment ref="M50" dT="2022-10-03T01:47:38.37" personId="{F5860B47-9941-0949-B460-30476BBECA66}" id="{CC25AA8F-19CB-4C7E-A5EC-78CD5B633552}">
    <text>ASSUMED FUTURE SALE VALUE (A.K.A. TERMINAL VALUE OR EXIT VALUE). THIS IS TO BE BASED ON CAP RATE PROJECTED FOR FUTURE SALE DATE AND THE YEAR OF THE SALE. BY DEFAULT, THIS IS SET TO YEAR 10, BUT WILL NEED CHANGED IF A DIFFERENT YEAR OF SALE IS NEEDED.</text>
  </threadedComment>
  <threadedComment ref="C51" dT="2022-10-03T01:50:51.95" personId="{F5860B47-9941-0949-B460-30476BBECA66}" id="{F5097203-2E69-474A-AE3F-584A10EFD77D}">
    <text xml:space="preserve">ENTER THE TOTAL ACQUISITION PRICE. DO NOT USE A REFERENCE FORMULA, BE SURE TO HAND KEY. </text>
  </threadedComment>
  <threadedComment ref="C52" dT="2023-01-03T04:56:38.29" personId="{F5860B47-9941-0949-B460-30476BBECA66}" id="{A4A047DC-CF6A-4A81-8359-A746EEF6738C}">
    <text>Other costs such as closing costs, and initial capital items (roofs, parking, deferred maintenance, equipment, etc.).</text>
  </threadedComment>
  <threadedComment ref="M55" dT="2022-10-04T22:59:42.25" personId="{F5860B47-9941-0949-B460-30476BBECA66}" id="{92CF17E0-E9C7-4B27-A8AA-B9AEBF9DAD55}">
    <text>SEE CLASS OR TEXTBOOK FOR RESIDUAL VALUE</text>
  </threadedComment>
  <threadedComment ref="C56" dT="2022-10-04T22:48:04.46" personId="{F5860B47-9941-0949-B460-30476BBECA66}" id="{B3ADD399-C47C-459D-8153-DA2F57363768}">
    <text>ENTER THE ACQUISITION PRICE OR THE STABILIZED PROJECTED VALUE FOR A DEVELOPMENT PROJECT. DO NOT USE A REFERENCE FORMULA. BE SURE TO HAND KEY THIS CELL.</text>
  </threadedComment>
  <threadedComment ref="C57" dT="2022-10-03T01:48:26.23" personId="{F5860B47-9941-0949-B460-30476BBECA66}" id="{BCD9AB89-4E1D-4705-9505-60ECBBEB804D}">
    <text xml:space="preserve">ENTER DESIRED LTV, BE CAREFUL TO CHECK OTHER LENDER METRICS FOR LOAN QUALIFICATION. </text>
  </threadedComment>
  <threadedComment ref="C69" dT="2023-01-05T16:05:23.41" personId="{F5860B47-9941-0949-B460-30476BBECA66}" id="{2E3B2F7A-7718-40E9-ACB4-1F466B578226}">
    <text xml:space="preserve">Also known as property-level IRR, this IRR assumes no use of debt financing in an investment. This is the discount rate that sets the NPV of expected future project cash flows equal to zero. It tells the average annual compounded return on every dollar invested for the project duration. 
</text>
  </threadedComment>
  <threadedComment ref="C77" dT="2023-01-05T16:03:17.51" personId="{F5860B47-9941-0949-B460-30476BBECA66}" id="{6BC2EF78-4455-408F-B019-388EDDD1FF3A}">
    <text xml:space="preserve">This is the discount rate that sets the NPV of expected future equity cash flows equal to zero. It tells the equity investor the average annual compounded return on every cash equity dollar invested for the investment duration. </text>
  </threadedComment>
  <threadedComment ref="C81" dT="2023-01-05T15:58:41.57" personId="{F5860B47-9941-0949-B460-30476BBECA66}" id="{14D88724-45A6-4A94-9532-2A379FB6FB91}">
    <text xml:space="preserve">The present value of the cash flows the investment generates minus your initial investment.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EDFA-BFFA-4616-87CF-A93D4A30D6DE}">
  <dimension ref="B1:J41"/>
  <sheetViews>
    <sheetView topLeftCell="A24" zoomScale="150" zoomScaleNormal="150" workbookViewId="0">
      <selection activeCell="C29" sqref="C29"/>
    </sheetView>
  </sheetViews>
  <sheetFormatPr baseColWidth="10" defaultColWidth="8.83203125" defaultRowHeight="15" x14ac:dyDescent="0.2"/>
  <cols>
    <col min="1" max="1" width="3.5" customWidth="1"/>
    <col min="2" max="2" width="19.33203125" customWidth="1"/>
    <col min="3" max="3" width="8.6640625" customWidth="1"/>
    <col min="4" max="4" width="9.5" customWidth="1"/>
    <col min="5" max="6" width="12.33203125" customWidth="1"/>
    <col min="7" max="8" width="13.5" customWidth="1"/>
    <col min="9" max="9" width="11.1640625" bestFit="1" customWidth="1"/>
  </cols>
  <sheetData>
    <row r="1" spans="2:8" ht="16" thickBot="1" x14ac:dyDescent="0.25"/>
    <row r="2" spans="2:8" x14ac:dyDescent="0.2">
      <c r="B2" s="123" t="s">
        <v>0</v>
      </c>
      <c r="C2" s="124"/>
      <c r="D2" s="124"/>
      <c r="E2" s="124"/>
      <c r="F2" s="124"/>
      <c r="G2" s="124"/>
      <c r="H2" s="125"/>
    </row>
    <row r="3" spans="2:8" ht="16" thickBot="1" x14ac:dyDescent="0.25">
      <c r="B3" s="126"/>
      <c r="C3" s="127"/>
      <c r="D3" s="127"/>
      <c r="E3" s="127"/>
      <c r="F3" s="127"/>
      <c r="G3" s="127"/>
      <c r="H3" s="128"/>
    </row>
    <row r="4" spans="2:8" x14ac:dyDescent="0.2">
      <c r="B4" s="23" t="s">
        <v>1</v>
      </c>
    </row>
    <row r="5" spans="2:8" x14ac:dyDescent="0.2">
      <c r="B5" s="22">
        <f>D17</f>
        <v>0</v>
      </c>
      <c r="C5" s="14"/>
      <c r="D5" s="14"/>
    </row>
    <row r="6" spans="2:8" x14ac:dyDescent="0.2">
      <c r="C6" s="19" t="s">
        <v>2</v>
      </c>
      <c r="D6" s="14"/>
      <c r="E6" s="19" t="s">
        <v>3</v>
      </c>
      <c r="F6" s="19" t="s">
        <v>3</v>
      </c>
      <c r="G6" s="19" t="s">
        <v>4</v>
      </c>
      <c r="H6" s="19" t="s">
        <v>4</v>
      </c>
    </row>
    <row r="7" spans="2:8" x14ac:dyDescent="0.2">
      <c r="B7" s="20" t="s">
        <v>5</v>
      </c>
      <c r="C7" s="21" t="s">
        <v>6</v>
      </c>
      <c r="D7" s="21" t="s">
        <v>7</v>
      </c>
      <c r="E7" s="21" t="s">
        <v>8</v>
      </c>
      <c r="F7" s="21" t="s">
        <v>9</v>
      </c>
      <c r="G7" s="21" t="s">
        <v>8</v>
      </c>
      <c r="H7" s="21" t="s">
        <v>9</v>
      </c>
    </row>
    <row r="8" spans="2:8" x14ac:dyDescent="0.2">
      <c r="B8" t="s">
        <v>5</v>
      </c>
      <c r="C8" s="81"/>
      <c r="D8" s="82"/>
      <c r="E8" s="82"/>
      <c r="F8" s="83" t="e">
        <f>+E8/D8</f>
        <v>#DIV/0!</v>
      </c>
      <c r="G8" s="82"/>
      <c r="H8" s="83" t="e">
        <f>+G8/D8</f>
        <v>#DIV/0!</v>
      </c>
    </row>
    <row r="9" spans="2:8" x14ac:dyDescent="0.2">
      <c r="B9" t="s">
        <v>5</v>
      </c>
      <c r="C9" s="81"/>
      <c r="D9" s="82"/>
      <c r="E9" s="82"/>
      <c r="F9" s="83" t="e">
        <f t="shared" ref="F9:F17" si="0">+E9/D9</f>
        <v>#DIV/0!</v>
      </c>
      <c r="G9" s="82"/>
      <c r="H9" s="83" t="e">
        <f t="shared" ref="H9:H17" si="1">+G9/D9</f>
        <v>#DIV/0!</v>
      </c>
    </row>
    <row r="10" spans="2:8" x14ac:dyDescent="0.2">
      <c r="B10" t="s">
        <v>5</v>
      </c>
      <c r="C10" s="81"/>
      <c r="D10" s="82"/>
      <c r="E10" s="82"/>
      <c r="F10" s="83" t="e">
        <f t="shared" si="0"/>
        <v>#DIV/0!</v>
      </c>
      <c r="G10" s="82"/>
      <c r="H10" s="83" t="e">
        <f t="shared" si="1"/>
        <v>#DIV/0!</v>
      </c>
    </row>
    <row r="11" spans="2:8" x14ac:dyDescent="0.2">
      <c r="B11" t="s">
        <v>5</v>
      </c>
      <c r="C11" s="81"/>
      <c r="D11" s="82"/>
      <c r="E11" s="82"/>
      <c r="F11" s="83" t="e">
        <f t="shared" si="0"/>
        <v>#DIV/0!</v>
      </c>
      <c r="G11" s="82"/>
      <c r="H11" s="83" t="e">
        <f t="shared" si="1"/>
        <v>#DIV/0!</v>
      </c>
    </row>
    <row r="12" spans="2:8" x14ac:dyDescent="0.2">
      <c r="B12" t="s">
        <v>5</v>
      </c>
      <c r="C12" s="81"/>
      <c r="D12" s="82"/>
      <c r="E12" s="82"/>
      <c r="F12" s="83" t="e">
        <f t="shared" si="0"/>
        <v>#DIV/0!</v>
      </c>
      <c r="G12" s="82"/>
      <c r="H12" s="83" t="e">
        <f t="shared" si="1"/>
        <v>#DIV/0!</v>
      </c>
    </row>
    <row r="13" spans="2:8" x14ac:dyDescent="0.2">
      <c r="B13" t="s">
        <v>5</v>
      </c>
      <c r="C13" s="81"/>
      <c r="D13" s="82"/>
      <c r="E13" s="82"/>
      <c r="F13" s="83" t="e">
        <f t="shared" si="0"/>
        <v>#DIV/0!</v>
      </c>
      <c r="G13" s="82"/>
      <c r="H13" s="83" t="e">
        <f t="shared" si="1"/>
        <v>#DIV/0!</v>
      </c>
    </row>
    <row r="14" spans="2:8" x14ac:dyDescent="0.2">
      <c r="B14" t="s">
        <v>5</v>
      </c>
      <c r="C14" s="81"/>
      <c r="D14" s="82"/>
      <c r="E14" s="82"/>
      <c r="F14" s="83" t="e">
        <f t="shared" ref="F14:F16" si="2">+E14/D14</f>
        <v>#DIV/0!</v>
      </c>
      <c r="G14" s="82"/>
      <c r="H14" s="83" t="e">
        <f t="shared" ref="H14:H16" si="3">+G14/D14</f>
        <v>#DIV/0!</v>
      </c>
    </row>
    <row r="15" spans="2:8" x14ac:dyDescent="0.2">
      <c r="B15" t="s">
        <v>5</v>
      </c>
      <c r="C15" s="81"/>
      <c r="D15" s="82"/>
      <c r="E15" s="82"/>
      <c r="F15" s="83" t="e">
        <f t="shared" si="2"/>
        <v>#DIV/0!</v>
      </c>
      <c r="G15" s="82"/>
      <c r="H15" s="83" t="e">
        <f t="shared" si="3"/>
        <v>#DIV/0!</v>
      </c>
    </row>
    <row r="16" spans="2:8" x14ac:dyDescent="0.2">
      <c r="B16" t="s">
        <v>5</v>
      </c>
      <c r="C16" s="81"/>
      <c r="D16" s="82"/>
      <c r="E16" s="82"/>
      <c r="F16" s="83" t="e">
        <f t="shared" si="2"/>
        <v>#DIV/0!</v>
      </c>
      <c r="G16" s="82"/>
      <c r="H16" s="83" t="e">
        <f t="shared" si="3"/>
        <v>#DIV/0!</v>
      </c>
    </row>
    <row r="17" spans="2:10" x14ac:dyDescent="0.2">
      <c r="B17" t="s">
        <v>10</v>
      </c>
      <c r="D17" s="17">
        <f>SUM(D8:D16)</f>
        <v>0</v>
      </c>
      <c r="E17" s="14">
        <f>SUM(E8:E16)</f>
        <v>0</v>
      </c>
      <c r="F17" s="15" t="e">
        <f t="shared" si="0"/>
        <v>#DIV/0!</v>
      </c>
      <c r="G17" s="14">
        <f>SUM(G8:G16)</f>
        <v>0</v>
      </c>
      <c r="H17" s="15" t="e">
        <f t="shared" si="1"/>
        <v>#DIV/0!</v>
      </c>
    </row>
    <row r="18" spans="2:10" x14ac:dyDescent="0.2">
      <c r="D18" s="17"/>
      <c r="E18" s="14"/>
      <c r="F18" s="15"/>
      <c r="G18" s="14"/>
      <c r="H18" s="15"/>
    </row>
    <row r="19" spans="2:10" x14ac:dyDescent="0.2">
      <c r="D19" s="17"/>
      <c r="E19" s="14"/>
      <c r="F19" s="15"/>
      <c r="G19" s="14"/>
      <c r="H19" s="15"/>
    </row>
    <row r="20" spans="2:10" x14ac:dyDescent="0.2">
      <c r="D20" s="17"/>
      <c r="E20" s="14"/>
      <c r="F20" s="15"/>
      <c r="G20" s="14"/>
      <c r="H20" s="15"/>
    </row>
    <row r="21" spans="2:10" ht="16" thickBot="1" x14ac:dyDescent="0.25"/>
    <row r="22" spans="2:10" x14ac:dyDescent="0.2">
      <c r="B22" s="123" t="s">
        <v>11</v>
      </c>
      <c r="C22" s="124"/>
      <c r="D22" s="124"/>
      <c r="E22" s="124"/>
      <c r="F22" s="124"/>
      <c r="G22" s="124"/>
      <c r="H22" s="125"/>
    </row>
    <row r="23" spans="2:10" ht="16" thickBot="1" x14ac:dyDescent="0.25">
      <c r="B23" s="126"/>
      <c r="C23" s="127"/>
      <c r="D23" s="127"/>
      <c r="E23" s="127"/>
      <c r="F23" s="127"/>
      <c r="G23" s="127"/>
      <c r="H23" s="128"/>
    </row>
    <row r="24" spans="2:10" x14ac:dyDescent="0.2">
      <c r="B24" s="23" t="s">
        <v>1</v>
      </c>
    </row>
    <row r="25" spans="2:10" x14ac:dyDescent="0.2">
      <c r="B25" s="22">
        <f>C36</f>
        <v>202</v>
      </c>
      <c r="C25" s="14"/>
      <c r="D25" s="14"/>
      <c r="E25" s="14"/>
      <c r="F25" s="14"/>
      <c r="G25" s="14"/>
    </row>
    <row r="26" spans="2:10" x14ac:dyDescent="0.2">
      <c r="B26" t="s">
        <v>12</v>
      </c>
      <c r="C26" s="19" t="s">
        <v>13</v>
      </c>
      <c r="D26" s="19" t="s">
        <v>12</v>
      </c>
      <c r="E26" s="19" t="s">
        <v>14</v>
      </c>
      <c r="F26" s="19" t="s">
        <v>3</v>
      </c>
      <c r="G26" s="19" t="s">
        <v>3</v>
      </c>
      <c r="H26" s="19" t="s">
        <v>15</v>
      </c>
      <c r="I26" s="19" t="s">
        <v>16</v>
      </c>
      <c r="J26" s="19"/>
    </row>
    <row r="27" spans="2:10" x14ac:dyDescent="0.2">
      <c r="B27" s="20" t="s">
        <v>6</v>
      </c>
      <c r="C27" s="21" t="s">
        <v>17</v>
      </c>
      <c r="D27" s="21" t="s">
        <v>7</v>
      </c>
      <c r="E27" s="21" t="s">
        <v>7</v>
      </c>
      <c r="F27" s="21" t="s">
        <v>18</v>
      </c>
      <c r="G27" s="21" t="s">
        <v>9</v>
      </c>
      <c r="H27" s="21" t="s">
        <v>8</v>
      </c>
      <c r="I27" s="21" t="s">
        <v>8</v>
      </c>
      <c r="J27" s="21"/>
    </row>
    <row r="28" spans="2:10" x14ac:dyDescent="0.2">
      <c r="B28" s="81" t="s">
        <v>19</v>
      </c>
      <c r="C28" s="82">
        <v>62</v>
      </c>
      <c r="D28" s="82">
        <v>412</v>
      </c>
      <c r="E28" s="82">
        <f>+C28*D28</f>
        <v>25544</v>
      </c>
      <c r="F28" s="84">
        <v>861.74</v>
      </c>
      <c r="G28" s="85">
        <f>+F28/D28</f>
        <v>2.0916019417475726</v>
      </c>
      <c r="H28" s="84">
        <f>+F28*C28</f>
        <v>53427.88</v>
      </c>
      <c r="I28" s="84">
        <f>+H28*12</f>
        <v>641134.55999999994</v>
      </c>
      <c r="J28" s="14"/>
    </row>
    <row r="29" spans="2:10" x14ac:dyDescent="0.2">
      <c r="B29" s="81" t="s">
        <v>19</v>
      </c>
      <c r="C29" s="82">
        <v>60</v>
      </c>
      <c r="D29" s="82">
        <v>500</v>
      </c>
      <c r="E29" s="82">
        <f>+C29*D29</f>
        <v>30000</v>
      </c>
      <c r="F29" s="84">
        <v>929.68</v>
      </c>
      <c r="G29" s="85">
        <f t="shared" ref="G29:G34" si="4">+F29/D29</f>
        <v>1.8593599999999999</v>
      </c>
      <c r="H29" s="84">
        <f t="shared" ref="H29:H34" si="5">+F29*C29</f>
        <v>55780.799999999996</v>
      </c>
      <c r="I29" s="84">
        <f t="shared" ref="I29:I34" si="6">+H29*12</f>
        <v>669369.59999999998</v>
      </c>
      <c r="J29" s="14"/>
    </row>
    <row r="30" spans="2:10" x14ac:dyDescent="0.2">
      <c r="B30" s="81" t="s">
        <v>107</v>
      </c>
      <c r="C30" s="82">
        <v>74</v>
      </c>
      <c r="D30" s="82">
        <v>728</v>
      </c>
      <c r="E30" s="82">
        <f t="shared" ref="E30:E34" si="7">+C30*D30</f>
        <v>53872</v>
      </c>
      <c r="F30" s="84">
        <v>1127.71</v>
      </c>
      <c r="G30" s="85">
        <f t="shared" si="4"/>
        <v>1.5490521978021978</v>
      </c>
      <c r="H30" s="84">
        <f t="shared" si="5"/>
        <v>83450.540000000008</v>
      </c>
      <c r="I30" s="84">
        <f t="shared" si="6"/>
        <v>1001406.4800000001</v>
      </c>
      <c r="J30" s="14"/>
    </row>
    <row r="31" spans="2:10" x14ac:dyDescent="0.2">
      <c r="B31" s="81" t="s">
        <v>108</v>
      </c>
      <c r="C31" s="82">
        <v>6</v>
      </c>
      <c r="D31" s="82">
        <v>969</v>
      </c>
      <c r="E31" s="82">
        <f t="shared" si="7"/>
        <v>5814</v>
      </c>
      <c r="F31" s="84">
        <v>1377.5</v>
      </c>
      <c r="G31" s="85">
        <f t="shared" si="4"/>
        <v>1.4215686274509804</v>
      </c>
      <c r="H31" s="84">
        <f t="shared" si="5"/>
        <v>8265</v>
      </c>
      <c r="I31" s="84">
        <f t="shared" si="6"/>
        <v>99180</v>
      </c>
      <c r="J31" s="14"/>
    </row>
    <row r="32" spans="2:10" x14ac:dyDescent="0.2">
      <c r="B32" s="81"/>
      <c r="C32" s="82">
        <v>0</v>
      </c>
      <c r="D32" s="82"/>
      <c r="E32" s="82">
        <f t="shared" si="7"/>
        <v>0</v>
      </c>
      <c r="F32" s="84">
        <v>0</v>
      </c>
      <c r="G32" s="85" t="e">
        <f t="shared" si="4"/>
        <v>#DIV/0!</v>
      </c>
      <c r="H32" s="84">
        <f t="shared" si="5"/>
        <v>0</v>
      </c>
      <c r="I32" s="84">
        <f t="shared" si="6"/>
        <v>0</v>
      </c>
      <c r="J32" s="14"/>
    </row>
    <row r="33" spans="2:10" x14ac:dyDescent="0.2">
      <c r="B33" s="81"/>
      <c r="C33" s="82">
        <v>0</v>
      </c>
      <c r="D33" s="82"/>
      <c r="E33" s="82">
        <f t="shared" si="7"/>
        <v>0</v>
      </c>
      <c r="F33" s="84">
        <v>0</v>
      </c>
      <c r="G33" s="85" t="e">
        <f t="shared" si="4"/>
        <v>#DIV/0!</v>
      </c>
      <c r="H33" s="84">
        <f t="shared" si="5"/>
        <v>0</v>
      </c>
      <c r="I33" s="84">
        <f t="shared" si="6"/>
        <v>0</v>
      </c>
      <c r="J33" s="14"/>
    </row>
    <row r="34" spans="2:10" x14ac:dyDescent="0.2">
      <c r="B34" s="81"/>
      <c r="C34" s="82">
        <v>0</v>
      </c>
      <c r="D34" s="82"/>
      <c r="E34" s="82">
        <f t="shared" si="7"/>
        <v>0</v>
      </c>
      <c r="F34" s="84">
        <v>0</v>
      </c>
      <c r="G34" s="85" t="e">
        <f t="shared" si="4"/>
        <v>#DIV/0!</v>
      </c>
      <c r="H34" s="84">
        <f t="shared" si="5"/>
        <v>0</v>
      </c>
      <c r="I34" s="84">
        <f t="shared" si="6"/>
        <v>0</v>
      </c>
      <c r="J34" s="14"/>
    </row>
    <row r="35" spans="2:10" x14ac:dyDescent="0.2">
      <c r="C35" s="16"/>
      <c r="D35" s="16"/>
      <c r="E35" s="16"/>
      <c r="F35" s="16"/>
      <c r="G35" s="16"/>
      <c r="H35" s="16"/>
      <c r="I35" s="16"/>
      <c r="J35" s="14"/>
    </row>
    <row r="36" spans="2:10" x14ac:dyDescent="0.2">
      <c r="B36" t="s">
        <v>10</v>
      </c>
      <c r="C36" s="17">
        <f>SUM(C28:C35)</f>
        <v>202</v>
      </c>
      <c r="D36" s="17"/>
      <c r="E36" s="17">
        <f>SUM(E28:E35)</f>
        <v>115230</v>
      </c>
      <c r="F36" s="27">
        <f>H36/C36</f>
        <v>994.67435643564352</v>
      </c>
      <c r="G36" s="27">
        <f>+H36/E36</f>
        <v>1.7436797708929965</v>
      </c>
      <c r="H36" s="28">
        <f>SUM(H28:H35)</f>
        <v>200924.22</v>
      </c>
      <c r="I36" s="28">
        <f>SUM(I28:I35)</f>
        <v>2411090.64</v>
      </c>
      <c r="J36" s="14"/>
    </row>
    <row r="38" spans="2:10" x14ac:dyDescent="0.2">
      <c r="B38" t="s">
        <v>109</v>
      </c>
      <c r="C38">
        <v>18</v>
      </c>
    </row>
    <row r="39" spans="2:10" x14ac:dyDescent="0.2">
      <c r="B39" t="s">
        <v>110</v>
      </c>
      <c r="C39" s="119">
        <f>C38/B25</f>
        <v>8.9108910891089105E-2</v>
      </c>
    </row>
    <row r="40" spans="2:10" x14ac:dyDescent="0.2">
      <c r="B40" t="s">
        <v>117</v>
      </c>
      <c r="C40" s="118">
        <f>1-C39</f>
        <v>0.91089108910891092</v>
      </c>
    </row>
    <row r="41" spans="2:10" x14ac:dyDescent="0.2">
      <c r="B41" t="s">
        <v>111</v>
      </c>
      <c r="C41">
        <v>15</v>
      </c>
    </row>
  </sheetData>
  <mergeCells count="2">
    <mergeCell ref="B2:H3"/>
    <mergeCell ref="B22:H23"/>
  </mergeCells>
  <pageMargins left="0.7" right="0.7" top="0.75" bottom="0.75" header="0.3" footer="0.3"/>
  <pageSetup orientation="portrait" horizontalDpi="0" verticalDpi="0" r:id="rId1"/>
  <ignoredErrors>
    <ignoredError sqref="F17" formula="1"/>
  </ignoredError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7F78E-F405-4897-B791-8127B0F35CBD}">
  <dimension ref="B2:M82"/>
  <sheetViews>
    <sheetView tabSelected="1" topLeftCell="B14" zoomScale="180" zoomScaleNormal="180" workbookViewId="0">
      <selection activeCell="D23" sqref="D23"/>
    </sheetView>
  </sheetViews>
  <sheetFormatPr baseColWidth="10" defaultColWidth="9" defaultRowHeight="12" x14ac:dyDescent="0.15"/>
  <cols>
    <col min="1" max="1" width="2.33203125" style="1" customWidth="1"/>
    <col min="2" max="2" width="26.5" style="1" customWidth="1"/>
    <col min="3" max="7" width="9.5" style="1" customWidth="1"/>
    <col min="8" max="8" width="9.33203125" style="1" customWidth="1"/>
    <col min="9" max="12" width="9" style="1"/>
    <col min="13" max="13" width="9.5" style="1" bestFit="1" customWidth="1"/>
    <col min="14" max="14" width="9" style="1" customWidth="1"/>
    <col min="15" max="16384" width="9" style="1"/>
  </cols>
  <sheetData>
    <row r="2" spans="2:13" ht="14" x14ac:dyDescent="0.2">
      <c r="B2" s="87" t="s">
        <v>20</v>
      </c>
      <c r="C2" s="65" t="s">
        <v>21</v>
      </c>
      <c r="D2" s="65" t="s">
        <v>22</v>
      </c>
      <c r="E2" s="65" t="s">
        <v>23</v>
      </c>
      <c r="F2" s="65" t="s">
        <v>24</v>
      </c>
      <c r="G2" s="65" t="s">
        <v>25</v>
      </c>
      <c r="H2" s="65" t="s">
        <v>26</v>
      </c>
      <c r="I2" s="65" t="s">
        <v>27</v>
      </c>
      <c r="J2" s="65" t="s">
        <v>28</v>
      </c>
      <c r="K2" s="65" t="s">
        <v>29</v>
      </c>
      <c r="L2" s="65" t="s">
        <v>30</v>
      </c>
      <c r="M2" s="65" t="s">
        <v>31</v>
      </c>
    </row>
    <row r="3" spans="2:13" x14ac:dyDescent="0.15">
      <c r="B3" s="64" t="s">
        <v>32</v>
      </c>
      <c r="D3" s="66">
        <v>0.01</v>
      </c>
      <c r="E3" s="66">
        <v>0.02</v>
      </c>
      <c r="F3" s="66">
        <v>0.03</v>
      </c>
      <c r="G3" s="66">
        <v>0.03</v>
      </c>
      <c r="H3" s="66">
        <v>0.03</v>
      </c>
      <c r="I3" s="66">
        <v>0.03</v>
      </c>
      <c r="J3" s="66">
        <v>0.03</v>
      </c>
      <c r="K3" s="66">
        <v>0.03</v>
      </c>
      <c r="L3" s="66">
        <v>0.03</v>
      </c>
      <c r="M3" s="66">
        <v>0.03</v>
      </c>
    </row>
    <row r="4" spans="2:13" x14ac:dyDescent="0.15">
      <c r="B4" s="64" t="s">
        <v>33</v>
      </c>
      <c r="D4" s="67">
        <f>RentRoll!C39</f>
        <v>8.9108910891089105E-2</v>
      </c>
      <c r="E4" s="67">
        <v>0.09</v>
      </c>
      <c r="F4" s="67">
        <v>0.09</v>
      </c>
      <c r="G4" s="67">
        <v>0.09</v>
      </c>
      <c r="H4" s="67">
        <v>0.09</v>
      </c>
      <c r="I4" s="67">
        <v>0.09</v>
      </c>
      <c r="J4" s="67">
        <v>0.09</v>
      </c>
      <c r="K4" s="67">
        <v>0.09</v>
      </c>
      <c r="L4" s="67">
        <v>0.09</v>
      </c>
      <c r="M4" s="67">
        <v>0.09</v>
      </c>
    </row>
    <row r="5" spans="2:13" x14ac:dyDescent="0.15">
      <c r="B5" s="64" t="s">
        <v>34</v>
      </c>
      <c r="D5" s="121">
        <v>0.05</v>
      </c>
      <c r="E5" s="121">
        <v>0.05</v>
      </c>
      <c r="F5" s="121">
        <v>0.05</v>
      </c>
      <c r="G5" s="121">
        <v>0.05</v>
      </c>
      <c r="H5" s="121">
        <v>0.05</v>
      </c>
      <c r="I5" s="121">
        <v>0.05</v>
      </c>
      <c r="J5" s="121">
        <v>0.05</v>
      </c>
      <c r="K5" s="121">
        <v>0.05</v>
      </c>
      <c r="L5" s="121">
        <v>0.05</v>
      </c>
      <c r="M5" s="121">
        <v>0.05</v>
      </c>
    </row>
    <row r="6" spans="2:13" x14ac:dyDescent="0.15">
      <c r="B6" s="64" t="s">
        <v>35</v>
      </c>
      <c r="D6" s="66">
        <v>0.02</v>
      </c>
      <c r="E6" s="66">
        <v>0.02</v>
      </c>
      <c r="F6" s="66">
        <v>0.02</v>
      </c>
      <c r="G6" s="66">
        <v>0.02</v>
      </c>
      <c r="H6" s="66">
        <v>0.02</v>
      </c>
      <c r="I6" s="66">
        <v>0.02</v>
      </c>
      <c r="J6" s="66">
        <v>0.02</v>
      </c>
      <c r="K6" s="66">
        <v>0.02</v>
      </c>
      <c r="L6" s="66">
        <v>0.02</v>
      </c>
      <c r="M6" s="66">
        <v>0.02</v>
      </c>
    </row>
    <row r="7" spans="2:13" x14ac:dyDescent="0.15">
      <c r="B7" s="64" t="s">
        <v>36</v>
      </c>
      <c r="D7" s="66">
        <v>0.03</v>
      </c>
      <c r="E7" s="66">
        <v>0.03</v>
      </c>
      <c r="F7" s="66">
        <v>0.03</v>
      </c>
      <c r="G7" s="66">
        <v>0.03</v>
      </c>
      <c r="H7" s="66">
        <v>0.03</v>
      </c>
      <c r="I7" s="66">
        <v>0.03</v>
      </c>
      <c r="J7" s="66">
        <v>0.03</v>
      </c>
      <c r="K7" s="66">
        <v>0.03</v>
      </c>
      <c r="L7" s="66">
        <v>0.03</v>
      </c>
      <c r="M7" s="66">
        <v>0.03</v>
      </c>
    </row>
    <row r="8" spans="2:13" x14ac:dyDescent="0.15">
      <c r="B8" s="64" t="s">
        <v>37</v>
      </c>
      <c r="D8" s="120">
        <v>0</v>
      </c>
      <c r="E8" s="120">
        <v>0</v>
      </c>
      <c r="F8" s="120">
        <v>0</v>
      </c>
      <c r="G8" s="120">
        <v>0</v>
      </c>
      <c r="H8" s="120">
        <v>0</v>
      </c>
      <c r="I8" s="120">
        <v>0</v>
      </c>
      <c r="J8" s="120">
        <v>0</v>
      </c>
      <c r="K8" s="120">
        <v>0</v>
      </c>
      <c r="L8" s="120">
        <v>0</v>
      </c>
      <c r="M8" s="120">
        <v>0</v>
      </c>
    </row>
    <row r="9" spans="2:13" x14ac:dyDescent="0.15">
      <c r="B9" s="64" t="s">
        <v>38</v>
      </c>
      <c r="D9" s="68">
        <f>RentRoll!B25</f>
        <v>202</v>
      </c>
      <c r="E9" s="68">
        <f>+D9</f>
        <v>202</v>
      </c>
      <c r="F9" s="68">
        <f>+D9</f>
        <v>202</v>
      </c>
      <c r="G9" s="68">
        <f>+D9</f>
        <v>202</v>
      </c>
      <c r="H9" s="68">
        <f t="shared" ref="H9:M9" si="0">+D9</f>
        <v>202</v>
      </c>
      <c r="I9" s="68">
        <f t="shared" si="0"/>
        <v>202</v>
      </c>
      <c r="J9" s="68">
        <f t="shared" si="0"/>
        <v>202</v>
      </c>
      <c r="K9" s="68">
        <f t="shared" si="0"/>
        <v>202</v>
      </c>
      <c r="L9" s="68">
        <f t="shared" si="0"/>
        <v>202</v>
      </c>
      <c r="M9" s="68">
        <f t="shared" si="0"/>
        <v>202</v>
      </c>
    </row>
    <row r="10" spans="2:13" x14ac:dyDescent="0.15">
      <c r="D10" s="12"/>
    </row>
    <row r="11" spans="2:13" ht="12" customHeight="1" x14ac:dyDescent="0.15">
      <c r="B11" s="73"/>
      <c r="D11" s="58" t="s">
        <v>22</v>
      </c>
      <c r="E11" s="58" t="s">
        <v>23</v>
      </c>
      <c r="F11" s="58" t="s">
        <v>24</v>
      </c>
      <c r="G11" s="58" t="s">
        <v>25</v>
      </c>
      <c r="H11" s="58" t="s">
        <v>26</v>
      </c>
      <c r="I11" s="59" t="s">
        <v>27</v>
      </c>
      <c r="J11" s="59" t="s">
        <v>28</v>
      </c>
      <c r="K11" s="59" t="s">
        <v>29</v>
      </c>
      <c r="L11" s="59" t="s">
        <v>30</v>
      </c>
      <c r="M11" s="59" t="s">
        <v>31</v>
      </c>
    </row>
    <row r="12" spans="2:13" x14ac:dyDescent="0.15">
      <c r="B12" s="9"/>
      <c r="D12" s="11"/>
      <c r="E12" s="11"/>
      <c r="F12" s="11"/>
      <c r="G12" s="11"/>
      <c r="H12" s="10"/>
    </row>
    <row r="13" spans="2:13" x14ac:dyDescent="0.15">
      <c r="B13" s="71" t="s">
        <v>39</v>
      </c>
      <c r="D13" s="63">
        <f>RentRoll!I36</f>
        <v>2411090.64</v>
      </c>
      <c r="E13" s="62">
        <f t="shared" ref="E13:M13" si="1">+D13+(D13*E3)</f>
        <v>2459312.4528000001</v>
      </c>
      <c r="F13" s="62">
        <f t="shared" si="1"/>
        <v>2533091.826384</v>
      </c>
      <c r="G13" s="62">
        <f t="shared" si="1"/>
        <v>2609084.5811755201</v>
      </c>
      <c r="H13" s="62">
        <f t="shared" si="1"/>
        <v>2687357.1186107858</v>
      </c>
      <c r="I13" s="62">
        <f t="shared" si="1"/>
        <v>2767977.8321691095</v>
      </c>
      <c r="J13" s="62">
        <f t="shared" si="1"/>
        <v>2851017.167134183</v>
      </c>
      <c r="K13" s="62">
        <f t="shared" si="1"/>
        <v>2936547.6821482084</v>
      </c>
      <c r="L13" s="62">
        <f t="shared" si="1"/>
        <v>3024644.1126126545</v>
      </c>
      <c r="M13" s="62">
        <f t="shared" si="1"/>
        <v>3115383.4359910339</v>
      </c>
    </row>
    <row r="14" spans="2:13" x14ac:dyDescent="0.15">
      <c r="B14" s="71" t="s">
        <v>40</v>
      </c>
      <c r="D14" s="63">
        <v>0</v>
      </c>
      <c r="E14" s="63">
        <v>0</v>
      </c>
      <c r="F14" s="63">
        <v>0</v>
      </c>
      <c r="G14" s="63">
        <v>0</v>
      </c>
      <c r="H14" s="63">
        <v>0</v>
      </c>
      <c r="I14" s="63">
        <v>0</v>
      </c>
      <c r="J14" s="63">
        <v>0</v>
      </c>
      <c r="K14" s="63">
        <v>0</v>
      </c>
      <c r="L14" s="63">
        <v>0</v>
      </c>
      <c r="M14" s="63">
        <v>0</v>
      </c>
    </row>
    <row r="15" spans="2:13" x14ac:dyDescent="0.15">
      <c r="B15" s="71" t="s">
        <v>41</v>
      </c>
      <c r="D15" s="63">
        <f>D13*0.15</f>
        <v>361663.59600000002</v>
      </c>
      <c r="E15" s="63">
        <f t="shared" ref="E15:M15" si="2">E13*0.15</f>
        <v>368896.86791999999</v>
      </c>
      <c r="F15" s="63">
        <f t="shared" si="2"/>
        <v>379963.7739576</v>
      </c>
      <c r="G15" s="63">
        <f t="shared" si="2"/>
        <v>391362.68717632798</v>
      </c>
      <c r="H15" s="63">
        <f t="shared" si="2"/>
        <v>403103.56779161788</v>
      </c>
      <c r="I15" s="63">
        <f t="shared" si="2"/>
        <v>415196.67482536641</v>
      </c>
      <c r="J15" s="63">
        <f t="shared" si="2"/>
        <v>427652.57507012744</v>
      </c>
      <c r="K15" s="63">
        <f t="shared" si="2"/>
        <v>440482.15232223127</v>
      </c>
      <c r="L15" s="63">
        <f t="shared" si="2"/>
        <v>453696.61689189816</v>
      </c>
      <c r="M15" s="63">
        <f t="shared" si="2"/>
        <v>467307.51539865509</v>
      </c>
    </row>
    <row r="16" spans="2:13" x14ac:dyDescent="0.15">
      <c r="B16" s="76" t="s">
        <v>42</v>
      </c>
      <c r="D16" s="62">
        <f>D13+D14+D15</f>
        <v>2772754.236</v>
      </c>
      <c r="E16" s="62">
        <f t="shared" ref="E16:M16" si="3">E13+E14+E15</f>
        <v>2828209.3207200002</v>
      </c>
      <c r="F16" s="62">
        <f t="shared" si="3"/>
        <v>2913055.6003415999</v>
      </c>
      <c r="G16" s="62">
        <f t="shared" si="3"/>
        <v>3000447.2683518482</v>
      </c>
      <c r="H16" s="62">
        <f t="shared" si="3"/>
        <v>3090460.6864024037</v>
      </c>
      <c r="I16" s="62">
        <f t="shared" si="3"/>
        <v>3183174.5069944761</v>
      </c>
      <c r="J16" s="62">
        <f t="shared" si="3"/>
        <v>3278669.7422043104</v>
      </c>
      <c r="K16" s="62">
        <f t="shared" si="3"/>
        <v>3377029.8344704397</v>
      </c>
      <c r="L16" s="62">
        <f t="shared" si="3"/>
        <v>3478340.7295045527</v>
      </c>
      <c r="M16" s="62">
        <f t="shared" si="3"/>
        <v>3582690.951389689</v>
      </c>
    </row>
    <row r="17" spans="2:13" x14ac:dyDescent="0.15">
      <c r="B17" s="29" t="s">
        <v>43</v>
      </c>
      <c r="D17" s="32">
        <f>D4*D16</f>
        <v>247077.11013861385</v>
      </c>
      <c r="E17" s="32">
        <f t="shared" ref="E17:M17" si="4">E$4*(E16)</f>
        <v>254538.8388648</v>
      </c>
      <c r="F17" s="32">
        <f t="shared" si="4"/>
        <v>262175.00403074396</v>
      </c>
      <c r="G17" s="32">
        <f t="shared" si="4"/>
        <v>270040.2541516663</v>
      </c>
      <c r="H17" s="32">
        <f t="shared" si="4"/>
        <v>278141.46177621634</v>
      </c>
      <c r="I17" s="32">
        <f t="shared" si="4"/>
        <v>286485.70562950283</v>
      </c>
      <c r="J17" s="32">
        <f t="shared" si="4"/>
        <v>295080.27679838793</v>
      </c>
      <c r="K17" s="32">
        <f t="shared" si="4"/>
        <v>303932.68510233954</v>
      </c>
      <c r="L17" s="32">
        <f t="shared" si="4"/>
        <v>313050.66565540974</v>
      </c>
      <c r="M17" s="32">
        <f t="shared" si="4"/>
        <v>322442.18562507199</v>
      </c>
    </row>
    <row r="18" spans="2:13" x14ac:dyDescent="0.15">
      <c r="B18" s="29" t="s">
        <v>44</v>
      </c>
      <c r="D18" s="32">
        <f>D5*D16</f>
        <v>138637.71180000002</v>
      </c>
      <c r="E18" s="32">
        <f t="shared" ref="E18:M18" si="5">+E5*E16</f>
        <v>141410.46603600003</v>
      </c>
      <c r="F18" s="32">
        <f t="shared" si="5"/>
        <v>145652.78001707999</v>
      </c>
      <c r="G18" s="32">
        <f t="shared" si="5"/>
        <v>150022.36341759242</v>
      </c>
      <c r="H18" s="32">
        <f t="shared" si="5"/>
        <v>154523.0343201202</v>
      </c>
      <c r="I18" s="32">
        <f t="shared" si="5"/>
        <v>159158.72534972383</v>
      </c>
      <c r="J18" s="32">
        <f t="shared" si="5"/>
        <v>163933.48711021553</v>
      </c>
      <c r="K18" s="32">
        <f t="shared" si="5"/>
        <v>168851.49172352199</v>
      </c>
      <c r="L18" s="32">
        <f t="shared" si="5"/>
        <v>173917.03647522765</v>
      </c>
      <c r="M18" s="32">
        <f t="shared" si="5"/>
        <v>179134.54756948445</v>
      </c>
    </row>
    <row r="19" spans="2:13" ht="13" thickBot="1" x14ac:dyDescent="0.2">
      <c r="B19" s="56" t="s">
        <v>118</v>
      </c>
      <c r="C19" s="72"/>
      <c r="D19" s="60">
        <f t="shared" ref="D19:M19" si="6">+D16-D17-D18</f>
        <v>2387039.4140613861</v>
      </c>
      <c r="E19" s="60">
        <f t="shared" si="6"/>
        <v>2432260.0158192003</v>
      </c>
      <c r="F19" s="60">
        <f t="shared" si="6"/>
        <v>2505227.816293776</v>
      </c>
      <c r="G19" s="60">
        <f t="shared" si="6"/>
        <v>2580384.6507825893</v>
      </c>
      <c r="H19" s="60">
        <f t="shared" si="6"/>
        <v>2657796.190306067</v>
      </c>
      <c r="I19" s="60">
        <f t="shared" si="6"/>
        <v>2737530.0760152494</v>
      </c>
      <c r="J19" s="60">
        <f t="shared" si="6"/>
        <v>2819655.9782957067</v>
      </c>
      <c r="K19" s="60">
        <f t="shared" si="6"/>
        <v>2904245.6576445783</v>
      </c>
      <c r="L19" s="60">
        <f t="shared" si="6"/>
        <v>2991373.0273739151</v>
      </c>
      <c r="M19" s="60">
        <f t="shared" si="6"/>
        <v>3081114.2181951324</v>
      </c>
    </row>
    <row r="20" spans="2:13" ht="13" thickTop="1" x14ac:dyDescent="0.15">
      <c r="B20" s="7"/>
      <c r="D20" s="122"/>
      <c r="E20" s="122"/>
      <c r="F20" s="122"/>
      <c r="G20" s="122"/>
      <c r="H20" s="122"/>
      <c r="I20" s="122"/>
      <c r="J20" s="122"/>
      <c r="K20" s="122"/>
      <c r="L20" s="122"/>
      <c r="M20" s="122"/>
    </row>
    <row r="21" spans="2:13" x14ac:dyDescent="0.15">
      <c r="B21" s="54" t="s">
        <v>45</v>
      </c>
      <c r="D21" s="3"/>
      <c r="E21" s="3"/>
      <c r="F21" s="3"/>
      <c r="G21" s="3"/>
      <c r="H21" s="6"/>
      <c r="I21" s="6"/>
      <c r="J21" s="6"/>
      <c r="K21" s="6"/>
      <c r="L21" s="6"/>
      <c r="M21" s="6"/>
    </row>
    <row r="22" spans="2:13" x14ac:dyDescent="0.15">
      <c r="B22" s="29" t="s">
        <v>116</v>
      </c>
      <c r="D22" s="33">
        <v>0</v>
      </c>
      <c r="E22" s="32">
        <f t="shared" ref="E22:M22" si="7">+D22+(D22*E6)</f>
        <v>0</v>
      </c>
      <c r="F22" s="32">
        <f t="shared" si="7"/>
        <v>0</v>
      </c>
      <c r="G22" s="32">
        <f t="shared" si="7"/>
        <v>0</v>
      </c>
      <c r="H22" s="32">
        <f t="shared" si="7"/>
        <v>0</v>
      </c>
      <c r="I22" s="32">
        <f t="shared" si="7"/>
        <v>0</v>
      </c>
      <c r="J22" s="32">
        <f t="shared" si="7"/>
        <v>0</v>
      </c>
      <c r="K22" s="32">
        <f t="shared" si="7"/>
        <v>0</v>
      </c>
      <c r="L22" s="32">
        <f t="shared" si="7"/>
        <v>0</v>
      </c>
      <c r="M22" s="32">
        <f t="shared" si="7"/>
        <v>0</v>
      </c>
    </row>
    <row r="23" spans="2:13" x14ac:dyDescent="0.15">
      <c r="B23" s="29" t="s">
        <v>115</v>
      </c>
      <c r="D23" s="33">
        <v>0</v>
      </c>
      <c r="E23" s="32">
        <f t="shared" ref="E23:M23" si="8">+D23+(D23*E6)</f>
        <v>0</v>
      </c>
      <c r="F23" s="32">
        <f t="shared" si="8"/>
        <v>0</v>
      </c>
      <c r="G23" s="32">
        <f t="shared" si="8"/>
        <v>0</v>
      </c>
      <c r="H23" s="32">
        <f t="shared" si="8"/>
        <v>0</v>
      </c>
      <c r="I23" s="32">
        <f t="shared" si="8"/>
        <v>0</v>
      </c>
      <c r="J23" s="32">
        <f t="shared" si="8"/>
        <v>0</v>
      </c>
      <c r="K23" s="32">
        <f t="shared" si="8"/>
        <v>0</v>
      </c>
      <c r="L23" s="32">
        <f t="shared" si="8"/>
        <v>0</v>
      </c>
      <c r="M23" s="32">
        <f t="shared" si="8"/>
        <v>0</v>
      </c>
    </row>
    <row r="24" spans="2:13" x14ac:dyDescent="0.15">
      <c r="B24" s="29" t="s">
        <v>47</v>
      </c>
      <c r="D24" s="33">
        <v>0</v>
      </c>
      <c r="E24" s="32">
        <f t="shared" ref="E24:M24" si="9">+D24+(D24*E6)</f>
        <v>0</v>
      </c>
      <c r="F24" s="32">
        <f t="shared" si="9"/>
        <v>0</v>
      </c>
      <c r="G24" s="32">
        <f t="shared" si="9"/>
        <v>0</v>
      </c>
      <c r="H24" s="32">
        <f t="shared" si="9"/>
        <v>0</v>
      </c>
      <c r="I24" s="32">
        <f t="shared" si="9"/>
        <v>0</v>
      </c>
      <c r="J24" s="32">
        <f t="shared" si="9"/>
        <v>0</v>
      </c>
      <c r="K24" s="32">
        <f t="shared" si="9"/>
        <v>0</v>
      </c>
      <c r="L24" s="32">
        <f t="shared" si="9"/>
        <v>0</v>
      </c>
      <c r="M24" s="32">
        <f t="shared" si="9"/>
        <v>0</v>
      </c>
    </row>
    <row r="25" spans="2:13" x14ac:dyDescent="0.15">
      <c r="B25" s="29" t="s">
        <v>114</v>
      </c>
      <c r="D25" s="33">
        <v>0</v>
      </c>
      <c r="E25" s="32">
        <f t="shared" ref="E25:M25" si="10">+D25+(D25*E6)</f>
        <v>0</v>
      </c>
      <c r="F25" s="32">
        <f t="shared" si="10"/>
        <v>0</v>
      </c>
      <c r="G25" s="32">
        <f t="shared" si="10"/>
        <v>0</v>
      </c>
      <c r="H25" s="32">
        <f t="shared" si="10"/>
        <v>0</v>
      </c>
      <c r="I25" s="32">
        <f t="shared" si="10"/>
        <v>0</v>
      </c>
      <c r="J25" s="32">
        <f t="shared" si="10"/>
        <v>0</v>
      </c>
      <c r="K25" s="32">
        <f t="shared" si="10"/>
        <v>0</v>
      </c>
      <c r="L25" s="32">
        <f t="shared" si="10"/>
        <v>0</v>
      </c>
      <c r="M25" s="32">
        <f t="shared" si="10"/>
        <v>0</v>
      </c>
    </row>
    <row r="26" spans="2:13" x14ac:dyDescent="0.15">
      <c r="B26" s="29" t="s">
        <v>113</v>
      </c>
      <c r="D26" s="33">
        <v>0</v>
      </c>
      <c r="E26" s="32">
        <f t="shared" ref="E26:M26" si="11">+D26+(D26*E6)</f>
        <v>0</v>
      </c>
      <c r="F26" s="32">
        <f t="shared" si="11"/>
        <v>0</v>
      </c>
      <c r="G26" s="32">
        <f t="shared" si="11"/>
        <v>0</v>
      </c>
      <c r="H26" s="32">
        <f t="shared" si="11"/>
        <v>0</v>
      </c>
      <c r="I26" s="32">
        <f t="shared" si="11"/>
        <v>0</v>
      </c>
      <c r="J26" s="32">
        <f t="shared" si="11"/>
        <v>0</v>
      </c>
      <c r="K26" s="32">
        <f t="shared" si="11"/>
        <v>0</v>
      </c>
      <c r="L26" s="32">
        <f t="shared" si="11"/>
        <v>0</v>
      </c>
      <c r="M26" s="32">
        <f t="shared" si="11"/>
        <v>0</v>
      </c>
    </row>
    <row r="27" spans="2:13" x14ac:dyDescent="0.15">
      <c r="B27" s="29" t="s">
        <v>46</v>
      </c>
      <c r="D27" s="33">
        <v>0</v>
      </c>
      <c r="E27" s="32">
        <f t="shared" ref="E27:M27" si="12">+D27+(D27*E6)</f>
        <v>0</v>
      </c>
      <c r="F27" s="32">
        <f t="shared" si="12"/>
        <v>0</v>
      </c>
      <c r="G27" s="32">
        <f t="shared" si="12"/>
        <v>0</v>
      </c>
      <c r="H27" s="32">
        <f t="shared" si="12"/>
        <v>0</v>
      </c>
      <c r="I27" s="32">
        <f t="shared" si="12"/>
        <v>0</v>
      </c>
      <c r="J27" s="32">
        <f t="shared" si="12"/>
        <v>0</v>
      </c>
      <c r="K27" s="32">
        <f t="shared" si="12"/>
        <v>0</v>
      </c>
      <c r="L27" s="32">
        <f t="shared" si="12"/>
        <v>0</v>
      </c>
      <c r="M27" s="32">
        <f t="shared" si="12"/>
        <v>0</v>
      </c>
    </row>
    <row r="28" spans="2:13" x14ac:dyDescent="0.15">
      <c r="B28" s="29" t="s">
        <v>112</v>
      </c>
      <c r="D28" s="33">
        <v>0</v>
      </c>
      <c r="E28" s="32">
        <f t="shared" ref="E28:M28" si="13">+D28+(D28*E6)</f>
        <v>0</v>
      </c>
      <c r="F28" s="32">
        <f t="shared" si="13"/>
        <v>0</v>
      </c>
      <c r="G28" s="32">
        <f t="shared" si="13"/>
        <v>0</v>
      </c>
      <c r="H28" s="32">
        <f t="shared" si="13"/>
        <v>0</v>
      </c>
      <c r="I28" s="32">
        <f t="shared" si="13"/>
        <v>0</v>
      </c>
      <c r="J28" s="32">
        <f t="shared" si="13"/>
        <v>0</v>
      </c>
      <c r="K28" s="32">
        <f t="shared" si="13"/>
        <v>0</v>
      </c>
      <c r="L28" s="32">
        <f t="shared" si="13"/>
        <v>0</v>
      </c>
      <c r="M28" s="32">
        <f t="shared" si="13"/>
        <v>0</v>
      </c>
    </row>
    <row r="29" spans="2:13" x14ac:dyDescent="0.15">
      <c r="B29" s="29" t="s">
        <v>48</v>
      </c>
      <c r="D29" s="33">
        <v>0</v>
      </c>
      <c r="E29" s="32">
        <f t="shared" ref="E29:M29" si="14">+D29+(D29*E6)</f>
        <v>0</v>
      </c>
      <c r="F29" s="32">
        <f t="shared" si="14"/>
        <v>0</v>
      </c>
      <c r="G29" s="32">
        <f t="shared" si="14"/>
        <v>0</v>
      </c>
      <c r="H29" s="32">
        <f t="shared" si="14"/>
        <v>0</v>
      </c>
      <c r="I29" s="32">
        <f t="shared" si="14"/>
        <v>0</v>
      </c>
      <c r="J29" s="32">
        <f t="shared" si="14"/>
        <v>0</v>
      </c>
      <c r="K29" s="32">
        <f t="shared" si="14"/>
        <v>0</v>
      </c>
      <c r="L29" s="32">
        <f t="shared" si="14"/>
        <v>0</v>
      </c>
      <c r="M29" s="32">
        <f t="shared" si="14"/>
        <v>0</v>
      </c>
    </row>
    <row r="30" spans="2:13" x14ac:dyDescent="0.15">
      <c r="B30" s="29" t="s">
        <v>49</v>
      </c>
      <c r="D30" s="32">
        <f t="shared" ref="D30:M30" si="15">D8*D9</f>
        <v>0</v>
      </c>
      <c r="E30" s="32">
        <f t="shared" si="15"/>
        <v>0</v>
      </c>
      <c r="F30" s="32">
        <f t="shared" si="15"/>
        <v>0</v>
      </c>
      <c r="G30" s="32">
        <f t="shared" si="15"/>
        <v>0</v>
      </c>
      <c r="H30" s="32">
        <f t="shared" si="15"/>
        <v>0</v>
      </c>
      <c r="I30" s="32">
        <f t="shared" si="15"/>
        <v>0</v>
      </c>
      <c r="J30" s="32">
        <f t="shared" si="15"/>
        <v>0</v>
      </c>
      <c r="K30" s="32">
        <f t="shared" si="15"/>
        <v>0</v>
      </c>
      <c r="L30" s="32">
        <f t="shared" si="15"/>
        <v>0</v>
      </c>
      <c r="M30" s="32">
        <f t="shared" si="15"/>
        <v>0</v>
      </c>
    </row>
    <row r="31" spans="2:13" x14ac:dyDescent="0.15">
      <c r="B31" s="29" t="s">
        <v>50</v>
      </c>
      <c r="D31" s="34">
        <v>0</v>
      </c>
      <c r="E31" s="34">
        <v>0</v>
      </c>
      <c r="F31" s="34">
        <v>0</v>
      </c>
      <c r="G31" s="34">
        <v>0</v>
      </c>
      <c r="H31" s="34">
        <v>0</v>
      </c>
      <c r="I31" s="34">
        <v>0</v>
      </c>
      <c r="J31" s="34">
        <v>0</v>
      </c>
      <c r="K31" s="34">
        <v>0</v>
      </c>
      <c r="L31" s="34">
        <v>0</v>
      </c>
      <c r="M31" s="34">
        <v>0</v>
      </c>
    </row>
    <row r="32" spans="2:13" x14ac:dyDescent="0.15">
      <c r="B32" s="53" t="s">
        <v>51</v>
      </c>
      <c r="D32" s="32">
        <f>D19*0.4-D40</f>
        <v>894815.76562455448</v>
      </c>
      <c r="E32" s="32">
        <f>D32*(1+E6)</f>
        <v>912712.08093704563</v>
      </c>
      <c r="F32" s="32">
        <f t="shared" ref="F32:M32" si="16">E32*(1+F6)</f>
        <v>930966.32255578658</v>
      </c>
      <c r="G32" s="32">
        <f t="shared" si="16"/>
        <v>949585.64900690236</v>
      </c>
      <c r="H32" s="32">
        <f t="shared" si="16"/>
        <v>968577.36198704038</v>
      </c>
      <c r="I32" s="32">
        <f t="shared" si="16"/>
        <v>987948.90922678122</v>
      </c>
      <c r="J32" s="32">
        <f t="shared" si="16"/>
        <v>1007707.8874113169</v>
      </c>
      <c r="K32" s="32">
        <f t="shared" si="16"/>
        <v>1027862.0451595432</v>
      </c>
      <c r="L32" s="32">
        <f t="shared" si="16"/>
        <v>1048419.2860627341</v>
      </c>
      <c r="M32" s="32">
        <f t="shared" si="16"/>
        <v>1069387.6717839888</v>
      </c>
    </row>
    <row r="33" spans="2:13" x14ac:dyDescent="0.15">
      <c r="B33" s="8"/>
      <c r="D33" s="3"/>
      <c r="E33" s="3"/>
      <c r="F33" s="3"/>
      <c r="G33" s="3"/>
      <c r="H33" s="3"/>
      <c r="I33" s="3"/>
      <c r="J33" s="3"/>
      <c r="K33" s="3"/>
      <c r="L33" s="3"/>
      <c r="M33" s="3"/>
    </row>
    <row r="34" spans="2:13" ht="13" thickBot="1" x14ac:dyDescent="0.2">
      <c r="B34" s="57" t="s">
        <v>52</v>
      </c>
      <c r="C34" s="72"/>
      <c r="D34" s="60">
        <f t="shared" ref="D34:M34" si="17">+D19-D32</f>
        <v>1492223.6484368318</v>
      </c>
      <c r="E34" s="60">
        <f t="shared" si="17"/>
        <v>1519547.9348821547</v>
      </c>
      <c r="F34" s="60">
        <f t="shared" si="17"/>
        <v>1574261.4937379896</v>
      </c>
      <c r="G34" s="60">
        <f t="shared" si="17"/>
        <v>1630799.0017756871</v>
      </c>
      <c r="H34" s="60">
        <f t="shared" si="17"/>
        <v>1689218.8283190266</v>
      </c>
      <c r="I34" s="60">
        <f t="shared" si="17"/>
        <v>1749581.1667884681</v>
      </c>
      <c r="J34" s="60">
        <f t="shared" si="17"/>
        <v>1811948.0908843898</v>
      </c>
      <c r="K34" s="60">
        <f t="shared" si="17"/>
        <v>1876383.6124850351</v>
      </c>
      <c r="L34" s="60">
        <f t="shared" si="17"/>
        <v>1942953.7413111809</v>
      </c>
      <c r="M34" s="60">
        <f t="shared" si="17"/>
        <v>2011726.5464111436</v>
      </c>
    </row>
    <row r="35" spans="2:13" ht="12" customHeight="1" thickTop="1" x14ac:dyDescent="0.15">
      <c r="B35" s="7"/>
      <c r="D35" s="3"/>
      <c r="E35" s="3"/>
      <c r="F35" s="3"/>
      <c r="G35" s="3"/>
      <c r="H35" s="6"/>
      <c r="I35" s="6"/>
      <c r="J35" s="6"/>
      <c r="K35" s="6"/>
      <c r="L35" s="6"/>
      <c r="M35" s="6"/>
    </row>
    <row r="36" spans="2:13" ht="12" customHeight="1" x14ac:dyDescent="0.15">
      <c r="B36" s="54" t="s">
        <v>53</v>
      </c>
      <c r="D36" s="32"/>
      <c r="E36" s="32"/>
      <c r="F36" s="32"/>
      <c r="G36" s="32"/>
      <c r="H36" s="35"/>
      <c r="I36" s="35"/>
      <c r="J36" s="35"/>
      <c r="K36" s="35"/>
      <c r="L36" s="35"/>
      <c r="M36" s="35"/>
    </row>
    <row r="37" spans="2:13" ht="12" customHeight="1" x14ac:dyDescent="0.15">
      <c r="B37" s="29" t="s">
        <v>54</v>
      </c>
      <c r="D37" s="32">
        <v>0</v>
      </c>
      <c r="E37" s="32">
        <v>0</v>
      </c>
      <c r="F37" s="32">
        <v>0</v>
      </c>
      <c r="G37" s="32">
        <v>0</v>
      </c>
      <c r="H37" s="32">
        <v>0</v>
      </c>
      <c r="I37" s="32">
        <v>0</v>
      </c>
      <c r="J37" s="32">
        <v>0</v>
      </c>
      <c r="K37" s="32">
        <v>0</v>
      </c>
      <c r="L37" s="32">
        <v>0</v>
      </c>
      <c r="M37" s="32">
        <v>0</v>
      </c>
    </row>
    <row r="38" spans="2:13" ht="12" customHeight="1" x14ac:dyDescent="0.15">
      <c r="B38" s="29" t="s">
        <v>55</v>
      </c>
      <c r="D38" s="32">
        <v>0</v>
      </c>
      <c r="E38" s="32">
        <v>0</v>
      </c>
      <c r="F38" s="32">
        <v>0</v>
      </c>
      <c r="G38" s="32">
        <v>0</v>
      </c>
      <c r="H38" s="32">
        <v>0</v>
      </c>
      <c r="I38" s="32">
        <v>0</v>
      </c>
      <c r="J38" s="32">
        <v>0</v>
      </c>
      <c r="K38" s="32">
        <v>0</v>
      </c>
      <c r="L38" s="32">
        <v>0</v>
      </c>
      <c r="M38" s="32">
        <v>0</v>
      </c>
    </row>
    <row r="39" spans="2:13" ht="12" customHeight="1" x14ac:dyDescent="0.15">
      <c r="B39" s="29" t="s">
        <v>56</v>
      </c>
      <c r="D39" s="34">
        <v>60000</v>
      </c>
      <c r="E39" s="34">
        <f>D39*(1+E6)</f>
        <v>61200</v>
      </c>
      <c r="F39" s="34">
        <f t="shared" ref="F39:M39" si="18">E39*(1+F6)</f>
        <v>62424</v>
      </c>
      <c r="G39" s="34">
        <f t="shared" si="18"/>
        <v>63672.480000000003</v>
      </c>
      <c r="H39" s="34">
        <f t="shared" si="18"/>
        <v>64945.929600000003</v>
      </c>
      <c r="I39" s="34">
        <f t="shared" si="18"/>
        <v>66244.848192000005</v>
      </c>
      <c r="J39" s="34">
        <f t="shared" si="18"/>
        <v>67569.745155840006</v>
      </c>
      <c r="K39" s="34">
        <f t="shared" si="18"/>
        <v>68921.140058956807</v>
      </c>
      <c r="L39" s="34">
        <f t="shared" si="18"/>
        <v>70299.562860135949</v>
      </c>
      <c r="M39" s="34">
        <f t="shared" si="18"/>
        <v>71705.554117338674</v>
      </c>
    </row>
    <row r="40" spans="2:13" ht="12" customHeight="1" x14ac:dyDescent="0.15">
      <c r="B40" s="54" t="s">
        <v>57</v>
      </c>
      <c r="D40" s="32">
        <f t="shared" ref="D40:M40" si="19">+D37+D38+D39</f>
        <v>60000</v>
      </c>
      <c r="E40" s="32">
        <f t="shared" si="19"/>
        <v>61200</v>
      </c>
      <c r="F40" s="32">
        <f t="shared" si="19"/>
        <v>62424</v>
      </c>
      <c r="G40" s="32">
        <f t="shared" si="19"/>
        <v>63672.480000000003</v>
      </c>
      <c r="H40" s="32">
        <f t="shared" si="19"/>
        <v>64945.929600000003</v>
      </c>
      <c r="I40" s="32">
        <f t="shared" si="19"/>
        <v>66244.848192000005</v>
      </c>
      <c r="J40" s="32">
        <f t="shared" si="19"/>
        <v>67569.745155840006</v>
      </c>
      <c r="K40" s="32">
        <f t="shared" si="19"/>
        <v>68921.140058956807</v>
      </c>
      <c r="L40" s="32">
        <f t="shared" si="19"/>
        <v>70299.562860135949</v>
      </c>
      <c r="M40" s="32">
        <f t="shared" si="19"/>
        <v>71705.554117338674</v>
      </c>
    </row>
    <row r="41" spans="2:13" ht="12" customHeight="1" x14ac:dyDescent="0.15">
      <c r="B41" s="29"/>
      <c r="D41" s="32"/>
      <c r="E41" s="32"/>
      <c r="F41" s="32"/>
      <c r="G41" s="32"/>
      <c r="H41" s="32"/>
      <c r="I41" s="32"/>
      <c r="J41" s="32"/>
      <c r="K41" s="32"/>
      <c r="L41" s="32"/>
      <c r="M41" s="32"/>
    </row>
    <row r="42" spans="2:13" ht="12" customHeight="1" thickBot="1" x14ac:dyDescent="0.2">
      <c r="B42" s="86" t="s">
        <v>58</v>
      </c>
      <c r="C42" s="72"/>
      <c r="D42" s="60">
        <f>+D34-D40</f>
        <v>1432223.6484368318</v>
      </c>
      <c r="E42" s="60">
        <f>+E34-E40</f>
        <v>1458347.9348821547</v>
      </c>
      <c r="F42" s="60">
        <f t="shared" ref="F42:M42" si="20">+F34-F40</f>
        <v>1511837.4937379896</v>
      </c>
      <c r="G42" s="60">
        <f t="shared" si="20"/>
        <v>1567126.5217756871</v>
      </c>
      <c r="H42" s="60">
        <f t="shared" si="20"/>
        <v>1624272.8987190267</v>
      </c>
      <c r="I42" s="60">
        <f t="shared" si="20"/>
        <v>1683336.3185964681</v>
      </c>
      <c r="J42" s="60">
        <f t="shared" si="20"/>
        <v>1744378.3457285499</v>
      </c>
      <c r="K42" s="60">
        <f t="shared" si="20"/>
        <v>1807462.4724260783</v>
      </c>
      <c r="L42" s="60">
        <f t="shared" si="20"/>
        <v>1872654.178451045</v>
      </c>
      <c r="M42" s="60">
        <f t="shared" si="20"/>
        <v>1940020.9922938049</v>
      </c>
    </row>
    <row r="43" spans="2:13" ht="11.25" customHeight="1" thickTop="1" x14ac:dyDescent="0.15"/>
    <row r="44" spans="2:13" x14ac:dyDescent="0.15">
      <c r="B44" s="54" t="s">
        <v>59</v>
      </c>
      <c r="D44" s="55">
        <f>+'Loan Amortization'!$H$3*12</f>
        <v>1130976.753042744</v>
      </c>
      <c r="E44" s="55">
        <f>+'Loan Amortization'!$H$3*12</f>
        <v>1130976.753042744</v>
      </c>
      <c r="F44" s="55">
        <f>+'Loan Amortization'!$H$3*12</f>
        <v>1130976.753042744</v>
      </c>
      <c r="G44" s="55">
        <f>+'Loan Amortization'!$H$3*12</f>
        <v>1130976.753042744</v>
      </c>
      <c r="H44" s="55">
        <f>+'Loan Amortization'!$H$3*12</f>
        <v>1130976.753042744</v>
      </c>
      <c r="I44" s="55">
        <f>+'Loan Amortization'!$H$3*12</f>
        <v>1130976.753042744</v>
      </c>
      <c r="J44" s="55">
        <f>+'Loan Amortization'!$H$3*12</f>
        <v>1130976.753042744</v>
      </c>
      <c r="K44" s="55">
        <f>+'Loan Amortization'!$H$3*12</f>
        <v>1130976.753042744</v>
      </c>
      <c r="L44" s="55">
        <f>+'Loan Amortization'!$H$3*12</f>
        <v>1130976.753042744</v>
      </c>
      <c r="M44" s="55">
        <f>+'Loan Amortization'!$H$3*12</f>
        <v>1130976.753042744</v>
      </c>
    </row>
    <row r="45" spans="2:13" x14ac:dyDescent="0.15">
      <c r="B45" s="2"/>
      <c r="D45" s="4"/>
      <c r="E45" s="4"/>
      <c r="F45" s="4"/>
      <c r="G45" s="4"/>
      <c r="H45" s="4"/>
      <c r="I45" s="4"/>
      <c r="J45" s="4"/>
      <c r="K45" s="4"/>
      <c r="L45" s="4"/>
      <c r="M45" s="4"/>
    </row>
    <row r="46" spans="2:13" ht="13" thickBot="1" x14ac:dyDescent="0.2">
      <c r="B46" s="56" t="s">
        <v>99</v>
      </c>
      <c r="C46" s="72"/>
      <c r="D46" s="61">
        <f t="shared" ref="D46:M46" si="21">+D42-D44</f>
        <v>301246.89539408777</v>
      </c>
      <c r="E46" s="107">
        <f t="shared" si="21"/>
        <v>327371.18183941068</v>
      </c>
      <c r="F46" s="61">
        <f t="shared" si="21"/>
        <v>380860.74069524556</v>
      </c>
      <c r="G46" s="61">
        <f t="shared" si="21"/>
        <v>436149.76873294311</v>
      </c>
      <c r="H46" s="61">
        <f t="shared" si="21"/>
        <v>493296.1456762827</v>
      </c>
      <c r="I46" s="61">
        <f t="shared" si="21"/>
        <v>552359.56555372407</v>
      </c>
      <c r="J46" s="61">
        <f t="shared" si="21"/>
        <v>613401.59268580587</v>
      </c>
      <c r="K46" s="61">
        <f t="shared" si="21"/>
        <v>676485.71938333428</v>
      </c>
      <c r="L46" s="61">
        <f t="shared" si="21"/>
        <v>741677.42540830094</v>
      </c>
      <c r="M46" s="61">
        <f t="shared" si="21"/>
        <v>809044.23925106088</v>
      </c>
    </row>
    <row r="47" spans="2:13" ht="13" thickTop="1" x14ac:dyDescent="0.15">
      <c r="B47" s="2"/>
    </row>
    <row r="48" spans="2:13" x14ac:dyDescent="0.15">
      <c r="B48" s="2"/>
      <c r="C48" s="74" t="s">
        <v>21</v>
      </c>
    </row>
    <row r="49" spans="2:13" x14ac:dyDescent="0.15">
      <c r="B49" s="75" t="s">
        <v>60</v>
      </c>
      <c r="C49" s="115">
        <v>6.5000000000000002E-2</v>
      </c>
      <c r="E49" s="106" t="s">
        <v>104</v>
      </c>
      <c r="F49" s="39"/>
      <c r="G49" s="39"/>
      <c r="H49" s="39"/>
      <c r="I49" s="39"/>
      <c r="M49" s="25">
        <v>0.06</v>
      </c>
    </row>
    <row r="50" spans="2:13" ht="15" x14ac:dyDescent="0.2">
      <c r="B50" s="76" t="s">
        <v>61</v>
      </c>
      <c r="C50" s="116">
        <f>+D34/C49</f>
        <v>22957286.899028182</v>
      </c>
      <c r="D50"/>
      <c r="E50" s="106" t="s">
        <v>103</v>
      </c>
      <c r="F50" s="40"/>
      <c r="G50" s="40"/>
      <c r="H50" s="40"/>
      <c r="I50" s="40"/>
      <c r="M50" s="18">
        <f>+M34/M49</f>
        <v>33528775.773519062</v>
      </c>
    </row>
    <row r="51" spans="2:13" x14ac:dyDescent="0.15">
      <c r="B51" s="76" t="s">
        <v>62</v>
      </c>
      <c r="C51" s="112">
        <f>C50</f>
        <v>22957286.899028182</v>
      </c>
    </row>
    <row r="52" spans="2:13" x14ac:dyDescent="0.15">
      <c r="B52" s="77" t="s">
        <v>63</v>
      </c>
      <c r="C52" s="112">
        <v>0</v>
      </c>
      <c r="D52" s="31"/>
      <c r="E52" s="31"/>
      <c r="F52" s="79" t="s">
        <v>69</v>
      </c>
      <c r="M52" s="24">
        <f>M50</f>
        <v>33528775.773519062</v>
      </c>
    </row>
    <row r="53" spans="2:13" ht="13" thickBot="1" x14ac:dyDescent="0.2">
      <c r="B53" s="78" t="s">
        <v>64</v>
      </c>
      <c r="C53" s="70">
        <f>+C51+C52</f>
        <v>22957286.899028182</v>
      </c>
      <c r="D53" s="31"/>
      <c r="E53" s="31"/>
      <c r="F53" s="79" t="s">
        <v>101</v>
      </c>
      <c r="G53" s="26"/>
      <c r="H53" s="26"/>
      <c r="M53" s="36">
        <f>+'Loan Amortization'!K122</f>
        <v>14627946.258732731</v>
      </c>
    </row>
    <row r="54" spans="2:13" ht="13" thickTop="1" x14ac:dyDescent="0.15">
      <c r="B54" s="76"/>
      <c r="C54" s="108"/>
      <c r="D54" s="31"/>
      <c r="E54" s="31"/>
      <c r="F54" s="79" t="s">
        <v>100</v>
      </c>
      <c r="G54" s="26"/>
      <c r="H54" s="26"/>
      <c r="M54" s="36">
        <v>0</v>
      </c>
    </row>
    <row r="55" spans="2:13" ht="13" thickBot="1" x14ac:dyDescent="0.2">
      <c r="B55" s="76"/>
      <c r="C55" s="74" t="s">
        <v>21</v>
      </c>
      <c r="D55" s="31"/>
      <c r="E55" s="31"/>
      <c r="F55" s="79" t="s">
        <v>102</v>
      </c>
      <c r="G55" s="24"/>
      <c r="H55" s="24"/>
      <c r="M55" s="43">
        <f>+M52-M53-M54</f>
        <v>18900829.514786333</v>
      </c>
    </row>
    <row r="56" spans="2:13" ht="13" thickTop="1" x14ac:dyDescent="0.15">
      <c r="B56" s="76" t="s">
        <v>67</v>
      </c>
      <c r="C56" s="112">
        <f>C50</f>
        <v>22957286.899028182</v>
      </c>
      <c r="D56" s="31"/>
      <c r="E56" s="31"/>
      <c r="F56" s="79"/>
      <c r="G56" s="24"/>
      <c r="H56" s="24"/>
      <c r="M56" s="24"/>
    </row>
    <row r="57" spans="2:13" x14ac:dyDescent="0.15">
      <c r="B57" s="76" t="s">
        <v>65</v>
      </c>
      <c r="C57" s="113">
        <v>0.72</v>
      </c>
      <c r="D57" s="31"/>
      <c r="E57" s="31"/>
      <c r="F57" s="31"/>
      <c r="G57" s="31"/>
      <c r="H57" s="31"/>
      <c r="I57" s="31"/>
      <c r="J57" s="31"/>
      <c r="K57" s="31"/>
      <c r="L57" s="31"/>
      <c r="M57" s="31"/>
    </row>
    <row r="58" spans="2:13" x14ac:dyDescent="0.15">
      <c r="B58" s="76" t="s">
        <v>66</v>
      </c>
      <c r="C58" s="111">
        <f>C60/C53</f>
        <v>0.72</v>
      </c>
      <c r="D58" s="31"/>
      <c r="E58" s="31"/>
      <c r="F58" s="31"/>
      <c r="G58" s="31"/>
      <c r="H58" s="31"/>
      <c r="I58" s="31"/>
      <c r="J58" s="31"/>
      <c r="K58" s="31"/>
      <c r="L58" s="31"/>
      <c r="M58" s="31"/>
    </row>
    <row r="59" spans="2:13" x14ac:dyDescent="0.15">
      <c r="B59" s="80" t="s">
        <v>68</v>
      </c>
      <c r="C59" s="114">
        <f>+C53</f>
        <v>22957286.899028182</v>
      </c>
      <c r="D59" s="24"/>
      <c r="E59" s="24"/>
      <c r="F59" s="24"/>
      <c r="G59" s="24"/>
      <c r="H59" s="24"/>
    </row>
    <row r="60" spans="2:13" x14ac:dyDescent="0.15">
      <c r="B60" s="110" t="s">
        <v>106</v>
      </c>
      <c r="C60" s="114">
        <f>C56*C57</f>
        <v>16529246.56730029</v>
      </c>
      <c r="D60" s="24"/>
      <c r="E60" s="24"/>
      <c r="F60" s="24"/>
      <c r="G60" s="24"/>
      <c r="H60" s="24"/>
    </row>
    <row r="61" spans="2:13" ht="13" thickBot="1" x14ac:dyDescent="0.2">
      <c r="B61" s="109" t="s">
        <v>105</v>
      </c>
      <c r="C61" s="70">
        <f>+C59-C60</f>
        <v>6428040.3317278922</v>
      </c>
      <c r="D61" s="24"/>
      <c r="E61" s="24"/>
      <c r="F61" s="24"/>
      <c r="G61" s="24"/>
      <c r="H61" s="24"/>
    </row>
    <row r="62" spans="2:13" ht="16" thickTop="1" x14ac:dyDescent="0.2">
      <c r="B62" s="5"/>
      <c r="C62" s="69"/>
      <c r="D62" s="24"/>
      <c r="E62" s="24"/>
      <c r="F62" s="24"/>
      <c r="G62" s="24"/>
      <c r="H62" s="24"/>
    </row>
    <row r="63" spans="2:13" x14ac:dyDescent="0.15">
      <c r="C63" s="106" t="s">
        <v>96</v>
      </c>
      <c r="D63" s="42">
        <f t="shared" ref="D63:M63" si="22">+D46/$C$61</f>
        <v>4.6864499886096853E-2</v>
      </c>
      <c r="E63" s="42">
        <f t="shared" si="22"/>
        <v>5.0928613534602936E-2</v>
      </c>
      <c r="F63" s="42">
        <f t="shared" si="22"/>
        <v>5.9249899042383286E-2</v>
      </c>
      <c r="G63" s="42">
        <f t="shared" si="22"/>
        <v>6.7851125105760454E-2</v>
      </c>
      <c r="H63" s="42">
        <f t="shared" si="22"/>
        <v>7.6741295981209573E-2</v>
      </c>
      <c r="I63" s="42">
        <f t="shared" si="22"/>
        <v>8.5929698173696251E-2</v>
      </c>
      <c r="J63" s="42">
        <f t="shared" si="22"/>
        <v>9.5425909146547028E-2</v>
      </c>
      <c r="K63" s="42">
        <f t="shared" si="22"/>
        <v>0.10523980629746472</v>
      </c>
      <c r="L63" s="42">
        <f t="shared" si="22"/>
        <v>0.11538157620876875</v>
      </c>
      <c r="M63" s="42">
        <f t="shared" si="22"/>
        <v>0.12586172418018812</v>
      </c>
    </row>
    <row r="64" spans="2:13" x14ac:dyDescent="0.15">
      <c r="C64" s="106" t="s">
        <v>97</v>
      </c>
      <c r="D64" s="41">
        <f t="shared" ref="D64:M64" si="23">+D34/D44</f>
        <v>1.3194114241713639</v>
      </c>
      <c r="E64" s="41">
        <f t="shared" si="23"/>
        <v>1.3435713252230967</v>
      </c>
      <c r="F64" s="41">
        <f t="shared" si="23"/>
        <v>1.3919485873627786</v>
      </c>
      <c r="G64" s="41">
        <f t="shared" si="23"/>
        <v>1.4419385698143106</v>
      </c>
      <c r="H64" s="41">
        <f t="shared" si="23"/>
        <v>1.4935928822360016</v>
      </c>
      <c r="I64" s="41">
        <f t="shared" si="23"/>
        <v>1.5469647471368888</v>
      </c>
      <c r="J64" s="41">
        <f t="shared" si="23"/>
        <v>1.6021090495534784</v>
      </c>
      <c r="K64" s="41">
        <f t="shared" si="23"/>
        <v>1.659082388242616</v>
      </c>
      <c r="L64" s="41">
        <f t="shared" si="23"/>
        <v>1.7179431284364772</v>
      </c>
      <c r="M64" s="41">
        <f t="shared" si="23"/>
        <v>1.7787514562070867</v>
      </c>
    </row>
    <row r="65" spans="2:13" x14ac:dyDescent="0.15">
      <c r="C65" s="106" t="s">
        <v>98</v>
      </c>
      <c r="D65" s="42">
        <f t="shared" ref="D65:M65" si="24">+D34/$C$60</f>
        <v>9.0277777777777776E-2</v>
      </c>
      <c r="E65" s="42">
        <f t="shared" si="24"/>
        <v>9.1930865009193299E-2</v>
      </c>
      <c r="F65" s="42">
        <f t="shared" si="24"/>
        <v>9.5240971046577624E-2</v>
      </c>
      <c r="G65" s="42">
        <f t="shared" si="24"/>
        <v>9.8661423866825665E-2</v>
      </c>
      <c r="H65" s="42">
        <f t="shared" si="24"/>
        <v>0.10219575474545817</v>
      </c>
      <c r="I65" s="42">
        <f t="shared" si="24"/>
        <v>0.10584760531370221</v>
      </c>
      <c r="J65" s="42">
        <f t="shared" si="24"/>
        <v>0.10962073095751115</v>
      </c>
      <c r="K65" s="42">
        <f t="shared" si="24"/>
        <v>0.11351900432032236</v>
      </c>
      <c r="L65" s="42">
        <f t="shared" si="24"/>
        <v>0.11754641891269955</v>
      </c>
      <c r="M65" s="42">
        <f t="shared" si="24"/>
        <v>0.12170709283210344</v>
      </c>
    </row>
    <row r="66" spans="2:13" x14ac:dyDescent="0.15">
      <c r="B66" s="5"/>
      <c r="C66" s="24"/>
      <c r="D66" s="24"/>
      <c r="E66" s="24"/>
      <c r="F66" s="24"/>
      <c r="G66" s="24"/>
      <c r="H66" s="24"/>
    </row>
    <row r="67" spans="2:13" x14ac:dyDescent="0.15">
      <c r="B67" s="77" t="s">
        <v>70</v>
      </c>
      <c r="C67" s="74" t="s">
        <v>21</v>
      </c>
      <c r="D67" s="37" t="s">
        <v>22</v>
      </c>
      <c r="E67" s="37" t="s">
        <v>23</v>
      </c>
      <c r="F67" s="37" t="s">
        <v>24</v>
      </c>
      <c r="G67" s="37" t="s">
        <v>25</v>
      </c>
      <c r="H67" s="37" t="s">
        <v>26</v>
      </c>
      <c r="I67" s="38" t="s">
        <v>27</v>
      </c>
      <c r="J67" s="38" t="s">
        <v>28</v>
      </c>
      <c r="K67" s="38" t="s">
        <v>29</v>
      </c>
      <c r="L67" s="38" t="s">
        <v>30</v>
      </c>
      <c r="M67" s="38" t="s">
        <v>31</v>
      </c>
    </row>
    <row r="68" spans="2:13" x14ac:dyDescent="0.15">
      <c r="C68" s="30">
        <f>-C59</f>
        <v>-22957286.899028182</v>
      </c>
      <c r="D68" s="24">
        <f t="shared" ref="D68:L68" si="25">+D42</f>
        <v>1432223.6484368318</v>
      </c>
      <c r="E68" s="24">
        <f t="shared" si="25"/>
        <v>1458347.9348821547</v>
      </c>
      <c r="F68" s="24">
        <f t="shared" si="25"/>
        <v>1511837.4937379896</v>
      </c>
      <c r="G68" s="24">
        <f t="shared" si="25"/>
        <v>1567126.5217756871</v>
      </c>
      <c r="H68" s="24">
        <f t="shared" si="25"/>
        <v>1624272.8987190267</v>
      </c>
      <c r="I68" s="24">
        <f t="shared" si="25"/>
        <v>1683336.3185964681</v>
      </c>
      <c r="J68" s="24">
        <f t="shared" si="25"/>
        <v>1744378.3457285499</v>
      </c>
      <c r="K68" s="24">
        <f t="shared" si="25"/>
        <v>1807462.4724260783</v>
      </c>
      <c r="L68" s="24">
        <f t="shared" si="25"/>
        <v>1872654.178451045</v>
      </c>
      <c r="M68" s="24">
        <f>+M42+M52</f>
        <v>35468796.765812866</v>
      </c>
    </row>
    <row r="69" spans="2:13" x14ac:dyDescent="0.15">
      <c r="B69" s="76" t="s">
        <v>71</v>
      </c>
      <c r="C69" s="117">
        <f>IRR(C68:M68)</f>
        <v>9.9523335605285812E-2</v>
      </c>
    </row>
    <row r="71" spans="2:13" x14ac:dyDescent="0.15">
      <c r="B71" s="77" t="s">
        <v>72</v>
      </c>
      <c r="C71" s="74" t="s">
        <v>21</v>
      </c>
      <c r="D71" s="37" t="s">
        <v>22</v>
      </c>
      <c r="E71" s="37" t="s">
        <v>23</v>
      </c>
      <c r="F71" s="37" t="s">
        <v>24</v>
      </c>
      <c r="G71" s="37" t="s">
        <v>25</v>
      </c>
      <c r="H71" s="37" t="s">
        <v>26</v>
      </c>
      <c r="I71" s="38" t="s">
        <v>27</v>
      </c>
      <c r="J71" s="38" t="s">
        <v>28</v>
      </c>
      <c r="K71" s="38" t="s">
        <v>29</v>
      </c>
      <c r="L71" s="38" t="s">
        <v>30</v>
      </c>
      <c r="M71" s="38" t="s">
        <v>31</v>
      </c>
    </row>
    <row r="72" spans="2:13" x14ac:dyDescent="0.15">
      <c r="C72" s="24">
        <f>+C60</f>
        <v>16529246.56730029</v>
      </c>
      <c r="D72" s="30">
        <f>-D44</f>
        <v>-1130976.753042744</v>
      </c>
      <c r="E72" s="30">
        <f t="shared" ref="E72:L72" si="26">-E44</f>
        <v>-1130976.753042744</v>
      </c>
      <c r="F72" s="30">
        <f t="shared" si="26"/>
        <v>-1130976.753042744</v>
      </c>
      <c r="G72" s="30">
        <f t="shared" si="26"/>
        <v>-1130976.753042744</v>
      </c>
      <c r="H72" s="30">
        <f t="shared" si="26"/>
        <v>-1130976.753042744</v>
      </c>
      <c r="I72" s="30">
        <f t="shared" si="26"/>
        <v>-1130976.753042744</v>
      </c>
      <c r="J72" s="30">
        <f t="shared" si="26"/>
        <v>-1130976.753042744</v>
      </c>
      <c r="K72" s="30">
        <f t="shared" si="26"/>
        <v>-1130976.753042744</v>
      </c>
      <c r="L72" s="30">
        <f t="shared" si="26"/>
        <v>-1130976.753042744</v>
      </c>
      <c r="M72" s="30">
        <f>-M44-M53</f>
        <v>-15758923.011775475</v>
      </c>
    </row>
    <row r="73" spans="2:13" x14ac:dyDescent="0.15">
      <c r="B73" s="76" t="s">
        <v>73</v>
      </c>
      <c r="C73" s="117">
        <f>IRR(C72:M72)</f>
        <v>5.9682941720464511E-2</v>
      </c>
    </row>
    <row r="74" spans="2:13" x14ac:dyDescent="0.15">
      <c r="B74" s="76"/>
      <c r="C74" s="24"/>
      <c r="D74" s="24"/>
      <c r="E74" s="24"/>
      <c r="F74" s="24"/>
      <c r="G74" s="24"/>
      <c r="H74" s="24"/>
    </row>
    <row r="75" spans="2:13" x14ac:dyDescent="0.15">
      <c r="B75" s="77" t="s">
        <v>74</v>
      </c>
      <c r="C75" s="74" t="s">
        <v>21</v>
      </c>
      <c r="D75" s="37" t="s">
        <v>22</v>
      </c>
      <c r="E75" s="37" t="s">
        <v>23</v>
      </c>
      <c r="F75" s="37" t="s">
        <v>24</v>
      </c>
      <c r="G75" s="37" t="s">
        <v>25</v>
      </c>
      <c r="H75" s="37" t="s">
        <v>26</v>
      </c>
      <c r="I75" s="38" t="s">
        <v>27</v>
      </c>
      <c r="J75" s="38" t="s">
        <v>28</v>
      </c>
      <c r="K75" s="38" t="s">
        <v>29</v>
      </c>
      <c r="L75" s="38" t="s">
        <v>30</v>
      </c>
      <c r="M75" s="38" t="s">
        <v>31</v>
      </c>
    </row>
    <row r="76" spans="2:13" x14ac:dyDescent="0.15">
      <c r="C76" s="30">
        <f>+C68+C72</f>
        <v>-6428040.3317278922</v>
      </c>
      <c r="D76" s="24">
        <f>D46</f>
        <v>301246.89539408777</v>
      </c>
      <c r="E76" s="24">
        <f t="shared" ref="E76:L76" si="27">E46</f>
        <v>327371.18183941068</v>
      </c>
      <c r="F76" s="24">
        <f t="shared" si="27"/>
        <v>380860.74069524556</v>
      </c>
      <c r="G76" s="24">
        <f t="shared" si="27"/>
        <v>436149.76873294311</v>
      </c>
      <c r="H76" s="24">
        <f t="shared" si="27"/>
        <v>493296.1456762827</v>
      </c>
      <c r="I76" s="24">
        <f t="shared" si="27"/>
        <v>552359.56555372407</v>
      </c>
      <c r="J76" s="24">
        <f t="shared" si="27"/>
        <v>613401.59268580587</v>
      </c>
      <c r="K76" s="24">
        <f t="shared" si="27"/>
        <v>676485.71938333428</v>
      </c>
      <c r="L76" s="24">
        <f t="shared" si="27"/>
        <v>741677.42540830094</v>
      </c>
      <c r="M76" s="24">
        <f>M55+M46</f>
        <v>19709873.754037395</v>
      </c>
    </row>
    <row r="77" spans="2:13" x14ac:dyDescent="0.15">
      <c r="B77" s="76" t="s">
        <v>75</v>
      </c>
      <c r="C77" s="117">
        <f>IRR(C76:M76)</f>
        <v>0.16231296682408014</v>
      </c>
    </row>
    <row r="79" spans="2:13" hidden="1" x14ac:dyDescent="0.15">
      <c r="B79" s="44" t="s">
        <v>76</v>
      </c>
      <c r="C79" s="52">
        <f>SUM(D79:M79)</f>
        <v>24192551.489248939</v>
      </c>
      <c r="D79" s="45">
        <f>PV($C$80,1,,D76)*-1</f>
        <v>288400.7103373619</v>
      </c>
      <c r="E79" s="45">
        <f>PV($C$80,2,,E76)*-1</f>
        <v>300046.06673854671</v>
      </c>
      <c r="F79" s="45">
        <f>PV($C$45,3,,F76)*-1</f>
        <v>380860.74069524556</v>
      </c>
      <c r="G79" s="45">
        <f>PV($C$45,4,,G76)*-1</f>
        <v>436149.76873294311</v>
      </c>
      <c r="H79" s="45">
        <f>PV($C$45,5,,H76)*-1</f>
        <v>493296.1456762827</v>
      </c>
      <c r="I79" s="45">
        <f>PV($C$45,6,,I76)*-1</f>
        <v>552359.56555372407</v>
      </c>
      <c r="J79" s="45">
        <f>PV($C$45,7,,J76)*-1</f>
        <v>613401.59268580587</v>
      </c>
      <c r="K79" s="45">
        <f>PV($C$45,8,,K76)*-1</f>
        <v>676485.71938333428</v>
      </c>
      <c r="L79" s="45">
        <f>PV($C$45,9,,L76)*-1</f>
        <v>741677.42540830094</v>
      </c>
      <c r="M79" s="46">
        <f>PV($C$45,10,,M76)*-1</f>
        <v>19709873.754037395</v>
      </c>
    </row>
    <row r="80" spans="2:13" ht="13" hidden="1" thickBot="1" x14ac:dyDescent="0.2">
      <c r="B80" s="47" t="s">
        <v>77</v>
      </c>
      <c r="C80" s="48">
        <v>4.4542834314446722E-2</v>
      </c>
      <c r="D80" s="49"/>
      <c r="E80" s="49"/>
      <c r="F80" s="49"/>
      <c r="G80" s="49"/>
      <c r="H80" s="49"/>
      <c r="I80" s="49"/>
      <c r="J80" s="49"/>
      <c r="K80" s="49"/>
      <c r="L80" s="49"/>
      <c r="M80" s="50"/>
    </row>
    <row r="81" spans="2:5" hidden="1" x14ac:dyDescent="0.15">
      <c r="B81" s="44" t="s">
        <v>78</v>
      </c>
      <c r="C81" s="46">
        <f>NPV(C82,C76:M76)</f>
        <v>4297274.1345635215</v>
      </c>
      <c r="E81" s="24"/>
    </row>
    <row r="82" spans="2:5" ht="13" hidden="1" thickBot="1" x14ac:dyDescent="0.2">
      <c r="B82" s="47" t="s">
        <v>77</v>
      </c>
      <c r="C82" s="51">
        <v>9.0373434488706605E-2</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C445-1E58-47DC-A937-12C3BCF70AC5}">
  <dimension ref="A1:K122"/>
  <sheetViews>
    <sheetView workbookViewId="0">
      <selection activeCell="C9" sqref="C9"/>
    </sheetView>
  </sheetViews>
  <sheetFormatPr baseColWidth="10" defaultColWidth="12.5" defaultRowHeight="16" x14ac:dyDescent="0.2"/>
  <cols>
    <col min="1" max="1" width="22.1640625" style="13" customWidth="1"/>
    <col min="2" max="2" width="20.6640625" style="13" customWidth="1"/>
    <col min="3" max="6" width="12.5" style="13"/>
    <col min="7" max="7" width="20.5" style="13" bestFit="1" customWidth="1"/>
    <col min="8" max="8" width="15.5" style="13" bestFit="1" customWidth="1"/>
    <col min="9" max="9" width="20" style="13" bestFit="1" customWidth="1"/>
    <col min="10" max="10" width="18.33203125" style="13" bestFit="1" customWidth="1"/>
    <col min="11" max="11" width="17.6640625" style="13" bestFit="1" customWidth="1"/>
    <col min="12" max="16384" width="12.5" style="13"/>
  </cols>
  <sheetData>
    <row r="1" spans="1:11" x14ac:dyDescent="0.2">
      <c r="A1" s="129" t="s">
        <v>79</v>
      </c>
      <c r="B1" s="129"/>
      <c r="F1" s="129" t="s">
        <v>80</v>
      </c>
      <c r="G1" s="129"/>
      <c r="H1" s="129"/>
      <c r="I1" s="129"/>
      <c r="J1" s="129"/>
      <c r="K1" s="129"/>
    </row>
    <row r="2" spans="1:11" x14ac:dyDescent="0.2">
      <c r="A2" s="88" t="s">
        <v>81</v>
      </c>
      <c r="B2" s="89">
        <f>B14</f>
        <v>16529246.56730029</v>
      </c>
      <c r="F2" s="90" t="s">
        <v>82</v>
      </c>
      <c r="G2" s="91" t="s">
        <v>83</v>
      </c>
      <c r="H2" s="91" t="s">
        <v>84</v>
      </c>
      <c r="I2" s="91" t="s">
        <v>85</v>
      </c>
      <c r="J2" s="91" t="s">
        <v>86</v>
      </c>
      <c r="K2" s="92" t="s">
        <v>87</v>
      </c>
    </row>
    <row r="3" spans="1:11" x14ac:dyDescent="0.2">
      <c r="A3" s="88" t="s">
        <v>88</v>
      </c>
      <c r="B3" s="93">
        <v>35</v>
      </c>
      <c r="F3" s="94">
        <v>1</v>
      </c>
      <c r="G3" s="95">
        <f>B2</f>
        <v>16529246.56730029</v>
      </c>
      <c r="H3" s="95">
        <f>SUM(I3:J3)</f>
        <v>94248.062753562001</v>
      </c>
      <c r="I3" s="95">
        <f>IF(AND(F3&gt;$B$4,F3/12&lt;=$B$6),-PPMT($B$5/12,F3-$B$4,$B$3*12,$B$2,0,0),0)</f>
        <v>11601.829917060544</v>
      </c>
      <c r="J3" s="95">
        <f>G3*$B$5/12</f>
        <v>82646.232836501455</v>
      </c>
      <c r="K3" s="96">
        <f>G3-I3</f>
        <v>16517644.73738323</v>
      </c>
    </row>
    <row r="4" spans="1:11" x14ac:dyDescent="0.2">
      <c r="A4" s="88" t="s">
        <v>89</v>
      </c>
      <c r="B4" s="97">
        <v>0</v>
      </c>
      <c r="F4" s="94">
        <f>F3+1</f>
        <v>2</v>
      </c>
      <c r="G4" s="95">
        <f>IF(F4/12&gt;$B$6,0,K3)</f>
        <v>16517644.73738323</v>
      </c>
      <c r="H4" s="95">
        <f>SUM(I4:J4)</f>
        <v>94248.062753561986</v>
      </c>
      <c r="I4" s="95">
        <f>IF(AND(F4&gt;$B$4,F4/12&lt;=$B$6),-PPMT($B$5/12,F4-$B$4,$B$3*12,$B$2,0,0),0)</f>
        <v>11659.839066645845</v>
      </c>
      <c r="J4" s="95">
        <f>G4*$B$5/12</f>
        <v>82588.223686916142</v>
      </c>
      <c r="K4" s="96">
        <f>G4-I4</f>
        <v>16505984.898316585</v>
      </c>
    </row>
    <row r="5" spans="1:11" x14ac:dyDescent="0.2">
      <c r="A5" s="88" t="s">
        <v>90</v>
      </c>
      <c r="B5" s="98">
        <v>0.06</v>
      </c>
      <c r="F5" s="94">
        <f t="shared" ref="F5:F68" si="0">F4+1</f>
        <v>3</v>
      </c>
      <c r="G5" s="95">
        <f t="shared" ref="G5:G68" si="1">IF(F5/12&gt;$B$6,0,K4)</f>
        <v>16505984.898316585</v>
      </c>
      <c r="H5" s="95">
        <f t="shared" ref="H5:H68" si="2">SUM(I5:J5)</f>
        <v>94248.062753561986</v>
      </c>
      <c r="I5" s="95">
        <f t="shared" ref="I5:I68" si="3">IF(AND(F5&gt;$B$4,F5/12&lt;=$B$6),-PPMT($B$5/12,F5-$B$4,$B$3*12,$B$2,0,0),0)</f>
        <v>11718.138261979073</v>
      </c>
      <c r="J5" s="95">
        <f t="shared" ref="J5:J68" si="4">G5*$B$5/12</f>
        <v>82529.924491582919</v>
      </c>
      <c r="K5" s="96">
        <f t="shared" ref="K5:K68" si="5">G5-I5</f>
        <v>16494266.760054605</v>
      </c>
    </row>
    <row r="6" spans="1:11" x14ac:dyDescent="0.2">
      <c r="A6" s="88" t="s">
        <v>91</v>
      </c>
      <c r="B6" s="93">
        <v>10</v>
      </c>
      <c r="F6" s="94">
        <f t="shared" si="0"/>
        <v>4</v>
      </c>
      <c r="G6" s="95">
        <f t="shared" si="1"/>
        <v>16494266.760054605</v>
      </c>
      <c r="H6" s="95">
        <f t="shared" si="2"/>
        <v>94248.062753562001</v>
      </c>
      <c r="I6" s="95">
        <f t="shared" si="3"/>
        <v>11776.728953288974</v>
      </c>
      <c r="J6" s="95">
        <f t="shared" si="4"/>
        <v>82471.333800273031</v>
      </c>
      <c r="K6" s="96">
        <f t="shared" si="5"/>
        <v>16482490.031101316</v>
      </c>
    </row>
    <row r="7" spans="1:11" x14ac:dyDescent="0.2">
      <c r="A7" s="99" t="s">
        <v>92</v>
      </c>
      <c r="B7" s="100">
        <f>VLOOKUP(B6*12,F3:K122,6,0)</f>
        <v>14627946.258732731</v>
      </c>
      <c r="F7" s="94">
        <f t="shared" si="0"/>
        <v>5</v>
      </c>
      <c r="G7" s="95">
        <f t="shared" si="1"/>
        <v>16482490.031101316</v>
      </c>
      <c r="H7" s="95">
        <f t="shared" si="2"/>
        <v>94248.062753562001</v>
      </c>
      <c r="I7" s="95">
        <f t="shared" si="3"/>
        <v>11835.612598055417</v>
      </c>
      <c r="J7" s="95">
        <f t="shared" si="4"/>
        <v>82412.45015550658</v>
      </c>
      <c r="K7" s="96">
        <f t="shared" si="5"/>
        <v>16470654.41850326</v>
      </c>
    </row>
    <row r="8" spans="1:11" x14ac:dyDescent="0.2">
      <c r="F8" s="94">
        <f t="shared" si="0"/>
        <v>6</v>
      </c>
      <c r="G8" s="95">
        <f t="shared" si="1"/>
        <v>16470654.41850326</v>
      </c>
      <c r="H8" s="95">
        <f t="shared" si="2"/>
        <v>94248.062753562001</v>
      </c>
      <c r="I8" s="95">
        <f t="shared" si="3"/>
        <v>11894.790661045696</v>
      </c>
      <c r="J8" s="95">
        <f t="shared" si="4"/>
        <v>82353.272092516301</v>
      </c>
      <c r="K8" s="96">
        <f t="shared" si="5"/>
        <v>16458759.627842214</v>
      </c>
    </row>
    <row r="9" spans="1:11" x14ac:dyDescent="0.2">
      <c r="F9" s="94">
        <f t="shared" si="0"/>
        <v>7</v>
      </c>
      <c r="G9" s="95">
        <f t="shared" si="1"/>
        <v>16458759.627842214</v>
      </c>
      <c r="H9" s="95">
        <f t="shared" si="2"/>
        <v>94248.062753561986</v>
      </c>
      <c r="I9" s="95">
        <f t="shared" si="3"/>
        <v>11954.264614350921</v>
      </c>
      <c r="J9" s="95">
        <f t="shared" si="4"/>
        <v>82293.798139211067</v>
      </c>
      <c r="K9" s="96">
        <f t="shared" si="5"/>
        <v>16446805.363227863</v>
      </c>
    </row>
    <row r="10" spans="1:11" x14ac:dyDescent="0.2">
      <c r="F10" s="94">
        <f t="shared" si="0"/>
        <v>8</v>
      </c>
      <c r="G10" s="95">
        <f t="shared" si="1"/>
        <v>16446805.363227863</v>
      </c>
      <c r="H10" s="95">
        <f t="shared" si="2"/>
        <v>94248.062753561986</v>
      </c>
      <c r="I10" s="95">
        <f t="shared" si="3"/>
        <v>12014.035937422679</v>
      </c>
      <c r="J10" s="95">
        <f t="shared" si="4"/>
        <v>82234.026816139303</v>
      </c>
      <c r="K10" s="96">
        <f t="shared" si="5"/>
        <v>16434791.32729044</v>
      </c>
    </row>
    <row r="11" spans="1:11" x14ac:dyDescent="0.2">
      <c r="A11" s="129" t="s">
        <v>93</v>
      </c>
      <c r="B11" s="129"/>
      <c r="F11" s="94">
        <f t="shared" si="0"/>
        <v>9</v>
      </c>
      <c r="G11" s="95">
        <f t="shared" si="1"/>
        <v>16434791.32729044</v>
      </c>
      <c r="H11" s="95">
        <f t="shared" si="2"/>
        <v>94248.062753561986</v>
      </c>
      <c r="I11" s="95">
        <f t="shared" si="3"/>
        <v>12074.106117109792</v>
      </c>
      <c r="J11" s="95">
        <f t="shared" si="4"/>
        <v>82173.956636452189</v>
      </c>
      <c r="K11" s="96">
        <f t="shared" si="5"/>
        <v>16422717.221173329</v>
      </c>
    </row>
    <row r="12" spans="1:11" x14ac:dyDescent="0.2">
      <c r="A12" s="88" t="s">
        <v>94</v>
      </c>
      <c r="B12" s="89">
        <f>+Cash_Flow!C56</f>
        <v>22957286.899028182</v>
      </c>
      <c r="F12" s="94">
        <f t="shared" si="0"/>
        <v>10</v>
      </c>
      <c r="G12" s="95">
        <f t="shared" si="1"/>
        <v>16422717.221173329</v>
      </c>
      <c r="H12" s="95">
        <f t="shared" si="2"/>
        <v>94248.062753561971</v>
      </c>
      <c r="I12" s="95">
        <f t="shared" si="3"/>
        <v>12134.476647695341</v>
      </c>
      <c r="J12" s="95">
        <f t="shared" si="4"/>
        <v>82113.586105866634</v>
      </c>
      <c r="K12" s="96">
        <f t="shared" si="5"/>
        <v>16410582.744525634</v>
      </c>
    </row>
    <row r="13" spans="1:11" x14ac:dyDescent="0.2">
      <c r="A13" s="88" t="s">
        <v>95</v>
      </c>
      <c r="B13" s="98">
        <f>+Cash_Flow!C57</f>
        <v>0.72</v>
      </c>
      <c r="F13" s="94">
        <f t="shared" si="0"/>
        <v>11</v>
      </c>
      <c r="G13" s="95">
        <f t="shared" si="1"/>
        <v>16410582.744525634</v>
      </c>
      <c r="H13" s="95">
        <f t="shared" si="2"/>
        <v>94248.062753561971</v>
      </c>
      <c r="I13" s="95">
        <f t="shared" si="3"/>
        <v>12195.149030933815</v>
      </c>
      <c r="J13" s="95">
        <f t="shared" si="4"/>
        <v>82052.91372262816</v>
      </c>
      <c r="K13" s="96">
        <f t="shared" si="5"/>
        <v>16398387.595494701</v>
      </c>
    </row>
    <row r="14" spans="1:11" x14ac:dyDescent="0.2">
      <c r="A14" s="101" t="s">
        <v>93</v>
      </c>
      <c r="B14" s="102">
        <f>Cash_Flow!C60</f>
        <v>16529246.56730029</v>
      </c>
      <c r="F14" s="94">
        <f t="shared" si="0"/>
        <v>12</v>
      </c>
      <c r="G14" s="95">
        <f t="shared" si="1"/>
        <v>16398387.595494701</v>
      </c>
      <c r="H14" s="95">
        <f t="shared" si="2"/>
        <v>94248.062753561986</v>
      </c>
      <c r="I14" s="95">
        <f t="shared" si="3"/>
        <v>12256.124776088489</v>
      </c>
      <c r="J14" s="95">
        <f t="shared" si="4"/>
        <v>81991.937977473499</v>
      </c>
      <c r="K14" s="96">
        <f t="shared" si="5"/>
        <v>16386131.470718613</v>
      </c>
    </row>
    <row r="15" spans="1:11" x14ac:dyDescent="0.2">
      <c r="F15" s="94">
        <f t="shared" si="0"/>
        <v>13</v>
      </c>
      <c r="G15" s="95">
        <f t="shared" si="1"/>
        <v>16386131.470718613</v>
      </c>
      <c r="H15" s="95">
        <f t="shared" si="2"/>
        <v>94248.062753562001</v>
      </c>
      <c r="I15" s="95">
        <f t="shared" si="3"/>
        <v>12317.405399968929</v>
      </c>
      <c r="J15" s="95">
        <f t="shared" si="4"/>
        <v>81930.657353593066</v>
      </c>
      <c r="K15" s="96">
        <f t="shared" si="5"/>
        <v>16373814.065318644</v>
      </c>
    </row>
    <row r="16" spans="1:11" x14ac:dyDescent="0.2">
      <c r="F16" s="94">
        <f t="shared" si="0"/>
        <v>14</v>
      </c>
      <c r="G16" s="95">
        <f t="shared" si="1"/>
        <v>16373814.065318644</v>
      </c>
      <c r="H16" s="95">
        <f t="shared" si="2"/>
        <v>94248.062753562001</v>
      </c>
      <c r="I16" s="95">
        <f t="shared" si="3"/>
        <v>12378.992426968774</v>
      </c>
      <c r="J16" s="95">
        <f t="shared" si="4"/>
        <v>81869.070326593224</v>
      </c>
      <c r="K16" s="96">
        <f t="shared" si="5"/>
        <v>16361435.072891675</v>
      </c>
    </row>
    <row r="17" spans="2:11" x14ac:dyDescent="0.2">
      <c r="F17" s="94">
        <f t="shared" si="0"/>
        <v>15</v>
      </c>
      <c r="G17" s="95">
        <f t="shared" si="1"/>
        <v>16361435.072891675</v>
      </c>
      <c r="H17" s="95">
        <f t="shared" si="2"/>
        <v>94248.062753561986</v>
      </c>
      <c r="I17" s="95">
        <f t="shared" si="3"/>
        <v>12440.887389103615</v>
      </c>
      <c r="J17" s="95">
        <f t="shared" si="4"/>
        <v>81807.175364458366</v>
      </c>
      <c r="K17" s="96">
        <f t="shared" si="5"/>
        <v>16348994.185502572</v>
      </c>
    </row>
    <row r="18" spans="2:11" x14ac:dyDescent="0.2">
      <c r="F18" s="94">
        <f t="shared" si="0"/>
        <v>16</v>
      </c>
      <c r="G18" s="95">
        <f t="shared" si="1"/>
        <v>16348994.185502572</v>
      </c>
      <c r="H18" s="95">
        <f t="shared" si="2"/>
        <v>94248.062753561986</v>
      </c>
      <c r="I18" s="95">
        <f t="shared" si="3"/>
        <v>12503.091826049131</v>
      </c>
      <c r="J18" s="95">
        <f t="shared" si="4"/>
        <v>81744.970927512855</v>
      </c>
      <c r="K18" s="96">
        <f t="shared" si="5"/>
        <v>16336491.093676522</v>
      </c>
    </row>
    <row r="19" spans="2:11" x14ac:dyDescent="0.2">
      <c r="B19" s="103"/>
      <c r="F19" s="94">
        <f t="shared" si="0"/>
        <v>17</v>
      </c>
      <c r="G19" s="95">
        <f t="shared" si="1"/>
        <v>16336491.093676522</v>
      </c>
      <c r="H19" s="95">
        <f t="shared" si="2"/>
        <v>94248.062753562001</v>
      </c>
      <c r="I19" s="95">
        <f t="shared" si="3"/>
        <v>12565.607285179382</v>
      </c>
      <c r="J19" s="95">
        <f t="shared" si="4"/>
        <v>81682.455468382614</v>
      </c>
      <c r="K19" s="96">
        <f t="shared" si="5"/>
        <v>16323925.486391343</v>
      </c>
    </row>
    <row r="20" spans="2:11" x14ac:dyDescent="0.2">
      <c r="B20" s="103"/>
      <c r="F20" s="94">
        <f t="shared" si="0"/>
        <v>18</v>
      </c>
      <c r="G20" s="95">
        <f t="shared" si="1"/>
        <v>16323925.486391343</v>
      </c>
      <c r="H20" s="95">
        <f t="shared" si="2"/>
        <v>94248.062753562001</v>
      </c>
      <c r="I20" s="95">
        <f t="shared" si="3"/>
        <v>12628.435321605279</v>
      </c>
      <c r="J20" s="95">
        <f t="shared" si="4"/>
        <v>81619.627431956716</v>
      </c>
      <c r="K20" s="96">
        <f t="shared" si="5"/>
        <v>16311297.051069738</v>
      </c>
    </row>
    <row r="21" spans="2:11" x14ac:dyDescent="0.2">
      <c r="F21" s="94">
        <f t="shared" si="0"/>
        <v>19</v>
      </c>
      <c r="G21" s="95">
        <f t="shared" si="1"/>
        <v>16311297.051069738</v>
      </c>
      <c r="H21" s="95">
        <f t="shared" si="2"/>
        <v>94248.062753561986</v>
      </c>
      <c r="I21" s="95">
        <f t="shared" si="3"/>
        <v>12691.577498213303</v>
      </c>
      <c r="J21" s="95">
        <f t="shared" si="4"/>
        <v>81556.485255348685</v>
      </c>
      <c r="K21" s="96">
        <f t="shared" si="5"/>
        <v>16298605.473571526</v>
      </c>
    </row>
    <row r="22" spans="2:11" x14ac:dyDescent="0.2">
      <c r="F22" s="94">
        <f t="shared" si="0"/>
        <v>20</v>
      </c>
      <c r="G22" s="95">
        <f t="shared" si="1"/>
        <v>16298605.473571526</v>
      </c>
      <c r="H22" s="95">
        <f t="shared" si="2"/>
        <v>94248.062753561986</v>
      </c>
      <c r="I22" s="95">
        <f t="shared" si="3"/>
        <v>12755.035385704368</v>
      </c>
      <c r="J22" s="95">
        <f t="shared" si="4"/>
        <v>81493.02736785762</v>
      </c>
      <c r="K22" s="96">
        <f t="shared" si="5"/>
        <v>16285850.438185822</v>
      </c>
    </row>
    <row r="23" spans="2:11" x14ac:dyDescent="0.2">
      <c r="F23" s="94">
        <f t="shared" si="0"/>
        <v>21</v>
      </c>
      <c r="G23" s="95">
        <f t="shared" si="1"/>
        <v>16285850.438185822</v>
      </c>
      <c r="H23" s="95">
        <f t="shared" si="2"/>
        <v>94248.062753562001</v>
      </c>
      <c r="I23" s="95">
        <f t="shared" si="3"/>
        <v>12818.810562632891</v>
      </c>
      <c r="J23" s="95">
        <f t="shared" si="4"/>
        <v>81429.25219092911</v>
      </c>
      <c r="K23" s="96">
        <f t="shared" si="5"/>
        <v>16273031.627623189</v>
      </c>
    </row>
    <row r="24" spans="2:11" x14ac:dyDescent="0.2">
      <c r="F24" s="94">
        <f t="shared" si="0"/>
        <v>22</v>
      </c>
      <c r="G24" s="95">
        <f t="shared" si="1"/>
        <v>16273031.627623189</v>
      </c>
      <c r="H24" s="95">
        <f t="shared" si="2"/>
        <v>94248.062753561986</v>
      </c>
      <c r="I24" s="95">
        <f t="shared" si="3"/>
        <v>12882.904615446058</v>
      </c>
      <c r="J24" s="95">
        <f t="shared" si="4"/>
        <v>81365.158138115934</v>
      </c>
      <c r="K24" s="96">
        <f t="shared" si="5"/>
        <v>16260148.723007742</v>
      </c>
    </row>
    <row r="25" spans="2:11" x14ac:dyDescent="0.2">
      <c r="F25" s="94">
        <f t="shared" si="0"/>
        <v>23</v>
      </c>
      <c r="G25" s="95">
        <f t="shared" si="1"/>
        <v>16260148.723007742</v>
      </c>
      <c r="H25" s="95">
        <f t="shared" si="2"/>
        <v>94248.062753562001</v>
      </c>
      <c r="I25" s="95">
        <f t="shared" si="3"/>
        <v>12947.319138523288</v>
      </c>
      <c r="J25" s="95">
        <f t="shared" si="4"/>
        <v>81300.743615038708</v>
      </c>
      <c r="K25" s="96">
        <f t="shared" si="5"/>
        <v>16247201.403869219</v>
      </c>
    </row>
    <row r="26" spans="2:11" x14ac:dyDescent="0.2">
      <c r="F26" s="94">
        <f t="shared" si="0"/>
        <v>24</v>
      </c>
      <c r="G26" s="95">
        <f t="shared" si="1"/>
        <v>16247201.403869219</v>
      </c>
      <c r="H26" s="95">
        <f t="shared" si="2"/>
        <v>94248.062753562001</v>
      </c>
      <c r="I26" s="95">
        <f t="shared" si="3"/>
        <v>13012.055734215903</v>
      </c>
      <c r="J26" s="95">
        <f t="shared" si="4"/>
        <v>81236.0070193461</v>
      </c>
      <c r="K26" s="96">
        <f t="shared" si="5"/>
        <v>16234189.348135004</v>
      </c>
    </row>
    <row r="27" spans="2:11" x14ac:dyDescent="0.2">
      <c r="F27" s="94">
        <f t="shared" si="0"/>
        <v>25</v>
      </c>
      <c r="G27" s="95">
        <f t="shared" si="1"/>
        <v>16234189.348135004</v>
      </c>
      <c r="H27" s="95">
        <f t="shared" si="2"/>
        <v>94248.062753562001</v>
      </c>
      <c r="I27" s="95">
        <f t="shared" si="3"/>
        <v>13077.116012886983</v>
      </c>
      <c r="J27" s="95">
        <f t="shared" si="4"/>
        <v>81170.946740675019</v>
      </c>
      <c r="K27" s="96">
        <f t="shared" si="5"/>
        <v>16221112.232122118</v>
      </c>
    </row>
    <row r="28" spans="2:11" x14ac:dyDescent="0.2">
      <c r="F28" s="94">
        <f t="shared" si="0"/>
        <v>26</v>
      </c>
      <c r="G28" s="95">
        <f t="shared" si="1"/>
        <v>16221112.232122118</v>
      </c>
      <c r="H28" s="95">
        <f t="shared" si="2"/>
        <v>94248.062753562001</v>
      </c>
      <c r="I28" s="95">
        <f t="shared" si="3"/>
        <v>13142.501592951416</v>
      </c>
      <c r="J28" s="95">
        <f t="shared" si="4"/>
        <v>81105.561160610581</v>
      </c>
      <c r="K28" s="96">
        <f t="shared" si="5"/>
        <v>16207969.730529167</v>
      </c>
    </row>
    <row r="29" spans="2:11" x14ac:dyDescent="0.2">
      <c r="F29" s="94">
        <f t="shared" si="0"/>
        <v>27</v>
      </c>
      <c r="G29" s="95">
        <f t="shared" si="1"/>
        <v>16207969.730529167</v>
      </c>
      <c r="H29" s="95">
        <f t="shared" si="2"/>
        <v>94248.062753562001</v>
      </c>
      <c r="I29" s="95">
        <f t="shared" si="3"/>
        <v>13208.214100916173</v>
      </c>
      <c r="J29" s="95">
        <f t="shared" si="4"/>
        <v>81039.848652645829</v>
      </c>
      <c r="K29" s="96">
        <f t="shared" si="5"/>
        <v>16194761.516428251</v>
      </c>
    </row>
    <row r="30" spans="2:11" x14ac:dyDescent="0.2">
      <c r="F30" s="94">
        <f t="shared" si="0"/>
        <v>28</v>
      </c>
      <c r="G30" s="95">
        <f t="shared" si="1"/>
        <v>16194761.516428251</v>
      </c>
      <c r="H30" s="95">
        <f t="shared" si="2"/>
        <v>94248.062753562001</v>
      </c>
      <c r="I30" s="95">
        <f t="shared" si="3"/>
        <v>13274.255171420757</v>
      </c>
      <c r="J30" s="95">
        <f t="shared" si="4"/>
        <v>80973.807582141249</v>
      </c>
      <c r="K30" s="96">
        <f t="shared" si="5"/>
        <v>16181487.261256831</v>
      </c>
    </row>
    <row r="31" spans="2:11" x14ac:dyDescent="0.2">
      <c r="F31" s="94">
        <f t="shared" si="0"/>
        <v>29</v>
      </c>
      <c r="G31" s="95">
        <f t="shared" si="1"/>
        <v>16181487.261256831</v>
      </c>
      <c r="H31" s="95">
        <f t="shared" si="2"/>
        <v>94248.062753562001</v>
      </c>
      <c r="I31" s="95">
        <f t="shared" si="3"/>
        <v>13340.626447277858</v>
      </c>
      <c r="J31" s="95">
        <f t="shared" si="4"/>
        <v>80907.436306284144</v>
      </c>
      <c r="K31" s="96">
        <f t="shared" si="5"/>
        <v>16168146.634809554</v>
      </c>
    </row>
    <row r="32" spans="2:11" x14ac:dyDescent="0.2">
      <c r="F32" s="94">
        <f t="shared" si="0"/>
        <v>30</v>
      </c>
      <c r="G32" s="95">
        <f t="shared" si="1"/>
        <v>16168146.634809554</v>
      </c>
      <c r="H32" s="95">
        <f t="shared" si="2"/>
        <v>94248.062753562015</v>
      </c>
      <c r="I32" s="95">
        <f t="shared" si="3"/>
        <v>13407.329579514248</v>
      </c>
      <c r="J32" s="95">
        <f t="shared" si="4"/>
        <v>80840.733174047768</v>
      </c>
      <c r="K32" s="96">
        <f t="shared" si="5"/>
        <v>16154739.30523004</v>
      </c>
    </row>
    <row r="33" spans="6:11" x14ac:dyDescent="0.2">
      <c r="F33" s="94">
        <f t="shared" si="0"/>
        <v>31</v>
      </c>
      <c r="G33" s="95">
        <f t="shared" si="1"/>
        <v>16154739.30523004</v>
      </c>
      <c r="H33" s="95">
        <f t="shared" si="2"/>
        <v>94248.06275356203</v>
      </c>
      <c r="I33" s="95">
        <f t="shared" si="3"/>
        <v>13474.366227411821</v>
      </c>
      <c r="J33" s="95">
        <f t="shared" si="4"/>
        <v>80773.696526150205</v>
      </c>
      <c r="K33" s="96">
        <f t="shared" si="5"/>
        <v>16141264.939002628</v>
      </c>
    </row>
    <row r="34" spans="6:11" x14ac:dyDescent="0.2">
      <c r="F34" s="94">
        <f t="shared" si="0"/>
        <v>32</v>
      </c>
      <c r="G34" s="95">
        <f t="shared" si="1"/>
        <v>16141264.939002628</v>
      </c>
      <c r="H34" s="95">
        <f t="shared" si="2"/>
        <v>94248.062753562001</v>
      </c>
      <c r="I34" s="95">
        <f t="shared" si="3"/>
        <v>13541.738058548877</v>
      </c>
      <c r="J34" s="95">
        <f t="shared" si="4"/>
        <v>80706.324695013129</v>
      </c>
      <c r="K34" s="96">
        <f t="shared" si="5"/>
        <v>16127723.200944079</v>
      </c>
    </row>
    <row r="35" spans="6:11" x14ac:dyDescent="0.2">
      <c r="F35" s="94">
        <f t="shared" si="0"/>
        <v>33</v>
      </c>
      <c r="G35" s="95">
        <f t="shared" si="1"/>
        <v>16127723.200944079</v>
      </c>
      <c r="H35" s="95">
        <f t="shared" si="2"/>
        <v>94248.062753562015</v>
      </c>
      <c r="I35" s="95">
        <f t="shared" si="3"/>
        <v>13609.446748841625</v>
      </c>
      <c r="J35" s="95">
        <f t="shared" si="4"/>
        <v>80638.616004720388</v>
      </c>
      <c r="K35" s="96">
        <f t="shared" si="5"/>
        <v>16114113.754195238</v>
      </c>
    </row>
    <row r="36" spans="6:11" x14ac:dyDescent="0.2">
      <c r="F36" s="94">
        <f t="shared" si="0"/>
        <v>34</v>
      </c>
      <c r="G36" s="95">
        <f t="shared" si="1"/>
        <v>16114113.754195238</v>
      </c>
      <c r="H36" s="95">
        <f t="shared" si="2"/>
        <v>94248.062753562015</v>
      </c>
      <c r="I36" s="95">
        <f t="shared" si="3"/>
        <v>13677.493982585829</v>
      </c>
      <c r="J36" s="95">
        <f t="shared" si="4"/>
        <v>80570.568770976184</v>
      </c>
      <c r="K36" s="96">
        <f t="shared" si="5"/>
        <v>16100436.260212652</v>
      </c>
    </row>
    <row r="37" spans="6:11" x14ac:dyDescent="0.2">
      <c r="F37" s="94">
        <f t="shared" si="0"/>
        <v>35</v>
      </c>
      <c r="G37" s="95">
        <f t="shared" si="1"/>
        <v>16100436.260212652</v>
      </c>
      <c r="H37" s="95">
        <f t="shared" si="2"/>
        <v>94248.062753562015</v>
      </c>
      <c r="I37" s="95">
        <f t="shared" si="3"/>
        <v>13745.881452498759</v>
      </c>
      <c r="J37" s="95">
        <f t="shared" si="4"/>
        <v>80502.181301063261</v>
      </c>
      <c r="K37" s="96">
        <f t="shared" si="5"/>
        <v>16086690.378760153</v>
      </c>
    </row>
    <row r="38" spans="6:11" x14ac:dyDescent="0.2">
      <c r="F38" s="94">
        <f t="shared" si="0"/>
        <v>36</v>
      </c>
      <c r="G38" s="95">
        <f t="shared" si="1"/>
        <v>16086690.378760153</v>
      </c>
      <c r="H38" s="95">
        <f t="shared" si="2"/>
        <v>94248.06275356203</v>
      </c>
      <c r="I38" s="95">
        <f t="shared" si="3"/>
        <v>13814.610859761255</v>
      </c>
      <c r="J38" s="95">
        <f t="shared" si="4"/>
        <v>80433.451893800768</v>
      </c>
      <c r="K38" s="96">
        <f t="shared" si="5"/>
        <v>16072875.767900392</v>
      </c>
    </row>
    <row r="39" spans="6:11" x14ac:dyDescent="0.2">
      <c r="F39" s="94">
        <f t="shared" si="0"/>
        <v>37</v>
      </c>
      <c r="G39" s="95">
        <f t="shared" si="1"/>
        <v>16072875.767900392</v>
      </c>
      <c r="H39" s="95">
        <f t="shared" si="2"/>
        <v>94248.062753562015</v>
      </c>
      <c r="I39" s="95">
        <f t="shared" si="3"/>
        <v>13883.68391406006</v>
      </c>
      <c r="J39" s="95">
        <f t="shared" si="4"/>
        <v>80364.378839501951</v>
      </c>
      <c r="K39" s="96">
        <f t="shared" si="5"/>
        <v>16058992.083986333</v>
      </c>
    </row>
    <row r="40" spans="6:11" x14ac:dyDescent="0.2">
      <c r="F40" s="94">
        <f t="shared" si="0"/>
        <v>38</v>
      </c>
      <c r="G40" s="95">
        <f t="shared" si="1"/>
        <v>16058992.083986333</v>
      </c>
      <c r="H40" s="95">
        <f t="shared" si="2"/>
        <v>94248.06275356203</v>
      </c>
      <c r="I40" s="95">
        <f t="shared" si="3"/>
        <v>13953.102333630361</v>
      </c>
      <c r="J40" s="95">
        <f t="shared" si="4"/>
        <v>80294.960419931667</v>
      </c>
      <c r="K40" s="96">
        <f t="shared" si="5"/>
        <v>16045038.981652703</v>
      </c>
    </row>
    <row r="41" spans="6:11" x14ac:dyDescent="0.2">
      <c r="F41" s="94">
        <f t="shared" si="0"/>
        <v>39</v>
      </c>
      <c r="G41" s="95">
        <f t="shared" si="1"/>
        <v>16045038.981652703</v>
      </c>
      <c r="H41" s="95">
        <f t="shared" si="2"/>
        <v>94248.06275356203</v>
      </c>
      <c r="I41" s="95">
        <f t="shared" si="3"/>
        <v>14022.867845298511</v>
      </c>
      <c r="J41" s="95">
        <f t="shared" si="4"/>
        <v>80225.194908263511</v>
      </c>
      <c r="K41" s="96">
        <f t="shared" si="5"/>
        <v>16031016.113807404</v>
      </c>
    </row>
    <row r="42" spans="6:11" x14ac:dyDescent="0.2">
      <c r="F42" s="94">
        <f t="shared" si="0"/>
        <v>40</v>
      </c>
      <c r="G42" s="95">
        <f t="shared" si="1"/>
        <v>16031016.113807404</v>
      </c>
      <c r="H42" s="95">
        <f t="shared" si="2"/>
        <v>94248.06275356203</v>
      </c>
      <c r="I42" s="95">
        <f t="shared" si="3"/>
        <v>14092.982184525006</v>
      </c>
      <c r="J42" s="95">
        <f t="shared" si="4"/>
        <v>80155.080569037018</v>
      </c>
      <c r="K42" s="96">
        <f t="shared" si="5"/>
        <v>16016923.131622879</v>
      </c>
    </row>
    <row r="43" spans="6:11" x14ac:dyDescent="0.2">
      <c r="F43" s="94">
        <f t="shared" si="0"/>
        <v>41</v>
      </c>
      <c r="G43" s="95">
        <f t="shared" si="1"/>
        <v>16016923.131622879</v>
      </c>
      <c r="H43" s="95">
        <f t="shared" si="2"/>
        <v>94248.062753562015</v>
      </c>
      <c r="I43" s="95">
        <f t="shared" si="3"/>
        <v>14163.447095447629</v>
      </c>
      <c r="J43" s="95">
        <f t="shared" si="4"/>
        <v>80084.615658114388</v>
      </c>
      <c r="K43" s="96">
        <f t="shared" si="5"/>
        <v>16002759.684527431</v>
      </c>
    </row>
    <row r="44" spans="6:11" x14ac:dyDescent="0.2">
      <c r="F44" s="94">
        <f t="shared" si="0"/>
        <v>42</v>
      </c>
      <c r="G44" s="95">
        <f t="shared" si="1"/>
        <v>16002759.684527431</v>
      </c>
      <c r="H44" s="95">
        <f t="shared" si="2"/>
        <v>94248.062753562015</v>
      </c>
      <c r="I44" s="95">
        <f t="shared" si="3"/>
        <v>14234.264330924869</v>
      </c>
      <c r="J44" s="95">
        <f t="shared" si="4"/>
        <v>80013.798422637148</v>
      </c>
      <c r="K44" s="96">
        <f t="shared" si="5"/>
        <v>15988525.420196505</v>
      </c>
    </row>
    <row r="45" spans="6:11" x14ac:dyDescent="0.2">
      <c r="F45" s="94">
        <f t="shared" si="0"/>
        <v>43</v>
      </c>
      <c r="G45" s="95">
        <f t="shared" si="1"/>
        <v>15988525.420196505</v>
      </c>
      <c r="H45" s="95">
        <f t="shared" si="2"/>
        <v>94248.062753562001</v>
      </c>
      <c r="I45" s="95">
        <f t="shared" si="3"/>
        <v>14305.43565257949</v>
      </c>
      <c r="J45" s="95">
        <f t="shared" si="4"/>
        <v>79942.627100982514</v>
      </c>
      <c r="K45" s="96">
        <f t="shared" si="5"/>
        <v>15974219.984543925</v>
      </c>
    </row>
    <row r="46" spans="6:11" x14ac:dyDescent="0.2">
      <c r="F46" s="94">
        <f t="shared" si="0"/>
        <v>44</v>
      </c>
      <c r="G46" s="95">
        <f t="shared" si="1"/>
        <v>15974219.984543925</v>
      </c>
      <c r="H46" s="95">
        <f t="shared" si="2"/>
        <v>94248.062753562015</v>
      </c>
      <c r="I46" s="95">
        <f t="shared" si="3"/>
        <v>14376.962830842391</v>
      </c>
      <c r="J46" s="95">
        <f t="shared" si="4"/>
        <v>79871.09992271963</v>
      </c>
      <c r="K46" s="96">
        <f t="shared" si="5"/>
        <v>15959843.021713084</v>
      </c>
    </row>
    <row r="47" spans="6:11" x14ac:dyDescent="0.2">
      <c r="F47" s="94">
        <f t="shared" si="0"/>
        <v>45</v>
      </c>
      <c r="G47" s="95">
        <f t="shared" si="1"/>
        <v>15959843.021713084</v>
      </c>
      <c r="H47" s="95">
        <f t="shared" si="2"/>
        <v>94248.06275356203</v>
      </c>
      <c r="I47" s="95">
        <f t="shared" si="3"/>
        <v>14448.847644996604</v>
      </c>
      <c r="J47" s="95">
        <f t="shared" si="4"/>
        <v>79799.215108565419</v>
      </c>
      <c r="K47" s="96">
        <f t="shared" si="5"/>
        <v>15945394.174068088</v>
      </c>
    </row>
    <row r="48" spans="6:11" x14ac:dyDescent="0.2">
      <c r="F48" s="94">
        <f t="shared" si="0"/>
        <v>46</v>
      </c>
      <c r="G48" s="95">
        <f t="shared" si="1"/>
        <v>15945394.174068088</v>
      </c>
      <c r="H48" s="95">
        <f t="shared" si="2"/>
        <v>94248.062753562015</v>
      </c>
      <c r="I48" s="95">
        <f t="shared" si="3"/>
        <v>14521.091883221588</v>
      </c>
      <c r="J48" s="95">
        <f t="shared" si="4"/>
        <v>79726.970870340432</v>
      </c>
      <c r="K48" s="96">
        <f t="shared" si="5"/>
        <v>15930873.082184866</v>
      </c>
    </row>
    <row r="49" spans="6:11" x14ac:dyDescent="0.2">
      <c r="F49" s="94">
        <f t="shared" si="0"/>
        <v>47</v>
      </c>
      <c r="G49" s="95">
        <f t="shared" si="1"/>
        <v>15930873.082184866</v>
      </c>
      <c r="H49" s="95">
        <f t="shared" si="2"/>
        <v>94248.062753562015</v>
      </c>
      <c r="I49" s="95">
        <f t="shared" si="3"/>
        <v>14593.697342637694</v>
      </c>
      <c r="J49" s="95">
        <f t="shared" si="4"/>
        <v>79654.365410924322</v>
      </c>
      <c r="K49" s="96">
        <f t="shared" si="5"/>
        <v>15916279.384842228</v>
      </c>
    </row>
    <row r="50" spans="6:11" x14ac:dyDescent="0.2">
      <c r="F50" s="94">
        <f t="shared" si="0"/>
        <v>48</v>
      </c>
      <c r="G50" s="95">
        <f t="shared" si="1"/>
        <v>15916279.384842228</v>
      </c>
      <c r="H50" s="95">
        <f t="shared" si="2"/>
        <v>94248.062753562015</v>
      </c>
      <c r="I50" s="95">
        <f t="shared" si="3"/>
        <v>14666.665829350883</v>
      </c>
      <c r="J50" s="95">
        <f t="shared" si="4"/>
        <v>79581.396924211134</v>
      </c>
      <c r="K50" s="96">
        <f t="shared" si="5"/>
        <v>15901612.719012877</v>
      </c>
    </row>
    <row r="51" spans="6:11" x14ac:dyDescent="0.2">
      <c r="F51" s="94">
        <f t="shared" si="0"/>
        <v>49</v>
      </c>
      <c r="G51" s="95">
        <f t="shared" si="1"/>
        <v>15901612.719012877</v>
      </c>
      <c r="H51" s="95">
        <f t="shared" si="2"/>
        <v>94248.062753562015</v>
      </c>
      <c r="I51" s="95">
        <f t="shared" si="3"/>
        <v>14739.999158497638</v>
      </c>
      <c r="J51" s="95">
        <f t="shared" si="4"/>
        <v>79508.063595064377</v>
      </c>
      <c r="K51" s="96">
        <f t="shared" si="5"/>
        <v>15886872.719854379</v>
      </c>
    </row>
    <row r="52" spans="6:11" x14ac:dyDescent="0.2">
      <c r="F52" s="94">
        <f t="shared" si="0"/>
        <v>50</v>
      </c>
      <c r="G52" s="95">
        <f t="shared" si="1"/>
        <v>15886872.719854379</v>
      </c>
      <c r="H52" s="95">
        <f t="shared" si="2"/>
        <v>94248.062753562015</v>
      </c>
      <c r="I52" s="95">
        <f t="shared" si="3"/>
        <v>14813.699154290121</v>
      </c>
      <c r="J52" s="95">
        <f t="shared" si="4"/>
        <v>79434.363599271892</v>
      </c>
      <c r="K52" s="96">
        <f t="shared" si="5"/>
        <v>15872059.02070009</v>
      </c>
    </row>
    <row r="53" spans="6:11" x14ac:dyDescent="0.2">
      <c r="F53" s="94">
        <f t="shared" si="0"/>
        <v>51</v>
      </c>
      <c r="G53" s="95">
        <f t="shared" si="1"/>
        <v>15872059.02070009</v>
      </c>
      <c r="H53" s="95">
        <f t="shared" si="2"/>
        <v>94248.062753562015</v>
      </c>
      <c r="I53" s="95">
        <f t="shared" si="3"/>
        <v>14887.767650061576</v>
      </c>
      <c r="J53" s="95">
        <f t="shared" si="4"/>
        <v>79360.295103500437</v>
      </c>
      <c r="K53" s="96">
        <f t="shared" si="5"/>
        <v>15857171.253050027</v>
      </c>
    </row>
    <row r="54" spans="6:11" x14ac:dyDescent="0.2">
      <c r="F54" s="94">
        <f t="shared" si="0"/>
        <v>52</v>
      </c>
      <c r="G54" s="95">
        <f t="shared" si="1"/>
        <v>15857171.253050027</v>
      </c>
      <c r="H54" s="95">
        <f t="shared" si="2"/>
        <v>94248.06275356203</v>
      </c>
      <c r="I54" s="95">
        <f t="shared" si="3"/>
        <v>14962.206488311882</v>
      </c>
      <c r="J54" s="95">
        <f t="shared" si="4"/>
        <v>79285.856265250142</v>
      </c>
      <c r="K54" s="96">
        <f t="shared" si="5"/>
        <v>15842209.046561716</v>
      </c>
    </row>
    <row r="55" spans="6:11" x14ac:dyDescent="0.2">
      <c r="F55" s="94">
        <f t="shared" si="0"/>
        <v>53</v>
      </c>
      <c r="G55" s="95">
        <f t="shared" si="1"/>
        <v>15842209.046561716</v>
      </c>
      <c r="H55" s="95">
        <f t="shared" si="2"/>
        <v>94248.06275356203</v>
      </c>
      <c r="I55" s="95">
        <f t="shared" si="3"/>
        <v>15037.017520753443</v>
      </c>
      <c r="J55" s="95">
        <f t="shared" si="4"/>
        <v>79211.045232808581</v>
      </c>
      <c r="K55" s="96">
        <f t="shared" si="5"/>
        <v>15827172.029040962</v>
      </c>
    </row>
    <row r="56" spans="6:11" x14ac:dyDescent="0.2">
      <c r="F56" s="94">
        <f t="shared" si="0"/>
        <v>54</v>
      </c>
      <c r="G56" s="95">
        <f t="shared" si="1"/>
        <v>15827172.029040962</v>
      </c>
      <c r="H56" s="95">
        <f t="shared" si="2"/>
        <v>94248.062753562015</v>
      </c>
      <c r="I56" s="95">
        <f t="shared" si="3"/>
        <v>15112.202608357209</v>
      </c>
      <c r="J56" s="95">
        <f t="shared" si="4"/>
        <v>79135.860145204802</v>
      </c>
      <c r="K56" s="96">
        <f t="shared" si="5"/>
        <v>15812059.826432604</v>
      </c>
    </row>
    <row r="57" spans="6:11" x14ac:dyDescent="0.2">
      <c r="F57" s="94">
        <f t="shared" si="0"/>
        <v>55</v>
      </c>
      <c r="G57" s="95">
        <f t="shared" si="1"/>
        <v>15812059.826432604</v>
      </c>
      <c r="H57" s="95">
        <f t="shared" si="2"/>
        <v>94248.062753562001</v>
      </c>
      <c r="I57" s="95">
        <f t="shared" si="3"/>
        <v>15187.763621398997</v>
      </c>
      <c r="J57" s="95">
        <f t="shared" si="4"/>
        <v>79060.299132163011</v>
      </c>
      <c r="K57" s="96">
        <f t="shared" si="5"/>
        <v>15796872.062811205</v>
      </c>
    </row>
    <row r="58" spans="6:11" x14ac:dyDescent="0.2">
      <c r="F58" s="94">
        <f t="shared" si="0"/>
        <v>56</v>
      </c>
      <c r="G58" s="95">
        <f t="shared" si="1"/>
        <v>15796872.062811205</v>
      </c>
      <c r="H58" s="95">
        <f t="shared" si="2"/>
        <v>94248.062753562015</v>
      </c>
      <c r="I58" s="95">
        <f t="shared" si="3"/>
        <v>15263.702439505989</v>
      </c>
      <c r="J58" s="95">
        <f t="shared" si="4"/>
        <v>78984.36031405603</v>
      </c>
      <c r="K58" s="96">
        <f t="shared" si="5"/>
        <v>15781608.3603717</v>
      </c>
    </row>
    <row r="59" spans="6:11" x14ac:dyDescent="0.2">
      <c r="F59" s="94">
        <f t="shared" si="0"/>
        <v>57</v>
      </c>
      <c r="G59" s="95">
        <f t="shared" si="1"/>
        <v>15781608.3603717</v>
      </c>
      <c r="H59" s="95">
        <f t="shared" si="2"/>
        <v>94248.06275356203</v>
      </c>
      <c r="I59" s="95">
        <f t="shared" si="3"/>
        <v>15340.020951703522</v>
      </c>
      <c r="J59" s="95">
        <f t="shared" si="4"/>
        <v>78908.041801858504</v>
      </c>
      <c r="K59" s="96">
        <f t="shared" si="5"/>
        <v>15766268.339419996</v>
      </c>
    </row>
    <row r="60" spans="6:11" x14ac:dyDescent="0.2">
      <c r="F60" s="94">
        <f t="shared" si="0"/>
        <v>58</v>
      </c>
      <c r="G60" s="95">
        <f t="shared" si="1"/>
        <v>15766268.339419996</v>
      </c>
      <c r="H60" s="95">
        <f t="shared" si="2"/>
        <v>94248.06275356203</v>
      </c>
      <c r="I60" s="95">
        <f t="shared" si="3"/>
        <v>15416.72105646204</v>
      </c>
      <c r="J60" s="95">
        <f t="shared" si="4"/>
        <v>78831.341697099982</v>
      </c>
      <c r="K60" s="96">
        <f t="shared" si="5"/>
        <v>15750851.618363535</v>
      </c>
    </row>
    <row r="61" spans="6:11" x14ac:dyDescent="0.2">
      <c r="F61" s="94">
        <f t="shared" si="0"/>
        <v>59</v>
      </c>
      <c r="G61" s="95">
        <f t="shared" si="1"/>
        <v>15750851.618363535</v>
      </c>
      <c r="H61" s="95">
        <f t="shared" si="2"/>
        <v>94248.062753562015</v>
      </c>
      <c r="I61" s="95">
        <f t="shared" si="3"/>
        <v>15493.804661744351</v>
      </c>
      <c r="J61" s="95">
        <f t="shared" si="4"/>
        <v>78754.258091817668</v>
      </c>
      <c r="K61" s="96">
        <f t="shared" si="5"/>
        <v>15735357.81370179</v>
      </c>
    </row>
    <row r="62" spans="6:11" x14ac:dyDescent="0.2">
      <c r="F62" s="94">
        <f t="shared" si="0"/>
        <v>60</v>
      </c>
      <c r="G62" s="95">
        <f t="shared" si="1"/>
        <v>15735357.81370179</v>
      </c>
      <c r="H62" s="95">
        <f t="shared" si="2"/>
        <v>94248.062753562001</v>
      </c>
      <c r="I62" s="95">
        <f t="shared" si="3"/>
        <v>15571.273685053071</v>
      </c>
      <c r="J62" s="95">
        <f t="shared" si="4"/>
        <v>78676.789068508937</v>
      </c>
      <c r="K62" s="96">
        <f t="shared" si="5"/>
        <v>15719786.540016737</v>
      </c>
    </row>
    <row r="63" spans="6:11" x14ac:dyDescent="0.2">
      <c r="F63" s="94">
        <f t="shared" si="0"/>
        <v>61</v>
      </c>
      <c r="G63" s="95">
        <f t="shared" si="1"/>
        <v>15719786.540016737</v>
      </c>
      <c r="H63" s="95">
        <f t="shared" si="2"/>
        <v>94248.062753562015</v>
      </c>
      <c r="I63" s="95">
        <f t="shared" si="3"/>
        <v>15649.130053478335</v>
      </c>
      <c r="J63" s="95">
        <f t="shared" si="4"/>
        <v>78598.932700083678</v>
      </c>
      <c r="K63" s="96">
        <f t="shared" si="5"/>
        <v>15704137.409963258</v>
      </c>
    </row>
    <row r="64" spans="6:11" x14ac:dyDescent="0.2">
      <c r="F64" s="94">
        <f t="shared" si="0"/>
        <v>62</v>
      </c>
      <c r="G64" s="95">
        <f t="shared" si="1"/>
        <v>15704137.409963258</v>
      </c>
      <c r="H64" s="95">
        <f t="shared" si="2"/>
        <v>94248.062753562015</v>
      </c>
      <c r="I64" s="95">
        <f t="shared" si="3"/>
        <v>15727.375703745727</v>
      </c>
      <c r="J64" s="95">
        <f t="shared" si="4"/>
        <v>78520.68704981629</v>
      </c>
      <c r="K64" s="96">
        <f t="shared" si="5"/>
        <v>15688410.034259511</v>
      </c>
    </row>
    <row r="65" spans="6:11" x14ac:dyDescent="0.2">
      <c r="F65" s="94">
        <f t="shared" si="0"/>
        <v>63</v>
      </c>
      <c r="G65" s="95">
        <f t="shared" si="1"/>
        <v>15688410.034259511</v>
      </c>
      <c r="H65" s="95">
        <f t="shared" si="2"/>
        <v>94248.062753562001</v>
      </c>
      <c r="I65" s="95">
        <f t="shared" si="3"/>
        <v>15806.012582264455</v>
      </c>
      <c r="J65" s="95">
        <f t="shared" si="4"/>
        <v>78442.050171297553</v>
      </c>
      <c r="K65" s="96">
        <f t="shared" si="5"/>
        <v>15672604.021677246</v>
      </c>
    </row>
    <row r="66" spans="6:11" x14ac:dyDescent="0.2">
      <c r="F66" s="94">
        <f t="shared" si="0"/>
        <v>64</v>
      </c>
      <c r="G66" s="95">
        <f t="shared" si="1"/>
        <v>15672604.021677246</v>
      </c>
      <c r="H66" s="95">
        <f t="shared" si="2"/>
        <v>94248.062753562001</v>
      </c>
      <c r="I66" s="95">
        <f t="shared" si="3"/>
        <v>15885.042645175779</v>
      </c>
      <c r="J66" s="95">
        <f t="shared" si="4"/>
        <v>78363.020108386219</v>
      </c>
      <c r="K66" s="96">
        <f t="shared" si="5"/>
        <v>15656718.979032071</v>
      </c>
    </row>
    <row r="67" spans="6:11" x14ac:dyDescent="0.2">
      <c r="F67" s="94">
        <f t="shared" si="0"/>
        <v>65</v>
      </c>
      <c r="G67" s="95">
        <f t="shared" si="1"/>
        <v>15656718.979032071</v>
      </c>
      <c r="H67" s="95">
        <f t="shared" si="2"/>
        <v>94248.062753562001</v>
      </c>
      <c r="I67" s="95">
        <f t="shared" si="3"/>
        <v>15964.467858401656</v>
      </c>
      <c r="J67" s="95">
        <f t="shared" si="4"/>
        <v>78283.59489516035</v>
      </c>
      <c r="K67" s="96">
        <f t="shared" si="5"/>
        <v>15640754.511173669</v>
      </c>
    </row>
    <row r="68" spans="6:11" x14ac:dyDescent="0.2">
      <c r="F68" s="94">
        <f t="shared" si="0"/>
        <v>66</v>
      </c>
      <c r="G68" s="95">
        <f t="shared" si="1"/>
        <v>15640754.511173669</v>
      </c>
      <c r="H68" s="95">
        <f t="shared" si="2"/>
        <v>94248.062753562015</v>
      </c>
      <c r="I68" s="95">
        <f t="shared" si="3"/>
        <v>16044.290197693666</v>
      </c>
      <c r="J68" s="95">
        <f t="shared" si="4"/>
        <v>78203.772555868345</v>
      </c>
      <c r="K68" s="96">
        <f t="shared" si="5"/>
        <v>15624710.220975976</v>
      </c>
    </row>
    <row r="69" spans="6:11" x14ac:dyDescent="0.2">
      <c r="F69" s="94">
        <f t="shared" ref="F69:F122" si="6">F68+1</f>
        <v>67</v>
      </c>
      <c r="G69" s="95">
        <f t="shared" ref="G69:G122" si="7">IF(F69/12&gt;$B$6,0,K68)</f>
        <v>15624710.220975976</v>
      </c>
      <c r="H69" s="95">
        <f t="shared" ref="H69:H122" si="8">SUM(I69:J69)</f>
        <v>94248.062753562015</v>
      </c>
      <c r="I69" s="95">
        <f t="shared" ref="I69:I122" si="9">IF(AND(F69&gt;$B$4,F69/12&lt;=$B$6),-PPMT($B$5/12,F69-$B$4,$B$3*12,$B$2,0,0),0)</f>
        <v>16124.511648682133</v>
      </c>
      <c r="J69" s="95">
        <f t="shared" ref="J69:J122" si="10">G69*$B$5/12</f>
        <v>78123.55110487988</v>
      </c>
      <c r="K69" s="96">
        <f t="shared" ref="K69:K122" si="11">G69-I69</f>
        <v>15608585.709327294</v>
      </c>
    </row>
    <row r="70" spans="6:11" x14ac:dyDescent="0.2">
      <c r="F70" s="94">
        <f t="shared" si="6"/>
        <v>68</v>
      </c>
      <c r="G70" s="95">
        <f t="shared" si="7"/>
        <v>15608585.709327294</v>
      </c>
      <c r="H70" s="95">
        <f t="shared" si="8"/>
        <v>94248.062753562015</v>
      </c>
      <c r="I70" s="95">
        <f t="shared" si="9"/>
        <v>16205.134206925544</v>
      </c>
      <c r="J70" s="95">
        <f t="shared" si="10"/>
        <v>78042.928546636467</v>
      </c>
      <c r="K70" s="96">
        <f t="shared" si="11"/>
        <v>15592380.575120367</v>
      </c>
    </row>
    <row r="71" spans="6:11" x14ac:dyDescent="0.2">
      <c r="F71" s="94">
        <f t="shared" si="6"/>
        <v>69</v>
      </c>
      <c r="G71" s="95">
        <f t="shared" si="7"/>
        <v>15592380.575120367</v>
      </c>
      <c r="H71" s="95">
        <f t="shared" si="8"/>
        <v>94248.062753562001</v>
      </c>
      <c r="I71" s="95">
        <f t="shared" si="9"/>
        <v>16286.159877960172</v>
      </c>
      <c r="J71" s="95">
        <f t="shared" si="10"/>
        <v>77961.902875601823</v>
      </c>
      <c r="K71" s="96">
        <f t="shared" si="11"/>
        <v>15576094.415242407</v>
      </c>
    </row>
    <row r="72" spans="6:11" x14ac:dyDescent="0.2">
      <c r="F72" s="94">
        <f t="shared" si="6"/>
        <v>70</v>
      </c>
      <c r="G72" s="95">
        <f t="shared" si="7"/>
        <v>15576094.415242407</v>
      </c>
      <c r="H72" s="95">
        <f t="shared" si="8"/>
        <v>94248.062753562015</v>
      </c>
      <c r="I72" s="95">
        <f t="shared" si="9"/>
        <v>16367.590677349976</v>
      </c>
      <c r="J72" s="95">
        <f t="shared" si="10"/>
        <v>77880.472076212041</v>
      </c>
      <c r="K72" s="96">
        <f t="shared" si="11"/>
        <v>15559726.824565057</v>
      </c>
    </row>
    <row r="73" spans="6:11" x14ac:dyDescent="0.2">
      <c r="F73" s="94">
        <f t="shared" si="6"/>
        <v>71</v>
      </c>
      <c r="G73" s="95">
        <f t="shared" si="7"/>
        <v>15559726.824565057</v>
      </c>
      <c r="H73" s="95">
        <f t="shared" si="8"/>
        <v>94248.062753562001</v>
      </c>
      <c r="I73" s="95">
        <f t="shared" si="9"/>
        <v>16449.428630736726</v>
      </c>
      <c r="J73" s="95">
        <f t="shared" si="10"/>
        <v>77798.634122825271</v>
      </c>
      <c r="K73" s="96">
        <f t="shared" si="11"/>
        <v>15543277.395934319</v>
      </c>
    </row>
    <row r="74" spans="6:11" x14ac:dyDescent="0.2">
      <c r="F74" s="94">
        <f t="shared" si="6"/>
        <v>72</v>
      </c>
      <c r="G74" s="95">
        <f t="shared" si="7"/>
        <v>15543277.395934319</v>
      </c>
      <c r="H74" s="95">
        <f t="shared" si="8"/>
        <v>94248.062753562001</v>
      </c>
      <c r="I74" s="95">
        <f t="shared" si="9"/>
        <v>16531.675773890405</v>
      </c>
      <c r="J74" s="95">
        <f t="shared" si="10"/>
        <v>77716.386979671588</v>
      </c>
      <c r="K74" s="96">
        <f t="shared" si="11"/>
        <v>15526745.720160428</v>
      </c>
    </row>
    <row r="75" spans="6:11" x14ac:dyDescent="0.2">
      <c r="F75" s="94">
        <f t="shared" si="6"/>
        <v>73</v>
      </c>
      <c r="G75" s="95">
        <f t="shared" si="7"/>
        <v>15526745.720160428</v>
      </c>
      <c r="H75" s="95">
        <f t="shared" si="8"/>
        <v>94248.062753562001</v>
      </c>
      <c r="I75" s="95">
        <f t="shared" si="9"/>
        <v>16614.33415275986</v>
      </c>
      <c r="J75" s="95">
        <f t="shared" si="10"/>
        <v>77633.728600802147</v>
      </c>
      <c r="K75" s="96">
        <f t="shared" si="11"/>
        <v>15510131.386007668</v>
      </c>
    </row>
    <row r="76" spans="6:11" x14ac:dyDescent="0.2">
      <c r="F76" s="94">
        <f t="shared" si="6"/>
        <v>74</v>
      </c>
      <c r="G76" s="95">
        <f t="shared" si="7"/>
        <v>15510131.386007668</v>
      </c>
      <c r="H76" s="95">
        <f t="shared" si="8"/>
        <v>94248.062753562001</v>
      </c>
      <c r="I76" s="95">
        <f t="shared" si="9"/>
        <v>16697.405823523655</v>
      </c>
      <c r="J76" s="95">
        <f t="shared" si="10"/>
        <v>77550.656930038342</v>
      </c>
      <c r="K76" s="96">
        <f t="shared" si="11"/>
        <v>15493433.980184145</v>
      </c>
    </row>
    <row r="77" spans="6:11" x14ac:dyDescent="0.2">
      <c r="F77" s="94">
        <f t="shared" si="6"/>
        <v>75</v>
      </c>
      <c r="G77" s="95">
        <f t="shared" si="7"/>
        <v>15493433.980184145</v>
      </c>
      <c r="H77" s="95">
        <f t="shared" si="8"/>
        <v>94248.062753562001</v>
      </c>
      <c r="I77" s="95">
        <f t="shared" si="9"/>
        <v>16780.892852641278</v>
      </c>
      <c r="J77" s="95">
        <f t="shared" si="10"/>
        <v>77467.169900920722</v>
      </c>
      <c r="K77" s="96">
        <f t="shared" si="11"/>
        <v>15476653.087331504</v>
      </c>
    </row>
    <row r="78" spans="6:11" x14ac:dyDescent="0.2">
      <c r="F78" s="94">
        <f t="shared" si="6"/>
        <v>76</v>
      </c>
      <c r="G78" s="95">
        <f t="shared" si="7"/>
        <v>15476653.087331504</v>
      </c>
      <c r="H78" s="95">
        <f t="shared" si="8"/>
        <v>94248.062753562001</v>
      </c>
      <c r="I78" s="95">
        <f t="shared" si="9"/>
        <v>16864.797316904482</v>
      </c>
      <c r="J78" s="95">
        <f t="shared" si="10"/>
        <v>77383.265436657515</v>
      </c>
      <c r="K78" s="96">
        <f t="shared" si="11"/>
        <v>15459788.290014599</v>
      </c>
    </row>
    <row r="79" spans="6:11" x14ac:dyDescent="0.2">
      <c r="F79" s="94">
        <f t="shared" si="6"/>
        <v>77</v>
      </c>
      <c r="G79" s="95">
        <f t="shared" si="7"/>
        <v>15459788.290014599</v>
      </c>
      <c r="H79" s="95">
        <f t="shared" si="8"/>
        <v>94248.062753562001</v>
      </c>
      <c r="I79" s="95">
        <f t="shared" si="9"/>
        <v>16949.121303489006</v>
      </c>
      <c r="J79" s="95">
        <f t="shared" si="10"/>
        <v>77298.941450072991</v>
      </c>
      <c r="K79" s="96">
        <f t="shared" si="11"/>
        <v>15442839.168711109</v>
      </c>
    </row>
    <row r="80" spans="6:11" x14ac:dyDescent="0.2">
      <c r="F80" s="94">
        <f t="shared" si="6"/>
        <v>78</v>
      </c>
      <c r="G80" s="95">
        <f t="shared" si="7"/>
        <v>15442839.168711109</v>
      </c>
      <c r="H80" s="95">
        <f t="shared" si="8"/>
        <v>94248.062753561986</v>
      </c>
      <c r="I80" s="95">
        <f t="shared" si="9"/>
        <v>17033.866910006447</v>
      </c>
      <c r="J80" s="95">
        <f t="shared" si="10"/>
        <v>77214.195843555543</v>
      </c>
      <c r="K80" s="96">
        <f t="shared" si="11"/>
        <v>15425805.301801102</v>
      </c>
    </row>
    <row r="81" spans="6:11" x14ac:dyDescent="0.2">
      <c r="F81" s="94">
        <f t="shared" si="6"/>
        <v>79</v>
      </c>
      <c r="G81" s="95">
        <f t="shared" si="7"/>
        <v>15425805.301801102</v>
      </c>
      <c r="H81" s="95">
        <f t="shared" si="8"/>
        <v>94248.062753561986</v>
      </c>
      <c r="I81" s="95">
        <f t="shared" si="9"/>
        <v>17119.036244556486</v>
      </c>
      <c r="J81" s="95">
        <f t="shared" si="10"/>
        <v>77129.026509005504</v>
      </c>
      <c r="K81" s="96">
        <f t="shared" si="11"/>
        <v>15408686.265556546</v>
      </c>
    </row>
    <row r="82" spans="6:11" x14ac:dyDescent="0.2">
      <c r="F82" s="94">
        <f t="shared" si="6"/>
        <v>80</v>
      </c>
      <c r="G82" s="95">
        <f t="shared" si="7"/>
        <v>15408686.265556546</v>
      </c>
      <c r="H82" s="95">
        <f t="shared" si="8"/>
        <v>94248.062753562001</v>
      </c>
      <c r="I82" s="95">
        <f t="shared" si="9"/>
        <v>17204.631425779266</v>
      </c>
      <c r="J82" s="95">
        <f t="shared" si="10"/>
        <v>77043.431327782731</v>
      </c>
      <c r="K82" s="96">
        <f t="shared" si="11"/>
        <v>15391481.634130767</v>
      </c>
    </row>
    <row r="83" spans="6:11" x14ac:dyDescent="0.2">
      <c r="F83" s="94">
        <f t="shared" si="6"/>
        <v>81</v>
      </c>
      <c r="G83" s="95">
        <f t="shared" si="7"/>
        <v>15391481.634130767</v>
      </c>
      <c r="H83" s="95">
        <f t="shared" si="8"/>
        <v>94248.062753561986</v>
      </c>
      <c r="I83" s="95">
        <f t="shared" si="9"/>
        <v>17290.654582908162</v>
      </c>
      <c r="J83" s="95">
        <f t="shared" si="10"/>
        <v>76957.408170653827</v>
      </c>
      <c r="K83" s="96">
        <f t="shared" si="11"/>
        <v>15374190.979547858</v>
      </c>
    </row>
    <row r="84" spans="6:11" x14ac:dyDescent="0.2">
      <c r="F84" s="94">
        <f t="shared" si="6"/>
        <v>82</v>
      </c>
      <c r="G84" s="95">
        <f t="shared" si="7"/>
        <v>15374190.979547858</v>
      </c>
      <c r="H84" s="95">
        <f t="shared" si="8"/>
        <v>94248.062753561986</v>
      </c>
      <c r="I84" s="95">
        <f t="shared" si="9"/>
        <v>17377.107855822702</v>
      </c>
      <c r="J84" s="95">
        <f t="shared" si="10"/>
        <v>76870.954897739284</v>
      </c>
      <c r="K84" s="96">
        <f t="shared" si="11"/>
        <v>15356813.871692035</v>
      </c>
    </row>
    <row r="85" spans="6:11" x14ac:dyDescent="0.2">
      <c r="F85" s="94">
        <f t="shared" si="6"/>
        <v>83</v>
      </c>
      <c r="G85" s="95">
        <f t="shared" si="7"/>
        <v>15356813.871692035</v>
      </c>
      <c r="H85" s="95">
        <f t="shared" si="8"/>
        <v>94248.062753562001</v>
      </c>
      <c r="I85" s="95">
        <f t="shared" si="9"/>
        <v>17463.993395101817</v>
      </c>
      <c r="J85" s="95">
        <f t="shared" si="10"/>
        <v>76784.069358460183</v>
      </c>
      <c r="K85" s="96">
        <f t="shared" si="11"/>
        <v>15339349.878296934</v>
      </c>
    </row>
    <row r="86" spans="6:11" x14ac:dyDescent="0.2">
      <c r="F86" s="94">
        <f t="shared" si="6"/>
        <v>84</v>
      </c>
      <c r="G86" s="95">
        <f t="shared" si="7"/>
        <v>15339349.878296934</v>
      </c>
      <c r="H86" s="95">
        <f t="shared" si="8"/>
        <v>94248.062753562001</v>
      </c>
      <c r="I86" s="95">
        <f t="shared" si="9"/>
        <v>17551.313362077322</v>
      </c>
      <c r="J86" s="95">
        <f t="shared" si="10"/>
        <v>76696.749391484671</v>
      </c>
      <c r="K86" s="96">
        <f t="shared" si="11"/>
        <v>15321798.564934857</v>
      </c>
    </row>
    <row r="87" spans="6:11" x14ac:dyDescent="0.2">
      <c r="F87" s="94">
        <f t="shared" si="6"/>
        <v>85</v>
      </c>
      <c r="G87" s="95">
        <f t="shared" si="7"/>
        <v>15321798.564934857</v>
      </c>
      <c r="H87" s="95">
        <f t="shared" si="8"/>
        <v>94248.062753561986</v>
      </c>
      <c r="I87" s="95">
        <f t="shared" si="9"/>
        <v>17639.069928887711</v>
      </c>
      <c r="J87" s="95">
        <f t="shared" si="10"/>
        <v>76608.992824674278</v>
      </c>
      <c r="K87" s="96">
        <f t="shared" si="11"/>
        <v>15304159.495005969</v>
      </c>
    </row>
    <row r="88" spans="6:11" x14ac:dyDescent="0.2">
      <c r="F88" s="94">
        <f t="shared" si="6"/>
        <v>86</v>
      </c>
      <c r="G88" s="95">
        <f t="shared" si="7"/>
        <v>15304159.495005969</v>
      </c>
      <c r="H88" s="95">
        <f t="shared" si="8"/>
        <v>94248.062753562001</v>
      </c>
      <c r="I88" s="95">
        <f t="shared" si="9"/>
        <v>17727.265278532152</v>
      </c>
      <c r="J88" s="95">
        <f t="shared" si="10"/>
        <v>76520.797475029845</v>
      </c>
      <c r="K88" s="96">
        <f t="shared" si="11"/>
        <v>15286432.229727438</v>
      </c>
    </row>
    <row r="89" spans="6:11" x14ac:dyDescent="0.2">
      <c r="F89" s="94">
        <f t="shared" si="6"/>
        <v>87</v>
      </c>
      <c r="G89" s="95">
        <f t="shared" si="7"/>
        <v>15286432.229727438</v>
      </c>
      <c r="H89" s="95">
        <f t="shared" si="8"/>
        <v>94248.062753562001</v>
      </c>
      <c r="I89" s="95">
        <f t="shared" si="9"/>
        <v>17815.901604924809</v>
      </c>
      <c r="J89" s="95">
        <f t="shared" si="10"/>
        <v>76432.161148637184</v>
      </c>
      <c r="K89" s="96">
        <f t="shared" si="11"/>
        <v>15268616.328122513</v>
      </c>
    </row>
    <row r="90" spans="6:11" x14ac:dyDescent="0.2">
      <c r="F90" s="94">
        <f t="shared" si="6"/>
        <v>88</v>
      </c>
      <c r="G90" s="95">
        <f t="shared" si="7"/>
        <v>15268616.328122513</v>
      </c>
      <c r="H90" s="95">
        <f t="shared" si="8"/>
        <v>94248.062753562001</v>
      </c>
      <c r="I90" s="95">
        <f t="shared" si="9"/>
        <v>17904.981112949434</v>
      </c>
      <c r="J90" s="95">
        <f t="shared" si="10"/>
        <v>76343.081640612567</v>
      </c>
      <c r="K90" s="96">
        <f t="shared" si="11"/>
        <v>15250711.347009564</v>
      </c>
    </row>
    <row r="91" spans="6:11" x14ac:dyDescent="0.2">
      <c r="F91" s="94">
        <f t="shared" si="6"/>
        <v>89</v>
      </c>
      <c r="G91" s="95">
        <f t="shared" si="7"/>
        <v>15250711.347009564</v>
      </c>
      <c r="H91" s="95">
        <f t="shared" si="8"/>
        <v>94248.062753562001</v>
      </c>
      <c r="I91" s="95">
        <f t="shared" si="9"/>
        <v>17994.506018514181</v>
      </c>
      <c r="J91" s="95">
        <f t="shared" si="10"/>
        <v>76253.556735047823</v>
      </c>
      <c r="K91" s="96">
        <f t="shared" si="11"/>
        <v>15232716.84099105</v>
      </c>
    </row>
    <row r="92" spans="6:11" x14ac:dyDescent="0.2">
      <c r="F92" s="94">
        <f t="shared" si="6"/>
        <v>90</v>
      </c>
      <c r="G92" s="95">
        <f t="shared" si="7"/>
        <v>15232716.84099105</v>
      </c>
      <c r="H92" s="95">
        <f t="shared" si="8"/>
        <v>94248.062753562001</v>
      </c>
      <c r="I92" s="95">
        <f t="shared" si="9"/>
        <v>18084.478548606752</v>
      </c>
      <c r="J92" s="95">
        <f t="shared" si="10"/>
        <v>76163.584204955245</v>
      </c>
      <c r="K92" s="96">
        <f t="shared" si="11"/>
        <v>15214632.362442443</v>
      </c>
    </row>
    <row r="93" spans="6:11" x14ac:dyDescent="0.2">
      <c r="F93" s="94">
        <f t="shared" si="6"/>
        <v>91</v>
      </c>
      <c r="G93" s="95">
        <f t="shared" si="7"/>
        <v>15214632.362442443</v>
      </c>
      <c r="H93" s="95">
        <f t="shared" si="8"/>
        <v>94248.062753562001</v>
      </c>
      <c r="I93" s="95">
        <f t="shared" si="9"/>
        <v>18174.900941349788</v>
      </c>
      <c r="J93" s="95">
        <f t="shared" si="10"/>
        <v>76073.161812212216</v>
      </c>
      <c r="K93" s="96">
        <f t="shared" si="11"/>
        <v>15196457.461501094</v>
      </c>
    </row>
    <row r="94" spans="6:11" x14ac:dyDescent="0.2">
      <c r="F94" s="94">
        <f t="shared" si="6"/>
        <v>92</v>
      </c>
      <c r="G94" s="95">
        <f t="shared" si="7"/>
        <v>15196457.461501094</v>
      </c>
      <c r="H94" s="95">
        <f t="shared" si="8"/>
        <v>94248.062753562001</v>
      </c>
      <c r="I94" s="95">
        <f t="shared" si="9"/>
        <v>18265.775446056534</v>
      </c>
      <c r="J94" s="95">
        <f t="shared" si="10"/>
        <v>75982.287307505467</v>
      </c>
      <c r="K94" s="96">
        <f t="shared" si="11"/>
        <v>15178191.686055036</v>
      </c>
    </row>
    <row r="95" spans="6:11" x14ac:dyDescent="0.2">
      <c r="F95" s="94">
        <f t="shared" si="6"/>
        <v>93</v>
      </c>
      <c r="G95" s="95">
        <f t="shared" si="7"/>
        <v>15178191.686055036</v>
      </c>
      <c r="H95" s="95">
        <f t="shared" si="8"/>
        <v>94248.062753562001</v>
      </c>
      <c r="I95" s="95">
        <f t="shared" si="9"/>
        <v>18357.104323286818</v>
      </c>
      <c r="J95" s="95">
        <f t="shared" si="10"/>
        <v>75890.958430275175</v>
      </c>
      <c r="K95" s="96">
        <f t="shared" si="11"/>
        <v>15159834.58173175</v>
      </c>
    </row>
    <row r="96" spans="6:11" x14ac:dyDescent="0.2">
      <c r="F96" s="94">
        <f t="shared" si="6"/>
        <v>94</v>
      </c>
      <c r="G96" s="95">
        <f t="shared" si="7"/>
        <v>15159834.58173175</v>
      </c>
      <c r="H96" s="95">
        <f t="shared" si="8"/>
        <v>94248.062753562001</v>
      </c>
      <c r="I96" s="95">
        <f t="shared" si="9"/>
        <v>18448.889844903253</v>
      </c>
      <c r="J96" s="95">
        <f t="shared" si="10"/>
        <v>75799.172908658744</v>
      </c>
      <c r="K96" s="96">
        <f t="shared" si="11"/>
        <v>15141385.691886846</v>
      </c>
    </row>
    <row r="97" spans="6:11" x14ac:dyDescent="0.2">
      <c r="F97" s="94">
        <f t="shared" si="6"/>
        <v>95</v>
      </c>
      <c r="G97" s="95">
        <f t="shared" si="7"/>
        <v>15141385.691886846</v>
      </c>
      <c r="H97" s="95">
        <f t="shared" si="8"/>
        <v>94248.062753562001</v>
      </c>
      <c r="I97" s="95">
        <f t="shared" si="9"/>
        <v>18541.134294127769</v>
      </c>
      <c r="J97" s="95">
        <f t="shared" si="10"/>
        <v>75706.928459434232</v>
      </c>
      <c r="K97" s="96">
        <f t="shared" si="11"/>
        <v>15122844.557592718</v>
      </c>
    </row>
    <row r="98" spans="6:11" x14ac:dyDescent="0.2">
      <c r="F98" s="94">
        <f t="shared" si="6"/>
        <v>96</v>
      </c>
      <c r="G98" s="95">
        <f t="shared" si="7"/>
        <v>15122844.557592718</v>
      </c>
      <c r="H98" s="95">
        <f t="shared" si="8"/>
        <v>94248.062753562001</v>
      </c>
      <c r="I98" s="95">
        <f t="shared" si="9"/>
        <v>18633.839965598407</v>
      </c>
      <c r="J98" s="95">
        <f t="shared" si="10"/>
        <v>75614.22278796359</v>
      </c>
      <c r="K98" s="96">
        <f t="shared" si="11"/>
        <v>15104210.717627119</v>
      </c>
    </row>
    <row r="99" spans="6:11" x14ac:dyDescent="0.2">
      <c r="F99" s="94">
        <f t="shared" si="6"/>
        <v>97</v>
      </c>
      <c r="G99" s="95">
        <f t="shared" si="7"/>
        <v>15104210.717627119</v>
      </c>
      <c r="H99" s="95">
        <f t="shared" si="8"/>
        <v>94248.062753561986</v>
      </c>
      <c r="I99" s="95">
        <f t="shared" si="9"/>
        <v>18727.0091654264</v>
      </c>
      <c r="J99" s="95">
        <f t="shared" si="10"/>
        <v>75521.05358813559</v>
      </c>
      <c r="K99" s="96">
        <f t="shared" si="11"/>
        <v>15085483.708461693</v>
      </c>
    </row>
    <row r="100" spans="6:11" x14ac:dyDescent="0.2">
      <c r="F100" s="94">
        <f t="shared" si="6"/>
        <v>98</v>
      </c>
      <c r="G100" s="95">
        <f t="shared" si="7"/>
        <v>15085483.708461693</v>
      </c>
      <c r="H100" s="95">
        <f t="shared" si="8"/>
        <v>94248.062753561986</v>
      </c>
      <c r="I100" s="95">
        <f t="shared" si="9"/>
        <v>18820.64421125353</v>
      </c>
      <c r="J100" s="95">
        <f t="shared" si="10"/>
        <v>75427.418542308456</v>
      </c>
      <c r="K100" s="96">
        <f t="shared" si="11"/>
        <v>15066663.064250439</v>
      </c>
    </row>
    <row r="101" spans="6:11" x14ac:dyDescent="0.2">
      <c r="F101" s="94">
        <f t="shared" si="6"/>
        <v>99</v>
      </c>
      <c r="G101" s="95">
        <f t="shared" si="7"/>
        <v>15066663.064250439</v>
      </c>
      <c r="H101" s="95">
        <f t="shared" si="8"/>
        <v>94248.062753562001</v>
      </c>
      <c r="I101" s="95">
        <f t="shared" si="9"/>
        <v>18914.747432309803</v>
      </c>
      <c r="J101" s="95">
        <f t="shared" si="10"/>
        <v>75333.315321252201</v>
      </c>
      <c r="K101" s="96">
        <f t="shared" si="11"/>
        <v>15047748.316818129</v>
      </c>
    </row>
    <row r="102" spans="6:11" x14ac:dyDescent="0.2">
      <c r="F102" s="94">
        <f t="shared" si="6"/>
        <v>100</v>
      </c>
      <c r="G102" s="95">
        <f t="shared" si="7"/>
        <v>15047748.316818129</v>
      </c>
      <c r="H102" s="95">
        <f t="shared" si="8"/>
        <v>94248.062753562001</v>
      </c>
      <c r="I102" s="95">
        <f t="shared" si="9"/>
        <v>19009.321169471346</v>
      </c>
      <c r="J102" s="95">
        <f t="shared" si="10"/>
        <v>75238.741584090647</v>
      </c>
      <c r="K102" s="96">
        <f t="shared" si="11"/>
        <v>15028738.995648658</v>
      </c>
    </row>
    <row r="103" spans="6:11" x14ac:dyDescent="0.2">
      <c r="F103" s="94">
        <f t="shared" si="6"/>
        <v>101</v>
      </c>
      <c r="G103" s="95">
        <f t="shared" si="7"/>
        <v>15028738.995648658</v>
      </c>
      <c r="H103" s="95">
        <f t="shared" si="8"/>
        <v>94248.062753561986</v>
      </c>
      <c r="I103" s="95">
        <f t="shared" si="9"/>
        <v>19104.367775318704</v>
      </c>
      <c r="J103" s="95">
        <f t="shared" si="10"/>
        <v>75143.694978243278</v>
      </c>
      <c r="K103" s="96">
        <f t="shared" si="11"/>
        <v>15009634.627873339</v>
      </c>
    </row>
    <row r="104" spans="6:11" x14ac:dyDescent="0.2">
      <c r="F104" s="94">
        <f t="shared" si="6"/>
        <v>102</v>
      </c>
      <c r="G104" s="95">
        <f t="shared" si="7"/>
        <v>15009634.627873339</v>
      </c>
      <c r="H104" s="95">
        <f t="shared" si="8"/>
        <v>94248.062753561986</v>
      </c>
      <c r="I104" s="95">
        <f t="shared" si="9"/>
        <v>19199.889614195297</v>
      </c>
      <c r="J104" s="95">
        <f t="shared" si="10"/>
        <v>75048.173139366685</v>
      </c>
      <c r="K104" s="96">
        <f t="shared" si="11"/>
        <v>14990434.738259144</v>
      </c>
    </row>
    <row r="105" spans="6:11" x14ac:dyDescent="0.2">
      <c r="F105" s="94">
        <f t="shared" si="6"/>
        <v>103</v>
      </c>
      <c r="G105" s="95">
        <f t="shared" si="7"/>
        <v>14990434.738259144</v>
      </c>
      <c r="H105" s="95">
        <f t="shared" si="8"/>
        <v>94248.062753561986</v>
      </c>
      <c r="I105" s="95">
        <f t="shared" si="9"/>
        <v>19295.889062266277</v>
      </c>
      <c r="J105" s="95">
        <f t="shared" si="10"/>
        <v>74952.173691295713</v>
      </c>
      <c r="K105" s="96">
        <f t="shared" si="11"/>
        <v>14971138.849196877</v>
      </c>
    </row>
    <row r="106" spans="6:11" x14ac:dyDescent="0.2">
      <c r="F106" s="94">
        <f t="shared" si="6"/>
        <v>104</v>
      </c>
      <c r="G106" s="95">
        <f t="shared" si="7"/>
        <v>14971138.849196877</v>
      </c>
      <c r="H106" s="95">
        <f t="shared" si="8"/>
        <v>94248.062753562001</v>
      </c>
      <c r="I106" s="95">
        <f t="shared" si="9"/>
        <v>19392.368507577608</v>
      </c>
      <c r="J106" s="95">
        <f t="shared" si="10"/>
        <v>74855.694245984385</v>
      </c>
      <c r="K106" s="96">
        <f t="shared" si="11"/>
        <v>14951746.4806893</v>
      </c>
    </row>
    <row r="107" spans="6:11" x14ac:dyDescent="0.2">
      <c r="F107" s="94">
        <f t="shared" si="6"/>
        <v>105</v>
      </c>
      <c r="G107" s="95">
        <f t="shared" si="7"/>
        <v>14951746.4806893</v>
      </c>
      <c r="H107" s="95">
        <f t="shared" si="8"/>
        <v>94248.062753562001</v>
      </c>
      <c r="I107" s="95">
        <f t="shared" si="9"/>
        <v>19489.330350115499</v>
      </c>
      <c r="J107" s="95">
        <f t="shared" si="10"/>
        <v>74758.732403446498</v>
      </c>
      <c r="K107" s="96">
        <f t="shared" si="11"/>
        <v>14932257.150339184</v>
      </c>
    </row>
    <row r="108" spans="6:11" x14ac:dyDescent="0.2">
      <c r="F108" s="94">
        <f t="shared" si="6"/>
        <v>106</v>
      </c>
      <c r="G108" s="95">
        <f t="shared" si="7"/>
        <v>14932257.150339184</v>
      </c>
      <c r="H108" s="95">
        <f t="shared" si="8"/>
        <v>94248.062753562001</v>
      </c>
      <c r="I108" s="95">
        <f t="shared" si="9"/>
        <v>19586.777001866074</v>
      </c>
      <c r="J108" s="95">
        <f t="shared" si="10"/>
        <v>74661.285751695919</v>
      </c>
      <c r="K108" s="96">
        <f t="shared" si="11"/>
        <v>14912670.373337319</v>
      </c>
    </row>
    <row r="109" spans="6:11" x14ac:dyDescent="0.2">
      <c r="F109" s="94">
        <f t="shared" si="6"/>
        <v>107</v>
      </c>
      <c r="G109" s="95">
        <f t="shared" si="7"/>
        <v>14912670.373337319</v>
      </c>
      <c r="H109" s="95">
        <f t="shared" si="8"/>
        <v>94248.062753561986</v>
      </c>
      <c r="I109" s="95">
        <f t="shared" si="9"/>
        <v>19684.7108868754</v>
      </c>
      <c r="J109" s="95">
        <f t="shared" si="10"/>
        <v>74563.351866686586</v>
      </c>
      <c r="K109" s="96">
        <f t="shared" si="11"/>
        <v>14892985.662450444</v>
      </c>
    </row>
    <row r="110" spans="6:11" x14ac:dyDescent="0.2">
      <c r="F110" s="94">
        <f t="shared" si="6"/>
        <v>108</v>
      </c>
      <c r="G110" s="95">
        <f t="shared" si="7"/>
        <v>14892985.662450444</v>
      </c>
      <c r="H110" s="95">
        <f t="shared" si="8"/>
        <v>94248.062753562001</v>
      </c>
      <c r="I110" s="95">
        <f t="shared" si="9"/>
        <v>19783.13444130978</v>
      </c>
      <c r="J110" s="95">
        <f t="shared" si="10"/>
        <v>74464.928312252217</v>
      </c>
      <c r="K110" s="96">
        <f t="shared" si="11"/>
        <v>14873202.528009133</v>
      </c>
    </row>
    <row r="111" spans="6:11" x14ac:dyDescent="0.2">
      <c r="F111" s="94">
        <f t="shared" si="6"/>
        <v>109</v>
      </c>
      <c r="G111" s="95">
        <f t="shared" si="7"/>
        <v>14873202.528009133</v>
      </c>
      <c r="H111" s="95">
        <f t="shared" si="8"/>
        <v>94248.062753562001</v>
      </c>
      <c r="I111" s="95">
        <f t="shared" si="9"/>
        <v>19882.050113516329</v>
      </c>
      <c r="J111" s="95">
        <f t="shared" si="10"/>
        <v>74366.012640045665</v>
      </c>
      <c r="K111" s="96">
        <f t="shared" si="11"/>
        <v>14853320.477895617</v>
      </c>
    </row>
    <row r="112" spans="6:11" x14ac:dyDescent="0.2">
      <c r="F112" s="94">
        <f t="shared" si="6"/>
        <v>110</v>
      </c>
      <c r="G112" s="95">
        <f t="shared" si="7"/>
        <v>14853320.477895617</v>
      </c>
      <c r="H112" s="95">
        <f t="shared" si="8"/>
        <v>94248.062753562001</v>
      </c>
      <c r="I112" s="95">
        <f t="shared" si="9"/>
        <v>19981.460364083912</v>
      </c>
      <c r="J112" s="95">
        <f t="shared" si="10"/>
        <v>74266.602389478081</v>
      </c>
      <c r="K112" s="96">
        <f t="shared" si="11"/>
        <v>14833339.017531533</v>
      </c>
    </row>
    <row r="113" spans="6:11" x14ac:dyDescent="0.2">
      <c r="F113" s="94">
        <f t="shared" si="6"/>
        <v>111</v>
      </c>
      <c r="G113" s="95">
        <f t="shared" si="7"/>
        <v>14833339.017531533</v>
      </c>
      <c r="H113" s="95">
        <f t="shared" si="8"/>
        <v>94248.062753561986</v>
      </c>
      <c r="I113" s="95">
        <f t="shared" si="9"/>
        <v>20081.367665904327</v>
      </c>
      <c r="J113" s="95">
        <f t="shared" si="10"/>
        <v>74166.695087657659</v>
      </c>
      <c r="K113" s="96">
        <f t="shared" si="11"/>
        <v>14813257.649865629</v>
      </c>
    </row>
    <row r="114" spans="6:11" x14ac:dyDescent="0.2">
      <c r="F114" s="94">
        <f t="shared" si="6"/>
        <v>112</v>
      </c>
      <c r="G114" s="95">
        <f t="shared" si="7"/>
        <v>14813257.649865629</v>
      </c>
      <c r="H114" s="95">
        <f t="shared" si="8"/>
        <v>94248.062753561986</v>
      </c>
      <c r="I114" s="95">
        <f t="shared" si="9"/>
        <v>20181.774504233854</v>
      </c>
      <c r="J114" s="95">
        <f t="shared" si="10"/>
        <v>74066.288249328136</v>
      </c>
      <c r="K114" s="96">
        <f t="shared" si="11"/>
        <v>14793075.875361396</v>
      </c>
    </row>
    <row r="115" spans="6:11" x14ac:dyDescent="0.2">
      <c r="F115" s="94">
        <f t="shared" si="6"/>
        <v>113</v>
      </c>
      <c r="G115" s="95">
        <f t="shared" si="7"/>
        <v>14793075.875361396</v>
      </c>
      <c r="H115" s="95">
        <f t="shared" si="8"/>
        <v>94248.062753562001</v>
      </c>
      <c r="I115" s="95">
        <f t="shared" si="9"/>
        <v>20282.68337675502</v>
      </c>
      <c r="J115" s="95">
        <f t="shared" si="10"/>
        <v>73965.379376806974</v>
      </c>
      <c r="K115" s="96">
        <f t="shared" si="11"/>
        <v>14772793.19198464</v>
      </c>
    </row>
    <row r="116" spans="6:11" x14ac:dyDescent="0.2">
      <c r="F116" s="94">
        <f t="shared" si="6"/>
        <v>114</v>
      </c>
      <c r="G116" s="95">
        <f t="shared" si="7"/>
        <v>14772793.19198464</v>
      </c>
      <c r="H116" s="95">
        <f t="shared" si="8"/>
        <v>94248.062753562001</v>
      </c>
      <c r="I116" s="95">
        <f t="shared" si="9"/>
        <v>20384.096793638801</v>
      </c>
      <c r="J116" s="95">
        <f t="shared" si="10"/>
        <v>73863.965959923196</v>
      </c>
      <c r="K116" s="96">
        <f t="shared" si="11"/>
        <v>14752409.095191002</v>
      </c>
    </row>
    <row r="117" spans="6:11" x14ac:dyDescent="0.2">
      <c r="F117" s="94">
        <f t="shared" si="6"/>
        <v>115</v>
      </c>
      <c r="G117" s="95">
        <f t="shared" si="7"/>
        <v>14752409.095191002</v>
      </c>
      <c r="H117" s="95">
        <f t="shared" si="8"/>
        <v>94248.062753562001</v>
      </c>
      <c r="I117" s="95">
        <f t="shared" si="9"/>
        <v>20486.017277606989</v>
      </c>
      <c r="J117" s="95">
        <f t="shared" si="10"/>
        <v>73762.045475955005</v>
      </c>
      <c r="K117" s="96">
        <f t="shared" si="11"/>
        <v>14731923.077913394</v>
      </c>
    </row>
    <row r="118" spans="6:11" x14ac:dyDescent="0.2">
      <c r="F118" s="94">
        <f t="shared" si="6"/>
        <v>116</v>
      </c>
      <c r="G118" s="95">
        <f t="shared" si="7"/>
        <v>14731923.077913394</v>
      </c>
      <c r="H118" s="95">
        <f t="shared" si="8"/>
        <v>94248.062753562001</v>
      </c>
      <c r="I118" s="95">
        <f t="shared" si="9"/>
        <v>20588.447363995027</v>
      </c>
      <c r="J118" s="95">
        <f t="shared" si="10"/>
        <v>73659.61538956697</v>
      </c>
      <c r="K118" s="96">
        <f t="shared" si="11"/>
        <v>14711334.630549399</v>
      </c>
    </row>
    <row r="119" spans="6:11" x14ac:dyDescent="0.2">
      <c r="F119" s="94">
        <f t="shared" si="6"/>
        <v>117</v>
      </c>
      <c r="G119" s="95">
        <f t="shared" si="7"/>
        <v>14711334.630549399</v>
      </c>
      <c r="H119" s="95">
        <f t="shared" si="8"/>
        <v>94248.062753562001</v>
      </c>
      <c r="I119" s="95">
        <f t="shared" si="9"/>
        <v>20691.389600814997</v>
      </c>
      <c r="J119" s="95">
        <f t="shared" si="10"/>
        <v>73556.673152746996</v>
      </c>
      <c r="K119" s="96">
        <f t="shared" si="11"/>
        <v>14690643.240948584</v>
      </c>
    </row>
    <row r="120" spans="6:11" x14ac:dyDescent="0.2">
      <c r="F120" s="94">
        <f t="shared" si="6"/>
        <v>118</v>
      </c>
      <c r="G120" s="95">
        <f t="shared" si="7"/>
        <v>14690643.240948584</v>
      </c>
      <c r="H120" s="95">
        <f t="shared" si="8"/>
        <v>94248.062753562001</v>
      </c>
      <c r="I120" s="95">
        <f t="shared" si="9"/>
        <v>20794.846548819078</v>
      </c>
      <c r="J120" s="95">
        <f t="shared" si="10"/>
        <v>73453.216204742916</v>
      </c>
      <c r="K120" s="96">
        <f t="shared" si="11"/>
        <v>14669848.394399764</v>
      </c>
    </row>
    <row r="121" spans="6:11" x14ac:dyDescent="0.2">
      <c r="F121" s="94">
        <f t="shared" si="6"/>
        <v>119</v>
      </c>
      <c r="G121" s="95">
        <f t="shared" si="7"/>
        <v>14669848.394399764</v>
      </c>
      <c r="H121" s="95">
        <f t="shared" si="8"/>
        <v>94248.062753561971</v>
      </c>
      <c r="I121" s="95">
        <f t="shared" si="9"/>
        <v>20898.820781563169</v>
      </c>
      <c r="J121" s="95">
        <f t="shared" si="10"/>
        <v>73349.24197199881</v>
      </c>
      <c r="K121" s="96">
        <f t="shared" si="11"/>
        <v>14648949.573618202</v>
      </c>
    </row>
    <row r="122" spans="6:11" x14ac:dyDescent="0.2">
      <c r="F122" s="104">
        <f t="shared" si="6"/>
        <v>120</v>
      </c>
      <c r="G122" s="105">
        <f t="shared" si="7"/>
        <v>14648949.573618202</v>
      </c>
      <c r="H122" s="105">
        <f t="shared" si="8"/>
        <v>94248.062753561986</v>
      </c>
      <c r="I122" s="105">
        <f t="shared" si="9"/>
        <v>21003.314885470983</v>
      </c>
      <c r="J122" s="105">
        <f t="shared" si="10"/>
        <v>73244.747868090999</v>
      </c>
      <c r="K122" s="100">
        <f t="shared" si="11"/>
        <v>14627946.258732731</v>
      </c>
    </row>
  </sheetData>
  <mergeCells count="3">
    <mergeCell ref="A1:B1"/>
    <mergeCell ref="F1:K1"/>
    <mergeCell ref="A11: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RentRoll</vt:lpstr>
      <vt:lpstr>Cash_Flow</vt:lpstr>
      <vt:lpstr>Loan Amortization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Kraft</dc:creator>
  <cp:keywords/>
  <dc:description/>
  <cp:lastModifiedBy>Dianovich, Trenton - (trenton)</cp:lastModifiedBy>
  <cp:revision/>
  <dcterms:created xsi:type="dcterms:W3CDTF">2022-02-13T02:52:17Z</dcterms:created>
  <dcterms:modified xsi:type="dcterms:W3CDTF">2024-06-04T13:22:05Z</dcterms:modified>
  <cp:category/>
  <cp:contentStatus/>
</cp:coreProperties>
</file>