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X46" i="1"/>
  <c r="X47"/>
  <c r="X48"/>
  <c r="X49"/>
  <c r="X50"/>
  <c r="X51"/>
  <c r="X45"/>
  <c r="Z47"/>
  <c r="Z48"/>
  <c r="Z49"/>
  <c r="Z50"/>
  <c r="Z51"/>
  <c r="Z46"/>
  <c r="U37"/>
  <c r="X38" s="1"/>
  <c r="U38"/>
  <c r="U39"/>
  <c r="V39" s="1"/>
  <c r="U40"/>
  <c r="AF40" s="1"/>
  <c r="U41"/>
  <c r="U42"/>
  <c r="AF42" s="1"/>
  <c r="U43"/>
  <c r="AF43" s="1"/>
  <c r="AF38"/>
  <c r="T31"/>
  <c r="T32"/>
  <c r="AC32" s="1"/>
  <c r="T33"/>
  <c r="AC33" s="1"/>
  <c r="T34"/>
  <c r="T35"/>
  <c r="T36"/>
  <c r="AC36" s="1"/>
  <c r="T37"/>
  <c r="T38"/>
  <c r="AC38" s="1"/>
  <c r="T39"/>
  <c r="T40"/>
  <c r="AC40" s="1"/>
  <c r="T41"/>
  <c r="V41" s="1"/>
  <c r="T42"/>
  <c r="T43"/>
  <c r="T30"/>
  <c r="AC30" s="1"/>
  <c r="Q31"/>
  <c r="Q32"/>
  <c r="Q33"/>
  <c r="Q34"/>
  <c r="Q35"/>
  <c r="Q36"/>
  <c r="Q37"/>
  <c r="Q38"/>
  <c r="Q39"/>
  <c r="Q41"/>
  <c r="Q30"/>
  <c r="F12"/>
  <c r="F13" s="1"/>
  <c r="V31"/>
  <c r="V34"/>
  <c r="V35"/>
  <c r="Y38"/>
  <c r="AF31"/>
  <c r="AF32"/>
  <c r="AF33"/>
  <c r="AF34"/>
  <c r="AF35"/>
  <c r="AF36"/>
  <c r="AF41"/>
  <c r="AF30"/>
  <c r="AC31"/>
  <c r="AC39"/>
  <c r="AC41"/>
  <c r="V40"/>
  <c r="U31"/>
  <c r="U32"/>
  <c r="U33"/>
  <c r="U34"/>
  <c r="U35"/>
  <c r="U36"/>
  <c r="U30"/>
  <c r="Q19"/>
  <c r="Q20"/>
  <c r="B13" i="3"/>
  <c r="B11"/>
  <c r="B9"/>
  <c r="B7"/>
  <c r="I24" i="2"/>
  <c r="I18"/>
  <c r="I20"/>
  <c r="I22"/>
  <c r="I16"/>
  <c r="A12"/>
  <c r="G2"/>
  <c r="B2" s="1"/>
  <c r="B2" i="1"/>
  <c r="G4" i="2"/>
  <c r="A22" i="1"/>
  <c r="A23"/>
  <c r="A24" s="1"/>
  <c r="A25" s="1"/>
  <c r="A21"/>
  <c r="A20"/>
  <c r="A14"/>
  <c r="A15" s="1"/>
  <c r="A16" s="1"/>
  <c r="A17" s="1"/>
  <c r="A18" s="1"/>
  <c r="A13"/>
  <c r="B10"/>
  <c r="B8"/>
  <c r="B6"/>
  <c r="B4"/>
  <c r="S4"/>
  <c r="P13"/>
  <c r="P14"/>
  <c r="P15"/>
  <c r="P16"/>
  <c r="P17"/>
  <c r="P18"/>
  <c r="P19"/>
  <c r="P20"/>
  <c r="P21"/>
  <c r="P22"/>
  <c r="P23"/>
  <c r="P24"/>
  <c r="P12"/>
  <c r="G21"/>
  <c r="G22"/>
  <c r="G23"/>
  <c r="G24"/>
  <c r="G25"/>
  <c r="G20"/>
  <c r="F21"/>
  <c r="F22" s="1"/>
  <c r="F23" s="1"/>
  <c r="E21"/>
  <c r="E22"/>
  <c r="E23"/>
  <c r="E24"/>
  <c r="E25"/>
  <c r="P25" s="1"/>
  <c r="E20"/>
  <c r="E19"/>
  <c r="G12"/>
  <c r="G13" s="1"/>
  <c r="G14" s="1"/>
  <c r="G15" s="1"/>
  <c r="G16" s="1"/>
  <c r="G17" s="1"/>
  <c r="G18" s="1"/>
  <c r="M12"/>
  <c r="L12"/>
  <c r="E18"/>
  <c r="E13"/>
  <c r="E14"/>
  <c r="E15"/>
  <c r="E16"/>
  <c r="E17"/>
  <c r="E12"/>
  <c r="G10"/>
  <c r="C8"/>
  <c r="G8"/>
  <c r="G6"/>
  <c r="G4"/>
  <c r="G2"/>
  <c r="X30" l="1"/>
  <c r="AF37"/>
  <c r="AG30" s="1"/>
  <c r="AF39"/>
  <c r="V43"/>
  <c r="V42"/>
  <c r="V32"/>
  <c r="V33"/>
  <c r="V36"/>
  <c r="Q40"/>
  <c r="Q21"/>
  <c r="Q13"/>
  <c r="F14"/>
  <c r="Q14" s="1"/>
  <c r="Q12"/>
  <c r="Z38"/>
  <c r="AA38"/>
  <c r="V37"/>
  <c r="V38"/>
  <c r="AC42"/>
  <c r="AC34"/>
  <c r="AC43"/>
  <c r="AC35"/>
  <c r="AC37"/>
  <c r="Y30"/>
  <c r="V30"/>
  <c r="F24"/>
  <c r="Q42" s="1"/>
  <c r="Q23"/>
  <c r="Q22"/>
  <c r="B4" i="2"/>
  <c r="AB30" i="1" l="1"/>
  <c r="F15"/>
  <c r="Q15" s="1"/>
  <c r="W44"/>
  <c r="AD38" s="1"/>
  <c r="AB38"/>
  <c r="W37"/>
  <c r="AA30"/>
  <c r="Z30"/>
  <c r="F25"/>
  <c r="Q24"/>
  <c r="F16"/>
  <c r="Q25" l="1"/>
  <c r="Q43"/>
  <c r="AD30"/>
  <c r="AE30" s="1"/>
  <c r="F17"/>
  <c r="Q16"/>
  <c r="AH30" l="1"/>
  <c r="Q17"/>
  <c r="F18"/>
  <c r="Q18" s="1"/>
</calcChain>
</file>

<file path=xl/sharedStrings.xml><?xml version="1.0" encoding="utf-8"?>
<sst xmlns="http://schemas.openxmlformats.org/spreadsheetml/2006/main" count="320" uniqueCount="72">
  <si>
    <t>N</t>
  </si>
  <si>
    <t>A0</t>
  </si>
  <si>
    <t>Ak</t>
  </si>
  <si>
    <t>m, г</t>
  </si>
  <si>
    <t>Tср, с</t>
  </si>
  <si>
    <t>T, c</t>
  </si>
  <si>
    <t>dm, г</t>
  </si>
  <si>
    <t>l, см</t>
  </si>
  <si>
    <t>dl, см</t>
  </si>
  <si>
    <t>a, см</t>
  </si>
  <si>
    <t>da, см</t>
  </si>
  <si>
    <t>R, см</t>
  </si>
  <si>
    <t>dR, см</t>
  </si>
  <si>
    <t>D, см</t>
  </si>
  <si>
    <t>dD, см</t>
  </si>
  <si>
    <t>d, см</t>
  </si>
  <si>
    <t>\sigma_d, см</t>
  </si>
  <si>
    <t>2 + 3</t>
  </si>
  <si>
    <t>h, см</t>
  </si>
  <si>
    <t>dh</t>
  </si>
  <si>
    <t>H, см</t>
  </si>
  <si>
    <t>dH, см</t>
  </si>
  <si>
    <t>2h = 4 деления</t>
  </si>
  <si>
    <t>dh, см</t>
  </si>
  <si>
    <t>2h = 8 делений</t>
  </si>
  <si>
    <t>2h = 12 делений</t>
  </si>
  <si>
    <t>2h = 16 делений</t>
  </si>
  <si>
    <t>2h = 20 делений</t>
  </si>
  <si>
    <t>с, см</t>
  </si>
  <si>
    <t>dc, см</t>
  </si>
  <si>
    <t>2h = 24 деления</t>
  </si>
  <si>
    <t>2h = 28 делений</t>
  </si>
  <si>
    <t>||</t>
  </si>
  <si>
    <t>|</t>
  </si>
  <si>
    <t>Z0, см</t>
  </si>
  <si>
    <t>dZ0, см</t>
  </si>
  <si>
    <t>h^2</t>
  </si>
  <si>
    <t>T^2</t>
  </si>
  <si>
    <t xml:space="preserve">dr, мм </t>
  </si>
  <si>
    <t>r, мм</t>
  </si>
  <si>
    <t xml:space="preserve">R, мм </t>
  </si>
  <si>
    <t>dR, мм</t>
  </si>
  <si>
    <t>k</t>
  </si>
  <si>
    <t>I, кг*м^2</t>
  </si>
  <si>
    <t>полуцилиндры</t>
  </si>
  <si>
    <t>подставка</t>
  </si>
  <si>
    <t>полый циллиндр</t>
  </si>
  <si>
    <t>палка</t>
  </si>
  <si>
    <t>трифиллярный подвес</t>
  </si>
  <si>
    <t>2 + 3(сумм)</t>
  </si>
  <si>
    <t>3 + 4(сумм)</t>
  </si>
  <si>
    <t xml:space="preserve">подставка и циллиндр, </t>
  </si>
  <si>
    <t>3 + 4 (Эксперимент)</t>
  </si>
  <si>
    <t>3 + 4 (Сумма)</t>
  </si>
  <si>
    <t>перп</t>
  </si>
  <si>
    <t>парал</t>
  </si>
  <si>
    <t>сдвиг</t>
  </si>
  <si>
    <t>0 делений</t>
  </si>
  <si>
    <t>xy</t>
  </si>
  <si>
    <t>sr(xy)</t>
  </si>
  <si>
    <t>sr(y)</t>
  </si>
  <si>
    <t>sr(x)</t>
  </si>
  <si>
    <t>sr(x)sr(y)</t>
  </si>
  <si>
    <t>sr(x)^2</t>
  </si>
  <si>
    <t>sr(x^2)</t>
  </si>
  <si>
    <t>h^4</t>
  </si>
  <si>
    <t>b</t>
  </si>
  <si>
    <t>i^2</t>
  </si>
  <si>
    <t>sr(y^2)</t>
  </si>
  <si>
    <t>dk</t>
  </si>
  <si>
    <t>db</t>
  </si>
  <si>
    <t>`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</si>
</sst>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0.0000000"/>
    <numFmt numFmtId="167" formatCode="0.00000"/>
    <numFmt numFmtId="168" formatCode="0.000000"/>
  </numFmts>
  <fonts count="2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5" fontId="0" fillId="0" borderId="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2" xfId="0" applyBorder="1"/>
    <xf numFmtId="168" fontId="0" fillId="0" borderId="4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0" xfId="0" applyNumberFormat="1"/>
    <xf numFmtId="165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19" xfId="0" applyNumberForma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ru-RU"/>
              <a:t>(</a:t>
            </a:r>
            <a:r>
              <a:rPr lang="en-US"/>
              <a:t>h^2)</a:t>
            </a:r>
            <a:r>
              <a:rPr lang="ru-RU"/>
              <a:t>,</a:t>
            </a:r>
            <a:r>
              <a:rPr lang="ru-RU" baseline="0"/>
              <a:t> Парал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066318095012383"/>
          <c:y val="0.19456505988213638"/>
          <c:w val="0.81716211564614338"/>
          <c:h val="0.64042464724990755"/>
        </c:manualLayout>
      </c:layout>
      <c:scatterChart>
        <c:scatterStyle val="lineMarker"/>
        <c:ser>
          <c:idx val="0"/>
          <c:order val="0"/>
          <c:tx>
            <c:strRef>
              <c:f>Лист1!$U$29</c:f>
              <c:strCache>
                <c:ptCount val="1"/>
                <c:pt idx="0">
                  <c:v>I, кг*м^2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71318550283171"/>
                  <c:y val="4.322130721971687E-2"/>
                </c:manualLayout>
              </c:layout>
              <c:numFmt formatCode="General" sourceLinked="0"/>
            </c:trendlineLbl>
          </c:trendline>
          <c:xVal>
            <c:numRef>
              <c:f>Лист1!$T$30:$T$37</c:f>
              <c:numCache>
                <c:formatCode>General</c:formatCode>
                <c:ptCount val="8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2.5000000000000001E-3</c:v>
                </c:pt>
                <c:pt idx="5">
                  <c:v>3.5999999999999999E-3</c:v>
                </c:pt>
                <c:pt idx="6">
                  <c:v>4.8999999999999998E-3</c:v>
                </c:pt>
                <c:pt idx="7">
                  <c:v>0</c:v>
                </c:pt>
              </c:numCache>
            </c:numRef>
          </c:xVal>
          <c:yVal>
            <c:numRef>
              <c:f>Лист1!$U$30:$U$37</c:f>
              <c:numCache>
                <c:formatCode>0.00000</c:formatCode>
                <c:ptCount val="8"/>
                <c:pt idx="0">
                  <c:v>1.0375096363165526E-2</c:v>
                </c:pt>
                <c:pt idx="1">
                  <c:v>1.0661775838082045E-2</c:v>
                </c:pt>
                <c:pt idx="2">
                  <c:v>1.1481647093197388E-2</c:v>
                </c:pt>
                <c:pt idx="3">
                  <c:v>1.2825631754154042E-2</c:v>
                </c:pt>
                <c:pt idx="4">
                  <c:v>1.4156703503806548E-2</c:v>
                </c:pt>
                <c:pt idx="5">
                  <c:v>1.565187760137873E-2</c:v>
                </c:pt>
                <c:pt idx="6">
                  <c:v>1.7561198710809162E-2</c:v>
                </c:pt>
                <c:pt idx="7">
                  <c:v>1.002979112017433E-2</c:v>
                </c:pt>
              </c:numCache>
            </c:numRef>
          </c:yVal>
        </c:ser>
        <c:axId val="191038976"/>
        <c:axId val="191040896"/>
      </c:scatterChart>
      <c:valAx>
        <c:axId val="191038976"/>
        <c:scaling>
          <c:orientation val="minMax"/>
          <c:max val="5.0000000000000027E-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h^2, </a:t>
                </a:r>
                <a:r>
                  <a:rPr lang="ru-RU"/>
                  <a:t>м^2</a:t>
                </a:r>
              </a:p>
            </c:rich>
          </c:tx>
          <c:layout>
            <c:manualLayout>
              <c:xMode val="edge"/>
              <c:yMode val="edge"/>
              <c:x val="0.35213654072922335"/>
              <c:y val="0.91119661598755097"/>
            </c:manualLayout>
          </c:layout>
        </c:title>
        <c:numFmt formatCode="General" sourceLinked="1"/>
        <c:tickLblPos val="nextTo"/>
        <c:crossAx val="191040896"/>
        <c:crosses val="autoZero"/>
        <c:crossBetween val="midCat"/>
      </c:valAx>
      <c:valAx>
        <c:axId val="191040896"/>
        <c:scaling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кг*м</a:t>
                </a:r>
                <a:r>
                  <a:rPr lang="en-US" baseline="0"/>
                  <a:t>^2</a:t>
                </a:r>
                <a:endParaRPr lang="en-US"/>
              </a:p>
            </c:rich>
          </c:tx>
          <c:layout/>
        </c:title>
        <c:numFmt formatCode="0.000" sourceLinked="0"/>
        <c:tickLblPos val="nextTo"/>
        <c:crossAx val="19103897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115420</xdr:colOff>
      <xdr:row>3</xdr:row>
      <xdr:rowOff>89646</xdr:rowOff>
    </xdr:from>
    <xdr:to>
      <xdr:col>22</xdr:col>
      <xdr:colOff>679823</xdr:colOff>
      <xdr:row>18</xdr:row>
      <xdr:rowOff>171823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2"/>
  <sheetViews>
    <sheetView tabSelected="1" topLeftCell="M4" zoomScale="85" zoomScaleNormal="85" workbookViewId="0">
      <selection activeCell="Z18" sqref="Z18"/>
    </sheetView>
  </sheetViews>
  <sheetFormatPr defaultRowHeight="14.5"/>
  <cols>
    <col min="1" max="1" width="9.1796875" customWidth="1"/>
    <col min="2" max="2" width="19" customWidth="1"/>
    <col min="5" max="5" width="9.7265625" bestFit="1" customWidth="1"/>
    <col min="13" max="13" width="9.26953125" customWidth="1"/>
    <col min="17" max="17" width="11.7265625" customWidth="1"/>
    <col min="22" max="23" width="12.26953125" bestFit="1" customWidth="1"/>
    <col min="26" max="26" width="12.26953125" bestFit="1" customWidth="1"/>
    <col min="27" max="27" width="9.26953125" bestFit="1" customWidth="1"/>
    <col min="28" max="29" width="11.26953125" bestFit="1" customWidth="1"/>
  </cols>
  <sheetData>
    <row r="1" spans="1:27">
      <c r="A1" s="34">
        <v>1</v>
      </c>
      <c r="B1" s="4" t="s">
        <v>47</v>
      </c>
      <c r="C1" s="9" t="s">
        <v>3</v>
      </c>
      <c r="D1" s="9" t="s">
        <v>6</v>
      </c>
      <c r="E1" s="9" t="s">
        <v>5</v>
      </c>
      <c r="F1" s="9" t="s">
        <v>0</v>
      </c>
      <c r="G1" s="9" t="s">
        <v>4</v>
      </c>
      <c r="H1" s="14" t="s">
        <v>1</v>
      </c>
      <c r="I1" s="8" t="s">
        <v>2</v>
      </c>
      <c r="J1" s="14" t="s">
        <v>7</v>
      </c>
      <c r="K1" s="9" t="s">
        <v>8</v>
      </c>
      <c r="L1" s="9" t="s">
        <v>9</v>
      </c>
      <c r="M1" s="9" t="s">
        <v>10</v>
      </c>
      <c r="N1" s="9"/>
      <c r="O1" s="9"/>
      <c r="P1" s="9"/>
      <c r="Q1" s="8"/>
      <c r="S1" s="31" t="s">
        <v>34</v>
      </c>
      <c r="T1" s="46" t="s">
        <v>35</v>
      </c>
      <c r="U1" s="47" t="s">
        <v>40</v>
      </c>
      <c r="V1" s="46" t="s">
        <v>41</v>
      </c>
      <c r="W1" s="46" t="s">
        <v>39</v>
      </c>
      <c r="X1" s="46" t="s">
        <v>38</v>
      </c>
      <c r="Y1" s="46" t="s">
        <v>3</v>
      </c>
      <c r="Z1" s="48" t="s">
        <v>6</v>
      </c>
      <c r="AA1" t="s">
        <v>42</v>
      </c>
    </row>
    <row r="2" spans="1:27" ht="15" thickBot="1">
      <c r="A2" s="34" t="s">
        <v>43</v>
      </c>
      <c r="B2" s="8">
        <f>((C2 + Y$2)/1000)*S4*G2^2</f>
        <v>1.1148305949415837E-2</v>
      </c>
      <c r="C2" s="5">
        <v>1039.4000000000001</v>
      </c>
      <c r="D2" s="6">
        <v>0.05</v>
      </c>
      <c r="E2" s="7">
        <v>115.03</v>
      </c>
      <c r="F2" s="6">
        <v>32</v>
      </c>
      <c r="G2" s="7">
        <f>E2/F2</f>
        <v>3.5946875</v>
      </c>
      <c r="H2" s="12">
        <v>25</v>
      </c>
      <c r="I2" s="4">
        <v>20</v>
      </c>
      <c r="J2" s="19">
        <v>17</v>
      </c>
      <c r="K2" s="13">
        <v>0.1</v>
      </c>
      <c r="L2" s="20">
        <v>2.71</v>
      </c>
      <c r="M2" s="13">
        <v>5.0000000000000001E-3</v>
      </c>
      <c r="N2" s="13"/>
      <c r="O2" s="13"/>
      <c r="P2" s="13"/>
      <c r="Q2" s="4"/>
      <c r="S2" s="49">
        <v>206</v>
      </c>
      <c r="T2" s="50">
        <v>1</v>
      </c>
      <c r="U2" s="51">
        <v>115.4</v>
      </c>
      <c r="V2" s="50">
        <v>0.5</v>
      </c>
      <c r="W2" s="50">
        <v>30.5</v>
      </c>
      <c r="X2" s="50">
        <v>0.3</v>
      </c>
      <c r="Y2" s="50">
        <v>993.5</v>
      </c>
      <c r="Z2" s="52">
        <v>0.5</v>
      </c>
      <c r="AA2">
        <v>4.2439531403720525E-4</v>
      </c>
    </row>
    <row r="3" spans="1:27">
      <c r="A3" s="34">
        <v>2</v>
      </c>
      <c r="B3" s="4" t="s">
        <v>46</v>
      </c>
      <c r="C3" s="9" t="s">
        <v>3</v>
      </c>
      <c r="D3" s="9" t="s">
        <v>6</v>
      </c>
      <c r="E3" s="9" t="s">
        <v>5</v>
      </c>
      <c r="F3" s="9" t="s">
        <v>0</v>
      </c>
      <c r="G3" s="9" t="s">
        <v>4</v>
      </c>
      <c r="H3" s="14" t="s">
        <v>1</v>
      </c>
      <c r="I3" s="8" t="s">
        <v>2</v>
      </c>
      <c r="J3" s="14" t="s">
        <v>13</v>
      </c>
      <c r="K3" s="9" t="s">
        <v>14</v>
      </c>
      <c r="L3" s="9" t="s">
        <v>9</v>
      </c>
      <c r="M3" s="9" t="s">
        <v>16</v>
      </c>
      <c r="N3" s="9" t="s">
        <v>20</v>
      </c>
      <c r="O3" s="9" t="s">
        <v>21</v>
      </c>
      <c r="P3" s="9"/>
      <c r="Q3" s="8"/>
      <c r="S3" s="6" t="s">
        <v>42</v>
      </c>
    </row>
    <row r="4" spans="1:27">
      <c r="A4" s="34" t="s">
        <v>43</v>
      </c>
      <c r="B4" s="8">
        <f>((C$4 + Y$2)/1000)*S$4*G$4^2</f>
        <v>1.3476420049890666E-2</v>
      </c>
      <c r="C4" s="5">
        <v>777.2</v>
      </c>
      <c r="D4" s="6">
        <v>0.05</v>
      </c>
      <c r="E4" s="7">
        <v>127.04300000000001</v>
      </c>
      <c r="F4" s="6">
        <v>30</v>
      </c>
      <c r="G4" s="7">
        <f>E4/F4</f>
        <v>4.2347666666666672</v>
      </c>
      <c r="H4" s="12">
        <v>30</v>
      </c>
      <c r="I4" s="4">
        <v>25</v>
      </c>
      <c r="J4" s="21">
        <v>15.9</v>
      </c>
      <c r="K4" s="13">
        <v>0.01</v>
      </c>
      <c r="L4" s="20">
        <v>0.435</v>
      </c>
      <c r="M4" s="13">
        <v>5.0000000000000001E-3</v>
      </c>
      <c r="N4" s="17">
        <v>5.65</v>
      </c>
      <c r="O4" s="15">
        <v>5.0000000000000001E-3</v>
      </c>
      <c r="P4" s="13"/>
      <c r="Q4" s="4"/>
      <c r="S4" s="6">
        <f>(9.806*U2*W2)/(10000*4*S2*PI()^2)</f>
        <v>4.2439531403720525E-4</v>
      </c>
    </row>
    <row r="5" spans="1:27">
      <c r="A5" s="34">
        <v>3</v>
      </c>
      <c r="B5" s="4" t="s">
        <v>45</v>
      </c>
      <c r="C5" s="9" t="s">
        <v>3</v>
      </c>
      <c r="D5" s="9" t="s">
        <v>6</v>
      </c>
      <c r="E5" s="9" t="s">
        <v>5</v>
      </c>
      <c r="F5" s="9" t="s">
        <v>0</v>
      </c>
      <c r="G5" s="9" t="s">
        <v>4</v>
      </c>
      <c r="H5" s="14" t="s">
        <v>1</v>
      </c>
      <c r="I5" s="8" t="s">
        <v>2</v>
      </c>
      <c r="J5" s="14" t="s">
        <v>13</v>
      </c>
      <c r="K5" s="9" t="s">
        <v>14</v>
      </c>
      <c r="L5" s="9" t="s">
        <v>9</v>
      </c>
      <c r="M5" s="9" t="s">
        <v>10</v>
      </c>
      <c r="N5" s="16" t="s">
        <v>18</v>
      </c>
      <c r="O5" s="16" t="s">
        <v>19</v>
      </c>
      <c r="P5" s="16" t="s">
        <v>15</v>
      </c>
      <c r="Q5" s="8" t="s">
        <v>16</v>
      </c>
    </row>
    <row r="6" spans="1:27">
      <c r="A6" s="34" t="s">
        <v>43</v>
      </c>
      <c r="B6" s="8">
        <f>((C$6  + Y$2)/1000)*S$4*G$6^2</f>
        <v>1.0678233949367899E-2</v>
      </c>
      <c r="C6" s="5">
        <v>584.4</v>
      </c>
      <c r="D6" s="6">
        <v>0.05</v>
      </c>
      <c r="E6" s="7">
        <v>119.797</v>
      </c>
      <c r="F6" s="6">
        <v>30</v>
      </c>
      <c r="G6" s="7">
        <f>E6/F6</f>
        <v>3.9932333333333334</v>
      </c>
      <c r="H6" s="12">
        <v>35</v>
      </c>
      <c r="I6" s="4">
        <v>30</v>
      </c>
      <c r="J6" s="11">
        <v>17.03</v>
      </c>
      <c r="K6" s="3">
        <v>0.01</v>
      </c>
      <c r="L6" s="3">
        <v>0.35</v>
      </c>
      <c r="M6" s="3">
        <v>5.0000000000000001E-3</v>
      </c>
      <c r="N6" s="24">
        <v>2.6</v>
      </c>
      <c r="O6" s="3">
        <v>5.0000000000000001E-3</v>
      </c>
      <c r="P6" s="24">
        <v>1.03</v>
      </c>
      <c r="Q6" s="2">
        <v>5.0000000000000001E-3</v>
      </c>
    </row>
    <row r="7" spans="1:27">
      <c r="A7" s="34">
        <v>4</v>
      </c>
      <c r="B7" s="8" t="s">
        <v>17</v>
      </c>
      <c r="C7" s="9" t="s">
        <v>3</v>
      </c>
      <c r="D7" s="9" t="s">
        <v>6</v>
      </c>
      <c r="E7" s="9" t="s">
        <v>5</v>
      </c>
      <c r="F7" s="9" t="s">
        <v>0</v>
      </c>
      <c r="G7" s="9" t="s">
        <v>4</v>
      </c>
      <c r="H7" s="14" t="s">
        <v>1</v>
      </c>
      <c r="I7" s="8" t="s">
        <v>2</v>
      </c>
      <c r="J7" s="13"/>
      <c r="K7" s="13"/>
      <c r="L7" s="13"/>
      <c r="M7" s="13"/>
      <c r="N7" s="13"/>
      <c r="O7" s="13"/>
      <c r="P7" s="13"/>
      <c r="Q7" s="13"/>
    </row>
    <row r="8" spans="1:27">
      <c r="A8" s="34" t="s">
        <v>43</v>
      </c>
      <c r="B8" s="8">
        <f>((C$8 + Y$2)/1000)*S$4*G$8^2</f>
        <v>1.5751526827031171E-2</v>
      </c>
      <c r="C8" s="18">
        <f>C4+C6</f>
        <v>1361.6</v>
      </c>
      <c r="D8" s="9">
        <v>0.05</v>
      </c>
      <c r="E8" s="10">
        <v>158.79300000000001</v>
      </c>
      <c r="F8" s="9">
        <v>40</v>
      </c>
      <c r="G8" s="10">
        <f>E8/F8</f>
        <v>3.9698250000000002</v>
      </c>
      <c r="H8" s="14">
        <v>30</v>
      </c>
      <c r="I8" s="8">
        <v>25</v>
      </c>
      <c r="J8" s="20"/>
      <c r="K8" s="13"/>
      <c r="L8" s="20"/>
      <c r="M8" s="13"/>
      <c r="N8" s="13"/>
      <c r="O8" s="13"/>
      <c r="P8" s="13"/>
      <c r="Q8" s="13"/>
    </row>
    <row r="9" spans="1:27">
      <c r="A9" s="34">
        <v>5</v>
      </c>
      <c r="B9" s="8" t="s">
        <v>44</v>
      </c>
      <c r="C9" s="9" t="s">
        <v>3</v>
      </c>
      <c r="D9" s="9" t="s">
        <v>6</v>
      </c>
      <c r="E9" s="9" t="s">
        <v>5</v>
      </c>
      <c r="F9" s="9" t="s">
        <v>0</v>
      </c>
      <c r="G9" s="9" t="s">
        <v>4</v>
      </c>
      <c r="H9" s="14" t="s">
        <v>1</v>
      </c>
      <c r="I9" s="8" t="s">
        <v>2</v>
      </c>
      <c r="J9" s="9" t="s">
        <v>11</v>
      </c>
      <c r="K9" s="9" t="s">
        <v>12</v>
      </c>
      <c r="L9" s="9" t="s">
        <v>9</v>
      </c>
      <c r="M9" s="9" t="s">
        <v>10</v>
      </c>
      <c r="N9" s="9"/>
      <c r="O9" s="9"/>
      <c r="P9" s="9"/>
      <c r="Q9" s="8"/>
    </row>
    <row r="10" spans="1:27" ht="15" thickBot="1">
      <c r="A10" s="34" t="s">
        <v>43</v>
      </c>
      <c r="B10" s="8">
        <f>((C$10 + Y$2)/1000)*S$4*G$10^2</f>
        <v>1.002979112017433E-2</v>
      </c>
      <c r="C10" s="18">
        <v>1442.2</v>
      </c>
      <c r="D10" s="9">
        <v>0.05</v>
      </c>
      <c r="E10" s="10">
        <v>93.447999999999993</v>
      </c>
      <c r="F10" s="9">
        <v>30</v>
      </c>
      <c r="G10" s="26">
        <f>E10/F10</f>
        <v>3.1149333333333331</v>
      </c>
      <c r="H10" s="32">
        <v>25</v>
      </c>
      <c r="I10" s="33">
        <v>20</v>
      </c>
      <c r="J10" s="10">
        <v>4.51</v>
      </c>
      <c r="K10" s="9">
        <v>5.0000000000000001E-3</v>
      </c>
      <c r="L10" s="10">
        <v>2.71</v>
      </c>
      <c r="M10" s="9">
        <v>5.0000000000000001E-3</v>
      </c>
      <c r="N10" s="9"/>
      <c r="O10" s="9"/>
      <c r="P10" s="9"/>
      <c r="Q10" s="8"/>
    </row>
    <row r="11" spans="1:27">
      <c r="A11" s="34"/>
      <c r="B11" s="8" t="s">
        <v>32</v>
      </c>
      <c r="C11" s="9" t="s">
        <v>5</v>
      </c>
      <c r="D11" s="9" t="s">
        <v>0</v>
      </c>
      <c r="E11" s="29" t="s">
        <v>4</v>
      </c>
      <c r="F11" s="27" t="s">
        <v>18</v>
      </c>
      <c r="G11" s="9" t="s">
        <v>23</v>
      </c>
      <c r="H11" s="14" t="s">
        <v>37</v>
      </c>
      <c r="I11" s="8" t="s">
        <v>36</v>
      </c>
      <c r="J11" s="15" t="s">
        <v>20</v>
      </c>
      <c r="K11" s="6" t="s">
        <v>21</v>
      </c>
      <c r="L11" s="6" t="s">
        <v>28</v>
      </c>
      <c r="M11" s="15" t="s">
        <v>29</v>
      </c>
      <c r="N11" s="15"/>
      <c r="O11" s="15"/>
      <c r="P11" s="15" t="s">
        <v>37</v>
      </c>
      <c r="Q11" s="15" t="s">
        <v>36</v>
      </c>
      <c r="R11" s="13"/>
      <c r="S11" s="13"/>
      <c r="T11" s="13"/>
      <c r="U11" s="13"/>
      <c r="V11" s="13"/>
      <c r="W11" s="13"/>
      <c r="X11" s="13"/>
      <c r="Y11" s="13"/>
    </row>
    <row r="12" spans="1:27">
      <c r="A12" s="34">
        <v>1</v>
      </c>
      <c r="B12" s="8" t="s">
        <v>22</v>
      </c>
      <c r="C12" s="25">
        <v>95.043000000000006</v>
      </c>
      <c r="D12" s="26">
        <v>30</v>
      </c>
      <c r="E12" s="64">
        <f>C12/D12</f>
        <v>3.1681000000000004</v>
      </c>
      <c r="F12" s="30">
        <f>2*L12</f>
        <v>1</v>
      </c>
      <c r="G12" s="38">
        <f>4*M12</f>
        <v>8.0000000000000002E-3</v>
      </c>
      <c r="H12" s="71">
        <v>10.036857610000002</v>
      </c>
      <c r="I12" s="33">
        <v>4</v>
      </c>
      <c r="J12" s="40">
        <v>25</v>
      </c>
      <c r="K12" s="6">
        <v>0.1</v>
      </c>
      <c r="L12" s="6">
        <f>J12/50</f>
        <v>0.5</v>
      </c>
      <c r="M12" s="1">
        <f>K12/50</f>
        <v>2E-3</v>
      </c>
      <c r="N12" s="15"/>
      <c r="O12" s="15"/>
      <c r="P12" s="6">
        <f>E12^2</f>
        <v>10.036857610000002</v>
      </c>
      <c r="Q12" s="6">
        <f>(F12^2)/10000</f>
        <v>1E-4</v>
      </c>
      <c r="R12" s="13"/>
      <c r="S12" s="22"/>
      <c r="T12" s="13"/>
      <c r="U12" s="20"/>
      <c r="V12" s="13"/>
      <c r="W12" s="20"/>
      <c r="X12" s="13"/>
      <c r="Y12" s="13"/>
    </row>
    <row r="13" spans="1:27">
      <c r="A13" s="34">
        <f>1+A12</f>
        <v>2</v>
      </c>
      <c r="B13" s="33" t="s">
        <v>24</v>
      </c>
      <c r="C13" s="9">
        <v>112.405</v>
      </c>
      <c r="D13" s="16">
        <v>35</v>
      </c>
      <c r="E13" s="65">
        <f t="shared" ref="E13:E18" si="0">C13/D13</f>
        <v>3.2115714285714287</v>
      </c>
      <c r="F13" s="28">
        <f>(F12 +F$12)</f>
        <v>2</v>
      </c>
      <c r="G13" s="41">
        <f>G12 +G$12</f>
        <v>1.6E-2</v>
      </c>
      <c r="H13" s="72">
        <v>10.314191040816327</v>
      </c>
      <c r="I13" s="8">
        <v>16</v>
      </c>
      <c r="J13" s="13"/>
      <c r="K13" s="6"/>
      <c r="P13" s="6">
        <f t="shared" ref="P13:P25" si="1">E13^2</f>
        <v>10.314191040816327</v>
      </c>
      <c r="Q13" s="6">
        <f t="shared" ref="Q13:Q25" si="2">(F13^2)/10000</f>
        <v>4.0000000000000002E-4</v>
      </c>
      <c r="R13" s="23"/>
      <c r="S13" s="23"/>
      <c r="T13" s="23"/>
      <c r="U13" s="23"/>
      <c r="V13" s="23"/>
      <c r="W13" s="23"/>
      <c r="X13" s="23"/>
      <c r="Y13" s="23"/>
    </row>
    <row r="14" spans="1:27">
      <c r="A14" s="34">
        <f t="shared" ref="A14:A18" si="3">1+A13</f>
        <v>3</v>
      </c>
      <c r="B14" s="8" t="s">
        <v>25</v>
      </c>
      <c r="C14" s="9">
        <v>99.983000000000004</v>
      </c>
      <c r="D14" s="9">
        <v>30</v>
      </c>
      <c r="E14" s="65">
        <f t="shared" si="0"/>
        <v>3.3327666666666667</v>
      </c>
      <c r="F14" s="28">
        <f t="shared" ref="F14:F18" si="4">(F13 +F$12)</f>
        <v>3</v>
      </c>
      <c r="G14" s="41">
        <f t="shared" ref="G14:G18" si="5">G13 +G$12</f>
        <v>2.4E-2</v>
      </c>
      <c r="H14" s="73">
        <v>11.107333654444444</v>
      </c>
      <c r="I14" s="8">
        <v>36</v>
      </c>
      <c r="J14" s="13"/>
      <c r="K14" s="6"/>
      <c r="P14" s="6">
        <f t="shared" si="1"/>
        <v>11.107333654444444</v>
      </c>
      <c r="Q14" s="6">
        <f t="shared" si="2"/>
        <v>8.9999999999999998E-4</v>
      </c>
    </row>
    <row r="15" spans="1:27">
      <c r="A15" s="34">
        <f t="shared" si="3"/>
        <v>4</v>
      </c>
      <c r="B15" s="8" t="s">
        <v>26</v>
      </c>
      <c r="C15" s="9">
        <v>123.285</v>
      </c>
      <c r="D15" s="9">
        <v>35</v>
      </c>
      <c r="E15" s="65">
        <f t="shared" si="0"/>
        <v>3.5224285714285712</v>
      </c>
      <c r="F15" s="28">
        <f t="shared" si="4"/>
        <v>4</v>
      </c>
      <c r="G15" s="41">
        <f t="shared" si="5"/>
        <v>3.2000000000000001E-2</v>
      </c>
      <c r="H15" s="73">
        <v>12.407503040816325</v>
      </c>
      <c r="I15" s="8">
        <v>64</v>
      </c>
      <c r="J15" s="13"/>
      <c r="K15" s="6"/>
      <c r="P15" s="6">
        <f t="shared" si="1"/>
        <v>12.407503040816325</v>
      </c>
      <c r="Q15" s="6">
        <f t="shared" si="2"/>
        <v>1.6000000000000001E-3</v>
      </c>
    </row>
    <row r="16" spans="1:27">
      <c r="A16" s="34">
        <f t="shared" si="3"/>
        <v>5</v>
      </c>
      <c r="B16" s="8" t="s">
        <v>27</v>
      </c>
      <c r="C16" s="9">
        <v>111.021</v>
      </c>
      <c r="D16" s="9">
        <v>30</v>
      </c>
      <c r="E16" s="65">
        <f t="shared" si="0"/>
        <v>3.7006999999999999</v>
      </c>
      <c r="F16" s="28">
        <f t="shared" si="4"/>
        <v>5</v>
      </c>
      <c r="G16" s="41">
        <f t="shared" si="5"/>
        <v>0.04</v>
      </c>
      <c r="H16" s="73">
        <v>13.695180489999998</v>
      </c>
      <c r="I16" s="8">
        <v>100</v>
      </c>
      <c r="J16" s="13"/>
      <c r="K16" s="6"/>
      <c r="P16" s="6">
        <f t="shared" si="1"/>
        <v>13.695180489999998</v>
      </c>
      <c r="Q16" s="6">
        <f t="shared" si="2"/>
        <v>2.5000000000000001E-3</v>
      </c>
    </row>
    <row r="17" spans="1:34">
      <c r="A17" s="34">
        <f t="shared" si="3"/>
        <v>6</v>
      </c>
      <c r="B17" s="8" t="s">
        <v>30</v>
      </c>
      <c r="C17" s="9">
        <v>140.084</v>
      </c>
      <c r="D17" s="9">
        <v>36</v>
      </c>
      <c r="E17" s="65">
        <f t="shared" si="0"/>
        <v>3.8912222222222224</v>
      </c>
      <c r="F17" s="28">
        <f t="shared" si="4"/>
        <v>6</v>
      </c>
      <c r="G17" s="41">
        <f t="shared" si="5"/>
        <v>4.8000000000000001E-2</v>
      </c>
      <c r="H17" s="73">
        <v>15.141610382716051</v>
      </c>
      <c r="I17" s="8">
        <v>144</v>
      </c>
      <c r="J17" s="13"/>
      <c r="K17" s="6"/>
      <c r="P17" s="6">
        <f t="shared" si="1"/>
        <v>15.141610382716051</v>
      </c>
      <c r="Q17" s="6">
        <f t="shared" si="2"/>
        <v>3.5999999999999999E-3</v>
      </c>
    </row>
    <row r="18" spans="1:34" ht="15" thickBot="1">
      <c r="A18" s="34">
        <f t="shared" si="3"/>
        <v>7</v>
      </c>
      <c r="B18" s="8" t="s">
        <v>31</v>
      </c>
      <c r="C18" s="26">
        <v>123.652</v>
      </c>
      <c r="D18" s="26">
        <v>30</v>
      </c>
      <c r="E18" s="66">
        <f t="shared" si="0"/>
        <v>4.1217333333333332</v>
      </c>
      <c r="F18" s="28">
        <f t="shared" si="4"/>
        <v>7</v>
      </c>
      <c r="G18" s="42">
        <f t="shared" si="5"/>
        <v>5.6000000000000001E-2</v>
      </c>
      <c r="H18" s="73">
        <v>16.98868567111111</v>
      </c>
      <c r="I18" s="8">
        <v>196</v>
      </c>
      <c r="J18" s="13"/>
      <c r="K18" s="6"/>
      <c r="P18" s="6">
        <f t="shared" si="1"/>
        <v>16.98868567111111</v>
      </c>
      <c r="Q18" s="6">
        <f t="shared" si="2"/>
        <v>4.8999999999999998E-3</v>
      </c>
    </row>
    <row r="19" spans="1:34" ht="15" thickBot="1">
      <c r="A19" s="34"/>
      <c r="B19" s="53" t="s">
        <v>33</v>
      </c>
      <c r="C19" s="43">
        <v>93.447999999999993</v>
      </c>
      <c r="D19" s="26">
        <v>30</v>
      </c>
      <c r="E19" s="67">
        <f>C19/D19</f>
        <v>3.1149333333333331</v>
      </c>
      <c r="F19" s="29">
        <v>0</v>
      </c>
      <c r="G19" s="8"/>
      <c r="H19" s="73">
        <v>9.70280967111111</v>
      </c>
      <c r="I19" s="8">
        <v>0</v>
      </c>
      <c r="P19" s="6">
        <f t="shared" si="1"/>
        <v>9.70280967111111</v>
      </c>
      <c r="Q19" s="6">
        <f t="shared" si="2"/>
        <v>0</v>
      </c>
    </row>
    <row r="20" spans="1:34">
      <c r="A20" s="34">
        <f>1</f>
        <v>1</v>
      </c>
      <c r="B20" s="8" t="s">
        <v>22</v>
      </c>
      <c r="C20" s="37">
        <v>97.379000000000005</v>
      </c>
      <c r="D20" s="36">
        <v>30</v>
      </c>
      <c r="E20" s="68">
        <f>C20/D20</f>
        <v>3.2459666666666669</v>
      </c>
      <c r="F20" s="29">
        <v>1</v>
      </c>
      <c r="G20" s="4">
        <f>G12</f>
        <v>8.0000000000000002E-3</v>
      </c>
      <c r="H20" s="74">
        <v>10.536299601111113</v>
      </c>
      <c r="I20" s="44">
        <v>4</v>
      </c>
      <c r="P20" s="6">
        <f t="shared" si="1"/>
        <v>10.536299601111113</v>
      </c>
      <c r="Q20" s="6">
        <f t="shared" si="2"/>
        <v>1E-4</v>
      </c>
    </row>
    <row r="21" spans="1:34">
      <c r="A21" s="34">
        <f>1+A20</f>
        <v>2</v>
      </c>
      <c r="B21" s="33" t="s">
        <v>24</v>
      </c>
      <c r="C21" s="35">
        <v>101.884</v>
      </c>
      <c r="D21" s="15">
        <v>30</v>
      </c>
      <c r="E21" s="69">
        <f t="shared" ref="E21:E25" si="6">C21/D21</f>
        <v>3.3961333333333332</v>
      </c>
      <c r="F21" s="30">
        <f>(F20 +F$20)</f>
        <v>2</v>
      </c>
      <c r="G21" s="4">
        <f t="shared" ref="G21:G25" si="7">G13</f>
        <v>1.6E-2</v>
      </c>
      <c r="H21" s="72">
        <v>11.533721617777777</v>
      </c>
      <c r="I21" s="45">
        <v>16</v>
      </c>
      <c r="P21" s="6">
        <f t="shared" si="1"/>
        <v>11.533721617777777</v>
      </c>
      <c r="Q21" s="6">
        <f t="shared" si="2"/>
        <v>4.0000000000000002E-4</v>
      </c>
    </row>
    <row r="22" spans="1:34">
      <c r="A22" s="34">
        <f t="shared" ref="A22:A25" si="8">1+A21</f>
        <v>3</v>
      </c>
      <c r="B22" s="8" t="s">
        <v>25</v>
      </c>
      <c r="C22" s="12">
        <v>107.324</v>
      </c>
      <c r="D22" s="15">
        <v>30</v>
      </c>
      <c r="E22" s="69">
        <f t="shared" si="6"/>
        <v>3.5774666666666666</v>
      </c>
      <c r="F22" s="30">
        <f t="shared" ref="F22:F25" si="9">(F21 +F$20)</f>
        <v>3</v>
      </c>
      <c r="G22" s="4">
        <f t="shared" si="7"/>
        <v>2.4E-2</v>
      </c>
      <c r="H22" s="75">
        <v>12.79826775111111</v>
      </c>
      <c r="I22" s="2">
        <v>36</v>
      </c>
      <c r="P22" s="6">
        <f t="shared" si="1"/>
        <v>12.79826775111111</v>
      </c>
      <c r="Q22" s="6">
        <f t="shared" si="2"/>
        <v>8.9999999999999998E-4</v>
      </c>
    </row>
    <row r="23" spans="1:34">
      <c r="A23" s="34">
        <f t="shared" si="8"/>
        <v>4</v>
      </c>
      <c r="B23" s="8" t="s">
        <v>26</v>
      </c>
      <c r="C23" s="12">
        <v>112.717</v>
      </c>
      <c r="D23" s="13">
        <v>30</v>
      </c>
      <c r="E23" s="69">
        <f t="shared" si="6"/>
        <v>3.7572333333333332</v>
      </c>
      <c r="F23" s="30">
        <f t="shared" si="9"/>
        <v>4</v>
      </c>
      <c r="G23" s="4">
        <f t="shared" si="7"/>
        <v>3.2000000000000001E-2</v>
      </c>
      <c r="H23" s="71">
        <v>14.116802321111111</v>
      </c>
      <c r="I23" s="33">
        <v>64</v>
      </c>
      <c r="P23" s="6">
        <f t="shared" si="1"/>
        <v>14.116802321111111</v>
      </c>
      <c r="Q23" s="6">
        <f t="shared" si="2"/>
        <v>1.6000000000000001E-3</v>
      </c>
    </row>
    <row r="24" spans="1:34">
      <c r="A24" s="34">
        <f t="shared" si="8"/>
        <v>5</v>
      </c>
      <c r="B24" s="8" t="s">
        <v>27</v>
      </c>
      <c r="C24" s="12">
        <v>121.002</v>
      </c>
      <c r="D24" s="13">
        <v>30</v>
      </c>
      <c r="E24" s="69">
        <f t="shared" si="6"/>
        <v>4.0333999999999994</v>
      </c>
      <c r="F24" s="30">
        <f t="shared" si="9"/>
        <v>5</v>
      </c>
      <c r="G24" s="4">
        <f t="shared" si="7"/>
        <v>0.04</v>
      </c>
      <c r="H24" s="73">
        <v>16.268315559999994</v>
      </c>
      <c r="I24" s="8">
        <v>100</v>
      </c>
      <c r="P24" s="6">
        <f t="shared" si="1"/>
        <v>16.268315559999994</v>
      </c>
      <c r="Q24" s="6">
        <f t="shared" si="2"/>
        <v>2.5000000000000001E-3</v>
      </c>
    </row>
    <row r="25" spans="1:34">
      <c r="A25" s="34">
        <f t="shared" si="8"/>
        <v>6</v>
      </c>
      <c r="B25" s="8" t="s">
        <v>30</v>
      </c>
      <c r="C25" s="11">
        <v>112.58</v>
      </c>
      <c r="D25" s="3">
        <v>26</v>
      </c>
      <c r="E25" s="70">
        <f t="shared" si="6"/>
        <v>4.33</v>
      </c>
      <c r="F25" s="39">
        <f t="shared" si="9"/>
        <v>6</v>
      </c>
      <c r="G25" s="2">
        <f t="shared" si="7"/>
        <v>4.8000000000000001E-2</v>
      </c>
      <c r="H25" s="75">
        <v>18.748899999999999</v>
      </c>
      <c r="I25" s="2">
        <v>144</v>
      </c>
      <c r="P25" s="6">
        <f t="shared" si="1"/>
        <v>18.748899999999999</v>
      </c>
      <c r="Q25" s="6">
        <f t="shared" si="2"/>
        <v>3.5999999999999999E-3</v>
      </c>
    </row>
    <row r="26" spans="1:34">
      <c r="B26" s="13"/>
      <c r="C26" s="13"/>
      <c r="D26" s="13"/>
      <c r="E26" s="15"/>
      <c r="F26" s="13"/>
      <c r="G26" s="13"/>
      <c r="H26" s="13"/>
      <c r="I26" s="13"/>
    </row>
    <row r="29" spans="1:34">
      <c r="L29" t="s">
        <v>55</v>
      </c>
      <c r="M29" t="s">
        <v>56</v>
      </c>
      <c r="N29" t="s">
        <v>5</v>
      </c>
      <c r="O29" t="s">
        <v>0</v>
      </c>
      <c r="P29" t="s">
        <v>4</v>
      </c>
      <c r="Q29" t="s">
        <v>18</v>
      </c>
      <c r="R29" t="s">
        <v>23</v>
      </c>
      <c r="S29" t="s">
        <v>37</v>
      </c>
      <c r="T29" t="s">
        <v>36</v>
      </c>
      <c r="U29" t="s">
        <v>43</v>
      </c>
      <c r="V29" t="s">
        <v>58</v>
      </c>
      <c r="W29" t="s">
        <v>59</v>
      </c>
      <c r="X29" t="s">
        <v>60</v>
      </c>
      <c r="Y29" t="s">
        <v>61</v>
      </c>
      <c r="Z29" t="s">
        <v>62</v>
      </c>
      <c r="AA29" t="s">
        <v>63</v>
      </c>
      <c r="AB29" t="s">
        <v>64</v>
      </c>
      <c r="AC29" t="s">
        <v>65</v>
      </c>
      <c r="AD29" t="s">
        <v>42</v>
      </c>
      <c r="AE29" t="s">
        <v>66</v>
      </c>
      <c r="AF29" t="s">
        <v>67</v>
      </c>
      <c r="AG29" t="s">
        <v>68</v>
      </c>
      <c r="AH29" t="s">
        <v>69</v>
      </c>
    </row>
    <row r="30" spans="1:34">
      <c r="L30">
        <v>1</v>
      </c>
      <c r="M30" t="s">
        <v>22</v>
      </c>
      <c r="N30">
        <v>95.043000000000006</v>
      </c>
      <c r="O30">
        <v>30</v>
      </c>
      <c r="P30" s="1">
        <v>3.1681000000000004</v>
      </c>
      <c r="Q30">
        <f>F12</f>
        <v>1</v>
      </c>
      <c r="R30">
        <v>8.0000000000000002E-3</v>
      </c>
      <c r="S30" s="1">
        <v>10.036857610000002</v>
      </c>
      <c r="T30">
        <f>(Q30^2)/10000</f>
        <v>1E-4</v>
      </c>
      <c r="U30" s="76">
        <f>S30*S$4*(C$10 + Y$2)/1000</f>
        <v>1.0375096363165526E-2</v>
      </c>
      <c r="V30">
        <f>U30*T30</f>
        <v>1.0375096363165526E-6</v>
      </c>
      <c r="X30" s="76">
        <f>AVERAGE(U30:U37)</f>
        <v>1.2842965248095972E-2</v>
      </c>
      <c r="Y30">
        <f>AVERAGE(T30:T37)</f>
        <v>1.75E-3</v>
      </c>
      <c r="Z30">
        <f>X30*Y30</f>
        <v>2.2475189184167952E-5</v>
      </c>
      <c r="AA30">
        <f>Y30^2</f>
        <v>3.0625000000000003E-6</v>
      </c>
      <c r="AB30">
        <f>AVERAGE(AC30:AC37)</f>
        <v>5.8449999999999991E-6</v>
      </c>
      <c r="AC30">
        <f>T30^2</f>
        <v>1E-8</v>
      </c>
      <c r="AD30">
        <f>(W37 - Z30)/(AB30-AA30)</f>
        <v>1.5338540654166466</v>
      </c>
      <c r="AE30">
        <f>X30-Y30*AD30</f>
        <v>1.0158720633616841E-2</v>
      </c>
      <c r="AF30" s="76">
        <f>U30^2</f>
        <v>1.0764262454497052E-4</v>
      </c>
      <c r="AG30" s="76">
        <f>AVERAGE(AF30:AF37)</f>
        <v>1.7150338438130699E-4</v>
      </c>
      <c r="AH30">
        <f>SQRT((1/8)*((AG30-X30^2)/(AB30-AA30) - AD30^2))</f>
        <v>2.6145963102335901E-2</v>
      </c>
    </row>
    <row r="31" spans="1:34">
      <c r="L31">
        <v>2</v>
      </c>
      <c r="M31" t="s">
        <v>24</v>
      </c>
      <c r="N31">
        <v>112.405</v>
      </c>
      <c r="O31">
        <v>35</v>
      </c>
      <c r="P31" s="1">
        <v>3.2115714285714287</v>
      </c>
      <c r="Q31">
        <f t="shared" ref="Q31:Q43" si="10">F13</f>
        <v>2</v>
      </c>
      <c r="R31">
        <v>1.6E-2</v>
      </c>
      <c r="S31" s="1">
        <v>10.314191040816327</v>
      </c>
      <c r="T31">
        <f t="shared" ref="T31:T43" si="11">(Q31^2)/10000</f>
        <v>4.0000000000000002E-4</v>
      </c>
      <c r="U31" s="76">
        <f t="shared" ref="U31:U43" si="12">S31*S$4*(C$10 + Y$2)/1000</f>
        <v>1.0661775838082045E-2</v>
      </c>
      <c r="V31">
        <f t="shared" ref="V31:V43" si="13">U31*T31</f>
        <v>4.2647103352328179E-6</v>
      </c>
      <c r="AC31">
        <f t="shared" ref="AC31:AC43" si="14">T31^2</f>
        <v>1.6E-7</v>
      </c>
      <c r="AF31" s="76">
        <f t="shared" ref="AF31:AF43" si="15">U31^2</f>
        <v>1.1367346402151009E-4</v>
      </c>
      <c r="AH31" t="s">
        <v>70</v>
      </c>
    </row>
    <row r="32" spans="1:34">
      <c r="L32">
        <v>3</v>
      </c>
      <c r="M32" t="s">
        <v>25</v>
      </c>
      <c r="N32">
        <v>99.983000000000004</v>
      </c>
      <c r="O32">
        <v>30</v>
      </c>
      <c r="P32" s="1">
        <v>3.3327666666666667</v>
      </c>
      <c r="Q32">
        <f t="shared" si="10"/>
        <v>3</v>
      </c>
      <c r="R32">
        <v>2.4E-2</v>
      </c>
      <c r="S32" s="1">
        <v>11.107333654444444</v>
      </c>
      <c r="T32">
        <f t="shared" si="11"/>
        <v>8.9999999999999998E-4</v>
      </c>
      <c r="U32" s="76">
        <f t="shared" si="12"/>
        <v>1.1481647093197388E-2</v>
      </c>
      <c r="V32">
        <f t="shared" si="13"/>
        <v>1.0333482383877649E-5</v>
      </c>
      <c r="AC32">
        <f t="shared" si="14"/>
        <v>8.0999999999999997E-7</v>
      </c>
      <c r="AF32" s="76">
        <f t="shared" si="15"/>
        <v>1.3182821997272803E-4</v>
      </c>
    </row>
    <row r="33" spans="12:32">
      <c r="L33">
        <v>4</v>
      </c>
      <c r="M33" t="s">
        <v>26</v>
      </c>
      <c r="N33">
        <v>123.285</v>
      </c>
      <c r="O33">
        <v>35</v>
      </c>
      <c r="P33" s="1">
        <v>3.5224285714285712</v>
      </c>
      <c r="Q33">
        <f t="shared" si="10"/>
        <v>4</v>
      </c>
      <c r="R33">
        <v>3.2000000000000001E-2</v>
      </c>
      <c r="S33" s="1">
        <v>12.407503040816325</v>
      </c>
      <c r="T33">
        <f t="shared" si="11"/>
        <v>1.6000000000000001E-3</v>
      </c>
      <c r="U33" s="76">
        <f t="shared" si="12"/>
        <v>1.2825631754154042E-2</v>
      </c>
      <c r="V33">
        <f t="shared" si="13"/>
        <v>2.0521010806646467E-5</v>
      </c>
      <c r="AC33">
        <f t="shared" si="14"/>
        <v>2.5600000000000001E-6</v>
      </c>
      <c r="AF33" s="76">
        <f t="shared" si="15"/>
        <v>1.6449682989316448E-4</v>
      </c>
    </row>
    <row r="34" spans="12:32">
      <c r="L34">
        <v>5</v>
      </c>
      <c r="M34" t="s">
        <v>27</v>
      </c>
      <c r="N34">
        <v>111.021</v>
      </c>
      <c r="O34">
        <v>30</v>
      </c>
      <c r="P34" s="1">
        <v>3.7006999999999999</v>
      </c>
      <c r="Q34">
        <f t="shared" si="10"/>
        <v>5</v>
      </c>
      <c r="R34">
        <v>0.04</v>
      </c>
      <c r="S34" s="1">
        <v>13.695180489999998</v>
      </c>
      <c r="T34">
        <f t="shared" si="11"/>
        <v>2.5000000000000001E-3</v>
      </c>
      <c r="U34" s="76">
        <f t="shared" si="12"/>
        <v>1.4156703503806548E-2</v>
      </c>
      <c r="V34">
        <f t="shared" si="13"/>
        <v>3.5391758759516372E-5</v>
      </c>
      <c r="AC34">
        <f t="shared" si="14"/>
        <v>6.2500000000000003E-6</v>
      </c>
      <c r="AF34" s="76">
        <f t="shared" si="15"/>
        <v>2.0041225409468859E-4</v>
      </c>
    </row>
    <row r="35" spans="12:32">
      <c r="L35">
        <v>6</v>
      </c>
      <c r="M35" t="s">
        <v>30</v>
      </c>
      <c r="N35">
        <v>140.084</v>
      </c>
      <c r="O35">
        <v>36</v>
      </c>
      <c r="P35" s="1">
        <v>3.8912222222222224</v>
      </c>
      <c r="Q35">
        <f t="shared" si="10"/>
        <v>6</v>
      </c>
      <c r="R35">
        <v>4.8000000000000001E-2</v>
      </c>
      <c r="S35" s="1">
        <v>15.141610382716051</v>
      </c>
      <c r="T35">
        <f t="shared" si="11"/>
        <v>3.5999999999999999E-3</v>
      </c>
      <c r="U35" s="76">
        <f t="shared" si="12"/>
        <v>1.565187760137873E-2</v>
      </c>
      <c r="V35">
        <f t="shared" si="13"/>
        <v>5.6346759364963426E-5</v>
      </c>
      <c r="AC35">
        <f t="shared" si="14"/>
        <v>1.296E-5</v>
      </c>
      <c r="AF35" s="76">
        <f t="shared" si="15"/>
        <v>2.4498127244854118E-4</v>
      </c>
    </row>
    <row r="36" spans="12:32">
      <c r="L36">
        <v>7</v>
      </c>
      <c r="M36" t="s">
        <v>31</v>
      </c>
      <c r="N36">
        <v>123.652</v>
      </c>
      <c r="O36">
        <v>30</v>
      </c>
      <c r="P36" s="1">
        <v>4.1217333333333332</v>
      </c>
      <c r="Q36">
        <f t="shared" si="10"/>
        <v>7</v>
      </c>
      <c r="R36">
        <v>5.6000000000000001E-2</v>
      </c>
      <c r="S36" s="1">
        <v>16.98868567111111</v>
      </c>
      <c r="T36">
        <f t="shared" si="11"/>
        <v>4.8999999999999998E-3</v>
      </c>
      <c r="U36" s="76">
        <f t="shared" si="12"/>
        <v>1.7561198710809162E-2</v>
      </c>
      <c r="V36">
        <f t="shared" si="13"/>
        <v>8.6049873682964885E-5</v>
      </c>
      <c r="AC36">
        <f t="shared" si="14"/>
        <v>2.4009999999999999E-5</v>
      </c>
      <c r="AF36" s="76">
        <f t="shared" si="15"/>
        <v>3.0839570016052536E-4</v>
      </c>
    </row>
    <row r="37" spans="12:32">
      <c r="L37" t="s">
        <v>54</v>
      </c>
      <c r="M37" t="s">
        <v>57</v>
      </c>
      <c r="N37">
        <v>93.447999999999993</v>
      </c>
      <c r="O37">
        <v>30</v>
      </c>
      <c r="P37" s="1">
        <v>3.1149333333333331</v>
      </c>
      <c r="Q37">
        <f t="shared" si="10"/>
        <v>0</v>
      </c>
      <c r="R37">
        <v>0</v>
      </c>
      <c r="S37" s="1">
        <v>9.70280967111111</v>
      </c>
      <c r="T37">
        <f t="shared" si="11"/>
        <v>0</v>
      </c>
      <c r="U37" s="76">
        <f t="shared" si="12"/>
        <v>1.002979112017433E-2</v>
      </c>
      <c r="V37">
        <f t="shared" si="13"/>
        <v>0</v>
      </c>
      <c r="W37">
        <f>AVERAGE(V30:V37)</f>
        <v>2.674313812118977E-5</v>
      </c>
      <c r="AC37">
        <f t="shared" si="14"/>
        <v>0</v>
      </c>
      <c r="AF37" s="76">
        <f t="shared" si="15"/>
        <v>1.0059670991432784E-4</v>
      </c>
    </row>
    <row r="38" spans="12:32">
      <c r="L38">
        <v>1</v>
      </c>
      <c r="M38" t="s">
        <v>22</v>
      </c>
      <c r="N38">
        <v>97.379000000000005</v>
      </c>
      <c r="O38">
        <v>30</v>
      </c>
      <c r="P38" s="1">
        <v>3.2459666666666669</v>
      </c>
      <c r="Q38">
        <f t="shared" si="10"/>
        <v>1</v>
      </c>
      <c r="R38">
        <v>8.0000000000000002E-3</v>
      </c>
      <c r="S38" s="1">
        <v>10.536299601111113</v>
      </c>
      <c r="T38">
        <f t="shared" si="11"/>
        <v>1E-4</v>
      </c>
      <c r="U38" s="76">
        <f t="shared" si="12"/>
        <v>1.0891369382763444E-2</v>
      </c>
      <c r="V38">
        <f t="shared" si="13"/>
        <v>1.0891369382763445E-6</v>
      </c>
      <c r="X38" s="76">
        <f>AVERAGE(U37:U43)</f>
        <v>1.3837563955576239E-2</v>
      </c>
      <c r="Y38">
        <f>AVERAGE(T37:T43)</f>
        <v>1.3000000000000002E-3</v>
      </c>
      <c r="Z38">
        <f>X38*Y38</f>
        <v>1.7988833142249114E-5</v>
      </c>
      <c r="AA38">
        <f>Y38^2</f>
        <v>1.6900000000000003E-6</v>
      </c>
      <c r="AB38">
        <f>AVERAGE(AC37:AC43)</f>
        <v>3.2499999999999998E-6</v>
      </c>
      <c r="AC38">
        <f t="shared" si="14"/>
        <v>1E-8</v>
      </c>
      <c r="AD38">
        <f>(W44 - Z38)/(AB38-AA38)</f>
        <v>2.472797099067416</v>
      </c>
      <c r="AF38" s="76">
        <f t="shared" si="15"/>
        <v>1.1862192703179696E-4</v>
      </c>
    </row>
    <row r="39" spans="12:32">
      <c r="L39">
        <v>2</v>
      </c>
      <c r="M39" t="s">
        <v>24</v>
      </c>
      <c r="N39">
        <v>101.884</v>
      </c>
      <c r="O39">
        <v>30</v>
      </c>
      <c r="P39" s="1">
        <v>3.3961333333333332</v>
      </c>
      <c r="Q39">
        <f t="shared" si="10"/>
        <v>2</v>
      </c>
      <c r="R39">
        <v>1.6E-2</v>
      </c>
      <c r="S39" s="1">
        <v>11.533721617777777</v>
      </c>
      <c r="T39">
        <f t="shared" si="11"/>
        <v>4.0000000000000002E-4</v>
      </c>
      <c r="U39" s="76">
        <f t="shared" si="12"/>
        <v>1.1922404188652209E-2</v>
      </c>
      <c r="V39">
        <f t="shared" si="13"/>
        <v>4.7689616754608837E-6</v>
      </c>
      <c r="AC39">
        <f t="shared" si="14"/>
        <v>1.6E-7</v>
      </c>
      <c r="AF39" s="76">
        <f t="shared" si="15"/>
        <v>1.4214372163759176E-4</v>
      </c>
    </row>
    <row r="40" spans="12:32">
      <c r="L40">
        <v>3</v>
      </c>
      <c r="M40" t="s">
        <v>25</v>
      </c>
      <c r="N40">
        <v>107.324</v>
      </c>
      <c r="O40">
        <v>30</v>
      </c>
      <c r="P40" s="1">
        <v>3.5774666666666666</v>
      </c>
      <c r="Q40">
        <f t="shared" si="10"/>
        <v>3</v>
      </c>
      <c r="R40">
        <v>2.4E-2</v>
      </c>
      <c r="S40" s="1">
        <v>12.79826775111111</v>
      </c>
      <c r="T40">
        <f t="shared" si="11"/>
        <v>8.9999999999999998E-4</v>
      </c>
      <c r="U40" s="76">
        <f t="shared" si="12"/>
        <v>1.3229565104826816E-2</v>
      </c>
      <c r="V40">
        <f t="shared" si="13"/>
        <v>1.1906608594344134E-5</v>
      </c>
      <c r="AC40">
        <f t="shared" si="14"/>
        <v>8.0999999999999997E-7</v>
      </c>
      <c r="AF40" s="76">
        <f t="shared" si="15"/>
        <v>1.7502139286285136E-4</v>
      </c>
    </row>
    <row r="41" spans="12:32">
      <c r="L41">
        <v>4</v>
      </c>
      <c r="M41" t="s">
        <v>26</v>
      </c>
      <c r="N41">
        <v>112.717</v>
      </c>
      <c r="O41">
        <v>30</v>
      </c>
      <c r="P41" s="1">
        <v>3.7572333333333332</v>
      </c>
      <c r="Q41">
        <f t="shared" si="10"/>
        <v>4</v>
      </c>
      <c r="R41">
        <v>3.2000000000000001E-2</v>
      </c>
      <c r="S41" s="1">
        <v>14.116802321111111</v>
      </c>
      <c r="T41">
        <f t="shared" si="11"/>
        <v>1.6000000000000001E-3</v>
      </c>
      <c r="U41" s="76">
        <f t="shared" si="12"/>
        <v>1.4592533849973242E-2</v>
      </c>
      <c r="V41">
        <f t="shared" si="13"/>
        <v>2.334805415995719E-5</v>
      </c>
      <c r="AC41">
        <f t="shared" si="14"/>
        <v>2.5600000000000001E-6</v>
      </c>
      <c r="AF41" s="76">
        <f t="shared" si="15"/>
        <v>2.129420441626149E-4</v>
      </c>
    </row>
    <row r="42" spans="12:32">
      <c r="L42">
        <v>5</v>
      </c>
      <c r="M42" t="s">
        <v>27</v>
      </c>
      <c r="N42">
        <v>121.002</v>
      </c>
      <c r="O42">
        <v>30</v>
      </c>
      <c r="P42" s="1">
        <v>4.0333999999999994</v>
      </c>
      <c r="Q42">
        <f t="shared" si="10"/>
        <v>5</v>
      </c>
      <c r="R42">
        <v>0.04</v>
      </c>
      <c r="S42" s="1">
        <v>16.268315559999994</v>
      </c>
      <c r="T42">
        <f t="shared" si="11"/>
        <v>2.5000000000000001E-3</v>
      </c>
      <c r="U42" s="76">
        <f t="shared" si="12"/>
        <v>1.6816552367268769E-2</v>
      </c>
      <c r="V42">
        <f t="shared" si="13"/>
        <v>4.2041380918171923E-5</v>
      </c>
      <c r="AC42">
        <f t="shared" si="14"/>
        <v>6.2500000000000003E-6</v>
      </c>
      <c r="AF42" s="76">
        <f t="shared" si="15"/>
        <v>2.8279643352109287E-4</v>
      </c>
    </row>
    <row r="43" spans="12:32">
      <c r="L43">
        <v>6</v>
      </c>
      <c r="M43" t="s">
        <v>30</v>
      </c>
      <c r="N43">
        <v>112.58</v>
      </c>
      <c r="O43">
        <v>26</v>
      </c>
      <c r="P43" s="1">
        <v>4.33</v>
      </c>
      <c r="Q43">
        <f t="shared" si="10"/>
        <v>6</v>
      </c>
      <c r="R43">
        <v>4.8000000000000001E-2</v>
      </c>
      <c r="S43" s="1">
        <v>18.748899999999999</v>
      </c>
      <c r="T43">
        <f t="shared" si="11"/>
        <v>3.5999999999999999E-3</v>
      </c>
      <c r="U43" s="76">
        <f t="shared" si="12"/>
        <v>1.9380731675374852E-2</v>
      </c>
      <c r="V43">
        <f t="shared" si="13"/>
        <v>6.9770634031349467E-5</v>
      </c>
      <c r="AC43">
        <f t="shared" si="14"/>
        <v>1.296E-5</v>
      </c>
      <c r="AF43" s="76">
        <f t="shared" si="15"/>
        <v>3.7561276027287812E-4</v>
      </c>
    </row>
    <row r="44" spans="12:32">
      <c r="W44">
        <f>AVERAGE(V37:V43)</f>
        <v>2.1846396616794282E-5</v>
      </c>
    </row>
    <row r="45" spans="12:32">
      <c r="X45">
        <f>Q37/100</f>
        <v>0</v>
      </c>
      <c r="Y45">
        <v>0</v>
      </c>
      <c r="Z45" s="76">
        <v>0</v>
      </c>
    </row>
    <row r="46" spans="12:32">
      <c r="X46">
        <f t="shared" ref="X46:X51" si="16">Q38/100</f>
        <v>0.01</v>
      </c>
      <c r="Y46">
        <v>1E-4</v>
      </c>
      <c r="Z46" s="76">
        <f t="shared" ref="Z46:Z51" si="17">U38- U$37</f>
        <v>8.6157826258911364E-4</v>
      </c>
    </row>
    <row r="47" spans="12:32">
      <c r="X47">
        <f t="shared" si="16"/>
        <v>0.02</v>
      </c>
      <c r="Y47">
        <v>4.0000000000000002E-4</v>
      </c>
      <c r="Z47" s="76">
        <f t="shared" si="17"/>
        <v>1.8926130684778792E-3</v>
      </c>
    </row>
    <row r="48" spans="12:32">
      <c r="X48">
        <f t="shared" si="16"/>
        <v>0.03</v>
      </c>
      <c r="Y48">
        <v>8.9999999999999998E-4</v>
      </c>
      <c r="Z48" s="76">
        <f t="shared" si="17"/>
        <v>3.1997739846524858E-3</v>
      </c>
    </row>
    <row r="49" spans="23:26">
      <c r="X49">
        <f t="shared" si="16"/>
        <v>0.04</v>
      </c>
      <c r="Y49">
        <v>1.6000000000000001E-3</v>
      </c>
      <c r="Z49" s="76">
        <f t="shared" si="17"/>
        <v>4.5627427297989121E-3</v>
      </c>
    </row>
    <row r="50" spans="23:26">
      <c r="X50">
        <f t="shared" si="16"/>
        <v>0.05</v>
      </c>
      <c r="Y50">
        <v>2.5000000000000001E-3</v>
      </c>
      <c r="Z50" s="76">
        <f t="shared" si="17"/>
        <v>6.7867612470944392E-3</v>
      </c>
    </row>
    <row r="51" spans="23:26">
      <c r="X51">
        <f t="shared" si="16"/>
        <v>0.06</v>
      </c>
      <c r="Y51">
        <v>3.5999999999999999E-3</v>
      </c>
      <c r="Z51" s="76">
        <f t="shared" si="17"/>
        <v>9.3509405552005213E-3</v>
      </c>
    </row>
    <row r="52" spans="23:26">
      <c r="W52" t="s">
        <v>71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C1" workbookViewId="0">
      <selection activeCell="G24" sqref="G24"/>
    </sheetView>
  </sheetViews>
  <sheetFormatPr defaultRowHeight="14.5"/>
  <cols>
    <col min="1" max="1" width="12" customWidth="1"/>
    <col min="2" max="2" width="22.7265625" customWidth="1"/>
    <col min="9" max="9" width="20.7265625" customWidth="1"/>
    <col min="10" max="10" width="11.54296875" customWidth="1"/>
  </cols>
  <sheetData>
    <row r="1" spans="1:17">
      <c r="A1" s="34">
        <v>0</v>
      </c>
      <c r="B1" s="4" t="s">
        <v>48</v>
      </c>
      <c r="C1" s="9" t="s">
        <v>3</v>
      </c>
      <c r="D1" s="9" t="s">
        <v>6</v>
      </c>
      <c r="E1" s="9" t="s">
        <v>5</v>
      </c>
      <c r="F1" s="9" t="s">
        <v>0</v>
      </c>
      <c r="G1" s="9" t="s">
        <v>4</v>
      </c>
      <c r="H1" s="14" t="s">
        <v>1</v>
      </c>
      <c r="I1" s="8" t="s">
        <v>2</v>
      </c>
      <c r="J1" s="14" t="s">
        <v>34</v>
      </c>
      <c r="K1" s="9" t="s">
        <v>35</v>
      </c>
      <c r="L1" s="9" t="s">
        <v>40</v>
      </c>
      <c r="M1" s="9" t="s">
        <v>41</v>
      </c>
      <c r="N1" s="9" t="s">
        <v>39</v>
      </c>
      <c r="O1" s="9" t="s">
        <v>38</v>
      </c>
      <c r="P1" s="9"/>
      <c r="Q1" s="8"/>
    </row>
    <row r="2" spans="1:17">
      <c r="A2" s="34" t="s">
        <v>43</v>
      </c>
      <c r="B2" s="61">
        <f>((C2)/1000)*L14*G2^2</f>
        <v>8.4689676832491456E-3</v>
      </c>
      <c r="C2" s="55">
        <v>993.5</v>
      </c>
      <c r="D2" s="6">
        <v>0.5</v>
      </c>
      <c r="E2" s="7">
        <v>134.452</v>
      </c>
      <c r="F2" s="6">
        <v>30</v>
      </c>
      <c r="G2" s="7">
        <f>E2/F2</f>
        <v>4.4817333333333336</v>
      </c>
      <c r="H2" s="12">
        <v>35</v>
      </c>
      <c r="I2" s="4">
        <v>25</v>
      </c>
      <c r="J2" s="54">
        <v>206</v>
      </c>
      <c r="K2" s="13">
        <v>1</v>
      </c>
      <c r="L2" s="40">
        <v>115.4</v>
      </c>
      <c r="M2" s="13">
        <v>0.5</v>
      </c>
      <c r="N2" s="13">
        <v>30.5</v>
      </c>
      <c r="O2" s="13">
        <v>0.3</v>
      </c>
      <c r="P2" s="13"/>
      <c r="Q2" s="4"/>
    </row>
    <row r="3" spans="1:17">
      <c r="A3" s="34">
        <v>1</v>
      </c>
      <c r="B3" s="62" t="s">
        <v>47</v>
      </c>
      <c r="C3" s="9" t="s">
        <v>3</v>
      </c>
      <c r="D3" s="9" t="s">
        <v>6</v>
      </c>
      <c r="E3" s="9" t="s">
        <v>5</v>
      </c>
      <c r="F3" s="9" t="s">
        <v>0</v>
      </c>
      <c r="G3" s="9" t="s">
        <v>4</v>
      </c>
      <c r="H3" s="14" t="s">
        <v>1</v>
      </c>
      <c r="I3" s="8" t="s">
        <v>2</v>
      </c>
      <c r="J3" s="14" t="s">
        <v>7</v>
      </c>
      <c r="K3" s="9" t="s">
        <v>8</v>
      </c>
      <c r="L3" s="9" t="s">
        <v>9</v>
      </c>
      <c r="M3" s="9" t="s">
        <v>10</v>
      </c>
      <c r="N3" s="9"/>
      <c r="O3" s="9"/>
      <c r="P3" s="9"/>
      <c r="Q3" s="8"/>
    </row>
    <row r="4" spans="1:17">
      <c r="A4" s="34" t="s">
        <v>43</v>
      </c>
      <c r="B4" s="61">
        <f>0.0111483059494158 - B2</f>
        <v>2.6793382661666545E-3</v>
      </c>
      <c r="C4" s="5">
        <v>1039.4000000000001</v>
      </c>
      <c r="D4" s="6">
        <v>0.05</v>
      </c>
      <c r="E4" s="7">
        <v>115.03</v>
      </c>
      <c r="F4" s="6">
        <v>32</v>
      </c>
      <c r="G4" s="7">
        <f>E4/F4</f>
        <v>3.5946875</v>
      </c>
      <c r="H4" s="12">
        <v>25</v>
      </c>
      <c r="I4" s="4">
        <v>20</v>
      </c>
      <c r="J4" s="19">
        <v>17</v>
      </c>
      <c r="K4" s="13">
        <v>0.1</v>
      </c>
      <c r="L4" s="20">
        <v>2.71</v>
      </c>
      <c r="M4" s="13">
        <v>5.0000000000000001E-3</v>
      </c>
      <c r="N4" s="13"/>
      <c r="O4" s="13"/>
      <c r="P4" s="13"/>
      <c r="Q4" s="4"/>
    </row>
    <row r="5" spans="1:17">
      <c r="A5" s="34">
        <v>2</v>
      </c>
      <c r="B5" s="62" t="s">
        <v>44</v>
      </c>
      <c r="C5" s="9" t="s">
        <v>3</v>
      </c>
      <c r="D5" s="9" t="s">
        <v>6</v>
      </c>
      <c r="E5" s="9" t="s">
        <v>5</v>
      </c>
      <c r="F5" s="9" t="s">
        <v>0</v>
      </c>
      <c r="G5" s="9" t="s">
        <v>4</v>
      </c>
      <c r="H5" s="14" t="s">
        <v>1</v>
      </c>
      <c r="I5" s="8" t="s">
        <v>2</v>
      </c>
      <c r="J5" s="14" t="s">
        <v>11</v>
      </c>
      <c r="K5" s="9" t="s">
        <v>12</v>
      </c>
      <c r="L5" s="9" t="s">
        <v>9</v>
      </c>
      <c r="M5" s="9" t="s">
        <v>10</v>
      </c>
      <c r="N5" s="9"/>
      <c r="O5" s="9"/>
      <c r="P5" s="9"/>
      <c r="Q5" s="8"/>
    </row>
    <row r="6" spans="1:17">
      <c r="A6" s="34" t="s">
        <v>43</v>
      </c>
      <c r="B6" s="61">
        <v>1.5608234369251552E-3</v>
      </c>
      <c r="C6" s="55">
        <v>1442.2</v>
      </c>
      <c r="D6" s="6">
        <v>0.05</v>
      </c>
      <c r="E6" s="7">
        <v>93.447999999999993</v>
      </c>
      <c r="F6" s="6">
        <v>30</v>
      </c>
      <c r="G6" s="7">
        <v>3.1149333333333331</v>
      </c>
      <c r="H6" s="12">
        <v>25</v>
      </c>
      <c r="I6" s="4">
        <v>20</v>
      </c>
      <c r="J6" s="54">
        <v>4.51</v>
      </c>
      <c r="K6" s="13">
        <v>5.0000000000000001E-3</v>
      </c>
      <c r="L6" s="40">
        <v>2.71</v>
      </c>
      <c r="M6" s="13">
        <v>5.0000000000000001E-3</v>
      </c>
      <c r="N6" s="13"/>
      <c r="O6" s="13"/>
      <c r="P6" s="13"/>
      <c r="Q6" s="4"/>
    </row>
    <row r="7" spans="1:17">
      <c r="A7" s="34">
        <v>3</v>
      </c>
      <c r="B7" s="62" t="s">
        <v>46</v>
      </c>
      <c r="C7" s="9" t="s">
        <v>3</v>
      </c>
      <c r="D7" s="9" t="s">
        <v>6</v>
      </c>
      <c r="E7" s="9" t="s">
        <v>5</v>
      </c>
      <c r="F7" s="9" t="s">
        <v>0</v>
      </c>
      <c r="G7" s="9" t="s">
        <v>4</v>
      </c>
      <c r="H7" s="14" t="s">
        <v>1</v>
      </c>
      <c r="I7" s="8" t="s">
        <v>2</v>
      </c>
      <c r="J7" s="14" t="s">
        <v>13</v>
      </c>
      <c r="K7" s="9" t="s">
        <v>14</v>
      </c>
      <c r="L7" s="9" t="s">
        <v>9</v>
      </c>
      <c r="M7" s="9" t="s">
        <v>16</v>
      </c>
      <c r="N7" s="16" t="s">
        <v>20</v>
      </c>
      <c r="O7" s="16" t="s">
        <v>21</v>
      </c>
      <c r="P7" s="16"/>
      <c r="Q7" s="8"/>
    </row>
    <row r="8" spans="1:17">
      <c r="A8" s="34" t="s">
        <v>43</v>
      </c>
      <c r="B8" s="61">
        <v>5.0074523666415547E-3</v>
      </c>
      <c r="C8" s="5">
        <v>777.2</v>
      </c>
      <c r="D8" s="6">
        <v>0.05</v>
      </c>
      <c r="E8" s="7">
        <v>127.04300000000001</v>
      </c>
      <c r="F8" s="6">
        <v>30</v>
      </c>
      <c r="G8" s="7">
        <v>4.2347666666666672</v>
      </c>
      <c r="H8" s="12">
        <v>30</v>
      </c>
      <c r="I8" s="4">
        <v>25</v>
      </c>
      <c r="J8" s="11">
        <v>15.9</v>
      </c>
      <c r="K8" s="3">
        <v>0.01</v>
      </c>
      <c r="L8" s="3">
        <v>0.435</v>
      </c>
      <c r="M8" s="3">
        <v>5.0000000000000001E-3</v>
      </c>
      <c r="N8" s="24">
        <v>5.65</v>
      </c>
      <c r="O8" s="3">
        <v>5.0000000000000001E-3</v>
      </c>
      <c r="P8" s="24"/>
      <c r="Q8" s="2"/>
    </row>
    <row r="9" spans="1:17">
      <c r="A9" s="34">
        <v>4</v>
      </c>
      <c r="B9" s="61" t="s">
        <v>45</v>
      </c>
      <c r="C9" s="9" t="s">
        <v>3</v>
      </c>
      <c r="D9" s="9" t="s">
        <v>6</v>
      </c>
      <c r="E9" s="9" t="s">
        <v>5</v>
      </c>
      <c r="F9" s="9" t="s">
        <v>0</v>
      </c>
      <c r="G9" s="9" t="s">
        <v>4</v>
      </c>
      <c r="H9" s="14" t="s">
        <v>1</v>
      </c>
      <c r="I9" s="8" t="s">
        <v>2</v>
      </c>
      <c r="J9" s="13" t="s">
        <v>13</v>
      </c>
      <c r="K9" s="13" t="s">
        <v>14</v>
      </c>
      <c r="L9" s="13" t="s">
        <v>9</v>
      </c>
      <c r="M9" s="13" t="s">
        <v>10</v>
      </c>
      <c r="N9" s="13" t="s">
        <v>18</v>
      </c>
      <c r="O9" s="13" t="s">
        <v>19</v>
      </c>
      <c r="P9" s="13" t="s">
        <v>15</v>
      </c>
      <c r="Q9" s="13" t="s">
        <v>16</v>
      </c>
    </row>
    <row r="10" spans="1:17">
      <c r="A10" s="34" t="s">
        <v>43</v>
      </c>
      <c r="B10" s="61">
        <v>2.2092662661187552E-3</v>
      </c>
      <c r="C10" s="18">
        <v>584.4</v>
      </c>
      <c r="D10" s="9">
        <v>0.05</v>
      </c>
      <c r="E10" s="10">
        <v>119.797</v>
      </c>
      <c r="F10" s="9">
        <v>30</v>
      </c>
      <c r="G10" s="10">
        <v>3.9932333333333334</v>
      </c>
      <c r="H10" s="14">
        <v>35</v>
      </c>
      <c r="I10" s="8">
        <v>30</v>
      </c>
      <c r="J10" s="56">
        <v>17.03</v>
      </c>
      <c r="K10" s="13">
        <v>0.01</v>
      </c>
      <c r="L10" s="20">
        <v>0.35</v>
      </c>
      <c r="M10" s="13">
        <v>5.0000000000000001E-3</v>
      </c>
      <c r="N10" s="13">
        <v>2.6</v>
      </c>
      <c r="O10" s="13">
        <v>5.0000000000000001E-3</v>
      </c>
      <c r="P10" s="13">
        <v>1.03</v>
      </c>
      <c r="Q10" s="13">
        <v>5.0000000000000001E-3</v>
      </c>
    </row>
    <row r="11" spans="1:17">
      <c r="A11" s="58" t="s">
        <v>50</v>
      </c>
      <c r="B11" s="61" t="s">
        <v>51</v>
      </c>
      <c r="C11" s="9" t="s">
        <v>3</v>
      </c>
      <c r="D11" s="9" t="s">
        <v>6</v>
      </c>
      <c r="E11" s="9" t="s">
        <v>5</v>
      </c>
      <c r="F11" s="9" t="s">
        <v>0</v>
      </c>
      <c r="G11" s="9" t="s">
        <v>4</v>
      </c>
      <c r="H11" s="14" t="s">
        <v>1</v>
      </c>
      <c r="I11" s="8" t="s">
        <v>2</v>
      </c>
      <c r="J11" s="9" t="s">
        <v>49</v>
      </c>
      <c r="K11" s="9"/>
      <c r="L11" s="9"/>
      <c r="M11" s="9"/>
      <c r="N11" s="9"/>
      <c r="O11" s="9"/>
      <c r="P11" s="9"/>
      <c r="Q11" s="8"/>
    </row>
    <row r="12" spans="1:17">
      <c r="A12" s="58">
        <f>$B$10+$B$8</f>
        <v>7.2167186327603099E-3</v>
      </c>
      <c r="B12" s="61">
        <v>7.2825591437820532E-3</v>
      </c>
      <c r="C12" s="18">
        <v>1361.6</v>
      </c>
      <c r="D12" s="9">
        <v>0.05</v>
      </c>
      <c r="E12" s="10">
        <v>158.79300000000001</v>
      </c>
      <c r="F12" s="9">
        <v>40</v>
      </c>
      <c r="G12" s="9">
        <v>3.9698250000000002</v>
      </c>
      <c r="H12" s="14">
        <v>30</v>
      </c>
      <c r="I12" s="8">
        <v>25</v>
      </c>
      <c r="J12" s="57">
        <v>7.2167186327603099E-3</v>
      </c>
      <c r="K12" s="9"/>
      <c r="L12" s="10"/>
      <c r="M12" s="9"/>
      <c r="N12" s="9"/>
      <c r="O12" s="9"/>
      <c r="P12" s="9"/>
      <c r="Q12" s="8"/>
    </row>
    <row r="13" spans="1:17">
      <c r="B13" s="63"/>
    </row>
    <row r="14" spans="1:17">
      <c r="B14" s="63"/>
      <c r="E14" s="9"/>
      <c r="F14" s="9"/>
      <c r="L14">
        <v>4.2439531403720525E-4</v>
      </c>
    </row>
    <row r="15" spans="1:17">
      <c r="E15" s="55"/>
      <c r="F15" s="6"/>
      <c r="H15" s="34">
        <v>0</v>
      </c>
      <c r="I15" s="4" t="s">
        <v>48</v>
      </c>
      <c r="J15" s="14" t="s">
        <v>34</v>
      </c>
      <c r="K15" s="9" t="s">
        <v>35</v>
      </c>
      <c r="L15" s="9" t="s">
        <v>40</v>
      </c>
      <c r="M15" s="9" t="s">
        <v>41</v>
      </c>
      <c r="N15" s="9" t="s">
        <v>39</v>
      </c>
      <c r="O15" s="9" t="s">
        <v>38</v>
      </c>
      <c r="P15" s="9" t="s">
        <v>3</v>
      </c>
      <c r="Q15" s="9" t="s">
        <v>6</v>
      </c>
    </row>
    <row r="16" spans="1:17">
      <c r="E16" s="9"/>
      <c r="F16" s="9"/>
      <c r="H16" s="34" t="s">
        <v>43</v>
      </c>
      <c r="I16" s="58">
        <f>((J16)/1000)*S28*N16^2</f>
        <v>0</v>
      </c>
      <c r="J16" s="54">
        <v>206</v>
      </c>
      <c r="K16" s="13">
        <v>1</v>
      </c>
      <c r="L16" s="40">
        <v>115.4</v>
      </c>
      <c r="M16" s="13">
        <v>0.5</v>
      </c>
      <c r="N16" s="13">
        <v>30.5</v>
      </c>
      <c r="O16" s="13">
        <v>0.3</v>
      </c>
      <c r="P16" s="55">
        <v>993.5</v>
      </c>
      <c r="Q16" s="6">
        <v>0.5</v>
      </c>
    </row>
    <row r="17" spans="5:17">
      <c r="E17" s="5"/>
      <c r="F17" s="6"/>
      <c r="H17" s="34">
        <v>1</v>
      </c>
      <c r="I17" s="59" t="s">
        <v>47</v>
      </c>
      <c r="J17" s="14" t="s">
        <v>7</v>
      </c>
      <c r="K17" s="9" t="s">
        <v>8</v>
      </c>
      <c r="L17" s="9" t="s">
        <v>9</v>
      </c>
      <c r="M17" s="9" t="s">
        <v>10</v>
      </c>
      <c r="N17" s="9"/>
      <c r="O17" s="9"/>
      <c r="P17" s="9" t="s">
        <v>3</v>
      </c>
      <c r="Q17" s="9" t="s">
        <v>6</v>
      </c>
    </row>
    <row r="18" spans="5:17">
      <c r="E18" s="9"/>
      <c r="F18" s="9"/>
      <c r="H18" s="34" t="s">
        <v>43</v>
      </c>
      <c r="I18" s="58">
        <f>(P18*J18^2)/120000000</f>
        <v>2.5032216666666671E-3</v>
      </c>
      <c r="J18" s="19">
        <v>17</v>
      </c>
      <c r="K18" s="13">
        <v>0.1</v>
      </c>
      <c r="L18" s="20">
        <v>2.71</v>
      </c>
      <c r="M18" s="13">
        <v>5.0000000000000001E-3</v>
      </c>
      <c r="N18" s="13"/>
      <c r="O18" s="13"/>
      <c r="P18" s="5">
        <v>1039.4000000000001</v>
      </c>
      <c r="Q18" s="6">
        <v>0.05</v>
      </c>
    </row>
    <row r="19" spans="5:17">
      <c r="E19" s="55"/>
      <c r="F19" s="6"/>
      <c r="H19" s="34">
        <v>2</v>
      </c>
      <c r="I19" s="59" t="s">
        <v>44</v>
      </c>
      <c r="J19" s="14" t="s">
        <v>11</v>
      </c>
      <c r="K19" s="9" t="s">
        <v>12</v>
      </c>
      <c r="L19" s="9" t="s">
        <v>9</v>
      </c>
      <c r="M19" s="9" t="s">
        <v>10</v>
      </c>
      <c r="N19" s="9"/>
      <c r="O19" s="9"/>
      <c r="P19" s="9" t="s">
        <v>3</v>
      </c>
      <c r="Q19" s="9" t="s">
        <v>6</v>
      </c>
    </row>
    <row r="20" spans="5:17">
      <c r="E20" s="9"/>
      <c r="F20" s="9"/>
      <c r="H20" s="34" t="s">
        <v>43</v>
      </c>
      <c r="I20" s="58">
        <f>P20*(J20^2)/20000000</f>
        <v>1.4667246109999999E-3</v>
      </c>
      <c r="J20" s="54">
        <v>4.51</v>
      </c>
      <c r="K20" s="13">
        <v>5.0000000000000001E-3</v>
      </c>
      <c r="L20" s="40">
        <v>2.71</v>
      </c>
      <c r="M20" s="13">
        <v>5.0000000000000001E-3</v>
      </c>
      <c r="N20" s="13"/>
      <c r="O20" s="13"/>
      <c r="P20" s="55">
        <v>1442.2</v>
      </c>
      <c r="Q20" s="6">
        <v>0.05</v>
      </c>
    </row>
    <row r="21" spans="5:17">
      <c r="E21" s="5"/>
      <c r="F21" s="6"/>
      <c r="H21" s="34">
        <v>3</v>
      </c>
      <c r="I21" s="59" t="s">
        <v>46</v>
      </c>
      <c r="J21" s="14" t="s">
        <v>13</v>
      </c>
      <c r="K21" s="9" t="s">
        <v>14</v>
      </c>
      <c r="L21" s="9" t="s">
        <v>9</v>
      </c>
      <c r="M21" s="9" t="s">
        <v>16</v>
      </c>
      <c r="N21" s="16" t="s">
        <v>20</v>
      </c>
      <c r="O21" s="16" t="s">
        <v>21</v>
      </c>
      <c r="P21" s="9" t="s">
        <v>3</v>
      </c>
      <c r="Q21" s="9" t="s">
        <v>6</v>
      </c>
    </row>
    <row r="22" spans="5:17">
      <c r="E22" s="9"/>
      <c r="F22" s="9"/>
      <c r="H22" s="34" t="s">
        <v>43</v>
      </c>
      <c r="I22" s="58">
        <f>P22*((J22)^2 + (J22-L22)^2)/80000000</f>
        <v>4.7795490258750002E-3</v>
      </c>
      <c r="J22" s="11">
        <v>15.9</v>
      </c>
      <c r="K22" s="3">
        <v>0.01</v>
      </c>
      <c r="L22" s="3">
        <v>0.435</v>
      </c>
      <c r="M22" s="3">
        <v>5.0000000000000001E-3</v>
      </c>
      <c r="N22" s="24">
        <v>5.65</v>
      </c>
      <c r="O22" s="3">
        <v>5.0000000000000001E-3</v>
      </c>
      <c r="P22" s="5">
        <v>777.2</v>
      </c>
      <c r="Q22" s="6">
        <v>0.05</v>
      </c>
    </row>
    <row r="23" spans="5:17">
      <c r="E23" s="18"/>
      <c r="F23" s="9"/>
      <c r="H23" s="34">
        <v>4</v>
      </c>
      <c r="I23" s="58" t="s">
        <v>45</v>
      </c>
      <c r="J23" s="13" t="s">
        <v>13</v>
      </c>
      <c r="K23" s="13" t="s">
        <v>14</v>
      </c>
      <c r="L23" s="13" t="s">
        <v>9</v>
      </c>
      <c r="M23" s="13" t="s">
        <v>10</v>
      </c>
      <c r="N23" s="13" t="s">
        <v>18</v>
      </c>
      <c r="O23" s="13" t="s">
        <v>19</v>
      </c>
      <c r="P23" s="9" t="s">
        <v>3</v>
      </c>
      <c r="Q23" s="9" t="s">
        <v>6</v>
      </c>
    </row>
    <row r="24" spans="5:17">
      <c r="E24" s="9"/>
      <c r="F24" s="9"/>
      <c r="H24" s="34" t="s">
        <v>43</v>
      </c>
      <c r="I24" s="58">
        <f>P24*(J24^2)/80000000</f>
        <v>2.1186026745000004E-3</v>
      </c>
      <c r="J24" s="56">
        <v>17.03</v>
      </c>
      <c r="K24" s="13">
        <v>0.01</v>
      </c>
      <c r="L24" s="20">
        <v>0.35</v>
      </c>
      <c r="M24" s="13">
        <v>5.0000000000000001E-3</v>
      </c>
      <c r="N24" s="13">
        <v>2.6</v>
      </c>
      <c r="O24" s="13">
        <v>5.0000000000000001E-3</v>
      </c>
      <c r="P24" s="18">
        <v>584.4</v>
      </c>
      <c r="Q24" s="9">
        <v>0.05</v>
      </c>
    </row>
    <row r="25" spans="5:17">
      <c r="E25" s="18"/>
      <c r="F25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9" sqref="E18:E19"/>
    </sheetView>
  </sheetViews>
  <sheetFormatPr defaultRowHeight="14.5"/>
  <cols>
    <col min="2" max="2" width="14" customWidth="1"/>
    <col min="3" max="3" width="24.26953125" customWidth="1"/>
  </cols>
  <sheetData>
    <row r="1" spans="1:10">
      <c r="A1" s="60"/>
      <c r="B1" s="58" t="s">
        <v>53</v>
      </c>
      <c r="C1" s="58" t="s">
        <v>52</v>
      </c>
      <c r="D1" s="9" t="s">
        <v>3</v>
      </c>
      <c r="E1" s="9" t="s">
        <v>6</v>
      </c>
      <c r="F1" s="9" t="s">
        <v>5</v>
      </c>
      <c r="G1" s="9" t="s">
        <v>0</v>
      </c>
      <c r="H1" s="9" t="s">
        <v>4</v>
      </c>
      <c r="I1" s="14" t="s">
        <v>1</v>
      </c>
      <c r="J1" s="8" t="s">
        <v>2</v>
      </c>
    </row>
    <row r="2" spans="1:10">
      <c r="A2" s="34" t="s">
        <v>43</v>
      </c>
      <c r="B2" s="58">
        <v>7.2167186327603099E-3</v>
      </c>
      <c r="C2" s="58">
        <v>7.2825591437820532E-3</v>
      </c>
      <c r="D2" s="18">
        <v>1361.6</v>
      </c>
      <c r="E2" s="9">
        <v>0.05</v>
      </c>
      <c r="F2" s="10">
        <v>158.79300000000001</v>
      </c>
      <c r="G2" s="9">
        <v>40</v>
      </c>
      <c r="H2" s="9">
        <v>3.9698250000000002</v>
      </c>
      <c r="I2" s="14">
        <v>30</v>
      </c>
      <c r="J2" s="8">
        <v>25</v>
      </c>
    </row>
    <row r="4" spans="1:10">
      <c r="A4" s="34"/>
      <c r="B4" s="4"/>
      <c r="C4" s="14"/>
      <c r="D4" s="9"/>
      <c r="E4" s="9"/>
      <c r="F4" s="9"/>
      <c r="G4" s="9"/>
      <c r="H4" s="9"/>
      <c r="I4" s="9"/>
      <c r="J4" s="8"/>
    </row>
    <row r="5" spans="1:10">
      <c r="A5" s="34"/>
      <c r="B5" s="58"/>
      <c r="C5" s="54"/>
      <c r="D5" s="13"/>
      <c r="E5" s="40"/>
      <c r="F5" s="13"/>
      <c r="G5" s="13"/>
      <c r="H5" s="13"/>
      <c r="I5" s="55"/>
      <c r="J5" s="4"/>
    </row>
    <row r="6" spans="1:10">
      <c r="A6" s="34">
        <v>1</v>
      </c>
      <c r="B6" s="59" t="s">
        <v>47</v>
      </c>
      <c r="C6" s="14" t="s">
        <v>7</v>
      </c>
      <c r="D6" s="9" t="s">
        <v>8</v>
      </c>
      <c r="E6" s="9" t="s">
        <v>9</v>
      </c>
      <c r="F6" s="9" t="s">
        <v>10</v>
      </c>
      <c r="G6" s="9"/>
      <c r="H6" s="9"/>
      <c r="I6" s="9" t="s">
        <v>3</v>
      </c>
      <c r="J6" s="8" t="s">
        <v>6</v>
      </c>
    </row>
    <row r="7" spans="1:10">
      <c r="A7" s="34" t="s">
        <v>43</v>
      </c>
      <c r="B7" s="58">
        <f>(I7*C7^2)/120000000</f>
        <v>2.5032216666666671E-3</v>
      </c>
      <c r="C7" s="19">
        <v>17</v>
      </c>
      <c r="D7" s="13">
        <v>0.1</v>
      </c>
      <c r="E7" s="20">
        <v>2.71</v>
      </c>
      <c r="F7" s="13">
        <v>5.0000000000000001E-3</v>
      </c>
      <c r="G7" s="13"/>
      <c r="H7" s="13"/>
      <c r="I7" s="5">
        <v>1039.4000000000001</v>
      </c>
      <c r="J7" s="4">
        <v>0.05</v>
      </c>
    </row>
    <row r="8" spans="1:10">
      <c r="A8" s="34">
        <v>2</v>
      </c>
      <c r="B8" s="59" t="s">
        <v>44</v>
      </c>
      <c r="C8" s="14" t="s">
        <v>11</v>
      </c>
      <c r="D8" s="9" t="s">
        <v>12</v>
      </c>
      <c r="E8" s="9" t="s">
        <v>9</v>
      </c>
      <c r="F8" s="9" t="s">
        <v>10</v>
      </c>
      <c r="G8" s="9"/>
      <c r="H8" s="9"/>
      <c r="I8" s="9" t="s">
        <v>3</v>
      </c>
      <c r="J8" s="8" t="s">
        <v>6</v>
      </c>
    </row>
    <row r="9" spans="1:10">
      <c r="A9" s="34" t="s">
        <v>43</v>
      </c>
      <c r="B9" s="58">
        <f>I9*(C9^2)/20000000</f>
        <v>1.4667246109999999E-3</v>
      </c>
      <c r="C9" s="54">
        <v>4.51</v>
      </c>
      <c r="D9" s="13">
        <v>5.0000000000000001E-3</v>
      </c>
      <c r="E9" s="40">
        <v>2.71</v>
      </c>
      <c r="F9" s="13">
        <v>5.0000000000000001E-3</v>
      </c>
      <c r="G9" s="13"/>
      <c r="H9" s="13"/>
      <c r="I9" s="55">
        <v>1442.2</v>
      </c>
      <c r="J9" s="4">
        <v>0.05</v>
      </c>
    </row>
    <row r="10" spans="1:10">
      <c r="A10" s="34">
        <v>3</v>
      </c>
      <c r="B10" s="59" t="s">
        <v>46</v>
      </c>
      <c r="C10" s="14" t="s">
        <v>13</v>
      </c>
      <c r="D10" s="9" t="s">
        <v>14</v>
      </c>
      <c r="E10" s="9" t="s">
        <v>9</v>
      </c>
      <c r="F10" s="9" t="s">
        <v>16</v>
      </c>
      <c r="G10" s="16" t="s">
        <v>20</v>
      </c>
      <c r="H10" s="16" t="s">
        <v>21</v>
      </c>
      <c r="I10" s="9" t="s">
        <v>3</v>
      </c>
      <c r="J10" s="8" t="s">
        <v>6</v>
      </c>
    </row>
    <row r="11" spans="1:10">
      <c r="A11" s="34" t="s">
        <v>43</v>
      </c>
      <c r="B11" s="58">
        <f>I11*((C11)^2 + (C11-E11)^2)/80000000</f>
        <v>4.7795490258750002E-3</v>
      </c>
      <c r="C11" s="11">
        <v>15.9</v>
      </c>
      <c r="D11" s="3">
        <v>0.01</v>
      </c>
      <c r="E11" s="3">
        <v>0.435</v>
      </c>
      <c r="F11" s="3">
        <v>5.0000000000000001E-3</v>
      </c>
      <c r="G11" s="24">
        <v>5.65</v>
      </c>
      <c r="H11" s="3">
        <v>5.0000000000000001E-3</v>
      </c>
      <c r="I11" s="5">
        <v>777.2</v>
      </c>
      <c r="J11" s="4">
        <v>0.05</v>
      </c>
    </row>
    <row r="12" spans="1:10">
      <c r="A12" s="34">
        <v>4</v>
      </c>
      <c r="B12" s="58" t="s">
        <v>45</v>
      </c>
      <c r="C12" s="13" t="s">
        <v>13</v>
      </c>
      <c r="D12" s="13" t="s">
        <v>14</v>
      </c>
      <c r="E12" s="13" t="s">
        <v>9</v>
      </c>
      <c r="F12" s="13" t="s">
        <v>10</v>
      </c>
      <c r="G12" s="13" t="s">
        <v>18</v>
      </c>
      <c r="H12" s="13" t="s">
        <v>19</v>
      </c>
      <c r="I12" s="9" t="s">
        <v>3</v>
      </c>
      <c r="J12" s="8" t="s">
        <v>6</v>
      </c>
    </row>
    <row r="13" spans="1:10">
      <c r="A13" s="34" t="s">
        <v>43</v>
      </c>
      <c r="B13" s="58">
        <f>I13*(C13^2)/80000000</f>
        <v>2.1186026745000004E-3</v>
      </c>
      <c r="C13" s="56">
        <v>17.03</v>
      </c>
      <c r="D13" s="13">
        <v>0.01</v>
      </c>
      <c r="E13" s="20">
        <v>0.35</v>
      </c>
      <c r="F13" s="13">
        <v>5.0000000000000001E-3</v>
      </c>
      <c r="G13" s="13">
        <v>2.6</v>
      </c>
      <c r="H13" s="13">
        <v>5.0000000000000001E-3</v>
      </c>
      <c r="I13" s="18">
        <v>584.4</v>
      </c>
      <c r="J13" s="8">
        <v>0.05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2022-10-30T17:56:51Z</dcterms:modified>
</cp:coreProperties>
</file>