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gallen/Dropbox/Trevor/New Calibration/New Draft and Materials/Final Edits/"/>
    </mc:Choice>
  </mc:AlternateContent>
  <bookViews>
    <workbookView xWindow="0" yWindow="640" windowWidth="28800" windowHeight="16240" tabRatio="857" activeTab="1"/>
  </bookViews>
  <sheets>
    <sheet name="FixedParams" sheetId="1" r:id="rId1"/>
    <sheet name="Sectors" sheetId="2" r:id="rId2"/>
    <sheet name="Calibrations" sheetId="11" r:id="rId3"/>
    <sheet name="Figure_4_6_7_9" sheetId="30" r:id="rId4"/>
    <sheet name="NGIindiff" sheetId="15" r:id="rId5"/>
    <sheet name="CondCostCurves" sheetId="7" r:id="rId6"/>
    <sheet name="Criticalalpha" sheetId="9" r:id="rId7"/>
    <sheet name="Chartbaseline" sheetId="3" r:id="rId8"/>
    <sheet name="ChartACA" sheetId="4" r:id="rId9"/>
    <sheet name="ChartACAhalf" sheetId="12" r:id="rId10"/>
    <sheet name="ChartSectorImpacts" sheetId="19" r:id="rId11"/>
    <sheet name="ChartKL" sheetId="6" r:id="rId12"/>
    <sheet name="ChartCostEnv" sheetId="8" r:id="rId13"/>
    <sheet name="ChartNGIindiff" sheetId="16" r:id="rId14"/>
    <sheet name="ChartESI" sheetId="13" r:id="rId15"/>
    <sheet name="ChartAlpha" sheetId="10" r:id="rId16"/>
    <sheet name="chartcomponents" sheetId="14" r:id="rId17"/>
    <sheet name="Chartfactoradvantage" sheetId="18" r:id="rId18"/>
    <sheet name="Table_CPR" sheetId="36" r:id="rId19"/>
    <sheet name="Table_Params" sheetId="20" r:id="rId20"/>
    <sheet name="Table_Fits " sheetId="49" r:id="rId21"/>
    <sheet name="ChartCPSsectors" sheetId="23" r:id="rId22"/>
    <sheet name="Chart_ACA_ESI" sheetId="29" r:id="rId23"/>
    <sheet name="Chart_ACA_Private" sheetId="31" r:id="rId24"/>
    <sheet name="Chart_ESI_WindowDressing" sheetId="35" r:id="rId25"/>
    <sheet name="Table_Robustness" sheetId="48" r:id="rId26"/>
    <sheet name="Chart_ACA_Coverage" sheetId="33" r:id="rId27"/>
  </sheets>
  <definedNames>
    <definedName name="_xlnm._FilterDatabase" localSheetId="25" hidden="1">Table_Robustness!$B$1:$E$28</definedName>
    <definedName name="solver_adj" localSheetId="0" hidden="1">FixedParams!$D$7:$D$9</definedName>
    <definedName name="solver_adj" localSheetId="1" hidden="1">Sectors!$DC$4:$DC$11</definedName>
    <definedName name="solver_cvg" localSheetId="2" hidden="1">0.0001</definedName>
    <definedName name="solver_cvg" localSheetId="0" hidden="1">0.0001</definedName>
    <definedName name="solver_cvg" localSheetId="1" hidden="1">0.0000000000000000001</definedName>
    <definedName name="solver_drv" localSheetId="2" hidden="1">1</definedName>
    <definedName name="solver_drv" localSheetId="0" hidden="1">1</definedName>
    <definedName name="solver_drv" localSheetId="1" hidden="1">2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1" hidden="1">Sectors!$D$7</definedName>
    <definedName name="solver_lhs10" localSheetId="1" hidden="1">Sectors!$DC$7</definedName>
    <definedName name="solver_lhs11" localSheetId="1" hidden="1">Sectors!$DC$7</definedName>
    <definedName name="solver_lhs12" localSheetId="1" hidden="1">Sectors!$DC$7</definedName>
    <definedName name="solver_lhs13" localSheetId="1" hidden="1">Sectors!$DC$8</definedName>
    <definedName name="solver_lhs14" localSheetId="1" hidden="1">Sectors!$DC$8</definedName>
    <definedName name="solver_lhs15" localSheetId="1" hidden="1">Sectors!$DC$9</definedName>
    <definedName name="solver_lhs16" localSheetId="1" hidden="1">Sectors!$DC$9</definedName>
    <definedName name="solver_lhs2" localSheetId="1" hidden="1">Sectors!$D$7</definedName>
    <definedName name="solver_lhs3" localSheetId="1" hidden="1">Sectors!$D$8</definedName>
    <definedName name="solver_lhs4" localSheetId="1" hidden="1">Sectors!$D$8</definedName>
    <definedName name="solver_lhs5" localSheetId="1" hidden="1">Sectors!$D$9</definedName>
    <definedName name="solver_lhs6" localSheetId="1" hidden="1">Sectors!$D$9</definedName>
    <definedName name="solver_lhs7" localSheetId="1" hidden="1">Sectors!$DC$6</definedName>
    <definedName name="solver_lhs8" localSheetId="1" hidden="1">Sectors!$DC$6</definedName>
    <definedName name="solver_lhs9" localSheetId="1" hidden="1">Sectors!$DC$7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Calibrations!$DC$3</definedName>
    <definedName name="solver_opt" localSheetId="0" hidden="1">FixedParams!$J$13</definedName>
    <definedName name="solver_opt" localSheetId="1" hidden="1">Sectors!$DC$3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0.97</definedName>
    <definedName name="solver_rhs10" localSheetId="1" hidden="1">65</definedName>
    <definedName name="solver_rhs11" localSheetId="1" hidden="1">60</definedName>
    <definedName name="solver_rhs12" localSheetId="1" hidden="1">70</definedName>
    <definedName name="solver_rhs13" localSheetId="1" hidden="1">240</definedName>
    <definedName name="solver_rhs14" localSheetId="1" hidden="1">280</definedName>
    <definedName name="solver_rhs15" localSheetId="1" hidden="1">60</definedName>
    <definedName name="solver_rhs16" localSheetId="1" hidden="1">70</definedName>
    <definedName name="solver_rhs2" localSheetId="1" hidden="1">0.95</definedName>
    <definedName name="solver_rhs3" localSheetId="1" hidden="1">0.44</definedName>
    <definedName name="solver_rhs4" localSheetId="1" hidden="1">0.42</definedName>
    <definedName name="solver_rhs5" localSheetId="1" hidden="1">-1.8</definedName>
    <definedName name="solver_rhs6" localSheetId="1" hidden="1">-2.2</definedName>
    <definedName name="solver_rhs7" localSheetId="1" hidden="1">261</definedName>
    <definedName name="solver_rhs8" localSheetId="1" hidden="1">255</definedName>
    <definedName name="solver_rhs9" localSheetId="1" hidden="1">69</definedName>
    <definedName name="solver_rlx" localSheetId="2" hidden="1">2</definedName>
    <definedName name="solver_rlx" localSheetId="0" hidden="1">1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2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8" i="1"/>
  <c r="E61" i="11"/>
  <c r="B13" i="1"/>
  <c r="C13" i="1"/>
  <c r="D13" i="1"/>
  <c r="C12" i="1"/>
  <c r="D12" i="1"/>
  <c r="D23" i="1"/>
  <c r="E7" i="11"/>
  <c r="B6" i="2"/>
  <c r="B46" i="1"/>
  <c r="D17" i="2"/>
  <c r="B7" i="2"/>
  <c r="B8" i="2"/>
  <c r="B17" i="2"/>
  <c r="C31" i="1"/>
  <c r="B10" i="2"/>
  <c r="B17" i="1"/>
  <c r="B25" i="1"/>
  <c r="D11" i="1"/>
  <c r="C17" i="1"/>
  <c r="D17" i="1"/>
  <c r="B7" i="1"/>
  <c r="B9" i="1"/>
  <c r="B34" i="1"/>
  <c r="C19" i="1"/>
  <c r="C15" i="1"/>
  <c r="D15" i="1"/>
  <c r="D25" i="1"/>
  <c r="B26" i="1"/>
  <c r="B20" i="1"/>
  <c r="B18" i="1"/>
  <c r="B28" i="1"/>
  <c r="C18" i="1"/>
  <c r="D18" i="1"/>
  <c r="C20" i="1"/>
  <c r="C16" i="1"/>
  <c r="D16" i="1"/>
  <c r="D28" i="1"/>
  <c r="B11" i="2"/>
  <c r="AT7" i="2"/>
  <c r="AT8" i="2"/>
  <c r="C43" i="1"/>
  <c r="D43" i="1"/>
  <c r="AU8" i="2"/>
  <c r="C42" i="1"/>
  <c r="D42" i="1"/>
  <c r="AU7" i="2"/>
  <c r="G17" i="2"/>
  <c r="F17" i="2"/>
  <c r="H17" i="2"/>
  <c r="B9" i="2"/>
  <c r="C17" i="2"/>
  <c r="B65" i="1"/>
  <c r="B12" i="2"/>
  <c r="I17" i="2"/>
  <c r="J17" i="2"/>
  <c r="K17" i="2"/>
  <c r="D18" i="2"/>
  <c r="C18" i="2"/>
  <c r="B18" i="2"/>
  <c r="G18" i="2"/>
  <c r="F18" i="2"/>
  <c r="H18" i="2"/>
  <c r="I18" i="2"/>
  <c r="J18" i="2"/>
  <c r="K18" i="2"/>
  <c r="D19" i="2"/>
  <c r="C19" i="2"/>
  <c r="B19" i="2"/>
  <c r="G19" i="2"/>
  <c r="F19" i="2"/>
  <c r="H19" i="2"/>
  <c r="I19" i="2"/>
  <c r="J19" i="2"/>
  <c r="K19" i="2"/>
  <c r="D20" i="2"/>
  <c r="C20" i="2"/>
  <c r="B20" i="2"/>
  <c r="G20" i="2"/>
  <c r="F20" i="2"/>
  <c r="H20" i="2"/>
  <c r="I20" i="2"/>
  <c r="J20" i="2"/>
  <c r="K20" i="2"/>
  <c r="D21" i="2"/>
  <c r="C21" i="2"/>
  <c r="B21" i="2"/>
  <c r="G21" i="2"/>
  <c r="F21" i="2"/>
  <c r="H21" i="2"/>
  <c r="I21" i="2"/>
  <c r="J21" i="2"/>
  <c r="K21" i="2"/>
  <c r="D22" i="2"/>
  <c r="C22" i="2"/>
  <c r="B22" i="2"/>
  <c r="G22" i="2"/>
  <c r="F22" i="2"/>
  <c r="H22" i="2"/>
  <c r="I22" i="2"/>
  <c r="J22" i="2"/>
  <c r="K22" i="2"/>
  <c r="D23" i="2"/>
  <c r="C23" i="2"/>
  <c r="B23" i="2"/>
  <c r="G23" i="2"/>
  <c r="F23" i="2"/>
  <c r="H23" i="2"/>
  <c r="I23" i="2"/>
  <c r="J23" i="2"/>
  <c r="K23" i="2"/>
  <c r="D24" i="2"/>
  <c r="C24" i="2"/>
  <c r="B24" i="2"/>
  <c r="G24" i="2"/>
  <c r="F24" i="2"/>
  <c r="H24" i="2"/>
  <c r="I24" i="2"/>
  <c r="J24" i="2"/>
  <c r="K24" i="2"/>
  <c r="D25" i="2"/>
  <c r="C25" i="2"/>
  <c r="B25" i="2"/>
  <c r="G25" i="2"/>
  <c r="F25" i="2"/>
  <c r="H25" i="2"/>
  <c r="I25" i="2"/>
  <c r="J25" i="2"/>
  <c r="K25" i="2"/>
  <c r="D26" i="2"/>
  <c r="C26" i="2"/>
  <c r="B26" i="2"/>
  <c r="G26" i="2"/>
  <c r="F26" i="2"/>
  <c r="H26" i="2"/>
  <c r="I26" i="2"/>
  <c r="J26" i="2"/>
  <c r="K26" i="2"/>
  <c r="D27" i="2"/>
  <c r="C27" i="2"/>
  <c r="B27" i="2"/>
  <c r="G27" i="2"/>
  <c r="F27" i="2"/>
  <c r="H27" i="2"/>
  <c r="I27" i="2"/>
  <c r="J27" i="2"/>
  <c r="K27" i="2"/>
  <c r="D28" i="2"/>
  <c r="C28" i="2"/>
  <c r="B28" i="2"/>
  <c r="G28" i="2"/>
  <c r="F28" i="2"/>
  <c r="H28" i="2"/>
  <c r="I28" i="2"/>
  <c r="J28" i="2"/>
  <c r="K28" i="2"/>
  <c r="D29" i="2"/>
  <c r="C29" i="2"/>
  <c r="B29" i="2"/>
  <c r="G29" i="2"/>
  <c r="F29" i="2"/>
  <c r="H29" i="2"/>
  <c r="I29" i="2"/>
  <c r="J29" i="2"/>
  <c r="K29" i="2"/>
  <c r="D30" i="2"/>
  <c r="C30" i="2"/>
  <c r="B30" i="2"/>
  <c r="G30" i="2"/>
  <c r="F30" i="2"/>
  <c r="H30" i="2"/>
  <c r="I30" i="2"/>
  <c r="J30" i="2"/>
  <c r="K30" i="2"/>
  <c r="D31" i="2"/>
  <c r="C31" i="2"/>
  <c r="B31" i="2"/>
  <c r="G31" i="2"/>
  <c r="F31" i="2"/>
  <c r="H31" i="2"/>
  <c r="I31" i="2"/>
  <c r="J31" i="2"/>
  <c r="K31" i="2"/>
  <c r="D32" i="2"/>
  <c r="C32" i="2"/>
  <c r="B32" i="2"/>
  <c r="G32" i="2"/>
  <c r="F32" i="2"/>
  <c r="H32" i="2"/>
  <c r="I32" i="2"/>
  <c r="J32" i="2"/>
  <c r="K32" i="2"/>
  <c r="D33" i="2"/>
  <c r="C33" i="2"/>
  <c r="B33" i="2"/>
  <c r="G33" i="2"/>
  <c r="F33" i="2"/>
  <c r="H33" i="2"/>
  <c r="I33" i="2"/>
  <c r="J33" i="2"/>
  <c r="K33" i="2"/>
  <c r="D34" i="2"/>
  <c r="C34" i="2"/>
  <c r="B34" i="2"/>
  <c r="G34" i="2"/>
  <c r="F34" i="2"/>
  <c r="H34" i="2"/>
  <c r="I34" i="2"/>
  <c r="J34" i="2"/>
  <c r="K34" i="2"/>
  <c r="D35" i="2"/>
  <c r="C35" i="2"/>
  <c r="B35" i="2"/>
  <c r="G35" i="2"/>
  <c r="F35" i="2"/>
  <c r="H35" i="2"/>
  <c r="I35" i="2"/>
  <c r="J35" i="2"/>
  <c r="K35" i="2"/>
  <c r="D36" i="2"/>
  <c r="C36" i="2"/>
  <c r="B36" i="2"/>
  <c r="G36" i="2"/>
  <c r="F36" i="2"/>
  <c r="H36" i="2"/>
  <c r="I36" i="2"/>
  <c r="J36" i="2"/>
  <c r="K36" i="2"/>
  <c r="D37" i="2"/>
  <c r="C37" i="2"/>
  <c r="B37" i="2"/>
  <c r="G37" i="2"/>
  <c r="F37" i="2"/>
  <c r="H37" i="2"/>
  <c r="I37" i="2"/>
  <c r="J37" i="2"/>
  <c r="K37" i="2"/>
  <c r="D38" i="2"/>
  <c r="C38" i="2"/>
  <c r="B38" i="2"/>
  <c r="G38" i="2"/>
  <c r="F38" i="2"/>
  <c r="H38" i="2"/>
  <c r="I38" i="2"/>
  <c r="J38" i="2"/>
  <c r="K38" i="2"/>
  <c r="D39" i="2"/>
  <c r="C39" i="2"/>
  <c r="B39" i="2"/>
  <c r="G39" i="2"/>
  <c r="F39" i="2"/>
  <c r="H39" i="2"/>
  <c r="I39" i="2"/>
  <c r="J39" i="2"/>
  <c r="K39" i="2"/>
  <c r="D40" i="2"/>
  <c r="C40" i="2"/>
  <c r="B40" i="2"/>
  <c r="G40" i="2"/>
  <c r="F40" i="2"/>
  <c r="H40" i="2"/>
  <c r="I40" i="2"/>
  <c r="J40" i="2"/>
  <c r="K40" i="2"/>
  <c r="D41" i="2"/>
  <c r="C41" i="2"/>
  <c r="B41" i="2"/>
  <c r="G41" i="2"/>
  <c r="F41" i="2"/>
  <c r="H41" i="2"/>
  <c r="I41" i="2"/>
  <c r="J41" i="2"/>
  <c r="K41" i="2"/>
  <c r="D42" i="2"/>
  <c r="C42" i="2"/>
  <c r="B42" i="2"/>
  <c r="G42" i="2"/>
  <c r="F42" i="2"/>
  <c r="H42" i="2"/>
  <c r="I42" i="2"/>
  <c r="J42" i="2"/>
  <c r="K42" i="2"/>
  <c r="D43" i="2"/>
  <c r="C43" i="2"/>
  <c r="B43" i="2"/>
  <c r="G43" i="2"/>
  <c r="F43" i="2"/>
  <c r="H43" i="2"/>
  <c r="I43" i="2"/>
  <c r="J43" i="2"/>
  <c r="K43" i="2"/>
  <c r="D44" i="2"/>
  <c r="C44" i="2"/>
  <c r="B44" i="2"/>
  <c r="G44" i="2"/>
  <c r="F44" i="2"/>
  <c r="H44" i="2"/>
  <c r="I44" i="2"/>
  <c r="J44" i="2"/>
  <c r="K44" i="2"/>
  <c r="D45" i="2"/>
  <c r="C45" i="2"/>
  <c r="B45" i="2"/>
  <c r="G45" i="2"/>
  <c r="F45" i="2"/>
  <c r="H45" i="2"/>
  <c r="I45" i="2"/>
  <c r="J45" i="2"/>
  <c r="K45" i="2"/>
  <c r="D46" i="2"/>
  <c r="C46" i="2"/>
  <c r="B46" i="2"/>
  <c r="G46" i="2"/>
  <c r="F46" i="2"/>
  <c r="H46" i="2"/>
  <c r="I46" i="2"/>
  <c r="J46" i="2"/>
  <c r="K46" i="2"/>
  <c r="D47" i="2"/>
  <c r="C47" i="2"/>
  <c r="B47" i="2"/>
  <c r="G47" i="2"/>
  <c r="F47" i="2"/>
  <c r="H47" i="2"/>
  <c r="I47" i="2"/>
  <c r="J47" i="2"/>
  <c r="K47" i="2"/>
  <c r="D48" i="2"/>
  <c r="C48" i="2"/>
  <c r="B48" i="2"/>
  <c r="G48" i="2"/>
  <c r="F48" i="2"/>
  <c r="H48" i="2"/>
  <c r="I48" i="2"/>
  <c r="J48" i="2"/>
  <c r="K48" i="2"/>
  <c r="D49" i="2"/>
  <c r="C49" i="2"/>
  <c r="B49" i="2"/>
  <c r="G49" i="2"/>
  <c r="F49" i="2"/>
  <c r="H49" i="2"/>
  <c r="I49" i="2"/>
  <c r="J49" i="2"/>
  <c r="K49" i="2"/>
  <c r="D50" i="2"/>
  <c r="C50" i="2"/>
  <c r="B50" i="2"/>
  <c r="G50" i="2"/>
  <c r="F50" i="2"/>
  <c r="H50" i="2"/>
  <c r="I50" i="2"/>
  <c r="J50" i="2"/>
  <c r="K50" i="2"/>
  <c r="D51" i="2"/>
  <c r="C51" i="2"/>
  <c r="B51" i="2"/>
  <c r="G51" i="2"/>
  <c r="F51" i="2"/>
  <c r="H51" i="2"/>
  <c r="I51" i="2"/>
  <c r="J51" i="2"/>
  <c r="K51" i="2"/>
  <c r="D52" i="2"/>
  <c r="C52" i="2"/>
  <c r="B52" i="2"/>
  <c r="G52" i="2"/>
  <c r="F52" i="2"/>
  <c r="H52" i="2"/>
  <c r="I52" i="2"/>
  <c r="J52" i="2"/>
  <c r="K52" i="2"/>
  <c r="D53" i="2"/>
  <c r="C53" i="2"/>
  <c r="B53" i="2"/>
  <c r="G53" i="2"/>
  <c r="F53" i="2"/>
  <c r="H53" i="2"/>
  <c r="I53" i="2"/>
  <c r="J53" i="2"/>
  <c r="K53" i="2"/>
  <c r="D54" i="2"/>
  <c r="C54" i="2"/>
  <c r="B54" i="2"/>
  <c r="G54" i="2"/>
  <c r="F54" i="2"/>
  <c r="H54" i="2"/>
  <c r="I54" i="2"/>
  <c r="J54" i="2"/>
  <c r="K54" i="2"/>
  <c r="D55" i="2"/>
  <c r="C55" i="2"/>
  <c r="B55" i="2"/>
  <c r="G55" i="2"/>
  <c r="F55" i="2"/>
  <c r="H55" i="2"/>
  <c r="I55" i="2"/>
  <c r="J55" i="2"/>
  <c r="K55" i="2"/>
  <c r="D56" i="2"/>
  <c r="C56" i="2"/>
  <c r="B56" i="2"/>
  <c r="G56" i="2"/>
  <c r="F56" i="2"/>
  <c r="H56" i="2"/>
  <c r="I56" i="2"/>
  <c r="J56" i="2"/>
  <c r="K56" i="2"/>
  <c r="D57" i="2"/>
  <c r="C57" i="2"/>
  <c r="B57" i="2"/>
  <c r="G57" i="2"/>
  <c r="F57" i="2"/>
  <c r="H57" i="2"/>
  <c r="I57" i="2"/>
  <c r="J57" i="2"/>
  <c r="K57" i="2"/>
  <c r="D58" i="2"/>
  <c r="C58" i="2"/>
  <c r="B58" i="2"/>
  <c r="G58" i="2"/>
  <c r="F58" i="2"/>
  <c r="H58" i="2"/>
  <c r="I58" i="2"/>
  <c r="J58" i="2"/>
  <c r="K58" i="2"/>
  <c r="D59" i="2"/>
  <c r="C59" i="2"/>
  <c r="B59" i="2"/>
  <c r="G59" i="2"/>
  <c r="F59" i="2"/>
  <c r="H59" i="2"/>
  <c r="I59" i="2"/>
  <c r="J59" i="2"/>
  <c r="K59" i="2"/>
  <c r="D60" i="2"/>
  <c r="C60" i="2"/>
  <c r="B60" i="2"/>
  <c r="G60" i="2"/>
  <c r="F60" i="2"/>
  <c r="H60" i="2"/>
  <c r="I60" i="2"/>
  <c r="J60" i="2"/>
  <c r="K60" i="2"/>
  <c r="D61" i="2"/>
  <c r="C61" i="2"/>
  <c r="B61" i="2"/>
  <c r="G61" i="2"/>
  <c r="F61" i="2"/>
  <c r="H61" i="2"/>
  <c r="I61" i="2"/>
  <c r="J61" i="2"/>
  <c r="K61" i="2"/>
  <c r="D62" i="2"/>
  <c r="C62" i="2"/>
  <c r="B62" i="2"/>
  <c r="G62" i="2"/>
  <c r="F62" i="2"/>
  <c r="H62" i="2"/>
  <c r="I62" i="2"/>
  <c r="J62" i="2"/>
  <c r="K62" i="2"/>
  <c r="D63" i="2"/>
  <c r="C63" i="2"/>
  <c r="B63" i="2"/>
  <c r="G63" i="2"/>
  <c r="F63" i="2"/>
  <c r="H63" i="2"/>
  <c r="I63" i="2"/>
  <c r="J63" i="2"/>
  <c r="K63" i="2"/>
  <c r="D64" i="2"/>
  <c r="C64" i="2"/>
  <c r="B64" i="2"/>
  <c r="G64" i="2"/>
  <c r="F64" i="2"/>
  <c r="H64" i="2"/>
  <c r="I64" i="2"/>
  <c r="J64" i="2"/>
  <c r="K64" i="2"/>
  <c r="D65" i="2"/>
  <c r="C65" i="2"/>
  <c r="B65" i="2"/>
  <c r="G65" i="2"/>
  <c r="F65" i="2"/>
  <c r="H65" i="2"/>
  <c r="I65" i="2"/>
  <c r="J65" i="2"/>
  <c r="K65" i="2"/>
  <c r="D66" i="2"/>
  <c r="C66" i="2"/>
  <c r="B66" i="2"/>
  <c r="G66" i="2"/>
  <c r="F66" i="2"/>
  <c r="H66" i="2"/>
  <c r="I66" i="2"/>
  <c r="J66" i="2"/>
  <c r="K66" i="2"/>
  <c r="D67" i="2"/>
  <c r="C67" i="2"/>
  <c r="B67" i="2"/>
  <c r="G67" i="2"/>
  <c r="F67" i="2"/>
  <c r="H67" i="2"/>
  <c r="I67" i="2"/>
  <c r="J67" i="2"/>
  <c r="K67" i="2"/>
  <c r="D68" i="2"/>
  <c r="C68" i="2"/>
  <c r="B68" i="2"/>
  <c r="G68" i="2"/>
  <c r="F68" i="2"/>
  <c r="H68" i="2"/>
  <c r="I68" i="2"/>
  <c r="J68" i="2"/>
  <c r="K68" i="2"/>
  <c r="D69" i="2"/>
  <c r="C69" i="2"/>
  <c r="B69" i="2"/>
  <c r="G69" i="2"/>
  <c r="F69" i="2"/>
  <c r="H69" i="2"/>
  <c r="I69" i="2"/>
  <c r="J69" i="2"/>
  <c r="K69" i="2"/>
  <c r="D70" i="2"/>
  <c r="C70" i="2"/>
  <c r="B70" i="2"/>
  <c r="G70" i="2"/>
  <c r="F70" i="2"/>
  <c r="H70" i="2"/>
  <c r="I70" i="2"/>
  <c r="J70" i="2"/>
  <c r="K70" i="2"/>
  <c r="D71" i="2"/>
  <c r="C71" i="2"/>
  <c r="B71" i="2"/>
  <c r="G71" i="2"/>
  <c r="F71" i="2"/>
  <c r="H71" i="2"/>
  <c r="I71" i="2"/>
  <c r="J71" i="2"/>
  <c r="K71" i="2"/>
  <c r="D72" i="2"/>
  <c r="C72" i="2"/>
  <c r="B72" i="2"/>
  <c r="G72" i="2"/>
  <c r="F72" i="2"/>
  <c r="H72" i="2"/>
  <c r="I72" i="2"/>
  <c r="J72" i="2"/>
  <c r="K72" i="2"/>
  <c r="D73" i="2"/>
  <c r="C73" i="2"/>
  <c r="B73" i="2"/>
  <c r="G73" i="2"/>
  <c r="F73" i="2"/>
  <c r="H73" i="2"/>
  <c r="I73" i="2"/>
  <c r="J73" i="2"/>
  <c r="K73" i="2"/>
  <c r="D74" i="2"/>
  <c r="C74" i="2"/>
  <c r="B74" i="2"/>
  <c r="G74" i="2"/>
  <c r="F74" i="2"/>
  <c r="H74" i="2"/>
  <c r="I74" i="2"/>
  <c r="J74" i="2"/>
  <c r="K74" i="2"/>
  <c r="D75" i="2"/>
  <c r="C75" i="2"/>
  <c r="B75" i="2"/>
  <c r="G75" i="2"/>
  <c r="F75" i="2"/>
  <c r="H75" i="2"/>
  <c r="I75" i="2"/>
  <c r="J75" i="2"/>
  <c r="K75" i="2"/>
  <c r="D76" i="2"/>
  <c r="C76" i="2"/>
  <c r="B76" i="2"/>
  <c r="G76" i="2"/>
  <c r="F76" i="2"/>
  <c r="H76" i="2"/>
  <c r="I76" i="2"/>
  <c r="J76" i="2"/>
  <c r="K76" i="2"/>
  <c r="D77" i="2"/>
  <c r="C77" i="2"/>
  <c r="B77" i="2"/>
  <c r="G77" i="2"/>
  <c r="F77" i="2"/>
  <c r="H77" i="2"/>
  <c r="I77" i="2"/>
  <c r="J77" i="2"/>
  <c r="K77" i="2"/>
  <c r="D78" i="2"/>
  <c r="C78" i="2"/>
  <c r="B78" i="2"/>
  <c r="G78" i="2"/>
  <c r="F78" i="2"/>
  <c r="H78" i="2"/>
  <c r="I78" i="2"/>
  <c r="J78" i="2"/>
  <c r="K78" i="2"/>
  <c r="D79" i="2"/>
  <c r="C79" i="2"/>
  <c r="B79" i="2"/>
  <c r="G79" i="2"/>
  <c r="F79" i="2"/>
  <c r="H79" i="2"/>
  <c r="I79" i="2"/>
  <c r="J79" i="2"/>
  <c r="K79" i="2"/>
  <c r="D80" i="2"/>
  <c r="C80" i="2"/>
  <c r="B80" i="2"/>
  <c r="G80" i="2"/>
  <c r="F80" i="2"/>
  <c r="H80" i="2"/>
  <c r="I80" i="2"/>
  <c r="J80" i="2"/>
  <c r="K80" i="2"/>
  <c r="D81" i="2"/>
  <c r="C81" i="2"/>
  <c r="B81" i="2"/>
  <c r="G81" i="2"/>
  <c r="F81" i="2"/>
  <c r="H81" i="2"/>
  <c r="I81" i="2"/>
  <c r="J81" i="2"/>
  <c r="K81" i="2"/>
  <c r="D82" i="2"/>
  <c r="C82" i="2"/>
  <c r="B82" i="2"/>
  <c r="G82" i="2"/>
  <c r="F82" i="2"/>
  <c r="H82" i="2"/>
  <c r="I82" i="2"/>
  <c r="J82" i="2"/>
  <c r="K82" i="2"/>
  <c r="D83" i="2"/>
  <c r="C83" i="2"/>
  <c r="B83" i="2"/>
  <c r="G83" i="2"/>
  <c r="F83" i="2"/>
  <c r="H83" i="2"/>
  <c r="I83" i="2"/>
  <c r="J83" i="2"/>
  <c r="K83" i="2"/>
  <c r="D84" i="2"/>
  <c r="C84" i="2"/>
  <c r="B84" i="2"/>
  <c r="G84" i="2"/>
  <c r="F84" i="2"/>
  <c r="H84" i="2"/>
  <c r="I84" i="2"/>
  <c r="J84" i="2"/>
  <c r="K84" i="2"/>
  <c r="D85" i="2"/>
  <c r="C85" i="2"/>
  <c r="B85" i="2"/>
  <c r="G85" i="2"/>
  <c r="F85" i="2"/>
  <c r="H85" i="2"/>
  <c r="I85" i="2"/>
  <c r="J85" i="2"/>
  <c r="K85" i="2"/>
  <c r="D86" i="2"/>
  <c r="C86" i="2"/>
  <c r="B86" i="2"/>
  <c r="G86" i="2"/>
  <c r="F86" i="2"/>
  <c r="H86" i="2"/>
  <c r="I86" i="2"/>
  <c r="J86" i="2"/>
  <c r="K86" i="2"/>
  <c r="D87" i="2"/>
  <c r="C87" i="2"/>
  <c r="B87" i="2"/>
  <c r="G87" i="2"/>
  <c r="F87" i="2"/>
  <c r="H87" i="2"/>
  <c r="I87" i="2"/>
  <c r="J87" i="2"/>
  <c r="K87" i="2"/>
  <c r="D88" i="2"/>
  <c r="C88" i="2"/>
  <c r="B88" i="2"/>
  <c r="G88" i="2"/>
  <c r="F88" i="2"/>
  <c r="H88" i="2"/>
  <c r="I88" i="2"/>
  <c r="J88" i="2"/>
  <c r="K88" i="2"/>
  <c r="D89" i="2"/>
  <c r="C89" i="2"/>
  <c r="B89" i="2"/>
  <c r="G89" i="2"/>
  <c r="F89" i="2"/>
  <c r="H89" i="2"/>
  <c r="I89" i="2"/>
  <c r="J89" i="2"/>
  <c r="K89" i="2"/>
  <c r="D90" i="2"/>
  <c r="C90" i="2"/>
  <c r="B90" i="2"/>
  <c r="G90" i="2"/>
  <c r="F90" i="2"/>
  <c r="H90" i="2"/>
  <c r="I90" i="2"/>
  <c r="J90" i="2"/>
  <c r="K90" i="2"/>
  <c r="D91" i="2"/>
  <c r="C91" i="2"/>
  <c r="B91" i="2"/>
  <c r="G91" i="2"/>
  <c r="F91" i="2"/>
  <c r="H91" i="2"/>
  <c r="I91" i="2"/>
  <c r="J91" i="2"/>
  <c r="K91" i="2"/>
  <c r="D92" i="2"/>
  <c r="C92" i="2"/>
  <c r="B92" i="2"/>
  <c r="G92" i="2"/>
  <c r="F92" i="2"/>
  <c r="H92" i="2"/>
  <c r="I92" i="2"/>
  <c r="J92" i="2"/>
  <c r="K92" i="2"/>
  <c r="D93" i="2"/>
  <c r="C93" i="2"/>
  <c r="B93" i="2"/>
  <c r="G93" i="2"/>
  <c r="F93" i="2"/>
  <c r="H93" i="2"/>
  <c r="I93" i="2"/>
  <c r="J93" i="2"/>
  <c r="K93" i="2"/>
  <c r="D94" i="2"/>
  <c r="C94" i="2"/>
  <c r="B94" i="2"/>
  <c r="G94" i="2"/>
  <c r="F94" i="2"/>
  <c r="H94" i="2"/>
  <c r="I94" i="2"/>
  <c r="J94" i="2"/>
  <c r="K94" i="2"/>
  <c r="D95" i="2"/>
  <c r="C95" i="2"/>
  <c r="B95" i="2"/>
  <c r="G95" i="2"/>
  <c r="F95" i="2"/>
  <c r="H95" i="2"/>
  <c r="I95" i="2"/>
  <c r="J95" i="2"/>
  <c r="K95" i="2"/>
  <c r="D96" i="2"/>
  <c r="C96" i="2"/>
  <c r="B96" i="2"/>
  <c r="G96" i="2"/>
  <c r="F96" i="2"/>
  <c r="H96" i="2"/>
  <c r="I96" i="2"/>
  <c r="J96" i="2"/>
  <c r="K96" i="2"/>
  <c r="D97" i="2"/>
  <c r="C97" i="2"/>
  <c r="B97" i="2"/>
  <c r="G97" i="2"/>
  <c r="F97" i="2"/>
  <c r="H97" i="2"/>
  <c r="I97" i="2"/>
  <c r="J97" i="2"/>
  <c r="K97" i="2"/>
  <c r="D98" i="2"/>
  <c r="C98" i="2"/>
  <c r="B98" i="2"/>
  <c r="G98" i="2"/>
  <c r="F98" i="2"/>
  <c r="H98" i="2"/>
  <c r="I98" i="2"/>
  <c r="J98" i="2"/>
  <c r="K98" i="2"/>
  <c r="D99" i="2"/>
  <c r="C99" i="2"/>
  <c r="B99" i="2"/>
  <c r="G99" i="2"/>
  <c r="F99" i="2"/>
  <c r="H99" i="2"/>
  <c r="I99" i="2"/>
  <c r="J99" i="2"/>
  <c r="K99" i="2"/>
  <c r="D100" i="2"/>
  <c r="C100" i="2"/>
  <c r="B100" i="2"/>
  <c r="G100" i="2"/>
  <c r="F100" i="2"/>
  <c r="H100" i="2"/>
  <c r="I100" i="2"/>
  <c r="J100" i="2"/>
  <c r="K100" i="2"/>
  <c r="D101" i="2"/>
  <c r="C101" i="2"/>
  <c r="B101" i="2"/>
  <c r="G101" i="2"/>
  <c r="F101" i="2"/>
  <c r="H101" i="2"/>
  <c r="I101" i="2"/>
  <c r="J101" i="2"/>
  <c r="K101" i="2"/>
  <c r="D102" i="2"/>
  <c r="C102" i="2"/>
  <c r="B102" i="2"/>
  <c r="G102" i="2"/>
  <c r="F102" i="2"/>
  <c r="H102" i="2"/>
  <c r="I102" i="2"/>
  <c r="J102" i="2"/>
  <c r="K102" i="2"/>
  <c r="D103" i="2"/>
  <c r="C103" i="2"/>
  <c r="B103" i="2"/>
  <c r="G103" i="2"/>
  <c r="F103" i="2"/>
  <c r="H103" i="2"/>
  <c r="I103" i="2"/>
  <c r="J103" i="2"/>
  <c r="K103" i="2"/>
  <c r="D104" i="2"/>
  <c r="C104" i="2"/>
  <c r="B104" i="2"/>
  <c r="G104" i="2"/>
  <c r="F104" i="2"/>
  <c r="H104" i="2"/>
  <c r="I104" i="2"/>
  <c r="J104" i="2"/>
  <c r="K104" i="2"/>
  <c r="D105" i="2"/>
  <c r="C105" i="2"/>
  <c r="B105" i="2"/>
  <c r="G105" i="2"/>
  <c r="F105" i="2"/>
  <c r="H105" i="2"/>
  <c r="I105" i="2"/>
  <c r="J105" i="2"/>
  <c r="K105" i="2"/>
  <c r="D106" i="2"/>
  <c r="C106" i="2"/>
  <c r="B106" i="2"/>
  <c r="G106" i="2"/>
  <c r="F106" i="2"/>
  <c r="H106" i="2"/>
  <c r="I106" i="2"/>
  <c r="J106" i="2"/>
  <c r="K106" i="2"/>
  <c r="D107" i="2"/>
  <c r="C107" i="2"/>
  <c r="B107" i="2"/>
  <c r="G107" i="2"/>
  <c r="F107" i="2"/>
  <c r="H107" i="2"/>
  <c r="I107" i="2"/>
  <c r="J107" i="2"/>
  <c r="K107" i="2"/>
  <c r="D108" i="2"/>
  <c r="C108" i="2"/>
  <c r="B108" i="2"/>
  <c r="G108" i="2"/>
  <c r="F108" i="2"/>
  <c r="H108" i="2"/>
  <c r="I108" i="2"/>
  <c r="J108" i="2"/>
  <c r="K108" i="2"/>
  <c r="D109" i="2"/>
  <c r="C109" i="2"/>
  <c r="B109" i="2"/>
  <c r="G109" i="2"/>
  <c r="F109" i="2"/>
  <c r="H109" i="2"/>
  <c r="I109" i="2"/>
  <c r="J109" i="2"/>
  <c r="K109" i="2"/>
  <c r="D110" i="2"/>
  <c r="C110" i="2"/>
  <c r="B110" i="2"/>
  <c r="G110" i="2"/>
  <c r="F110" i="2"/>
  <c r="H110" i="2"/>
  <c r="I110" i="2"/>
  <c r="J110" i="2"/>
  <c r="K110" i="2"/>
  <c r="D111" i="2"/>
  <c r="C111" i="2"/>
  <c r="B111" i="2"/>
  <c r="G111" i="2"/>
  <c r="F111" i="2"/>
  <c r="H111" i="2"/>
  <c r="I111" i="2"/>
  <c r="J111" i="2"/>
  <c r="K111" i="2"/>
  <c r="D112" i="2"/>
  <c r="C112" i="2"/>
  <c r="B112" i="2"/>
  <c r="G112" i="2"/>
  <c r="F112" i="2"/>
  <c r="H112" i="2"/>
  <c r="I112" i="2"/>
  <c r="J112" i="2"/>
  <c r="K112" i="2"/>
  <c r="D113" i="2"/>
  <c r="C113" i="2"/>
  <c r="B113" i="2"/>
  <c r="G113" i="2"/>
  <c r="F113" i="2"/>
  <c r="H113" i="2"/>
  <c r="I113" i="2"/>
  <c r="J113" i="2"/>
  <c r="K113" i="2"/>
  <c r="D114" i="2"/>
  <c r="C114" i="2"/>
  <c r="B114" i="2"/>
  <c r="G114" i="2"/>
  <c r="F114" i="2"/>
  <c r="H114" i="2"/>
  <c r="I114" i="2"/>
  <c r="J114" i="2"/>
  <c r="K114" i="2"/>
  <c r="D115" i="2"/>
  <c r="C115" i="2"/>
  <c r="B115" i="2"/>
  <c r="G115" i="2"/>
  <c r="F115" i="2"/>
  <c r="H115" i="2"/>
  <c r="I115" i="2"/>
  <c r="J115" i="2"/>
  <c r="K115" i="2"/>
  <c r="D116" i="2"/>
  <c r="C116" i="2"/>
  <c r="B116" i="2"/>
  <c r="G116" i="2"/>
  <c r="F116" i="2"/>
  <c r="H116" i="2"/>
  <c r="I116" i="2"/>
  <c r="J116" i="2"/>
  <c r="K116" i="2"/>
  <c r="D117" i="2"/>
  <c r="C117" i="2"/>
  <c r="B117" i="2"/>
  <c r="G117" i="2"/>
  <c r="F117" i="2"/>
  <c r="H117" i="2"/>
  <c r="I117" i="2"/>
  <c r="J117" i="2"/>
  <c r="K117" i="2"/>
  <c r="D118" i="2"/>
  <c r="C118" i="2"/>
  <c r="B118" i="2"/>
  <c r="G118" i="2"/>
  <c r="F118" i="2"/>
  <c r="H118" i="2"/>
  <c r="I118" i="2"/>
  <c r="J118" i="2"/>
  <c r="K118" i="2"/>
  <c r="D119" i="2"/>
  <c r="C119" i="2"/>
  <c r="B119" i="2"/>
  <c r="G119" i="2"/>
  <c r="F119" i="2"/>
  <c r="H119" i="2"/>
  <c r="I119" i="2"/>
  <c r="J119" i="2"/>
  <c r="K119" i="2"/>
  <c r="D120" i="2"/>
  <c r="C120" i="2"/>
  <c r="B120" i="2"/>
  <c r="G120" i="2"/>
  <c r="F120" i="2"/>
  <c r="H120" i="2"/>
  <c r="I120" i="2"/>
  <c r="J120" i="2"/>
  <c r="K120" i="2"/>
  <c r="D121" i="2"/>
  <c r="C121" i="2"/>
  <c r="B121" i="2"/>
  <c r="G121" i="2"/>
  <c r="F121" i="2"/>
  <c r="H121" i="2"/>
  <c r="I121" i="2"/>
  <c r="J121" i="2"/>
  <c r="K121" i="2"/>
  <c r="D122" i="2"/>
  <c r="C122" i="2"/>
  <c r="B122" i="2"/>
  <c r="G122" i="2"/>
  <c r="F122" i="2"/>
  <c r="H122" i="2"/>
  <c r="I122" i="2"/>
  <c r="J122" i="2"/>
  <c r="K122" i="2"/>
  <c r="D123" i="2"/>
  <c r="C123" i="2"/>
  <c r="B123" i="2"/>
  <c r="G123" i="2"/>
  <c r="F123" i="2"/>
  <c r="H123" i="2"/>
  <c r="I123" i="2"/>
  <c r="J123" i="2"/>
  <c r="K123" i="2"/>
  <c r="D124" i="2"/>
  <c r="C124" i="2"/>
  <c r="B124" i="2"/>
  <c r="G124" i="2"/>
  <c r="F124" i="2"/>
  <c r="H124" i="2"/>
  <c r="I124" i="2"/>
  <c r="J124" i="2"/>
  <c r="K124" i="2"/>
  <c r="D125" i="2"/>
  <c r="C125" i="2"/>
  <c r="B125" i="2"/>
  <c r="G125" i="2"/>
  <c r="F125" i="2"/>
  <c r="H125" i="2"/>
  <c r="I125" i="2"/>
  <c r="J125" i="2"/>
  <c r="K125" i="2"/>
  <c r="D126" i="2"/>
  <c r="C126" i="2"/>
  <c r="B126" i="2"/>
  <c r="G126" i="2"/>
  <c r="F126" i="2"/>
  <c r="H126" i="2"/>
  <c r="I126" i="2"/>
  <c r="J126" i="2"/>
  <c r="K126" i="2"/>
  <c r="D127" i="2"/>
  <c r="C127" i="2"/>
  <c r="B127" i="2"/>
  <c r="G127" i="2"/>
  <c r="F127" i="2"/>
  <c r="H127" i="2"/>
  <c r="I127" i="2"/>
  <c r="J127" i="2"/>
  <c r="K127" i="2"/>
  <c r="D128" i="2"/>
  <c r="C128" i="2"/>
  <c r="B128" i="2"/>
  <c r="G128" i="2"/>
  <c r="F128" i="2"/>
  <c r="H128" i="2"/>
  <c r="I128" i="2"/>
  <c r="J128" i="2"/>
  <c r="K128" i="2"/>
  <c r="D129" i="2"/>
  <c r="C129" i="2"/>
  <c r="B129" i="2"/>
  <c r="G129" i="2"/>
  <c r="F129" i="2"/>
  <c r="H129" i="2"/>
  <c r="I129" i="2"/>
  <c r="J129" i="2"/>
  <c r="K129" i="2"/>
  <c r="D130" i="2"/>
  <c r="C130" i="2"/>
  <c r="B130" i="2"/>
  <c r="G130" i="2"/>
  <c r="F130" i="2"/>
  <c r="H130" i="2"/>
  <c r="I130" i="2"/>
  <c r="J130" i="2"/>
  <c r="K130" i="2"/>
  <c r="D131" i="2"/>
  <c r="C131" i="2"/>
  <c r="B131" i="2"/>
  <c r="G131" i="2"/>
  <c r="F131" i="2"/>
  <c r="H131" i="2"/>
  <c r="I131" i="2"/>
  <c r="J131" i="2"/>
  <c r="K131" i="2"/>
  <c r="D132" i="2"/>
  <c r="C132" i="2"/>
  <c r="B132" i="2"/>
  <c r="G132" i="2"/>
  <c r="F132" i="2"/>
  <c r="H132" i="2"/>
  <c r="I132" i="2"/>
  <c r="J132" i="2"/>
  <c r="K132" i="2"/>
  <c r="D133" i="2"/>
  <c r="C133" i="2"/>
  <c r="B133" i="2"/>
  <c r="G133" i="2"/>
  <c r="F133" i="2"/>
  <c r="H133" i="2"/>
  <c r="B52" i="1"/>
  <c r="I133" i="2"/>
  <c r="B24" i="1"/>
  <c r="J133" i="2"/>
  <c r="K133" i="2"/>
  <c r="D134" i="2"/>
  <c r="C134" i="2"/>
  <c r="B134" i="2"/>
  <c r="G134" i="2"/>
  <c r="F134" i="2"/>
  <c r="H134" i="2"/>
  <c r="I134" i="2"/>
  <c r="J134" i="2"/>
  <c r="K134" i="2"/>
  <c r="D135" i="2"/>
  <c r="C135" i="2"/>
  <c r="B135" i="2"/>
  <c r="G135" i="2"/>
  <c r="F135" i="2"/>
  <c r="H135" i="2"/>
  <c r="I135" i="2"/>
  <c r="J135" i="2"/>
  <c r="K135" i="2"/>
  <c r="D136" i="2"/>
  <c r="C136" i="2"/>
  <c r="B136" i="2"/>
  <c r="G136" i="2"/>
  <c r="F136" i="2"/>
  <c r="H136" i="2"/>
  <c r="I136" i="2"/>
  <c r="J136" i="2"/>
  <c r="K136" i="2"/>
  <c r="D137" i="2"/>
  <c r="C137" i="2"/>
  <c r="B137" i="2"/>
  <c r="G137" i="2"/>
  <c r="F137" i="2"/>
  <c r="H137" i="2"/>
  <c r="I137" i="2"/>
  <c r="J137" i="2"/>
  <c r="K137" i="2"/>
  <c r="D138" i="2"/>
  <c r="C138" i="2"/>
  <c r="B138" i="2"/>
  <c r="G138" i="2"/>
  <c r="F138" i="2"/>
  <c r="H138" i="2"/>
  <c r="I138" i="2"/>
  <c r="J138" i="2"/>
  <c r="K138" i="2"/>
  <c r="D139" i="2"/>
  <c r="C139" i="2"/>
  <c r="B139" i="2"/>
  <c r="G139" i="2"/>
  <c r="F139" i="2"/>
  <c r="H139" i="2"/>
  <c r="I139" i="2"/>
  <c r="J139" i="2"/>
  <c r="K139" i="2"/>
  <c r="D140" i="2"/>
  <c r="C140" i="2"/>
  <c r="B140" i="2"/>
  <c r="G140" i="2"/>
  <c r="F140" i="2"/>
  <c r="H140" i="2"/>
  <c r="I140" i="2"/>
  <c r="J140" i="2"/>
  <c r="K140" i="2"/>
  <c r="D141" i="2"/>
  <c r="C141" i="2"/>
  <c r="B141" i="2"/>
  <c r="G141" i="2"/>
  <c r="F141" i="2"/>
  <c r="H141" i="2"/>
  <c r="I141" i="2"/>
  <c r="J141" i="2"/>
  <c r="K141" i="2"/>
  <c r="D142" i="2"/>
  <c r="C142" i="2"/>
  <c r="B142" i="2"/>
  <c r="G142" i="2"/>
  <c r="F142" i="2"/>
  <c r="H142" i="2"/>
  <c r="I142" i="2"/>
  <c r="J142" i="2"/>
  <c r="K142" i="2"/>
  <c r="D143" i="2"/>
  <c r="C143" i="2"/>
  <c r="B143" i="2"/>
  <c r="G143" i="2"/>
  <c r="F143" i="2"/>
  <c r="H143" i="2"/>
  <c r="I143" i="2"/>
  <c r="J143" i="2"/>
  <c r="K143" i="2"/>
  <c r="D144" i="2"/>
  <c r="C144" i="2"/>
  <c r="B144" i="2"/>
  <c r="G144" i="2"/>
  <c r="F144" i="2"/>
  <c r="H144" i="2"/>
  <c r="I144" i="2"/>
  <c r="J144" i="2"/>
  <c r="K144" i="2"/>
  <c r="D145" i="2"/>
  <c r="C145" i="2"/>
  <c r="B145" i="2"/>
  <c r="G145" i="2"/>
  <c r="F145" i="2"/>
  <c r="H145" i="2"/>
  <c r="I145" i="2"/>
  <c r="J145" i="2"/>
  <c r="K145" i="2"/>
  <c r="D146" i="2"/>
  <c r="C146" i="2"/>
  <c r="B146" i="2"/>
  <c r="G146" i="2"/>
  <c r="F146" i="2"/>
  <c r="H146" i="2"/>
  <c r="I146" i="2"/>
  <c r="J146" i="2"/>
  <c r="K146" i="2"/>
  <c r="D147" i="2"/>
  <c r="C147" i="2"/>
  <c r="B147" i="2"/>
  <c r="G147" i="2"/>
  <c r="F147" i="2"/>
  <c r="H147" i="2"/>
  <c r="I147" i="2"/>
  <c r="J147" i="2"/>
  <c r="K147" i="2"/>
  <c r="D148" i="2"/>
  <c r="C148" i="2"/>
  <c r="B148" i="2"/>
  <c r="G148" i="2"/>
  <c r="F148" i="2"/>
  <c r="H148" i="2"/>
  <c r="I148" i="2"/>
  <c r="J148" i="2"/>
  <c r="K148" i="2"/>
  <c r="D149" i="2"/>
  <c r="C149" i="2"/>
  <c r="B149" i="2"/>
  <c r="G149" i="2"/>
  <c r="F149" i="2"/>
  <c r="H149" i="2"/>
  <c r="I149" i="2"/>
  <c r="J149" i="2"/>
  <c r="K149" i="2"/>
  <c r="D150" i="2"/>
  <c r="C150" i="2"/>
  <c r="B150" i="2"/>
  <c r="G150" i="2"/>
  <c r="F150" i="2"/>
  <c r="H150" i="2"/>
  <c r="I150" i="2"/>
  <c r="J150" i="2"/>
  <c r="K150" i="2"/>
  <c r="D151" i="2"/>
  <c r="C151" i="2"/>
  <c r="B151" i="2"/>
  <c r="G151" i="2"/>
  <c r="F151" i="2"/>
  <c r="H151" i="2"/>
  <c r="I151" i="2"/>
  <c r="J151" i="2"/>
  <c r="K151" i="2"/>
  <c r="D152" i="2"/>
  <c r="C152" i="2"/>
  <c r="B152" i="2"/>
  <c r="G152" i="2"/>
  <c r="F152" i="2"/>
  <c r="H152" i="2"/>
  <c r="I152" i="2"/>
  <c r="J152" i="2"/>
  <c r="K152" i="2"/>
  <c r="D153" i="2"/>
  <c r="C153" i="2"/>
  <c r="B153" i="2"/>
  <c r="G153" i="2"/>
  <c r="F153" i="2"/>
  <c r="H153" i="2"/>
  <c r="I153" i="2"/>
  <c r="J153" i="2"/>
  <c r="K153" i="2"/>
  <c r="D154" i="2"/>
  <c r="C154" i="2"/>
  <c r="B154" i="2"/>
  <c r="G154" i="2"/>
  <c r="F154" i="2"/>
  <c r="H154" i="2"/>
  <c r="I154" i="2"/>
  <c r="J154" i="2"/>
  <c r="K154" i="2"/>
  <c r="D155" i="2"/>
  <c r="C155" i="2"/>
  <c r="B155" i="2"/>
  <c r="G155" i="2"/>
  <c r="F155" i="2"/>
  <c r="H155" i="2"/>
  <c r="I155" i="2"/>
  <c r="J155" i="2"/>
  <c r="K155" i="2"/>
  <c r="D156" i="2"/>
  <c r="C156" i="2"/>
  <c r="B156" i="2"/>
  <c r="G156" i="2"/>
  <c r="F156" i="2"/>
  <c r="H156" i="2"/>
  <c r="I156" i="2"/>
  <c r="J156" i="2"/>
  <c r="K156" i="2"/>
  <c r="D157" i="2"/>
  <c r="C157" i="2"/>
  <c r="B157" i="2"/>
  <c r="G157" i="2"/>
  <c r="F157" i="2"/>
  <c r="H157" i="2"/>
  <c r="I157" i="2"/>
  <c r="J157" i="2"/>
  <c r="K157" i="2"/>
  <c r="D158" i="2"/>
  <c r="C158" i="2"/>
  <c r="B158" i="2"/>
  <c r="G158" i="2"/>
  <c r="F158" i="2"/>
  <c r="H158" i="2"/>
  <c r="I158" i="2"/>
  <c r="J158" i="2"/>
  <c r="K158" i="2"/>
  <c r="D159" i="2"/>
  <c r="C159" i="2"/>
  <c r="B159" i="2"/>
  <c r="G159" i="2"/>
  <c r="F159" i="2"/>
  <c r="H159" i="2"/>
  <c r="I159" i="2"/>
  <c r="J159" i="2"/>
  <c r="K159" i="2"/>
  <c r="D160" i="2"/>
  <c r="C160" i="2"/>
  <c r="B160" i="2"/>
  <c r="G160" i="2"/>
  <c r="F160" i="2"/>
  <c r="H160" i="2"/>
  <c r="I160" i="2"/>
  <c r="J160" i="2"/>
  <c r="K160" i="2"/>
  <c r="D161" i="2"/>
  <c r="C161" i="2"/>
  <c r="B161" i="2"/>
  <c r="G161" i="2"/>
  <c r="F161" i="2"/>
  <c r="H161" i="2"/>
  <c r="I161" i="2"/>
  <c r="J161" i="2"/>
  <c r="K161" i="2"/>
  <c r="D162" i="2"/>
  <c r="C162" i="2"/>
  <c r="B162" i="2"/>
  <c r="G162" i="2"/>
  <c r="F162" i="2"/>
  <c r="H162" i="2"/>
  <c r="I162" i="2"/>
  <c r="J162" i="2"/>
  <c r="K162" i="2"/>
  <c r="D163" i="2"/>
  <c r="C163" i="2"/>
  <c r="B163" i="2"/>
  <c r="G163" i="2"/>
  <c r="F163" i="2"/>
  <c r="H163" i="2"/>
  <c r="I163" i="2"/>
  <c r="J163" i="2"/>
  <c r="K163" i="2"/>
  <c r="D164" i="2"/>
  <c r="C164" i="2"/>
  <c r="B164" i="2"/>
  <c r="G164" i="2"/>
  <c r="F164" i="2"/>
  <c r="H164" i="2"/>
  <c r="I164" i="2"/>
  <c r="J164" i="2"/>
  <c r="K164" i="2"/>
  <c r="D165" i="2"/>
  <c r="C165" i="2"/>
  <c r="B165" i="2"/>
  <c r="G165" i="2"/>
  <c r="F165" i="2"/>
  <c r="H165" i="2"/>
  <c r="I165" i="2"/>
  <c r="J165" i="2"/>
  <c r="K165" i="2"/>
  <c r="D166" i="2"/>
  <c r="C166" i="2"/>
  <c r="B166" i="2"/>
  <c r="G166" i="2"/>
  <c r="F166" i="2"/>
  <c r="H166" i="2"/>
  <c r="I166" i="2"/>
  <c r="J166" i="2"/>
  <c r="K166" i="2"/>
  <c r="D167" i="2"/>
  <c r="C167" i="2"/>
  <c r="B167" i="2"/>
  <c r="G167" i="2"/>
  <c r="F167" i="2"/>
  <c r="H167" i="2"/>
  <c r="I167" i="2"/>
  <c r="J167" i="2"/>
  <c r="K167" i="2"/>
  <c r="D168" i="2"/>
  <c r="C168" i="2"/>
  <c r="B168" i="2"/>
  <c r="G168" i="2"/>
  <c r="F168" i="2"/>
  <c r="H168" i="2"/>
  <c r="I168" i="2"/>
  <c r="J168" i="2"/>
  <c r="K168" i="2"/>
  <c r="D169" i="2"/>
  <c r="C169" i="2"/>
  <c r="B169" i="2"/>
  <c r="G169" i="2"/>
  <c r="F169" i="2"/>
  <c r="H169" i="2"/>
  <c r="I169" i="2"/>
  <c r="J169" i="2"/>
  <c r="K169" i="2"/>
  <c r="D170" i="2"/>
  <c r="C170" i="2"/>
  <c r="B170" i="2"/>
  <c r="G170" i="2"/>
  <c r="F170" i="2"/>
  <c r="H170" i="2"/>
  <c r="I170" i="2"/>
  <c r="J170" i="2"/>
  <c r="K170" i="2"/>
  <c r="D171" i="2"/>
  <c r="C171" i="2"/>
  <c r="B171" i="2"/>
  <c r="G171" i="2"/>
  <c r="F171" i="2"/>
  <c r="H171" i="2"/>
  <c r="I171" i="2"/>
  <c r="J171" i="2"/>
  <c r="K171" i="2"/>
  <c r="D172" i="2"/>
  <c r="C172" i="2"/>
  <c r="B172" i="2"/>
  <c r="G172" i="2"/>
  <c r="F172" i="2"/>
  <c r="H172" i="2"/>
  <c r="I172" i="2"/>
  <c r="J172" i="2"/>
  <c r="K172" i="2"/>
  <c r="D173" i="2"/>
  <c r="C173" i="2"/>
  <c r="B173" i="2"/>
  <c r="G173" i="2"/>
  <c r="F173" i="2"/>
  <c r="H173" i="2"/>
  <c r="I173" i="2"/>
  <c r="J173" i="2"/>
  <c r="K173" i="2"/>
  <c r="D174" i="2"/>
  <c r="C174" i="2"/>
  <c r="B174" i="2"/>
  <c r="G174" i="2"/>
  <c r="F174" i="2"/>
  <c r="H174" i="2"/>
  <c r="I174" i="2"/>
  <c r="J174" i="2"/>
  <c r="K174" i="2"/>
  <c r="D175" i="2"/>
  <c r="C175" i="2"/>
  <c r="B175" i="2"/>
  <c r="G175" i="2"/>
  <c r="F175" i="2"/>
  <c r="H175" i="2"/>
  <c r="I175" i="2"/>
  <c r="J175" i="2"/>
  <c r="K175" i="2"/>
  <c r="D176" i="2"/>
  <c r="C176" i="2"/>
  <c r="B176" i="2"/>
  <c r="G176" i="2"/>
  <c r="F176" i="2"/>
  <c r="H176" i="2"/>
  <c r="I176" i="2"/>
  <c r="J176" i="2"/>
  <c r="K176" i="2"/>
  <c r="D177" i="2"/>
  <c r="C177" i="2"/>
  <c r="B177" i="2"/>
  <c r="G177" i="2"/>
  <c r="F177" i="2"/>
  <c r="H177" i="2"/>
  <c r="I177" i="2"/>
  <c r="J177" i="2"/>
  <c r="K177" i="2"/>
  <c r="D178" i="2"/>
  <c r="C178" i="2"/>
  <c r="B178" i="2"/>
  <c r="G178" i="2"/>
  <c r="F178" i="2"/>
  <c r="H178" i="2"/>
  <c r="I178" i="2"/>
  <c r="J178" i="2"/>
  <c r="K178" i="2"/>
  <c r="D179" i="2"/>
  <c r="C179" i="2"/>
  <c r="B179" i="2"/>
  <c r="G179" i="2"/>
  <c r="F179" i="2"/>
  <c r="H179" i="2"/>
  <c r="I179" i="2"/>
  <c r="J179" i="2"/>
  <c r="K179" i="2"/>
  <c r="D180" i="2"/>
  <c r="C180" i="2"/>
  <c r="B180" i="2"/>
  <c r="G180" i="2"/>
  <c r="F180" i="2"/>
  <c r="H180" i="2"/>
  <c r="I180" i="2"/>
  <c r="J180" i="2"/>
  <c r="K180" i="2"/>
  <c r="D181" i="2"/>
  <c r="C181" i="2"/>
  <c r="B181" i="2"/>
  <c r="G181" i="2"/>
  <c r="F181" i="2"/>
  <c r="H181" i="2"/>
  <c r="I181" i="2"/>
  <c r="J181" i="2"/>
  <c r="K181" i="2"/>
  <c r="D182" i="2"/>
  <c r="C182" i="2"/>
  <c r="B182" i="2"/>
  <c r="G182" i="2"/>
  <c r="F182" i="2"/>
  <c r="H182" i="2"/>
  <c r="I182" i="2"/>
  <c r="J182" i="2"/>
  <c r="K182" i="2"/>
  <c r="D183" i="2"/>
  <c r="C183" i="2"/>
  <c r="B183" i="2"/>
  <c r="G183" i="2"/>
  <c r="F183" i="2"/>
  <c r="H183" i="2"/>
  <c r="I183" i="2"/>
  <c r="J183" i="2"/>
  <c r="K183" i="2"/>
  <c r="D184" i="2"/>
  <c r="C184" i="2"/>
  <c r="B184" i="2"/>
  <c r="G184" i="2"/>
  <c r="F184" i="2"/>
  <c r="H184" i="2"/>
  <c r="I184" i="2"/>
  <c r="J184" i="2"/>
  <c r="K184" i="2"/>
  <c r="D185" i="2"/>
  <c r="C185" i="2"/>
  <c r="B185" i="2"/>
  <c r="G185" i="2"/>
  <c r="F185" i="2"/>
  <c r="H185" i="2"/>
  <c r="I185" i="2"/>
  <c r="J185" i="2"/>
  <c r="K185" i="2"/>
  <c r="D186" i="2"/>
  <c r="C186" i="2"/>
  <c r="B186" i="2"/>
  <c r="G186" i="2"/>
  <c r="F186" i="2"/>
  <c r="H186" i="2"/>
  <c r="I186" i="2"/>
  <c r="J186" i="2"/>
  <c r="K186" i="2"/>
  <c r="D187" i="2"/>
  <c r="C187" i="2"/>
  <c r="B187" i="2"/>
  <c r="G187" i="2"/>
  <c r="F187" i="2"/>
  <c r="H187" i="2"/>
  <c r="I187" i="2"/>
  <c r="J187" i="2"/>
  <c r="K187" i="2"/>
  <c r="D188" i="2"/>
  <c r="C188" i="2"/>
  <c r="B188" i="2"/>
  <c r="G188" i="2"/>
  <c r="F188" i="2"/>
  <c r="H188" i="2"/>
  <c r="I188" i="2"/>
  <c r="J188" i="2"/>
  <c r="K188" i="2"/>
  <c r="D189" i="2"/>
  <c r="C189" i="2"/>
  <c r="B189" i="2"/>
  <c r="G189" i="2"/>
  <c r="F189" i="2"/>
  <c r="H189" i="2"/>
  <c r="I189" i="2"/>
  <c r="J189" i="2"/>
  <c r="K189" i="2"/>
  <c r="D190" i="2"/>
  <c r="C190" i="2"/>
  <c r="B190" i="2"/>
  <c r="G190" i="2"/>
  <c r="F190" i="2"/>
  <c r="H190" i="2"/>
  <c r="I190" i="2"/>
  <c r="J190" i="2"/>
  <c r="K190" i="2"/>
  <c r="D191" i="2"/>
  <c r="C191" i="2"/>
  <c r="B191" i="2"/>
  <c r="G191" i="2"/>
  <c r="F191" i="2"/>
  <c r="H191" i="2"/>
  <c r="I191" i="2"/>
  <c r="J191" i="2"/>
  <c r="K191" i="2"/>
  <c r="D192" i="2"/>
  <c r="C192" i="2"/>
  <c r="B192" i="2"/>
  <c r="G192" i="2"/>
  <c r="F192" i="2"/>
  <c r="H192" i="2"/>
  <c r="I192" i="2"/>
  <c r="J192" i="2"/>
  <c r="K192" i="2"/>
  <c r="D193" i="2"/>
  <c r="C193" i="2"/>
  <c r="B193" i="2"/>
  <c r="G193" i="2"/>
  <c r="F193" i="2"/>
  <c r="H193" i="2"/>
  <c r="I193" i="2"/>
  <c r="J193" i="2"/>
  <c r="K193" i="2"/>
  <c r="D194" i="2"/>
  <c r="C194" i="2"/>
  <c r="B194" i="2"/>
  <c r="G194" i="2"/>
  <c r="F194" i="2"/>
  <c r="H194" i="2"/>
  <c r="I194" i="2"/>
  <c r="J194" i="2"/>
  <c r="K194" i="2"/>
  <c r="D195" i="2"/>
  <c r="C195" i="2"/>
  <c r="B195" i="2"/>
  <c r="G195" i="2"/>
  <c r="F195" i="2"/>
  <c r="H195" i="2"/>
  <c r="I195" i="2"/>
  <c r="J195" i="2"/>
  <c r="K195" i="2"/>
  <c r="D196" i="2"/>
  <c r="C196" i="2"/>
  <c r="B196" i="2"/>
  <c r="G196" i="2"/>
  <c r="F196" i="2"/>
  <c r="H196" i="2"/>
  <c r="I196" i="2"/>
  <c r="J196" i="2"/>
  <c r="K196" i="2"/>
  <c r="D197" i="2"/>
  <c r="C197" i="2"/>
  <c r="B197" i="2"/>
  <c r="G197" i="2"/>
  <c r="F197" i="2"/>
  <c r="H197" i="2"/>
  <c r="I197" i="2"/>
  <c r="J197" i="2"/>
  <c r="K197" i="2"/>
  <c r="D198" i="2"/>
  <c r="C198" i="2"/>
  <c r="B198" i="2"/>
  <c r="G198" i="2"/>
  <c r="F198" i="2"/>
  <c r="H198" i="2"/>
  <c r="I198" i="2"/>
  <c r="J198" i="2"/>
  <c r="K198" i="2"/>
  <c r="D199" i="2"/>
  <c r="C199" i="2"/>
  <c r="B199" i="2"/>
  <c r="G199" i="2"/>
  <c r="F199" i="2"/>
  <c r="H199" i="2"/>
  <c r="I199" i="2"/>
  <c r="J199" i="2"/>
  <c r="K199" i="2"/>
  <c r="D200" i="2"/>
  <c r="C200" i="2"/>
  <c r="B200" i="2"/>
  <c r="G200" i="2"/>
  <c r="F200" i="2"/>
  <c r="H200" i="2"/>
  <c r="I200" i="2"/>
  <c r="J200" i="2"/>
  <c r="K200" i="2"/>
  <c r="D201" i="2"/>
  <c r="C201" i="2"/>
  <c r="B201" i="2"/>
  <c r="G201" i="2"/>
  <c r="F201" i="2"/>
  <c r="H201" i="2"/>
  <c r="I201" i="2"/>
  <c r="J201" i="2"/>
  <c r="K201" i="2"/>
  <c r="D202" i="2"/>
  <c r="C202" i="2"/>
  <c r="B202" i="2"/>
  <c r="G202" i="2"/>
  <c r="F202" i="2"/>
  <c r="H202" i="2"/>
  <c r="I202" i="2"/>
  <c r="J202" i="2"/>
  <c r="K202" i="2"/>
  <c r="D203" i="2"/>
  <c r="C203" i="2"/>
  <c r="B203" i="2"/>
  <c r="G203" i="2"/>
  <c r="F203" i="2"/>
  <c r="H203" i="2"/>
  <c r="I203" i="2"/>
  <c r="J203" i="2"/>
  <c r="K203" i="2"/>
  <c r="D204" i="2"/>
  <c r="C204" i="2"/>
  <c r="B204" i="2"/>
  <c r="G204" i="2"/>
  <c r="F204" i="2"/>
  <c r="H204" i="2"/>
  <c r="I204" i="2"/>
  <c r="J204" i="2"/>
  <c r="K204" i="2"/>
  <c r="D205" i="2"/>
  <c r="C205" i="2"/>
  <c r="B205" i="2"/>
  <c r="G205" i="2"/>
  <c r="F205" i="2"/>
  <c r="H205" i="2"/>
  <c r="I205" i="2"/>
  <c r="J205" i="2"/>
  <c r="K205" i="2"/>
  <c r="D206" i="2"/>
  <c r="C206" i="2"/>
  <c r="B206" i="2"/>
  <c r="G206" i="2"/>
  <c r="F206" i="2"/>
  <c r="H206" i="2"/>
  <c r="I206" i="2"/>
  <c r="J206" i="2"/>
  <c r="K206" i="2"/>
  <c r="D207" i="2"/>
  <c r="C207" i="2"/>
  <c r="B207" i="2"/>
  <c r="G207" i="2"/>
  <c r="F207" i="2"/>
  <c r="H207" i="2"/>
  <c r="I207" i="2"/>
  <c r="J207" i="2"/>
  <c r="K207" i="2"/>
  <c r="D208" i="2"/>
  <c r="C208" i="2"/>
  <c r="B208" i="2"/>
  <c r="G208" i="2"/>
  <c r="F208" i="2"/>
  <c r="H208" i="2"/>
  <c r="I208" i="2"/>
  <c r="J208" i="2"/>
  <c r="K208" i="2"/>
  <c r="D209" i="2"/>
  <c r="C209" i="2"/>
  <c r="B209" i="2"/>
  <c r="G209" i="2"/>
  <c r="F209" i="2"/>
  <c r="H209" i="2"/>
  <c r="I209" i="2"/>
  <c r="J209" i="2"/>
  <c r="K209" i="2"/>
  <c r="D210" i="2"/>
  <c r="C210" i="2"/>
  <c r="B210" i="2"/>
  <c r="G210" i="2"/>
  <c r="F210" i="2"/>
  <c r="H210" i="2"/>
  <c r="I210" i="2"/>
  <c r="J210" i="2"/>
  <c r="K210" i="2"/>
  <c r="D211" i="2"/>
  <c r="C211" i="2"/>
  <c r="B211" i="2"/>
  <c r="G211" i="2"/>
  <c r="F211" i="2"/>
  <c r="H211" i="2"/>
  <c r="I211" i="2"/>
  <c r="J211" i="2"/>
  <c r="K211" i="2"/>
  <c r="D212" i="2"/>
  <c r="C212" i="2"/>
  <c r="B212" i="2"/>
  <c r="G212" i="2"/>
  <c r="F212" i="2"/>
  <c r="H212" i="2"/>
  <c r="I212" i="2"/>
  <c r="J212" i="2"/>
  <c r="K212" i="2"/>
  <c r="D213" i="2"/>
  <c r="C213" i="2"/>
  <c r="B213" i="2"/>
  <c r="G213" i="2"/>
  <c r="F213" i="2"/>
  <c r="H213" i="2"/>
  <c r="I213" i="2"/>
  <c r="J213" i="2"/>
  <c r="K213" i="2"/>
  <c r="D214" i="2"/>
  <c r="C214" i="2"/>
  <c r="B214" i="2"/>
  <c r="G214" i="2"/>
  <c r="F214" i="2"/>
  <c r="H214" i="2"/>
  <c r="I214" i="2"/>
  <c r="J214" i="2"/>
  <c r="K214" i="2"/>
  <c r="D215" i="2"/>
  <c r="C215" i="2"/>
  <c r="B215" i="2"/>
  <c r="G215" i="2"/>
  <c r="F215" i="2"/>
  <c r="H215" i="2"/>
  <c r="I215" i="2"/>
  <c r="J215" i="2"/>
  <c r="K215" i="2"/>
  <c r="D216" i="2"/>
  <c r="C216" i="2"/>
  <c r="B216" i="2"/>
  <c r="G216" i="2"/>
  <c r="F216" i="2"/>
  <c r="H216" i="2"/>
  <c r="I216" i="2"/>
  <c r="J216" i="2"/>
  <c r="K216" i="2"/>
  <c r="D217" i="2"/>
  <c r="C217" i="2"/>
  <c r="B217" i="2"/>
  <c r="G217" i="2"/>
  <c r="F217" i="2"/>
  <c r="H217" i="2"/>
  <c r="I217" i="2"/>
  <c r="J217" i="2"/>
  <c r="K217" i="2"/>
  <c r="K15" i="2"/>
  <c r="L17" i="2"/>
  <c r="M17" i="2"/>
  <c r="Q17" i="2"/>
  <c r="L18" i="2"/>
  <c r="M18" i="2"/>
  <c r="Q18" i="2"/>
  <c r="L19" i="2"/>
  <c r="M19" i="2"/>
  <c r="Q19" i="2"/>
  <c r="L20" i="2"/>
  <c r="M20" i="2"/>
  <c r="Q20" i="2"/>
  <c r="L21" i="2"/>
  <c r="M21" i="2"/>
  <c r="Q21" i="2"/>
  <c r="L22" i="2"/>
  <c r="M22" i="2"/>
  <c r="Q22" i="2"/>
  <c r="L23" i="2"/>
  <c r="M23" i="2"/>
  <c r="Q23" i="2"/>
  <c r="L24" i="2"/>
  <c r="M24" i="2"/>
  <c r="Q24" i="2"/>
  <c r="L25" i="2"/>
  <c r="M25" i="2"/>
  <c r="Q25" i="2"/>
  <c r="L26" i="2"/>
  <c r="M26" i="2"/>
  <c r="Q26" i="2"/>
  <c r="L27" i="2"/>
  <c r="M27" i="2"/>
  <c r="Q27" i="2"/>
  <c r="L28" i="2"/>
  <c r="M28" i="2"/>
  <c r="Q28" i="2"/>
  <c r="L29" i="2"/>
  <c r="M29" i="2"/>
  <c r="Q29" i="2"/>
  <c r="L30" i="2"/>
  <c r="M30" i="2"/>
  <c r="Q30" i="2"/>
  <c r="L31" i="2"/>
  <c r="M31" i="2"/>
  <c r="Q31" i="2"/>
  <c r="L32" i="2"/>
  <c r="M32" i="2"/>
  <c r="Q32" i="2"/>
  <c r="L33" i="2"/>
  <c r="M33" i="2"/>
  <c r="Q33" i="2"/>
  <c r="L34" i="2"/>
  <c r="M34" i="2"/>
  <c r="Q34" i="2"/>
  <c r="L35" i="2"/>
  <c r="M35" i="2"/>
  <c r="Q35" i="2"/>
  <c r="L36" i="2"/>
  <c r="M36" i="2"/>
  <c r="Q36" i="2"/>
  <c r="L37" i="2"/>
  <c r="M37" i="2"/>
  <c r="Q37" i="2"/>
  <c r="L38" i="2"/>
  <c r="M38" i="2"/>
  <c r="Q38" i="2"/>
  <c r="L39" i="2"/>
  <c r="M39" i="2"/>
  <c r="Q39" i="2"/>
  <c r="L40" i="2"/>
  <c r="M40" i="2"/>
  <c r="Q40" i="2"/>
  <c r="L41" i="2"/>
  <c r="M41" i="2"/>
  <c r="Q41" i="2"/>
  <c r="L42" i="2"/>
  <c r="M42" i="2"/>
  <c r="Q42" i="2"/>
  <c r="L43" i="2"/>
  <c r="M43" i="2"/>
  <c r="Q43" i="2"/>
  <c r="L44" i="2"/>
  <c r="M44" i="2"/>
  <c r="Q44" i="2"/>
  <c r="L45" i="2"/>
  <c r="M45" i="2"/>
  <c r="Q45" i="2"/>
  <c r="L46" i="2"/>
  <c r="M46" i="2"/>
  <c r="Q46" i="2"/>
  <c r="L47" i="2"/>
  <c r="M47" i="2"/>
  <c r="Q47" i="2"/>
  <c r="L48" i="2"/>
  <c r="M48" i="2"/>
  <c r="Q48" i="2"/>
  <c r="L49" i="2"/>
  <c r="M49" i="2"/>
  <c r="Q49" i="2"/>
  <c r="L50" i="2"/>
  <c r="M50" i="2"/>
  <c r="Q50" i="2"/>
  <c r="L51" i="2"/>
  <c r="M51" i="2"/>
  <c r="Q51" i="2"/>
  <c r="L52" i="2"/>
  <c r="M52" i="2"/>
  <c r="Q52" i="2"/>
  <c r="L53" i="2"/>
  <c r="M53" i="2"/>
  <c r="Q53" i="2"/>
  <c r="L54" i="2"/>
  <c r="M54" i="2"/>
  <c r="Q54" i="2"/>
  <c r="L55" i="2"/>
  <c r="M55" i="2"/>
  <c r="Q55" i="2"/>
  <c r="L56" i="2"/>
  <c r="M56" i="2"/>
  <c r="Q56" i="2"/>
  <c r="L57" i="2"/>
  <c r="M57" i="2"/>
  <c r="Q57" i="2"/>
  <c r="L58" i="2"/>
  <c r="M58" i="2"/>
  <c r="Q58" i="2"/>
  <c r="L59" i="2"/>
  <c r="M59" i="2"/>
  <c r="Q59" i="2"/>
  <c r="L60" i="2"/>
  <c r="M60" i="2"/>
  <c r="Q60" i="2"/>
  <c r="L61" i="2"/>
  <c r="M61" i="2"/>
  <c r="Q61" i="2"/>
  <c r="L62" i="2"/>
  <c r="M62" i="2"/>
  <c r="Q62" i="2"/>
  <c r="L63" i="2"/>
  <c r="M63" i="2"/>
  <c r="Q63" i="2"/>
  <c r="L64" i="2"/>
  <c r="M64" i="2"/>
  <c r="Q64" i="2"/>
  <c r="L65" i="2"/>
  <c r="M65" i="2"/>
  <c r="Q65" i="2"/>
  <c r="L66" i="2"/>
  <c r="M66" i="2"/>
  <c r="Q66" i="2"/>
  <c r="L67" i="2"/>
  <c r="M67" i="2"/>
  <c r="Q67" i="2"/>
  <c r="L68" i="2"/>
  <c r="M68" i="2"/>
  <c r="Q68" i="2"/>
  <c r="L69" i="2"/>
  <c r="M69" i="2"/>
  <c r="Q69" i="2"/>
  <c r="L70" i="2"/>
  <c r="M70" i="2"/>
  <c r="Q70" i="2"/>
  <c r="L71" i="2"/>
  <c r="M71" i="2"/>
  <c r="Q71" i="2"/>
  <c r="L72" i="2"/>
  <c r="M72" i="2"/>
  <c r="Q72" i="2"/>
  <c r="L73" i="2"/>
  <c r="M73" i="2"/>
  <c r="Q73" i="2"/>
  <c r="L74" i="2"/>
  <c r="M74" i="2"/>
  <c r="Q74" i="2"/>
  <c r="L75" i="2"/>
  <c r="M75" i="2"/>
  <c r="Q75" i="2"/>
  <c r="L76" i="2"/>
  <c r="M76" i="2"/>
  <c r="Q76" i="2"/>
  <c r="L77" i="2"/>
  <c r="M77" i="2"/>
  <c r="Q77" i="2"/>
  <c r="L78" i="2"/>
  <c r="M78" i="2"/>
  <c r="Q78" i="2"/>
  <c r="L79" i="2"/>
  <c r="M79" i="2"/>
  <c r="Q79" i="2"/>
  <c r="L80" i="2"/>
  <c r="M80" i="2"/>
  <c r="Q80" i="2"/>
  <c r="L81" i="2"/>
  <c r="M81" i="2"/>
  <c r="Q81" i="2"/>
  <c r="L82" i="2"/>
  <c r="M82" i="2"/>
  <c r="Q82" i="2"/>
  <c r="L83" i="2"/>
  <c r="M83" i="2"/>
  <c r="Q83" i="2"/>
  <c r="L84" i="2"/>
  <c r="M84" i="2"/>
  <c r="Q84" i="2"/>
  <c r="L85" i="2"/>
  <c r="M85" i="2"/>
  <c r="Q85" i="2"/>
  <c r="L86" i="2"/>
  <c r="M86" i="2"/>
  <c r="Q86" i="2"/>
  <c r="L87" i="2"/>
  <c r="M87" i="2"/>
  <c r="Q87" i="2"/>
  <c r="L88" i="2"/>
  <c r="M88" i="2"/>
  <c r="Q88" i="2"/>
  <c r="L89" i="2"/>
  <c r="M89" i="2"/>
  <c r="Q89" i="2"/>
  <c r="L90" i="2"/>
  <c r="M90" i="2"/>
  <c r="Q90" i="2"/>
  <c r="L91" i="2"/>
  <c r="M91" i="2"/>
  <c r="Q91" i="2"/>
  <c r="L92" i="2"/>
  <c r="M92" i="2"/>
  <c r="Q92" i="2"/>
  <c r="L93" i="2"/>
  <c r="M93" i="2"/>
  <c r="Q93" i="2"/>
  <c r="L94" i="2"/>
  <c r="M94" i="2"/>
  <c r="Q94" i="2"/>
  <c r="L95" i="2"/>
  <c r="M95" i="2"/>
  <c r="Q95" i="2"/>
  <c r="L96" i="2"/>
  <c r="M96" i="2"/>
  <c r="Q96" i="2"/>
  <c r="L97" i="2"/>
  <c r="M97" i="2"/>
  <c r="Q97" i="2"/>
  <c r="L98" i="2"/>
  <c r="M98" i="2"/>
  <c r="Q98" i="2"/>
  <c r="L99" i="2"/>
  <c r="M99" i="2"/>
  <c r="Q99" i="2"/>
  <c r="L100" i="2"/>
  <c r="M100" i="2"/>
  <c r="Q100" i="2"/>
  <c r="L101" i="2"/>
  <c r="M101" i="2"/>
  <c r="Q101" i="2"/>
  <c r="L102" i="2"/>
  <c r="M102" i="2"/>
  <c r="Q102" i="2"/>
  <c r="L103" i="2"/>
  <c r="M103" i="2"/>
  <c r="Q103" i="2"/>
  <c r="L104" i="2"/>
  <c r="M104" i="2"/>
  <c r="Q104" i="2"/>
  <c r="L105" i="2"/>
  <c r="M105" i="2"/>
  <c r="Q105" i="2"/>
  <c r="L106" i="2"/>
  <c r="M106" i="2"/>
  <c r="Q106" i="2"/>
  <c r="L107" i="2"/>
  <c r="M107" i="2"/>
  <c r="Q107" i="2"/>
  <c r="L108" i="2"/>
  <c r="M108" i="2"/>
  <c r="Q108" i="2"/>
  <c r="L109" i="2"/>
  <c r="M109" i="2"/>
  <c r="Q109" i="2"/>
  <c r="L110" i="2"/>
  <c r="M110" i="2"/>
  <c r="Q110" i="2"/>
  <c r="L111" i="2"/>
  <c r="M111" i="2"/>
  <c r="Q111" i="2"/>
  <c r="L112" i="2"/>
  <c r="M112" i="2"/>
  <c r="Q112" i="2"/>
  <c r="L113" i="2"/>
  <c r="M113" i="2"/>
  <c r="Q113" i="2"/>
  <c r="L114" i="2"/>
  <c r="M114" i="2"/>
  <c r="Q114" i="2"/>
  <c r="L115" i="2"/>
  <c r="M115" i="2"/>
  <c r="Q115" i="2"/>
  <c r="L116" i="2"/>
  <c r="M116" i="2"/>
  <c r="Q116" i="2"/>
  <c r="L117" i="2"/>
  <c r="M117" i="2"/>
  <c r="Q117" i="2"/>
  <c r="L118" i="2"/>
  <c r="M118" i="2"/>
  <c r="Q118" i="2"/>
  <c r="L119" i="2"/>
  <c r="M119" i="2"/>
  <c r="Q119" i="2"/>
  <c r="L120" i="2"/>
  <c r="M120" i="2"/>
  <c r="Q120" i="2"/>
  <c r="L121" i="2"/>
  <c r="M121" i="2"/>
  <c r="Q121" i="2"/>
  <c r="L122" i="2"/>
  <c r="M122" i="2"/>
  <c r="Q122" i="2"/>
  <c r="L123" i="2"/>
  <c r="M123" i="2"/>
  <c r="Q123" i="2"/>
  <c r="L124" i="2"/>
  <c r="M124" i="2"/>
  <c r="Q124" i="2"/>
  <c r="L125" i="2"/>
  <c r="M125" i="2"/>
  <c r="Q125" i="2"/>
  <c r="L126" i="2"/>
  <c r="M126" i="2"/>
  <c r="Q126" i="2"/>
  <c r="L127" i="2"/>
  <c r="M127" i="2"/>
  <c r="Q127" i="2"/>
  <c r="L128" i="2"/>
  <c r="M128" i="2"/>
  <c r="Q128" i="2"/>
  <c r="L129" i="2"/>
  <c r="M129" i="2"/>
  <c r="Q129" i="2"/>
  <c r="L130" i="2"/>
  <c r="M130" i="2"/>
  <c r="Q130" i="2"/>
  <c r="L131" i="2"/>
  <c r="M131" i="2"/>
  <c r="Q131" i="2"/>
  <c r="L132" i="2"/>
  <c r="M132" i="2"/>
  <c r="Q132" i="2"/>
  <c r="L133" i="2"/>
  <c r="M133" i="2"/>
  <c r="Q133" i="2"/>
  <c r="L134" i="2"/>
  <c r="M134" i="2"/>
  <c r="Q134" i="2"/>
  <c r="L135" i="2"/>
  <c r="M135" i="2"/>
  <c r="Q135" i="2"/>
  <c r="L136" i="2"/>
  <c r="M136" i="2"/>
  <c r="Q136" i="2"/>
  <c r="L137" i="2"/>
  <c r="M137" i="2"/>
  <c r="Q137" i="2"/>
  <c r="L138" i="2"/>
  <c r="M138" i="2"/>
  <c r="Q138" i="2"/>
  <c r="L139" i="2"/>
  <c r="M139" i="2"/>
  <c r="Q139" i="2"/>
  <c r="L140" i="2"/>
  <c r="M140" i="2"/>
  <c r="Q140" i="2"/>
  <c r="L141" i="2"/>
  <c r="M141" i="2"/>
  <c r="Q141" i="2"/>
  <c r="L142" i="2"/>
  <c r="M142" i="2"/>
  <c r="Q142" i="2"/>
  <c r="L143" i="2"/>
  <c r="M143" i="2"/>
  <c r="Q143" i="2"/>
  <c r="L144" i="2"/>
  <c r="M144" i="2"/>
  <c r="Q144" i="2"/>
  <c r="L145" i="2"/>
  <c r="M145" i="2"/>
  <c r="Q145" i="2"/>
  <c r="L146" i="2"/>
  <c r="M146" i="2"/>
  <c r="Q146" i="2"/>
  <c r="L147" i="2"/>
  <c r="M147" i="2"/>
  <c r="Q147" i="2"/>
  <c r="L148" i="2"/>
  <c r="M148" i="2"/>
  <c r="Q148" i="2"/>
  <c r="L149" i="2"/>
  <c r="M149" i="2"/>
  <c r="Q149" i="2"/>
  <c r="L150" i="2"/>
  <c r="M150" i="2"/>
  <c r="Q150" i="2"/>
  <c r="L151" i="2"/>
  <c r="M151" i="2"/>
  <c r="Q151" i="2"/>
  <c r="L152" i="2"/>
  <c r="M152" i="2"/>
  <c r="Q152" i="2"/>
  <c r="L153" i="2"/>
  <c r="M153" i="2"/>
  <c r="Q153" i="2"/>
  <c r="L154" i="2"/>
  <c r="M154" i="2"/>
  <c r="Q154" i="2"/>
  <c r="L155" i="2"/>
  <c r="M155" i="2"/>
  <c r="Q155" i="2"/>
  <c r="L156" i="2"/>
  <c r="M156" i="2"/>
  <c r="Q156" i="2"/>
  <c r="L157" i="2"/>
  <c r="M157" i="2"/>
  <c r="Q157" i="2"/>
  <c r="L158" i="2"/>
  <c r="M158" i="2"/>
  <c r="Q158" i="2"/>
  <c r="L159" i="2"/>
  <c r="M159" i="2"/>
  <c r="Q159" i="2"/>
  <c r="L160" i="2"/>
  <c r="M160" i="2"/>
  <c r="Q160" i="2"/>
  <c r="L161" i="2"/>
  <c r="M161" i="2"/>
  <c r="Q161" i="2"/>
  <c r="L162" i="2"/>
  <c r="M162" i="2"/>
  <c r="Q162" i="2"/>
  <c r="L163" i="2"/>
  <c r="M163" i="2"/>
  <c r="Q163" i="2"/>
  <c r="L164" i="2"/>
  <c r="M164" i="2"/>
  <c r="Q164" i="2"/>
  <c r="L165" i="2"/>
  <c r="M165" i="2"/>
  <c r="Q165" i="2"/>
  <c r="L166" i="2"/>
  <c r="M166" i="2"/>
  <c r="Q166" i="2"/>
  <c r="L167" i="2"/>
  <c r="M167" i="2"/>
  <c r="Q167" i="2"/>
  <c r="L168" i="2"/>
  <c r="M168" i="2"/>
  <c r="Q168" i="2"/>
  <c r="L169" i="2"/>
  <c r="M169" i="2"/>
  <c r="Q169" i="2"/>
  <c r="L170" i="2"/>
  <c r="M170" i="2"/>
  <c r="Q170" i="2"/>
  <c r="L171" i="2"/>
  <c r="M171" i="2"/>
  <c r="Q171" i="2"/>
  <c r="L172" i="2"/>
  <c r="M172" i="2"/>
  <c r="Q172" i="2"/>
  <c r="L173" i="2"/>
  <c r="M173" i="2"/>
  <c r="Q173" i="2"/>
  <c r="L174" i="2"/>
  <c r="M174" i="2"/>
  <c r="Q174" i="2"/>
  <c r="L175" i="2"/>
  <c r="M175" i="2"/>
  <c r="Q175" i="2"/>
  <c r="L176" i="2"/>
  <c r="M176" i="2"/>
  <c r="Q176" i="2"/>
  <c r="L177" i="2"/>
  <c r="M177" i="2"/>
  <c r="Q177" i="2"/>
  <c r="L178" i="2"/>
  <c r="M178" i="2"/>
  <c r="Q178" i="2"/>
  <c r="L179" i="2"/>
  <c r="M179" i="2"/>
  <c r="Q179" i="2"/>
  <c r="L180" i="2"/>
  <c r="M180" i="2"/>
  <c r="Q180" i="2"/>
  <c r="L181" i="2"/>
  <c r="M181" i="2"/>
  <c r="Q181" i="2"/>
  <c r="L182" i="2"/>
  <c r="M182" i="2"/>
  <c r="Q182" i="2"/>
  <c r="L183" i="2"/>
  <c r="M183" i="2"/>
  <c r="Q183" i="2"/>
  <c r="L184" i="2"/>
  <c r="M184" i="2"/>
  <c r="Q184" i="2"/>
  <c r="L185" i="2"/>
  <c r="M185" i="2"/>
  <c r="Q185" i="2"/>
  <c r="L186" i="2"/>
  <c r="M186" i="2"/>
  <c r="Q186" i="2"/>
  <c r="L187" i="2"/>
  <c r="M187" i="2"/>
  <c r="Q187" i="2"/>
  <c r="L188" i="2"/>
  <c r="M188" i="2"/>
  <c r="Q188" i="2"/>
  <c r="L189" i="2"/>
  <c r="M189" i="2"/>
  <c r="Q189" i="2"/>
  <c r="L190" i="2"/>
  <c r="M190" i="2"/>
  <c r="Q190" i="2"/>
  <c r="L191" i="2"/>
  <c r="M191" i="2"/>
  <c r="Q191" i="2"/>
  <c r="L192" i="2"/>
  <c r="M192" i="2"/>
  <c r="Q192" i="2"/>
  <c r="L193" i="2"/>
  <c r="M193" i="2"/>
  <c r="Q193" i="2"/>
  <c r="L194" i="2"/>
  <c r="M194" i="2"/>
  <c r="Q194" i="2"/>
  <c r="L195" i="2"/>
  <c r="M195" i="2"/>
  <c r="Q195" i="2"/>
  <c r="L196" i="2"/>
  <c r="M196" i="2"/>
  <c r="Q196" i="2"/>
  <c r="L197" i="2"/>
  <c r="M197" i="2"/>
  <c r="Q197" i="2"/>
  <c r="L198" i="2"/>
  <c r="M198" i="2"/>
  <c r="Q198" i="2"/>
  <c r="L199" i="2"/>
  <c r="M199" i="2"/>
  <c r="Q199" i="2"/>
  <c r="L200" i="2"/>
  <c r="M200" i="2"/>
  <c r="Q200" i="2"/>
  <c r="L201" i="2"/>
  <c r="M201" i="2"/>
  <c r="Q201" i="2"/>
  <c r="L202" i="2"/>
  <c r="M202" i="2"/>
  <c r="Q202" i="2"/>
  <c r="L203" i="2"/>
  <c r="M203" i="2"/>
  <c r="Q203" i="2"/>
  <c r="L204" i="2"/>
  <c r="M204" i="2"/>
  <c r="Q204" i="2"/>
  <c r="L205" i="2"/>
  <c r="M205" i="2"/>
  <c r="Q205" i="2"/>
  <c r="L206" i="2"/>
  <c r="M206" i="2"/>
  <c r="Q206" i="2"/>
  <c r="L207" i="2"/>
  <c r="M207" i="2"/>
  <c r="Q207" i="2"/>
  <c r="L208" i="2"/>
  <c r="M208" i="2"/>
  <c r="Q208" i="2"/>
  <c r="L209" i="2"/>
  <c r="M209" i="2"/>
  <c r="Q209" i="2"/>
  <c r="L210" i="2"/>
  <c r="M210" i="2"/>
  <c r="Q210" i="2"/>
  <c r="L211" i="2"/>
  <c r="M211" i="2"/>
  <c r="Q211" i="2"/>
  <c r="L212" i="2"/>
  <c r="M212" i="2"/>
  <c r="Q212" i="2"/>
  <c r="L213" i="2"/>
  <c r="M213" i="2"/>
  <c r="Q213" i="2"/>
  <c r="L214" i="2"/>
  <c r="M214" i="2"/>
  <c r="Q214" i="2"/>
  <c r="L215" i="2"/>
  <c r="M215" i="2"/>
  <c r="Q215" i="2"/>
  <c r="L216" i="2"/>
  <c r="M216" i="2"/>
  <c r="Q216" i="2"/>
  <c r="L217" i="2"/>
  <c r="M217" i="2"/>
  <c r="Q217" i="2"/>
  <c r="Q15" i="2"/>
  <c r="AT5" i="2"/>
  <c r="AT9" i="2"/>
  <c r="AT6" i="2"/>
  <c r="AT12" i="2"/>
  <c r="AT17" i="2"/>
  <c r="C22" i="1"/>
  <c r="D22" i="1"/>
  <c r="D19" i="1"/>
  <c r="D24" i="1"/>
  <c r="B27" i="1"/>
  <c r="B14" i="1"/>
  <c r="C14" i="1"/>
  <c r="D14" i="1"/>
  <c r="C21" i="1"/>
  <c r="D21" i="1"/>
  <c r="D20" i="1"/>
  <c r="D27" i="1"/>
  <c r="AS17" i="2"/>
  <c r="C30" i="1"/>
  <c r="D26" i="1"/>
  <c r="AU17" i="2"/>
  <c r="AV17" i="2"/>
  <c r="AW17" i="2"/>
  <c r="AT13" i="2"/>
  <c r="AX17" i="2"/>
  <c r="AY17" i="2"/>
  <c r="AZ17" i="2"/>
  <c r="AT18" i="2"/>
  <c r="AS18" i="2"/>
  <c r="AU18" i="2"/>
  <c r="AV18" i="2"/>
  <c r="AW18" i="2"/>
  <c r="AX18" i="2"/>
  <c r="AY18" i="2"/>
  <c r="AZ18" i="2"/>
  <c r="AT19" i="2"/>
  <c r="AS19" i="2"/>
  <c r="AU19" i="2"/>
  <c r="AV19" i="2"/>
  <c r="AW19" i="2"/>
  <c r="AX19" i="2"/>
  <c r="AY19" i="2"/>
  <c r="AZ19" i="2"/>
  <c r="AT20" i="2"/>
  <c r="AS20" i="2"/>
  <c r="AU20" i="2"/>
  <c r="AV20" i="2"/>
  <c r="AW20" i="2"/>
  <c r="AX20" i="2"/>
  <c r="AY20" i="2"/>
  <c r="AZ20" i="2"/>
  <c r="AT21" i="2"/>
  <c r="AS21" i="2"/>
  <c r="AU21" i="2"/>
  <c r="AV21" i="2"/>
  <c r="AW21" i="2"/>
  <c r="AX21" i="2"/>
  <c r="AY21" i="2"/>
  <c r="AZ21" i="2"/>
  <c r="AT22" i="2"/>
  <c r="AS22" i="2"/>
  <c r="AU22" i="2"/>
  <c r="AV22" i="2"/>
  <c r="AW22" i="2"/>
  <c r="AX22" i="2"/>
  <c r="AY22" i="2"/>
  <c r="AZ22" i="2"/>
  <c r="AT23" i="2"/>
  <c r="AS23" i="2"/>
  <c r="AU23" i="2"/>
  <c r="AV23" i="2"/>
  <c r="AW23" i="2"/>
  <c r="AX23" i="2"/>
  <c r="AY23" i="2"/>
  <c r="AZ23" i="2"/>
  <c r="AT24" i="2"/>
  <c r="AS24" i="2"/>
  <c r="AU24" i="2"/>
  <c r="AV24" i="2"/>
  <c r="AW24" i="2"/>
  <c r="AX24" i="2"/>
  <c r="AY24" i="2"/>
  <c r="AZ24" i="2"/>
  <c r="AT25" i="2"/>
  <c r="AS25" i="2"/>
  <c r="AU25" i="2"/>
  <c r="AV25" i="2"/>
  <c r="AW25" i="2"/>
  <c r="AX25" i="2"/>
  <c r="AY25" i="2"/>
  <c r="AZ25" i="2"/>
  <c r="AT26" i="2"/>
  <c r="AS26" i="2"/>
  <c r="AU26" i="2"/>
  <c r="AV26" i="2"/>
  <c r="AW26" i="2"/>
  <c r="AX26" i="2"/>
  <c r="AY26" i="2"/>
  <c r="AZ26" i="2"/>
  <c r="AT27" i="2"/>
  <c r="AS27" i="2"/>
  <c r="AU27" i="2"/>
  <c r="AV27" i="2"/>
  <c r="AW27" i="2"/>
  <c r="AX27" i="2"/>
  <c r="AY27" i="2"/>
  <c r="AZ27" i="2"/>
  <c r="AT28" i="2"/>
  <c r="AS28" i="2"/>
  <c r="AU28" i="2"/>
  <c r="AV28" i="2"/>
  <c r="AW28" i="2"/>
  <c r="AX28" i="2"/>
  <c r="AY28" i="2"/>
  <c r="AZ28" i="2"/>
  <c r="AT29" i="2"/>
  <c r="AS29" i="2"/>
  <c r="AU29" i="2"/>
  <c r="AV29" i="2"/>
  <c r="AW29" i="2"/>
  <c r="AX29" i="2"/>
  <c r="AY29" i="2"/>
  <c r="AZ29" i="2"/>
  <c r="AT30" i="2"/>
  <c r="AS30" i="2"/>
  <c r="AU30" i="2"/>
  <c r="AV30" i="2"/>
  <c r="AW30" i="2"/>
  <c r="AX30" i="2"/>
  <c r="AY30" i="2"/>
  <c r="AZ30" i="2"/>
  <c r="AT31" i="2"/>
  <c r="AS31" i="2"/>
  <c r="AU31" i="2"/>
  <c r="AV31" i="2"/>
  <c r="AW31" i="2"/>
  <c r="AX31" i="2"/>
  <c r="AY31" i="2"/>
  <c r="AZ31" i="2"/>
  <c r="AT32" i="2"/>
  <c r="AS32" i="2"/>
  <c r="AU32" i="2"/>
  <c r="AV32" i="2"/>
  <c r="AW32" i="2"/>
  <c r="AX32" i="2"/>
  <c r="AY32" i="2"/>
  <c r="AZ32" i="2"/>
  <c r="AT33" i="2"/>
  <c r="AS33" i="2"/>
  <c r="AU33" i="2"/>
  <c r="AV33" i="2"/>
  <c r="AW33" i="2"/>
  <c r="AX33" i="2"/>
  <c r="AY33" i="2"/>
  <c r="AZ33" i="2"/>
  <c r="AT34" i="2"/>
  <c r="AS34" i="2"/>
  <c r="AU34" i="2"/>
  <c r="AV34" i="2"/>
  <c r="AW34" i="2"/>
  <c r="AX34" i="2"/>
  <c r="AY34" i="2"/>
  <c r="AZ34" i="2"/>
  <c r="AT35" i="2"/>
  <c r="AS35" i="2"/>
  <c r="AU35" i="2"/>
  <c r="AV35" i="2"/>
  <c r="AW35" i="2"/>
  <c r="AX35" i="2"/>
  <c r="AY35" i="2"/>
  <c r="AZ35" i="2"/>
  <c r="AT36" i="2"/>
  <c r="AS36" i="2"/>
  <c r="AU36" i="2"/>
  <c r="AV36" i="2"/>
  <c r="AW36" i="2"/>
  <c r="AX36" i="2"/>
  <c r="AY36" i="2"/>
  <c r="AZ36" i="2"/>
  <c r="AT37" i="2"/>
  <c r="AS37" i="2"/>
  <c r="AU37" i="2"/>
  <c r="AV37" i="2"/>
  <c r="AW37" i="2"/>
  <c r="AX37" i="2"/>
  <c r="AY37" i="2"/>
  <c r="AZ37" i="2"/>
  <c r="AT38" i="2"/>
  <c r="AS38" i="2"/>
  <c r="AU38" i="2"/>
  <c r="AV38" i="2"/>
  <c r="AW38" i="2"/>
  <c r="AX38" i="2"/>
  <c r="AY38" i="2"/>
  <c r="AZ38" i="2"/>
  <c r="AT39" i="2"/>
  <c r="AS39" i="2"/>
  <c r="AU39" i="2"/>
  <c r="AV39" i="2"/>
  <c r="AW39" i="2"/>
  <c r="AX39" i="2"/>
  <c r="AY39" i="2"/>
  <c r="AZ39" i="2"/>
  <c r="AT40" i="2"/>
  <c r="AS40" i="2"/>
  <c r="AU40" i="2"/>
  <c r="AV40" i="2"/>
  <c r="AW40" i="2"/>
  <c r="AX40" i="2"/>
  <c r="AY40" i="2"/>
  <c r="AZ40" i="2"/>
  <c r="AT41" i="2"/>
  <c r="AS41" i="2"/>
  <c r="AU41" i="2"/>
  <c r="AV41" i="2"/>
  <c r="AW41" i="2"/>
  <c r="AX41" i="2"/>
  <c r="AY41" i="2"/>
  <c r="AZ41" i="2"/>
  <c r="AT42" i="2"/>
  <c r="AS42" i="2"/>
  <c r="AU42" i="2"/>
  <c r="AV42" i="2"/>
  <c r="AW42" i="2"/>
  <c r="AX42" i="2"/>
  <c r="AY42" i="2"/>
  <c r="AZ42" i="2"/>
  <c r="AT43" i="2"/>
  <c r="AS43" i="2"/>
  <c r="AU43" i="2"/>
  <c r="AV43" i="2"/>
  <c r="AW43" i="2"/>
  <c r="AX43" i="2"/>
  <c r="AY43" i="2"/>
  <c r="AZ43" i="2"/>
  <c r="AT44" i="2"/>
  <c r="AS44" i="2"/>
  <c r="AU44" i="2"/>
  <c r="AV44" i="2"/>
  <c r="AW44" i="2"/>
  <c r="AX44" i="2"/>
  <c r="AY44" i="2"/>
  <c r="AZ44" i="2"/>
  <c r="AT45" i="2"/>
  <c r="AS45" i="2"/>
  <c r="AU45" i="2"/>
  <c r="AV45" i="2"/>
  <c r="AW45" i="2"/>
  <c r="AX45" i="2"/>
  <c r="AY45" i="2"/>
  <c r="AZ45" i="2"/>
  <c r="AT46" i="2"/>
  <c r="AS46" i="2"/>
  <c r="AU46" i="2"/>
  <c r="AV46" i="2"/>
  <c r="AW46" i="2"/>
  <c r="AX46" i="2"/>
  <c r="AY46" i="2"/>
  <c r="AZ46" i="2"/>
  <c r="AT47" i="2"/>
  <c r="AS47" i="2"/>
  <c r="AU47" i="2"/>
  <c r="AV47" i="2"/>
  <c r="AW47" i="2"/>
  <c r="AX47" i="2"/>
  <c r="AY47" i="2"/>
  <c r="AZ47" i="2"/>
  <c r="AT48" i="2"/>
  <c r="AS48" i="2"/>
  <c r="AU48" i="2"/>
  <c r="AV48" i="2"/>
  <c r="AW48" i="2"/>
  <c r="AX48" i="2"/>
  <c r="AY48" i="2"/>
  <c r="AZ48" i="2"/>
  <c r="AT49" i="2"/>
  <c r="AS49" i="2"/>
  <c r="AU49" i="2"/>
  <c r="AV49" i="2"/>
  <c r="AW49" i="2"/>
  <c r="AX49" i="2"/>
  <c r="AY49" i="2"/>
  <c r="AZ49" i="2"/>
  <c r="AT50" i="2"/>
  <c r="AS50" i="2"/>
  <c r="AU50" i="2"/>
  <c r="AV50" i="2"/>
  <c r="AW50" i="2"/>
  <c r="AX50" i="2"/>
  <c r="AY50" i="2"/>
  <c r="AZ50" i="2"/>
  <c r="AT51" i="2"/>
  <c r="AS51" i="2"/>
  <c r="AU51" i="2"/>
  <c r="AV51" i="2"/>
  <c r="AW51" i="2"/>
  <c r="AX51" i="2"/>
  <c r="AY51" i="2"/>
  <c r="AZ51" i="2"/>
  <c r="AT52" i="2"/>
  <c r="AS52" i="2"/>
  <c r="AU52" i="2"/>
  <c r="AV52" i="2"/>
  <c r="AW52" i="2"/>
  <c r="AX52" i="2"/>
  <c r="AY52" i="2"/>
  <c r="AZ52" i="2"/>
  <c r="AT53" i="2"/>
  <c r="AS53" i="2"/>
  <c r="AU53" i="2"/>
  <c r="AV53" i="2"/>
  <c r="AW53" i="2"/>
  <c r="AX53" i="2"/>
  <c r="AY53" i="2"/>
  <c r="AZ53" i="2"/>
  <c r="AT54" i="2"/>
  <c r="AS54" i="2"/>
  <c r="AU54" i="2"/>
  <c r="AV54" i="2"/>
  <c r="AW54" i="2"/>
  <c r="AX54" i="2"/>
  <c r="AY54" i="2"/>
  <c r="AZ54" i="2"/>
  <c r="AT55" i="2"/>
  <c r="AS55" i="2"/>
  <c r="AU55" i="2"/>
  <c r="AV55" i="2"/>
  <c r="AW55" i="2"/>
  <c r="AX55" i="2"/>
  <c r="AY55" i="2"/>
  <c r="AZ55" i="2"/>
  <c r="AT56" i="2"/>
  <c r="AS56" i="2"/>
  <c r="AU56" i="2"/>
  <c r="AV56" i="2"/>
  <c r="AW56" i="2"/>
  <c r="AX56" i="2"/>
  <c r="AY56" i="2"/>
  <c r="AZ56" i="2"/>
  <c r="AT57" i="2"/>
  <c r="AS57" i="2"/>
  <c r="AU57" i="2"/>
  <c r="AV57" i="2"/>
  <c r="AW57" i="2"/>
  <c r="AX57" i="2"/>
  <c r="AY57" i="2"/>
  <c r="AZ57" i="2"/>
  <c r="AT58" i="2"/>
  <c r="AS58" i="2"/>
  <c r="AU58" i="2"/>
  <c r="AV58" i="2"/>
  <c r="AW58" i="2"/>
  <c r="AX58" i="2"/>
  <c r="AY58" i="2"/>
  <c r="AZ58" i="2"/>
  <c r="AT59" i="2"/>
  <c r="AS59" i="2"/>
  <c r="AU59" i="2"/>
  <c r="AV59" i="2"/>
  <c r="AW59" i="2"/>
  <c r="AX59" i="2"/>
  <c r="AY59" i="2"/>
  <c r="AZ59" i="2"/>
  <c r="AT60" i="2"/>
  <c r="AS60" i="2"/>
  <c r="AU60" i="2"/>
  <c r="AV60" i="2"/>
  <c r="AW60" i="2"/>
  <c r="AX60" i="2"/>
  <c r="AY60" i="2"/>
  <c r="AZ60" i="2"/>
  <c r="AT61" i="2"/>
  <c r="AS61" i="2"/>
  <c r="AU61" i="2"/>
  <c r="AV61" i="2"/>
  <c r="AW61" i="2"/>
  <c r="AX61" i="2"/>
  <c r="AY61" i="2"/>
  <c r="AZ61" i="2"/>
  <c r="AT62" i="2"/>
  <c r="AS62" i="2"/>
  <c r="AU62" i="2"/>
  <c r="AV62" i="2"/>
  <c r="AW62" i="2"/>
  <c r="AX62" i="2"/>
  <c r="AY62" i="2"/>
  <c r="AZ62" i="2"/>
  <c r="AT63" i="2"/>
  <c r="AS63" i="2"/>
  <c r="AU63" i="2"/>
  <c r="AV63" i="2"/>
  <c r="AW63" i="2"/>
  <c r="AX63" i="2"/>
  <c r="AY63" i="2"/>
  <c r="AZ63" i="2"/>
  <c r="AT64" i="2"/>
  <c r="AS64" i="2"/>
  <c r="AU64" i="2"/>
  <c r="AV64" i="2"/>
  <c r="AW64" i="2"/>
  <c r="AX64" i="2"/>
  <c r="AY64" i="2"/>
  <c r="AZ64" i="2"/>
  <c r="AT65" i="2"/>
  <c r="AS65" i="2"/>
  <c r="AU65" i="2"/>
  <c r="AV65" i="2"/>
  <c r="AW65" i="2"/>
  <c r="AX65" i="2"/>
  <c r="AY65" i="2"/>
  <c r="AZ65" i="2"/>
  <c r="AT66" i="2"/>
  <c r="AS66" i="2"/>
  <c r="AU66" i="2"/>
  <c r="AV66" i="2"/>
  <c r="AW66" i="2"/>
  <c r="AX66" i="2"/>
  <c r="AY66" i="2"/>
  <c r="AZ66" i="2"/>
  <c r="AT67" i="2"/>
  <c r="AS67" i="2"/>
  <c r="AU67" i="2"/>
  <c r="AV67" i="2"/>
  <c r="AW67" i="2"/>
  <c r="AX67" i="2"/>
  <c r="AY67" i="2"/>
  <c r="AZ67" i="2"/>
  <c r="AT68" i="2"/>
  <c r="AS68" i="2"/>
  <c r="AU68" i="2"/>
  <c r="AV68" i="2"/>
  <c r="AW68" i="2"/>
  <c r="AX68" i="2"/>
  <c r="AY68" i="2"/>
  <c r="AZ68" i="2"/>
  <c r="AT69" i="2"/>
  <c r="AS69" i="2"/>
  <c r="AU69" i="2"/>
  <c r="AV69" i="2"/>
  <c r="AW69" i="2"/>
  <c r="AX69" i="2"/>
  <c r="AY69" i="2"/>
  <c r="AZ69" i="2"/>
  <c r="AT70" i="2"/>
  <c r="AS70" i="2"/>
  <c r="AU70" i="2"/>
  <c r="AV70" i="2"/>
  <c r="AW70" i="2"/>
  <c r="AX70" i="2"/>
  <c r="AY70" i="2"/>
  <c r="AZ70" i="2"/>
  <c r="AT71" i="2"/>
  <c r="AS71" i="2"/>
  <c r="AU71" i="2"/>
  <c r="AV71" i="2"/>
  <c r="AW71" i="2"/>
  <c r="AX71" i="2"/>
  <c r="AY71" i="2"/>
  <c r="AZ71" i="2"/>
  <c r="AT72" i="2"/>
  <c r="AS72" i="2"/>
  <c r="AU72" i="2"/>
  <c r="AV72" i="2"/>
  <c r="AW72" i="2"/>
  <c r="AX72" i="2"/>
  <c r="AY72" i="2"/>
  <c r="AZ72" i="2"/>
  <c r="AT73" i="2"/>
  <c r="AS73" i="2"/>
  <c r="AU73" i="2"/>
  <c r="AV73" i="2"/>
  <c r="AW73" i="2"/>
  <c r="AX73" i="2"/>
  <c r="AY73" i="2"/>
  <c r="AZ73" i="2"/>
  <c r="AT74" i="2"/>
  <c r="AS74" i="2"/>
  <c r="AU74" i="2"/>
  <c r="AV74" i="2"/>
  <c r="AW74" i="2"/>
  <c r="AX74" i="2"/>
  <c r="AY74" i="2"/>
  <c r="AZ74" i="2"/>
  <c r="AT75" i="2"/>
  <c r="AS75" i="2"/>
  <c r="AU75" i="2"/>
  <c r="AV75" i="2"/>
  <c r="AW75" i="2"/>
  <c r="AX75" i="2"/>
  <c r="AY75" i="2"/>
  <c r="AZ75" i="2"/>
  <c r="AT76" i="2"/>
  <c r="AS76" i="2"/>
  <c r="AU76" i="2"/>
  <c r="AV76" i="2"/>
  <c r="AW76" i="2"/>
  <c r="AX76" i="2"/>
  <c r="AY76" i="2"/>
  <c r="AZ76" i="2"/>
  <c r="AT77" i="2"/>
  <c r="AS77" i="2"/>
  <c r="AU77" i="2"/>
  <c r="AV77" i="2"/>
  <c r="AW77" i="2"/>
  <c r="AX77" i="2"/>
  <c r="AY77" i="2"/>
  <c r="AZ77" i="2"/>
  <c r="AT78" i="2"/>
  <c r="AS78" i="2"/>
  <c r="AU78" i="2"/>
  <c r="AV78" i="2"/>
  <c r="AW78" i="2"/>
  <c r="AX78" i="2"/>
  <c r="AY78" i="2"/>
  <c r="AZ78" i="2"/>
  <c r="AT79" i="2"/>
  <c r="AS79" i="2"/>
  <c r="AU79" i="2"/>
  <c r="AV79" i="2"/>
  <c r="AW79" i="2"/>
  <c r="AX79" i="2"/>
  <c r="AY79" i="2"/>
  <c r="AZ79" i="2"/>
  <c r="AT80" i="2"/>
  <c r="AS80" i="2"/>
  <c r="AU80" i="2"/>
  <c r="AV80" i="2"/>
  <c r="AW80" i="2"/>
  <c r="AX80" i="2"/>
  <c r="AY80" i="2"/>
  <c r="AZ80" i="2"/>
  <c r="AT81" i="2"/>
  <c r="AS81" i="2"/>
  <c r="AU81" i="2"/>
  <c r="AV81" i="2"/>
  <c r="AW81" i="2"/>
  <c r="AX81" i="2"/>
  <c r="AY81" i="2"/>
  <c r="AZ81" i="2"/>
  <c r="AT82" i="2"/>
  <c r="AS82" i="2"/>
  <c r="AU82" i="2"/>
  <c r="AV82" i="2"/>
  <c r="AW82" i="2"/>
  <c r="AX82" i="2"/>
  <c r="AY82" i="2"/>
  <c r="AZ82" i="2"/>
  <c r="AT83" i="2"/>
  <c r="AS83" i="2"/>
  <c r="AU83" i="2"/>
  <c r="AV83" i="2"/>
  <c r="AW83" i="2"/>
  <c r="AX83" i="2"/>
  <c r="AY83" i="2"/>
  <c r="AZ83" i="2"/>
  <c r="AT84" i="2"/>
  <c r="AS84" i="2"/>
  <c r="AU84" i="2"/>
  <c r="AV84" i="2"/>
  <c r="AW84" i="2"/>
  <c r="AX84" i="2"/>
  <c r="AY84" i="2"/>
  <c r="AZ84" i="2"/>
  <c r="AT85" i="2"/>
  <c r="AS85" i="2"/>
  <c r="AU85" i="2"/>
  <c r="AV85" i="2"/>
  <c r="AW85" i="2"/>
  <c r="AX85" i="2"/>
  <c r="AY85" i="2"/>
  <c r="AZ85" i="2"/>
  <c r="AT86" i="2"/>
  <c r="AS86" i="2"/>
  <c r="AU86" i="2"/>
  <c r="AV86" i="2"/>
  <c r="AW86" i="2"/>
  <c r="AX86" i="2"/>
  <c r="AY86" i="2"/>
  <c r="AZ86" i="2"/>
  <c r="AT87" i="2"/>
  <c r="AS87" i="2"/>
  <c r="AU87" i="2"/>
  <c r="AV87" i="2"/>
  <c r="AW87" i="2"/>
  <c r="AX87" i="2"/>
  <c r="AY87" i="2"/>
  <c r="AZ87" i="2"/>
  <c r="AT88" i="2"/>
  <c r="AS88" i="2"/>
  <c r="AU88" i="2"/>
  <c r="AV88" i="2"/>
  <c r="AW88" i="2"/>
  <c r="AX88" i="2"/>
  <c r="AY88" i="2"/>
  <c r="AZ88" i="2"/>
  <c r="AT89" i="2"/>
  <c r="AS89" i="2"/>
  <c r="AU89" i="2"/>
  <c r="AV89" i="2"/>
  <c r="AW89" i="2"/>
  <c r="AX89" i="2"/>
  <c r="AY89" i="2"/>
  <c r="AZ89" i="2"/>
  <c r="AT90" i="2"/>
  <c r="AS90" i="2"/>
  <c r="AU90" i="2"/>
  <c r="AV90" i="2"/>
  <c r="AW90" i="2"/>
  <c r="AX90" i="2"/>
  <c r="AY90" i="2"/>
  <c r="AZ90" i="2"/>
  <c r="AT91" i="2"/>
  <c r="AS91" i="2"/>
  <c r="AU91" i="2"/>
  <c r="AV91" i="2"/>
  <c r="AW91" i="2"/>
  <c r="AX91" i="2"/>
  <c r="AY91" i="2"/>
  <c r="AZ91" i="2"/>
  <c r="AT92" i="2"/>
  <c r="AS92" i="2"/>
  <c r="AU92" i="2"/>
  <c r="AV92" i="2"/>
  <c r="AW92" i="2"/>
  <c r="AX92" i="2"/>
  <c r="AY92" i="2"/>
  <c r="AZ92" i="2"/>
  <c r="AT93" i="2"/>
  <c r="AS93" i="2"/>
  <c r="AU93" i="2"/>
  <c r="AV93" i="2"/>
  <c r="AW93" i="2"/>
  <c r="AX93" i="2"/>
  <c r="AY93" i="2"/>
  <c r="AZ93" i="2"/>
  <c r="AT94" i="2"/>
  <c r="AS94" i="2"/>
  <c r="AU94" i="2"/>
  <c r="AV94" i="2"/>
  <c r="AW94" i="2"/>
  <c r="AX94" i="2"/>
  <c r="AY94" i="2"/>
  <c r="AZ94" i="2"/>
  <c r="AT95" i="2"/>
  <c r="AS95" i="2"/>
  <c r="AU95" i="2"/>
  <c r="AV95" i="2"/>
  <c r="AW95" i="2"/>
  <c r="AX95" i="2"/>
  <c r="AY95" i="2"/>
  <c r="AZ95" i="2"/>
  <c r="AT96" i="2"/>
  <c r="AS96" i="2"/>
  <c r="AU96" i="2"/>
  <c r="AV96" i="2"/>
  <c r="AW96" i="2"/>
  <c r="AX96" i="2"/>
  <c r="AY96" i="2"/>
  <c r="AZ96" i="2"/>
  <c r="AT97" i="2"/>
  <c r="AS97" i="2"/>
  <c r="AU97" i="2"/>
  <c r="AV97" i="2"/>
  <c r="AW97" i="2"/>
  <c r="AX97" i="2"/>
  <c r="AY97" i="2"/>
  <c r="AZ97" i="2"/>
  <c r="AT98" i="2"/>
  <c r="AS98" i="2"/>
  <c r="AU98" i="2"/>
  <c r="AV98" i="2"/>
  <c r="AW98" i="2"/>
  <c r="AX98" i="2"/>
  <c r="AY98" i="2"/>
  <c r="AZ98" i="2"/>
  <c r="AT99" i="2"/>
  <c r="AS99" i="2"/>
  <c r="AU99" i="2"/>
  <c r="AV99" i="2"/>
  <c r="AW99" i="2"/>
  <c r="AX99" i="2"/>
  <c r="AY99" i="2"/>
  <c r="AZ99" i="2"/>
  <c r="AT100" i="2"/>
  <c r="AS100" i="2"/>
  <c r="AU100" i="2"/>
  <c r="AV100" i="2"/>
  <c r="AW100" i="2"/>
  <c r="AX100" i="2"/>
  <c r="AY100" i="2"/>
  <c r="AZ100" i="2"/>
  <c r="AT101" i="2"/>
  <c r="AS101" i="2"/>
  <c r="AU101" i="2"/>
  <c r="AV101" i="2"/>
  <c r="AW101" i="2"/>
  <c r="AX101" i="2"/>
  <c r="AY101" i="2"/>
  <c r="AZ101" i="2"/>
  <c r="AT102" i="2"/>
  <c r="AS102" i="2"/>
  <c r="AU102" i="2"/>
  <c r="AV102" i="2"/>
  <c r="AW102" i="2"/>
  <c r="AX102" i="2"/>
  <c r="AY102" i="2"/>
  <c r="AZ102" i="2"/>
  <c r="AT103" i="2"/>
  <c r="AS103" i="2"/>
  <c r="AU103" i="2"/>
  <c r="AV103" i="2"/>
  <c r="AW103" i="2"/>
  <c r="AX103" i="2"/>
  <c r="AY103" i="2"/>
  <c r="AZ103" i="2"/>
  <c r="AT104" i="2"/>
  <c r="AS104" i="2"/>
  <c r="AU104" i="2"/>
  <c r="AV104" i="2"/>
  <c r="AW104" i="2"/>
  <c r="AX104" i="2"/>
  <c r="AY104" i="2"/>
  <c r="AZ104" i="2"/>
  <c r="AT105" i="2"/>
  <c r="AS105" i="2"/>
  <c r="AU105" i="2"/>
  <c r="AV105" i="2"/>
  <c r="AW105" i="2"/>
  <c r="AX105" i="2"/>
  <c r="AY105" i="2"/>
  <c r="AZ105" i="2"/>
  <c r="AT106" i="2"/>
  <c r="AS106" i="2"/>
  <c r="AU106" i="2"/>
  <c r="AV106" i="2"/>
  <c r="AW106" i="2"/>
  <c r="AX106" i="2"/>
  <c r="AY106" i="2"/>
  <c r="AZ106" i="2"/>
  <c r="AT107" i="2"/>
  <c r="AS107" i="2"/>
  <c r="AU107" i="2"/>
  <c r="AV107" i="2"/>
  <c r="AW107" i="2"/>
  <c r="AX107" i="2"/>
  <c r="AY107" i="2"/>
  <c r="AZ107" i="2"/>
  <c r="AT108" i="2"/>
  <c r="AS108" i="2"/>
  <c r="AU108" i="2"/>
  <c r="AV108" i="2"/>
  <c r="AW108" i="2"/>
  <c r="AX108" i="2"/>
  <c r="AY108" i="2"/>
  <c r="AZ108" i="2"/>
  <c r="AT109" i="2"/>
  <c r="AS109" i="2"/>
  <c r="AU109" i="2"/>
  <c r="AV109" i="2"/>
  <c r="AW109" i="2"/>
  <c r="AX109" i="2"/>
  <c r="AY109" i="2"/>
  <c r="AZ109" i="2"/>
  <c r="AT110" i="2"/>
  <c r="AS110" i="2"/>
  <c r="AU110" i="2"/>
  <c r="AV110" i="2"/>
  <c r="AW110" i="2"/>
  <c r="AX110" i="2"/>
  <c r="AY110" i="2"/>
  <c r="AZ110" i="2"/>
  <c r="AT111" i="2"/>
  <c r="AS111" i="2"/>
  <c r="AU111" i="2"/>
  <c r="AV111" i="2"/>
  <c r="AW111" i="2"/>
  <c r="D52" i="1"/>
  <c r="AX111" i="2"/>
  <c r="AY111" i="2"/>
  <c r="AZ111" i="2"/>
  <c r="AT112" i="2"/>
  <c r="AS112" i="2"/>
  <c r="AU112" i="2"/>
  <c r="AV112" i="2"/>
  <c r="AW112" i="2"/>
  <c r="AX112" i="2"/>
  <c r="AY112" i="2"/>
  <c r="AZ112" i="2"/>
  <c r="AT113" i="2"/>
  <c r="AS113" i="2"/>
  <c r="AU113" i="2"/>
  <c r="AV113" i="2"/>
  <c r="AW113" i="2"/>
  <c r="AX113" i="2"/>
  <c r="AY113" i="2"/>
  <c r="AZ113" i="2"/>
  <c r="AT114" i="2"/>
  <c r="AS114" i="2"/>
  <c r="AU114" i="2"/>
  <c r="AV114" i="2"/>
  <c r="AW114" i="2"/>
  <c r="AX114" i="2"/>
  <c r="AY114" i="2"/>
  <c r="AZ114" i="2"/>
  <c r="AT115" i="2"/>
  <c r="AS115" i="2"/>
  <c r="AU115" i="2"/>
  <c r="AV115" i="2"/>
  <c r="AW115" i="2"/>
  <c r="AX115" i="2"/>
  <c r="AY115" i="2"/>
  <c r="AZ115" i="2"/>
  <c r="AT116" i="2"/>
  <c r="AS116" i="2"/>
  <c r="AU116" i="2"/>
  <c r="AV116" i="2"/>
  <c r="AW116" i="2"/>
  <c r="AX116" i="2"/>
  <c r="AY116" i="2"/>
  <c r="AZ116" i="2"/>
  <c r="AT117" i="2"/>
  <c r="AS117" i="2"/>
  <c r="AU117" i="2"/>
  <c r="AV117" i="2"/>
  <c r="AW117" i="2"/>
  <c r="AX117" i="2"/>
  <c r="AY117" i="2"/>
  <c r="AZ117" i="2"/>
  <c r="AT118" i="2"/>
  <c r="AS118" i="2"/>
  <c r="AU118" i="2"/>
  <c r="AV118" i="2"/>
  <c r="AW118" i="2"/>
  <c r="AX118" i="2"/>
  <c r="AY118" i="2"/>
  <c r="AZ118" i="2"/>
  <c r="AT119" i="2"/>
  <c r="AS119" i="2"/>
  <c r="AU119" i="2"/>
  <c r="AV119" i="2"/>
  <c r="AW119" i="2"/>
  <c r="AX119" i="2"/>
  <c r="AY119" i="2"/>
  <c r="AZ119" i="2"/>
  <c r="AT120" i="2"/>
  <c r="AS120" i="2"/>
  <c r="AU120" i="2"/>
  <c r="AV120" i="2"/>
  <c r="AW120" i="2"/>
  <c r="AX120" i="2"/>
  <c r="AY120" i="2"/>
  <c r="AZ120" i="2"/>
  <c r="AT121" i="2"/>
  <c r="AS121" i="2"/>
  <c r="AU121" i="2"/>
  <c r="AV121" i="2"/>
  <c r="AW121" i="2"/>
  <c r="AX121" i="2"/>
  <c r="AY121" i="2"/>
  <c r="AZ121" i="2"/>
  <c r="AT122" i="2"/>
  <c r="AS122" i="2"/>
  <c r="AU122" i="2"/>
  <c r="AV122" i="2"/>
  <c r="AW122" i="2"/>
  <c r="AX122" i="2"/>
  <c r="AY122" i="2"/>
  <c r="AZ122" i="2"/>
  <c r="AT123" i="2"/>
  <c r="AS123" i="2"/>
  <c r="AU123" i="2"/>
  <c r="AV123" i="2"/>
  <c r="AW123" i="2"/>
  <c r="AX123" i="2"/>
  <c r="AY123" i="2"/>
  <c r="AZ123" i="2"/>
  <c r="AT124" i="2"/>
  <c r="AS124" i="2"/>
  <c r="AU124" i="2"/>
  <c r="AV124" i="2"/>
  <c r="AW124" i="2"/>
  <c r="AX124" i="2"/>
  <c r="AY124" i="2"/>
  <c r="AZ124" i="2"/>
  <c r="AT125" i="2"/>
  <c r="AS125" i="2"/>
  <c r="AU125" i="2"/>
  <c r="AV125" i="2"/>
  <c r="AW125" i="2"/>
  <c r="AX125" i="2"/>
  <c r="AY125" i="2"/>
  <c r="AZ125" i="2"/>
  <c r="AT126" i="2"/>
  <c r="AS126" i="2"/>
  <c r="AU126" i="2"/>
  <c r="AV126" i="2"/>
  <c r="AW126" i="2"/>
  <c r="AX126" i="2"/>
  <c r="AY126" i="2"/>
  <c r="AZ126" i="2"/>
  <c r="AT127" i="2"/>
  <c r="AS127" i="2"/>
  <c r="AU127" i="2"/>
  <c r="AV127" i="2"/>
  <c r="AW127" i="2"/>
  <c r="AX127" i="2"/>
  <c r="AY127" i="2"/>
  <c r="AZ127" i="2"/>
  <c r="AT128" i="2"/>
  <c r="AS128" i="2"/>
  <c r="AU128" i="2"/>
  <c r="AV128" i="2"/>
  <c r="AW128" i="2"/>
  <c r="AX128" i="2"/>
  <c r="AY128" i="2"/>
  <c r="AZ128" i="2"/>
  <c r="AT129" i="2"/>
  <c r="AS129" i="2"/>
  <c r="AU129" i="2"/>
  <c r="AV129" i="2"/>
  <c r="AW129" i="2"/>
  <c r="AX129" i="2"/>
  <c r="AY129" i="2"/>
  <c r="AZ129" i="2"/>
  <c r="AT130" i="2"/>
  <c r="AS130" i="2"/>
  <c r="AU130" i="2"/>
  <c r="AV130" i="2"/>
  <c r="AW130" i="2"/>
  <c r="AX130" i="2"/>
  <c r="AY130" i="2"/>
  <c r="AZ130" i="2"/>
  <c r="AT131" i="2"/>
  <c r="AS131" i="2"/>
  <c r="AU131" i="2"/>
  <c r="AV131" i="2"/>
  <c r="AW131" i="2"/>
  <c r="AX131" i="2"/>
  <c r="AY131" i="2"/>
  <c r="AZ131" i="2"/>
  <c r="AT132" i="2"/>
  <c r="AS132" i="2"/>
  <c r="AU132" i="2"/>
  <c r="AV132" i="2"/>
  <c r="AW132" i="2"/>
  <c r="AX132" i="2"/>
  <c r="AY132" i="2"/>
  <c r="AZ132" i="2"/>
  <c r="AT133" i="2"/>
  <c r="AS133" i="2"/>
  <c r="AU133" i="2"/>
  <c r="AV133" i="2"/>
  <c r="AW133" i="2"/>
  <c r="AX133" i="2"/>
  <c r="AY133" i="2"/>
  <c r="AZ133" i="2"/>
  <c r="AT134" i="2"/>
  <c r="AS134" i="2"/>
  <c r="AU134" i="2"/>
  <c r="AV134" i="2"/>
  <c r="AW134" i="2"/>
  <c r="AX134" i="2"/>
  <c r="AY134" i="2"/>
  <c r="AZ134" i="2"/>
  <c r="AT135" i="2"/>
  <c r="AS135" i="2"/>
  <c r="AU135" i="2"/>
  <c r="AV135" i="2"/>
  <c r="AW135" i="2"/>
  <c r="AX135" i="2"/>
  <c r="AY135" i="2"/>
  <c r="AZ135" i="2"/>
  <c r="AT136" i="2"/>
  <c r="AS136" i="2"/>
  <c r="AU136" i="2"/>
  <c r="AV136" i="2"/>
  <c r="AW136" i="2"/>
  <c r="AX136" i="2"/>
  <c r="AY136" i="2"/>
  <c r="AZ136" i="2"/>
  <c r="AT137" i="2"/>
  <c r="AS137" i="2"/>
  <c r="AU137" i="2"/>
  <c r="AV137" i="2"/>
  <c r="AW137" i="2"/>
  <c r="AX137" i="2"/>
  <c r="AY137" i="2"/>
  <c r="AZ137" i="2"/>
  <c r="AT138" i="2"/>
  <c r="AS138" i="2"/>
  <c r="AU138" i="2"/>
  <c r="AV138" i="2"/>
  <c r="AW138" i="2"/>
  <c r="AX138" i="2"/>
  <c r="AY138" i="2"/>
  <c r="AZ138" i="2"/>
  <c r="AT139" i="2"/>
  <c r="AS139" i="2"/>
  <c r="AU139" i="2"/>
  <c r="AV139" i="2"/>
  <c r="AW139" i="2"/>
  <c r="AX139" i="2"/>
  <c r="AY139" i="2"/>
  <c r="AZ139" i="2"/>
  <c r="AT140" i="2"/>
  <c r="AS140" i="2"/>
  <c r="AU140" i="2"/>
  <c r="AV140" i="2"/>
  <c r="AW140" i="2"/>
  <c r="AX140" i="2"/>
  <c r="AY140" i="2"/>
  <c r="AZ140" i="2"/>
  <c r="AT141" i="2"/>
  <c r="AS141" i="2"/>
  <c r="AU141" i="2"/>
  <c r="AV141" i="2"/>
  <c r="AW141" i="2"/>
  <c r="AX141" i="2"/>
  <c r="AY141" i="2"/>
  <c r="AZ141" i="2"/>
  <c r="AT142" i="2"/>
  <c r="AS142" i="2"/>
  <c r="AU142" i="2"/>
  <c r="AV142" i="2"/>
  <c r="AW142" i="2"/>
  <c r="AX142" i="2"/>
  <c r="AY142" i="2"/>
  <c r="AZ142" i="2"/>
  <c r="AT143" i="2"/>
  <c r="AS143" i="2"/>
  <c r="AU143" i="2"/>
  <c r="AV143" i="2"/>
  <c r="AW143" i="2"/>
  <c r="AX143" i="2"/>
  <c r="AY143" i="2"/>
  <c r="AZ143" i="2"/>
  <c r="AT144" i="2"/>
  <c r="AS144" i="2"/>
  <c r="AU144" i="2"/>
  <c r="AV144" i="2"/>
  <c r="AW144" i="2"/>
  <c r="AX144" i="2"/>
  <c r="AY144" i="2"/>
  <c r="AZ144" i="2"/>
  <c r="AT145" i="2"/>
  <c r="AS145" i="2"/>
  <c r="AU145" i="2"/>
  <c r="AV145" i="2"/>
  <c r="AW145" i="2"/>
  <c r="AX145" i="2"/>
  <c r="AY145" i="2"/>
  <c r="AZ145" i="2"/>
  <c r="AT146" i="2"/>
  <c r="AS146" i="2"/>
  <c r="AU146" i="2"/>
  <c r="AV146" i="2"/>
  <c r="AW146" i="2"/>
  <c r="AX146" i="2"/>
  <c r="AY146" i="2"/>
  <c r="AZ146" i="2"/>
  <c r="AT147" i="2"/>
  <c r="AS147" i="2"/>
  <c r="AU147" i="2"/>
  <c r="AV147" i="2"/>
  <c r="AW147" i="2"/>
  <c r="AX147" i="2"/>
  <c r="AY147" i="2"/>
  <c r="AZ147" i="2"/>
  <c r="AT148" i="2"/>
  <c r="AS148" i="2"/>
  <c r="AU148" i="2"/>
  <c r="AV148" i="2"/>
  <c r="AW148" i="2"/>
  <c r="AX148" i="2"/>
  <c r="AY148" i="2"/>
  <c r="AZ148" i="2"/>
  <c r="AT149" i="2"/>
  <c r="AS149" i="2"/>
  <c r="AU149" i="2"/>
  <c r="AV149" i="2"/>
  <c r="AW149" i="2"/>
  <c r="AX149" i="2"/>
  <c r="AY149" i="2"/>
  <c r="AZ149" i="2"/>
  <c r="AT150" i="2"/>
  <c r="AS150" i="2"/>
  <c r="AU150" i="2"/>
  <c r="AV150" i="2"/>
  <c r="AW150" i="2"/>
  <c r="AX150" i="2"/>
  <c r="AY150" i="2"/>
  <c r="AZ150" i="2"/>
  <c r="AT151" i="2"/>
  <c r="AS151" i="2"/>
  <c r="AU151" i="2"/>
  <c r="AV151" i="2"/>
  <c r="AW151" i="2"/>
  <c r="AX151" i="2"/>
  <c r="AY151" i="2"/>
  <c r="AZ151" i="2"/>
  <c r="AT152" i="2"/>
  <c r="AS152" i="2"/>
  <c r="AU152" i="2"/>
  <c r="AV152" i="2"/>
  <c r="AW152" i="2"/>
  <c r="AX152" i="2"/>
  <c r="AY152" i="2"/>
  <c r="AZ152" i="2"/>
  <c r="AT153" i="2"/>
  <c r="AS153" i="2"/>
  <c r="AU153" i="2"/>
  <c r="AV153" i="2"/>
  <c r="AW153" i="2"/>
  <c r="AX153" i="2"/>
  <c r="AY153" i="2"/>
  <c r="AZ153" i="2"/>
  <c r="AT154" i="2"/>
  <c r="AS154" i="2"/>
  <c r="AU154" i="2"/>
  <c r="AV154" i="2"/>
  <c r="AW154" i="2"/>
  <c r="AX154" i="2"/>
  <c r="AY154" i="2"/>
  <c r="AZ154" i="2"/>
  <c r="AT155" i="2"/>
  <c r="AS155" i="2"/>
  <c r="AU155" i="2"/>
  <c r="AV155" i="2"/>
  <c r="AW155" i="2"/>
  <c r="AX155" i="2"/>
  <c r="AY155" i="2"/>
  <c r="AZ155" i="2"/>
  <c r="AT156" i="2"/>
  <c r="AS156" i="2"/>
  <c r="AU156" i="2"/>
  <c r="AV156" i="2"/>
  <c r="AW156" i="2"/>
  <c r="AX156" i="2"/>
  <c r="AY156" i="2"/>
  <c r="AZ156" i="2"/>
  <c r="AT157" i="2"/>
  <c r="AS157" i="2"/>
  <c r="AU157" i="2"/>
  <c r="AV157" i="2"/>
  <c r="AW157" i="2"/>
  <c r="AX157" i="2"/>
  <c r="AY157" i="2"/>
  <c r="AZ157" i="2"/>
  <c r="AT158" i="2"/>
  <c r="AS158" i="2"/>
  <c r="AU158" i="2"/>
  <c r="AV158" i="2"/>
  <c r="AW158" i="2"/>
  <c r="AX158" i="2"/>
  <c r="AY158" i="2"/>
  <c r="AZ158" i="2"/>
  <c r="AT159" i="2"/>
  <c r="AS159" i="2"/>
  <c r="AU159" i="2"/>
  <c r="AV159" i="2"/>
  <c r="AW159" i="2"/>
  <c r="D53" i="1"/>
  <c r="AX159" i="2"/>
  <c r="AY159" i="2"/>
  <c r="AZ159" i="2"/>
  <c r="AT160" i="2"/>
  <c r="AS160" i="2"/>
  <c r="AU160" i="2"/>
  <c r="AV160" i="2"/>
  <c r="AW160" i="2"/>
  <c r="AX160" i="2"/>
  <c r="AY160" i="2"/>
  <c r="AZ160" i="2"/>
  <c r="AT161" i="2"/>
  <c r="AS161" i="2"/>
  <c r="AU161" i="2"/>
  <c r="AV161" i="2"/>
  <c r="AW161" i="2"/>
  <c r="AX161" i="2"/>
  <c r="AY161" i="2"/>
  <c r="AZ161" i="2"/>
  <c r="AT162" i="2"/>
  <c r="AS162" i="2"/>
  <c r="AU162" i="2"/>
  <c r="AV162" i="2"/>
  <c r="AW162" i="2"/>
  <c r="AX162" i="2"/>
  <c r="AY162" i="2"/>
  <c r="AZ162" i="2"/>
  <c r="AT163" i="2"/>
  <c r="AS163" i="2"/>
  <c r="AU163" i="2"/>
  <c r="AV163" i="2"/>
  <c r="AW163" i="2"/>
  <c r="AX163" i="2"/>
  <c r="AY163" i="2"/>
  <c r="AZ163" i="2"/>
  <c r="AT164" i="2"/>
  <c r="AS164" i="2"/>
  <c r="AU164" i="2"/>
  <c r="AV164" i="2"/>
  <c r="AW164" i="2"/>
  <c r="AX164" i="2"/>
  <c r="AY164" i="2"/>
  <c r="AZ164" i="2"/>
  <c r="AT165" i="2"/>
  <c r="AS165" i="2"/>
  <c r="AU165" i="2"/>
  <c r="AV165" i="2"/>
  <c r="AW165" i="2"/>
  <c r="AX165" i="2"/>
  <c r="AY165" i="2"/>
  <c r="AZ165" i="2"/>
  <c r="AT166" i="2"/>
  <c r="AS166" i="2"/>
  <c r="AU166" i="2"/>
  <c r="AV166" i="2"/>
  <c r="AW166" i="2"/>
  <c r="AX166" i="2"/>
  <c r="AY166" i="2"/>
  <c r="AZ166" i="2"/>
  <c r="AT167" i="2"/>
  <c r="AS167" i="2"/>
  <c r="AU167" i="2"/>
  <c r="AV167" i="2"/>
  <c r="AW167" i="2"/>
  <c r="AX167" i="2"/>
  <c r="AY167" i="2"/>
  <c r="AZ167" i="2"/>
  <c r="AT168" i="2"/>
  <c r="AS168" i="2"/>
  <c r="AU168" i="2"/>
  <c r="AV168" i="2"/>
  <c r="AW168" i="2"/>
  <c r="AX168" i="2"/>
  <c r="AY168" i="2"/>
  <c r="AZ168" i="2"/>
  <c r="AT169" i="2"/>
  <c r="AS169" i="2"/>
  <c r="AU169" i="2"/>
  <c r="AV169" i="2"/>
  <c r="AW169" i="2"/>
  <c r="AX169" i="2"/>
  <c r="AY169" i="2"/>
  <c r="AZ169" i="2"/>
  <c r="AT170" i="2"/>
  <c r="AS170" i="2"/>
  <c r="AU170" i="2"/>
  <c r="AV170" i="2"/>
  <c r="AW170" i="2"/>
  <c r="AX170" i="2"/>
  <c r="AY170" i="2"/>
  <c r="AZ170" i="2"/>
  <c r="AT171" i="2"/>
  <c r="AS171" i="2"/>
  <c r="AU171" i="2"/>
  <c r="AV171" i="2"/>
  <c r="AW171" i="2"/>
  <c r="AX171" i="2"/>
  <c r="AY171" i="2"/>
  <c r="AZ171" i="2"/>
  <c r="AT172" i="2"/>
  <c r="AS172" i="2"/>
  <c r="AU172" i="2"/>
  <c r="AV172" i="2"/>
  <c r="AW172" i="2"/>
  <c r="AX172" i="2"/>
  <c r="AY172" i="2"/>
  <c r="AZ172" i="2"/>
  <c r="AT173" i="2"/>
  <c r="AS173" i="2"/>
  <c r="AU173" i="2"/>
  <c r="AV173" i="2"/>
  <c r="AW173" i="2"/>
  <c r="AX173" i="2"/>
  <c r="AY173" i="2"/>
  <c r="AZ173" i="2"/>
  <c r="AT174" i="2"/>
  <c r="AS174" i="2"/>
  <c r="AU174" i="2"/>
  <c r="AV174" i="2"/>
  <c r="AW174" i="2"/>
  <c r="AX174" i="2"/>
  <c r="AY174" i="2"/>
  <c r="AZ174" i="2"/>
  <c r="AT175" i="2"/>
  <c r="AS175" i="2"/>
  <c r="AU175" i="2"/>
  <c r="AV175" i="2"/>
  <c r="AW175" i="2"/>
  <c r="AX175" i="2"/>
  <c r="AY175" i="2"/>
  <c r="AZ175" i="2"/>
  <c r="AT176" i="2"/>
  <c r="AS176" i="2"/>
  <c r="AU176" i="2"/>
  <c r="AV176" i="2"/>
  <c r="AW176" i="2"/>
  <c r="AX176" i="2"/>
  <c r="AY176" i="2"/>
  <c r="AZ176" i="2"/>
  <c r="AT177" i="2"/>
  <c r="AS177" i="2"/>
  <c r="AU177" i="2"/>
  <c r="AV177" i="2"/>
  <c r="AW177" i="2"/>
  <c r="AX177" i="2"/>
  <c r="AY177" i="2"/>
  <c r="AZ177" i="2"/>
  <c r="AT178" i="2"/>
  <c r="AS178" i="2"/>
  <c r="AU178" i="2"/>
  <c r="AV178" i="2"/>
  <c r="AW178" i="2"/>
  <c r="AX178" i="2"/>
  <c r="AY178" i="2"/>
  <c r="AZ178" i="2"/>
  <c r="AT179" i="2"/>
  <c r="AS179" i="2"/>
  <c r="AU179" i="2"/>
  <c r="AV179" i="2"/>
  <c r="AW179" i="2"/>
  <c r="AX179" i="2"/>
  <c r="AY179" i="2"/>
  <c r="AZ179" i="2"/>
  <c r="AT180" i="2"/>
  <c r="AS180" i="2"/>
  <c r="AU180" i="2"/>
  <c r="AV180" i="2"/>
  <c r="AW180" i="2"/>
  <c r="AX180" i="2"/>
  <c r="AY180" i="2"/>
  <c r="AZ180" i="2"/>
  <c r="AT181" i="2"/>
  <c r="AS181" i="2"/>
  <c r="AU181" i="2"/>
  <c r="AV181" i="2"/>
  <c r="AW181" i="2"/>
  <c r="AX181" i="2"/>
  <c r="AY181" i="2"/>
  <c r="AZ181" i="2"/>
  <c r="AT182" i="2"/>
  <c r="AS182" i="2"/>
  <c r="AU182" i="2"/>
  <c r="AV182" i="2"/>
  <c r="AW182" i="2"/>
  <c r="AX182" i="2"/>
  <c r="AY182" i="2"/>
  <c r="AZ182" i="2"/>
  <c r="AT183" i="2"/>
  <c r="AS183" i="2"/>
  <c r="AU183" i="2"/>
  <c r="AV183" i="2"/>
  <c r="AW183" i="2"/>
  <c r="AX183" i="2"/>
  <c r="AY183" i="2"/>
  <c r="AZ183" i="2"/>
  <c r="AT184" i="2"/>
  <c r="AS184" i="2"/>
  <c r="AU184" i="2"/>
  <c r="AV184" i="2"/>
  <c r="AW184" i="2"/>
  <c r="AX184" i="2"/>
  <c r="AY184" i="2"/>
  <c r="AZ184" i="2"/>
  <c r="AT185" i="2"/>
  <c r="AS185" i="2"/>
  <c r="AU185" i="2"/>
  <c r="AV185" i="2"/>
  <c r="AW185" i="2"/>
  <c r="AX185" i="2"/>
  <c r="AY185" i="2"/>
  <c r="AZ185" i="2"/>
  <c r="AT186" i="2"/>
  <c r="AS186" i="2"/>
  <c r="AU186" i="2"/>
  <c r="AV186" i="2"/>
  <c r="AW186" i="2"/>
  <c r="AX186" i="2"/>
  <c r="AY186" i="2"/>
  <c r="AZ186" i="2"/>
  <c r="AT187" i="2"/>
  <c r="AS187" i="2"/>
  <c r="AU187" i="2"/>
  <c r="AV187" i="2"/>
  <c r="AW187" i="2"/>
  <c r="AX187" i="2"/>
  <c r="AY187" i="2"/>
  <c r="AZ187" i="2"/>
  <c r="AT188" i="2"/>
  <c r="AS188" i="2"/>
  <c r="AU188" i="2"/>
  <c r="AV188" i="2"/>
  <c r="AW188" i="2"/>
  <c r="AX188" i="2"/>
  <c r="AY188" i="2"/>
  <c r="AZ188" i="2"/>
  <c r="AT189" i="2"/>
  <c r="AS189" i="2"/>
  <c r="AU189" i="2"/>
  <c r="AV189" i="2"/>
  <c r="AW189" i="2"/>
  <c r="AX189" i="2"/>
  <c r="AY189" i="2"/>
  <c r="AZ189" i="2"/>
  <c r="AT190" i="2"/>
  <c r="AS190" i="2"/>
  <c r="AU190" i="2"/>
  <c r="AV190" i="2"/>
  <c r="AW190" i="2"/>
  <c r="AX190" i="2"/>
  <c r="AY190" i="2"/>
  <c r="AZ190" i="2"/>
  <c r="AT191" i="2"/>
  <c r="AS191" i="2"/>
  <c r="AU191" i="2"/>
  <c r="AV191" i="2"/>
  <c r="AW191" i="2"/>
  <c r="AX191" i="2"/>
  <c r="AY191" i="2"/>
  <c r="AZ191" i="2"/>
  <c r="AT192" i="2"/>
  <c r="AS192" i="2"/>
  <c r="AU192" i="2"/>
  <c r="AV192" i="2"/>
  <c r="AW192" i="2"/>
  <c r="AX192" i="2"/>
  <c r="AY192" i="2"/>
  <c r="AZ192" i="2"/>
  <c r="AT193" i="2"/>
  <c r="AS193" i="2"/>
  <c r="AU193" i="2"/>
  <c r="AV193" i="2"/>
  <c r="AW193" i="2"/>
  <c r="AX193" i="2"/>
  <c r="AY193" i="2"/>
  <c r="AZ193" i="2"/>
  <c r="AT194" i="2"/>
  <c r="AS194" i="2"/>
  <c r="AU194" i="2"/>
  <c r="AV194" i="2"/>
  <c r="AW194" i="2"/>
  <c r="AX194" i="2"/>
  <c r="AY194" i="2"/>
  <c r="AZ194" i="2"/>
  <c r="AT195" i="2"/>
  <c r="AS195" i="2"/>
  <c r="AU195" i="2"/>
  <c r="AV195" i="2"/>
  <c r="AW195" i="2"/>
  <c r="AX195" i="2"/>
  <c r="AY195" i="2"/>
  <c r="AZ195" i="2"/>
  <c r="AT196" i="2"/>
  <c r="AS196" i="2"/>
  <c r="AU196" i="2"/>
  <c r="AV196" i="2"/>
  <c r="AW196" i="2"/>
  <c r="AX196" i="2"/>
  <c r="AY196" i="2"/>
  <c r="AZ196" i="2"/>
  <c r="AT197" i="2"/>
  <c r="AS197" i="2"/>
  <c r="AU197" i="2"/>
  <c r="AV197" i="2"/>
  <c r="AW197" i="2"/>
  <c r="AX197" i="2"/>
  <c r="AY197" i="2"/>
  <c r="AZ197" i="2"/>
  <c r="AT198" i="2"/>
  <c r="AS198" i="2"/>
  <c r="AU198" i="2"/>
  <c r="AV198" i="2"/>
  <c r="AW198" i="2"/>
  <c r="AX198" i="2"/>
  <c r="AY198" i="2"/>
  <c r="AZ198" i="2"/>
  <c r="AT199" i="2"/>
  <c r="AS199" i="2"/>
  <c r="AU199" i="2"/>
  <c r="AV199" i="2"/>
  <c r="AW199" i="2"/>
  <c r="AX199" i="2"/>
  <c r="AY199" i="2"/>
  <c r="AZ199" i="2"/>
  <c r="AT200" i="2"/>
  <c r="AS200" i="2"/>
  <c r="AU200" i="2"/>
  <c r="AV200" i="2"/>
  <c r="AW200" i="2"/>
  <c r="AX200" i="2"/>
  <c r="AY200" i="2"/>
  <c r="AZ200" i="2"/>
  <c r="AT201" i="2"/>
  <c r="AS201" i="2"/>
  <c r="AU201" i="2"/>
  <c r="AV201" i="2"/>
  <c r="AW201" i="2"/>
  <c r="AX201" i="2"/>
  <c r="AY201" i="2"/>
  <c r="AZ201" i="2"/>
  <c r="AT202" i="2"/>
  <c r="AS202" i="2"/>
  <c r="AU202" i="2"/>
  <c r="AV202" i="2"/>
  <c r="AW202" i="2"/>
  <c r="AX202" i="2"/>
  <c r="AY202" i="2"/>
  <c r="AZ202" i="2"/>
  <c r="AT203" i="2"/>
  <c r="AS203" i="2"/>
  <c r="AU203" i="2"/>
  <c r="AV203" i="2"/>
  <c r="AW203" i="2"/>
  <c r="AX203" i="2"/>
  <c r="AY203" i="2"/>
  <c r="AZ203" i="2"/>
  <c r="AT204" i="2"/>
  <c r="AS204" i="2"/>
  <c r="AU204" i="2"/>
  <c r="AV204" i="2"/>
  <c r="AW204" i="2"/>
  <c r="AX204" i="2"/>
  <c r="AY204" i="2"/>
  <c r="AZ204" i="2"/>
  <c r="AT205" i="2"/>
  <c r="AS205" i="2"/>
  <c r="AU205" i="2"/>
  <c r="AV205" i="2"/>
  <c r="AW205" i="2"/>
  <c r="AX205" i="2"/>
  <c r="AY205" i="2"/>
  <c r="AZ205" i="2"/>
  <c r="AT206" i="2"/>
  <c r="AS206" i="2"/>
  <c r="AU206" i="2"/>
  <c r="AV206" i="2"/>
  <c r="AW206" i="2"/>
  <c r="AX206" i="2"/>
  <c r="AY206" i="2"/>
  <c r="AZ206" i="2"/>
  <c r="AT207" i="2"/>
  <c r="AS207" i="2"/>
  <c r="AU207" i="2"/>
  <c r="AV207" i="2"/>
  <c r="AW207" i="2"/>
  <c r="AX207" i="2"/>
  <c r="AY207" i="2"/>
  <c r="AZ207" i="2"/>
  <c r="AT208" i="2"/>
  <c r="AS208" i="2"/>
  <c r="AU208" i="2"/>
  <c r="AV208" i="2"/>
  <c r="AW208" i="2"/>
  <c r="AX208" i="2"/>
  <c r="AY208" i="2"/>
  <c r="AZ208" i="2"/>
  <c r="AT209" i="2"/>
  <c r="AS209" i="2"/>
  <c r="AU209" i="2"/>
  <c r="AV209" i="2"/>
  <c r="AW209" i="2"/>
  <c r="AX209" i="2"/>
  <c r="AY209" i="2"/>
  <c r="AZ209" i="2"/>
  <c r="AT210" i="2"/>
  <c r="AS210" i="2"/>
  <c r="AU210" i="2"/>
  <c r="AV210" i="2"/>
  <c r="AW210" i="2"/>
  <c r="AX210" i="2"/>
  <c r="AY210" i="2"/>
  <c r="AZ210" i="2"/>
  <c r="AT211" i="2"/>
  <c r="AS211" i="2"/>
  <c r="AU211" i="2"/>
  <c r="AV211" i="2"/>
  <c r="AW211" i="2"/>
  <c r="AX211" i="2"/>
  <c r="AY211" i="2"/>
  <c r="AZ211" i="2"/>
  <c r="AT212" i="2"/>
  <c r="AS212" i="2"/>
  <c r="AU212" i="2"/>
  <c r="AV212" i="2"/>
  <c r="AW212" i="2"/>
  <c r="AX212" i="2"/>
  <c r="AY212" i="2"/>
  <c r="AZ212" i="2"/>
  <c r="AT213" i="2"/>
  <c r="AS213" i="2"/>
  <c r="AU213" i="2"/>
  <c r="AV213" i="2"/>
  <c r="AW213" i="2"/>
  <c r="AX213" i="2"/>
  <c r="AY213" i="2"/>
  <c r="AZ213" i="2"/>
  <c r="AT214" i="2"/>
  <c r="AS214" i="2"/>
  <c r="AU214" i="2"/>
  <c r="AV214" i="2"/>
  <c r="AW214" i="2"/>
  <c r="AX214" i="2"/>
  <c r="AY214" i="2"/>
  <c r="AZ214" i="2"/>
  <c r="AT215" i="2"/>
  <c r="AS215" i="2"/>
  <c r="AU215" i="2"/>
  <c r="AV215" i="2"/>
  <c r="AW215" i="2"/>
  <c r="AX215" i="2"/>
  <c r="AY215" i="2"/>
  <c r="AZ215" i="2"/>
  <c r="AT216" i="2"/>
  <c r="AS216" i="2"/>
  <c r="AU216" i="2"/>
  <c r="AV216" i="2"/>
  <c r="AW216" i="2"/>
  <c r="AX216" i="2"/>
  <c r="AY216" i="2"/>
  <c r="AZ216" i="2"/>
  <c r="AT217" i="2"/>
  <c r="AS217" i="2"/>
  <c r="AU217" i="2"/>
  <c r="AV217" i="2"/>
  <c r="AW217" i="2"/>
  <c r="AX217" i="2"/>
  <c r="AY217" i="2"/>
  <c r="AZ217" i="2"/>
  <c r="AZ15" i="2"/>
  <c r="BA17" i="2"/>
  <c r="C25" i="1"/>
  <c r="BB17" i="2"/>
  <c r="C28" i="1"/>
  <c r="BF17" i="2"/>
  <c r="BE17" i="2"/>
  <c r="BG17" i="2"/>
  <c r="BH17" i="2"/>
  <c r="BA18" i="2"/>
  <c r="BB18" i="2"/>
  <c r="BF18" i="2"/>
  <c r="BE18" i="2"/>
  <c r="BG18" i="2"/>
  <c r="BH18" i="2"/>
  <c r="BA19" i="2"/>
  <c r="BB19" i="2"/>
  <c r="BF19" i="2"/>
  <c r="BE19" i="2"/>
  <c r="BG19" i="2"/>
  <c r="BH19" i="2"/>
  <c r="BA20" i="2"/>
  <c r="BB20" i="2"/>
  <c r="BF20" i="2"/>
  <c r="BE20" i="2"/>
  <c r="BG20" i="2"/>
  <c r="BH20" i="2"/>
  <c r="BA21" i="2"/>
  <c r="BB21" i="2"/>
  <c r="BF21" i="2"/>
  <c r="BE21" i="2"/>
  <c r="BG21" i="2"/>
  <c r="BH21" i="2"/>
  <c r="BA22" i="2"/>
  <c r="BB22" i="2"/>
  <c r="BF22" i="2"/>
  <c r="BE22" i="2"/>
  <c r="BG22" i="2"/>
  <c r="BH22" i="2"/>
  <c r="BA23" i="2"/>
  <c r="BB23" i="2"/>
  <c r="BF23" i="2"/>
  <c r="BE23" i="2"/>
  <c r="BG23" i="2"/>
  <c r="BH23" i="2"/>
  <c r="BA24" i="2"/>
  <c r="BB24" i="2"/>
  <c r="BF24" i="2"/>
  <c r="BE24" i="2"/>
  <c r="BG24" i="2"/>
  <c r="BH24" i="2"/>
  <c r="BA25" i="2"/>
  <c r="BB25" i="2"/>
  <c r="BF25" i="2"/>
  <c r="BE25" i="2"/>
  <c r="BG25" i="2"/>
  <c r="BH25" i="2"/>
  <c r="BA26" i="2"/>
  <c r="BB26" i="2"/>
  <c r="BF26" i="2"/>
  <c r="BE26" i="2"/>
  <c r="BG26" i="2"/>
  <c r="BH26" i="2"/>
  <c r="BA27" i="2"/>
  <c r="BB27" i="2"/>
  <c r="BF27" i="2"/>
  <c r="BE27" i="2"/>
  <c r="BG27" i="2"/>
  <c r="BH27" i="2"/>
  <c r="BA28" i="2"/>
  <c r="BB28" i="2"/>
  <c r="BF28" i="2"/>
  <c r="BE28" i="2"/>
  <c r="BG28" i="2"/>
  <c r="BH28" i="2"/>
  <c r="BA29" i="2"/>
  <c r="BB29" i="2"/>
  <c r="BF29" i="2"/>
  <c r="BE29" i="2"/>
  <c r="BG29" i="2"/>
  <c r="BH29" i="2"/>
  <c r="BA30" i="2"/>
  <c r="BB30" i="2"/>
  <c r="BF30" i="2"/>
  <c r="BE30" i="2"/>
  <c r="BG30" i="2"/>
  <c r="BH30" i="2"/>
  <c r="BA31" i="2"/>
  <c r="BB31" i="2"/>
  <c r="BF31" i="2"/>
  <c r="BE31" i="2"/>
  <c r="BG31" i="2"/>
  <c r="BH31" i="2"/>
  <c r="BA32" i="2"/>
  <c r="BB32" i="2"/>
  <c r="BF32" i="2"/>
  <c r="BE32" i="2"/>
  <c r="BG32" i="2"/>
  <c r="BH32" i="2"/>
  <c r="BA33" i="2"/>
  <c r="BB33" i="2"/>
  <c r="BF33" i="2"/>
  <c r="BE33" i="2"/>
  <c r="BG33" i="2"/>
  <c r="BH33" i="2"/>
  <c r="BA34" i="2"/>
  <c r="BB34" i="2"/>
  <c r="BF34" i="2"/>
  <c r="BE34" i="2"/>
  <c r="BG34" i="2"/>
  <c r="BH34" i="2"/>
  <c r="BA35" i="2"/>
  <c r="BB35" i="2"/>
  <c r="BF35" i="2"/>
  <c r="BE35" i="2"/>
  <c r="BG35" i="2"/>
  <c r="BH35" i="2"/>
  <c r="BA36" i="2"/>
  <c r="BB36" i="2"/>
  <c r="BF36" i="2"/>
  <c r="BE36" i="2"/>
  <c r="BG36" i="2"/>
  <c r="BH36" i="2"/>
  <c r="BA37" i="2"/>
  <c r="BB37" i="2"/>
  <c r="BF37" i="2"/>
  <c r="BE37" i="2"/>
  <c r="BG37" i="2"/>
  <c r="BH37" i="2"/>
  <c r="BA38" i="2"/>
  <c r="BB38" i="2"/>
  <c r="BF38" i="2"/>
  <c r="BE38" i="2"/>
  <c r="BG38" i="2"/>
  <c r="BH38" i="2"/>
  <c r="BA39" i="2"/>
  <c r="BB39" i="2"/>
  <c r="BF39" i="2"/>
  <c r="BE39" i="2"/>
  <c r="BG39" i="2"/>
  <c r="BH39" i="2"/>
  <c r="BA40" i="2"/>
  <c r="BB40" i="2"/>
  <c r="BF40" i="2"/>
  <c r="BE40" i="2"/>
  <c r="BG40" i="2"/>
  <c r="BH40" i="2"/>
  <c r="BA41" i="2"/>
  <c r="BB41" i="2"/>
  <c r="BF41" i="2"/>
  <c r="BE41" i="2"/>
  <c r="BG41" i="2"/>
  <c r="BH41" i="2"/>
  <c r="BA42" i="2"/>
  <c r="BB42" i="2"/>
  <c r="BF42" i="2"/>
  <c r="BE42" i="2"/>
  <c r="BG42" i="2"/>
  <c r="BH42" i="2"/>
  <c r="BA43" i="2"/>
  <c r="BB43" i="2"/>
  <c r="BF43" i="2"/>
  <c r="BE43" i="2"/>
  <c r="BG43" i="2"/>
  <c r="BH43" i="2"/>
  <c r="BA44" i="2"/>
  <c r="BB44" i="2"/>
  <c r="BF44" i="2"/>
  <c r="BE44" i="2"/>
  <c r="BG44" i="2"/>
  <c r="BH44" i="2"/>
  <c r="BA45" i="2"/>
  <c r="BB45" i="2"/>
  <c r="BF45" i="2"/>
  <c r="BE45" i="2"/>
  <c r="BG45" i="2"/>
  <c r="BH45" i="2"/>
  <c r="BA46" i="2"/>
  <c r="BB46" i="2"/>
  <c r="BF46" i="2"/>
  <c r="BE46" i="2"/>
  <c r="BG46" i="2"/>
  <c r="BH46" i="2"/>
  <c r="BA47" i="2"/>
  <c r="BB47" i="2"/>
  <c r="BF47" i="2"/>
  <c r="BE47" i="2"/>
  <c r="BG47" i="2"/>
  <c r="BH47" i="2"/>
  <c r="BA48" i="2"/>
  <c r="BB48" i="2"/>
  <c r="BF48" i="2"/>
  <c r="BE48" i="2"/>
  <c r="BG48" i="2"/>
  <c r="BH48" i="2"/>
  <c r="BA49" i="2"/>
  <c r="BB49" i="2"/>
  <c r="BF49" i="2"/>
  <c r="BE49" i="2"/>
  <c r="BG49" i="2"/>
  <c r="BH49" i="2"/>
  <c r="BA50" i="2"/>
  <c r="BB50" i="2"/>
  <c r="BF50" i="2"/>
  <c r="BE50" i="2"/>
  <c r="BG50" i="2"/>
  <c r="BH50" i="2"/>
  <c r="BA51" i="2"/>
  <c r="BB51" i="2"/>
  <c r="BF51" i="2"/>
  <c r="BE51" i="2"/>
  <c r="BG51" i="2"/>
  <c r="BH51" i="2"/>
  <c r="BA52" i="2"/>
  <c r="BB52" i="2"/>
  <c r="BF52" i="2"/>
  <c r="BE52" i="2"/>
  <c r="BG52" i="2"/>
  <c r="BH52" i="2"/>
  <c r="BA53" i="2"/>
  <c r="BB53" i="2"/>
  <c r="BF53" i="2"/>
  <c r="BE53" i="2"/>
  <c r="BG53" i="2"/>
  <c r="BH53" i="2"/>
  <c r="BA54" i="2"/>
  <c r="BB54" i="2"/>
  <c r="BF54" i="2"/>
  <c r="BE54" i="2"/>
  <c r="BG54" i="2"/>
  <c r="BH54" i="2"/>
  <c r="BA55" i="2"/>
  <c r="BB55" i="2"/>
  <c r="BF55" i="2"/>
  <c r="BE55" i="2"/>
  <c r="BG55" i="2"/>
  <c r="BH55" i="2"/>
  <c r="BA56" i="2"/>
  <c r="BB56" i="2"/>
  <c r="BF56" i="2"/>
  <c r="BE56" i="2"/>
  <c r="BG56" i="2"/>
  <c r="BH56" i="2"/>
  <c r="BA57" i="2"/>
  <c r="BB57" i="2"/>
  <c r="BF57" i="2"/>
  <c r="BE57" i="2"/>
  <c r="BG57" i="2"/>
  <c r="BH57" i="2"/>
  <c r="BA58" i="2"/>
  <c r="BB58" i="2"/>
  <c r="BF58" i="2"/>
  <c r="BE58" i="2"/>
  <c r="BG58" i="2"/>
  <c r="BH58" i="2"/>
  <c r="BA59" i="2"/>
  <c r="BB59" i="2"/>
  <c r="BF59" i="2"/>
  <c r="BE59" i="2"/>
  <c r="BG59" i="2"/>
  <c r="BH59" i="2"/>
  <c r="BA60" i="2"/>
  <c r="BB60" i="2"/>
  <c r="BF60" i="2"/>
  <c r="BE60" i="2"/>
  <c r="BG60" i="2"/>
  <c r="BH60" i="2"/>
  <c r="BA61" i="2"/>
  <c r="BB61" i="2"/>
  <c r="BF61" i="2"/>
  <c r="BE61" i="2"/>
  <c r="BG61" i="2"/>
  <c r="BH61" i="2"/>
  <c r="BA62" i="2"/>
  <c r="BB62" i="2"/>
  <c r="BF62" i="2"/>
  <c r="BE62" i="2"/>
  <c r="BG62" i="2"/>
  <c r="BH62" i="2"/>
  <c r="BA63" i="2"/>
  <c r="BB63" i="2"/>
  <c r="BF63" i="2"/>
  <c r="BE63" i="2"/>
  <c r="BG63" i="2"/>
  <c r="BH63" i="2"/>
  <c r="BA64" i="2"/>
  <c r="BB64" i="2"/>
  <c r="BF64" i="2"/>
  <c r="BE64" i="2"/>
  <c r="BG64" i="2"/>
  <c r="BH64" i="2"/>
  <c r="BA65" i="2"/>
  <c r="BB65" i="2"/>
  <c r="BF65" i="2"/>
  <c r="BE65" i="2"/>
  <c r="BG65" i="2"/>
  <c r="BH65" i="2"/>
  <c r="BA66" i="2"/>
  <c r="BB66" i="2"/>
  <c r="BF66" i="2"/>
  <c r="BE66" i="2"/>
  <c r="BG66" i="2"/>
  <c r="BH66" i="2"/>
  <c r="BA67" i="2"/>
  <c r="BB67" i="2"/>
  <c r="BF67" i="2"/>
  <c r="BE67" i="2"/>
  <c r="BG67" i="2"/>
  <c r="BH67" i="2"/>
  <c r="BA68" i="2"/>
  <c r="BB68" i="2"/>
  <c r="BF68" i="2"/>
  <c r="BE68" i="2"/>
  <c r="BG68" i="2"/>
  <c r="BH68" i="2"/>
  <c r="BA69" i="2"/>
  <c r="BB69" i="2"/>
  <c r="BF69" i="2"/>
  <c r="BE69" i="2"/>
  <c r="BG69" i="2"/>
  <c r="BH69" i="2"/>
  <c r="BA70" i="2"/>
  <c r="BB70" i="2"/>
  <c r="BF70" i="2"/>
  <c r="BE70" i="2"/>
  <c r="BG70" i="2"/>
  <c r="BH70" i="2"/>
  <c r="BA71" i="2"/>
  <c r="BB71" i="2"/>
  <c r="BF71" i="2"/>
  <c r="BE71" i="2"/>
  <c r="BG71" i="2"/>
  <c r="BH71" i="2"/>
  <c r="BA72" i="2"/>
  <c r="BB72" i="2"/>
  <c r="BF72" i="2"/>
  <c r="BE72" i="2"/>
  <c r="BG72" i="2"/>
  <c r="BH72" i="2"/>
  <c r="BA73" i="2"/>
  <c r="BB73" i="2"/>
  <c r="BF73" i="2"/>
  <c r="BE73" i="2"/>
  <c r="BG73" i="2"/>
  <c r="BH73" i="2"/>
  <c r="BA74" i="2"/>
  <c r="BB74" i="2"/>
  <c r="BF74" i="2"/>
  <c r="BE74" i="2"/>
  <c r="BG74" i="2"/>
  <c r="BH74" i="2"/>
  <c r="BA75" i="2"/>
  <c r="BB75" i="2"/>
  <c r="BF75" i="2"/>
  <c r="BE75" i="2"/>
  <c r="BG75" i="2"/>
  <c r="BH75" i="2"/>
  <c r="BA76" i="2"/>
  <c r="BB76" i="2"/>
  <c r="BF76" i="2"/>
  <c r="BE76" i="2"/>
  <c r="BG76" i="2"/>
  <c r="BH76" i="2"/>
  <c r="BA77" i="2"/>
  <c r="BB77" i="2"/>
  <c r="BF77" i="2"/>
  <c r="BE77" i="2"/>
  <c r="BG77" i="2"/>
  <c r="BH77" i="2"/>
  <c r="BA78" i="2"/>
  <c r="BB78" i="2"/>
  <c r="BF78" i="2"/>
  <c r="BE78" i="2"/>
  <c r="BG78" i="2"/>
  <c r="BH78" i="2"/>
  <c r="BA79" i="2"/>
  <c r="BB79" i="2"/>
  <c r="BF79" i="2"/>
  <c r="BE79" i="2"/>
  <c r="BG79" i="2"/>
  <c r="BH79" i="2"/>
  <c r="BA80" i="2"/>
  <c r="BB80" i="2"/>
  <c r="BF80" i="2"/>
  <c r="BE80" i="2"/>
  <c r="BG80" i="2"/>
  <c r="BH80" i="2"/>
  <c r="BA81" i="2"/>
  <c r="BB81" i="2"/>
  <c r="BF81" i="2"/>
  <c r="BE81" i="2"/>
  <c r="BG81" i="2"/>
  <c r="BH81" i="2"/>
  <c r="BA82" i="2"/>
  <c r="BB82" i="2"/>
  <c r="BF82" i="2"/>
  <c r="BE82" i="2"/>
  <c r="BG82" i="2"/>
  <c r="BH82" i="2"/>
  <c r="BA83" i="2"/>
  <c r="BB83" i="2"/>
  <c r="BF83" i="2"/>
  <c r="BE83" i="2"/>
  <c r="BG83" i="2"/>
  <c r="BH83" i="2"/>
  <c r="BA84" i="2"/>
  <c r="BB84" i="2"/>
  <c r="BF84" i="2"/>
  <c r="BE84" i="2"/>
  <c r="BG84" i="2"/>
  <c r="BH84" i="2"/>
  <c r="BA85" i="2"/>
  <c r="BB85" i="2"/>
  <c r="BF85" i="2"/>
  <c r="BE85" i="2"/>
  <c r="BG85" i="2"/>
  <c r="BH85" i="2"/>
  <c r="BA86" i="2"/>
  <c r="BB86" i="2"/>
  <c r="BF86" i="2"/>
  <c r="BE86" i="2"/>
  <c r="BG86" i="2"/>
  <c r="BH86" i="2"/>
  <c r="BA87" i="2"/>
  <c r="BB87" i="2"/>
  <c r="BF87" i="2"/>
  <c r="BE87" i="2"/>
  <c r="BG87" i="2"/>
  <c r="BH87" i="2"/>
  <c r="BA88" i="2"/>
  <c r="BB88" i="2"/>
  <c r="BF88" i="2"/>
  <c r="BE88" i="2"/>
  <c r="BG88" i="2"/>
  <c r="BH88" i="2"/>
  <c r="BA89" i="2"/>
  <c r="BB89" i="2"/>
  <c r="BF89" i="2"/>
  <c r="BE89" i="2"/>
  <c r="BG89" i="2"/>
  <c r="BH89" i="2"/>
  <c r="BA90" i="2"/>
  <c r="BB90" i="2"/>
  <c r="BF90" i="2"/>
  <c r="BE90" i="2"/>
  <c r="BG90" i="2"/>
  <c r="BH90" i="2"/>
  <c r="BA91" i="2"/>
  <c r="BB91" i="2"/>
  <c r="BF91" i="2"/>
  <c r="BE91" i="2"/>
  <c r="BG91" i="2"/>
  <c r="BH91" i="2"/>
  <c r="BA92" i="2"/>
  <c r="BB92" i="2"/>
  <c r="BF92" i="2"/>
  <c r="BE92" i="2"/>
  <c r="BG92" i="2"/>
  <c r="BH92" i="2"/>
  <c r="BA93" i="2"/>
  <c r="BB93" i="2"/>
  <c r="BF93" i="2"/>
  <c r="BE93" i="2"/>
  <c r="BG93" i="2"/>
  <c r="BH93" i="2"/>
  <c r="BA94" i="2"/>
  <c r="BB94" i="2"/>
  <c r="BF94" i="2"/>
  <c r="BE94" i="2"/>
  <c r="BG94" i="2"/>
  <c r="BH94" i="2"/>
  <c r="BA95" i="2"/>
  <c r="BB95" i="2"/>
  <c r="BF95" i="2"/>
  <c r="BE95" i="2"/>
  <c r="BG95" i="2"/>
  <c r="BH95" i="2"/>
  <c r="BA96" i="2"/>
  <c r="BB96" i="2"/>
  <c r="BF96" i="2"/>
  <c r="BE96" i="2"/>
  <c r="BG96" i="2"/>
  <c r="BH96" i="2"/>
  <c r="BA97" i="2"/>
  <c r="BB97" i="2"/>
  <c r="BF97" i="2"/>
  <c r="BE97" i="2"/>
  <c r="BG97" i="2"/>
  <c r="BH97" i="2"/>
  <c r="BA98" i="2"/>
  <c r="BB98" i="2"/>
  <c r="BF98" i="2"/>
  <c r="BE98" i="2"/>
  <c r="BG98" i="2"/>
  <c r="BH98" i="2"/>
  <c r="BA99" i="2"/>
  <c r="BB99" i="2"/>
  <c r="BF99" i="2"/>
  <c r="BE99" i="2"/>
  <c r="BG99" i="2"/>
  <c r="BH99" i="2"/>
  <c r="BA100" i="2"/>
  <c r="BB100" i="2"/>
  <c r="BF100" i="2"/>
  <c r="BE100" i="2"/>
  <c r="BG100" i="2"/>
  <c r="BH100" i="2"/>
  <c r="BA101" i="2"/>
  <c r="BB101" i="2"/>
  <c r="BF101" i="2"/>
  <c r="BE101" i="2"/>
  <c r="BG101" i="2"/>
  <c r="BH101" i="2"/>
  <c r="BA102" i="2"/>
  <c r="BB102" i="2"/>
  <c r="BF102" i="2"/>
  <c r="BE102" i="2"/>
  <c r="BG102" i="2"/>
  <c r="BH102" i="2"/>
  <c r="BA103" i="2"/>
  <c r="BB103" i="2"/>
  <c r="BF103" i="2"/>
  <c r="BE103" i="2"/>
  <c r="BG103" i="2"/>
  <c r="BH103" i="2"/>
  <c r="BA104" i="2"/>
  <c r="BB104" i="2"/>
  <c r="BF104" i="2"/>
  <c r="BE104" i="2"/>
  <c r="BG104" i="2"/>
  <c r="BH104" i="2"/>
  <c r="BA105" i="2"/>
  <c r="BB105" i="2"/>
  <c r="BF105" i="2"/>
  <c r="BE105" i="2"/>
  <c r="BG105" i="2"/>
  <c r="BH105" i="2"/>
  <c r="BA106" i="2"/>
  <c r="BB106" i="2"/>
  <c r="BF106" i="2"/>
  <c r="BE106" i="2"/>
  <c r="BG106" i="2"/>
  <c r="BH106" i="2"/>
  <c r="BA107" i="2"/>
  <c r="BB107" i="2"/>
  <c r="BF107" i="2"/>
  <c r="BE107" i="2"/>
  <c r="BG107" i="2"/>
  <c r="BH107" i="2"/>
  <c r="BA108" i="2"/>
  <c r="BB108" i="2"/>
  <c r="BF108" i="2"/>
  <c r="BE108" i="2"/>
  <c r="BG108" i="2"/>
  <c r="BH108" i="2"/>
  <c r="BA109" i="2"/>
  <c r="BB109" i="2"/>
  <c r="BF109" i="2"/>
  <c r="BE109" i="2"/>
  <c r="BG109" i="2"/>
  <c r="BH109" i="2"/>
  <c r="BA110" i="2"/>
  <c r="BB110" i="2"/>
  <c r="BF110" i="2"/>
  <c r="BE110" i="2"/>
  <c r="BG110" i="2"/>
  <c r="BH110" i="2"/>
  <c r="BA111" i="2"/>
  <c r="C23" i="1"/>
  <c r="BB111" i="2"/>
  <c r="C26" i="1"/>
  <c r="BF111" i="2"/>
  <c r="BE111" i="2"/>
  <c r="BG111" i="2"/>
  <c r="BH111" i="2"/>
  <c r="BA112" i="2"/>
  <c r="BB112" i="2"/>
  <c r="BF112" i="2"/>
  <c r="BE112" i="2"/>
  <c r="BG112" i="2"/>
  <c r="BH112" i="2"/>
  <c r="BA113" i="2"/>
  <c r="BB113" i="2"/>
  <c r="BF113" i="2"/>
  <c r="BE113" i="2"/>
  <c r="BG113" i="2"/>
  <c r="BH113" i="2"/>
  <c r="BA114" i="2"/>
  <c r="BB114" i="2"/>
  <c r="BF114" i="2"/>
  <c r="BE114" i="2"/>
  <c r="BG114" i="2"/>
  <c r="BH114" i="2"/>
  <c r="BA115" i="2"/>
  <c r="BB115" i="2"/>
  <c r="BF115" i="2"/>
  <c r="BE115" i="2"/>
  <c r="BG115" i="2"/>
  <c r="BH115" i="2"/>
  <c r="BA116" i="2"/>
  <c r="BB116" i="2"/>
  <c r="BF116" i="2"/>
  <c r="BE116" i="2"/>
  <c r="BG116" i="2"/>
  <c r="BH116" i="2"/>
  <c r="BA117" i="2"/>
  <c r="BB117" i="2"/>
  <c r="BF117" i="2"/>
  <c r="BE117" i="2"/>
  <c r="BG117" i="2"/>
  <c r="BH117" i="2"/>
  <c r="BA118" i="2"/>
  <c r="BB118" i="2"/>
  <c r="BF118" i="2"/>
  <c r="BE118" i="2"/>
  <c r="BG118" i="2"/>
  <c r="BH118" i="2"/>
  <c r="BA119" i="2"/>
  <c r="BB119" i="2"/>
  <c r="BF119" i="2"/>
  <c r="BE119" i="2"/>
  <c r="BG119" i="2"/>
  <c r="BH119" i="2"/>
  <c r="BA120" i="2"/>
  <c r="BB120" i="2"/>
  <c r="BF120" i="2"/>
  <c r="BE120" i="2"/>
  <c r="BG120" i="2"/>
  <c r="BH120" i="2"/>
  <c r="BA121" i="2"/>
  <c r="BB121" i="2"/>
  <c r="BF121" i="2"/>
  <c r="BE121" i="2"/>
  <c r="BG121" i="2"/>
  <c r="BH121" i="2"/>
  <c r="BA122" i="2"/>
  <c r="BB122" i="2"/>
  <c r="BF122" i="2"/>
  <c r="BE122" i="2"/>
  <c r="BG122" i="2"/>
  <c r="BH122" i="2"/>
  <c r="BA123" i="2"/>
  <c r="BB123" i="2"/>
  <c r="BF123" i="2"/>
  <c r="BE123" i="2"/>
  <c r="BG123" i="2"/>
  <c r="BH123" i="2"/>
  <c r="BA124" i="2"/>
  <c r="BB124" i="2"/>
  <c r="BF124" i="2"/>
  <c r="BE124" i="2"/>
  <c r="BG124" i="2"/>
  <c r="BH124" i="2"/>
  <c r="BA125" i="2"/>
  <c r="BB125" i="2"/>
  <c r="BF125" i="2"/>
  <c r="BE125" i="2"/>
  <c r="BG125" i="2"/>
  <c r="BH125" i="2"/>
  <c r="BA126" i="2"/>
  <c r="BB126" i="2"/>
  <c r="BF126" i="2"/>
  <c r="BE126" i="2"/>
  <c r="BG126" i="2"/>
  <c r="BH126" i="2"/>
  <c r="BA127" i="2"/>
  <c r="BB127" i="2"/>
  <c r="BF127" i="2"/>
  <c r="BE127" i="2"/>
  <c r="BG127" i="2"/>
  <c r="BH127" i="2"/>
  <c r="BA128" i="2"/>
  <c r="BB128" i="2"/>
  <c r="BF128" i="2"/>
  <c r="BE128" i="2"/>
  <c r="BG128" i="2"/>
  <c r="BH128" i="2"/>
  <c r="BA129" i="2"/>
  <c r="BB129" i="2"/>
  <c r="BF129" i="2"/>
  <c r="BE129" i="2"/>
  <c r="BG129" i="2"/>
  <c r="BH129" i="2"/>
  <c r="BA130" i="2"/>
  <c r="BB130" i="2"/>
  <c r="BF130" i="2"/>
  <c r="BE130" i="2"/>
  <c r="BG130" i="2"/>
  <c r="BH130" i="2"/>
  <c r="BA131" i="2"/>
  <c r="BB131" i="2"/>
  <c r="BF131" i="2"/>
  <c r="BE131" i="2"/>
  <c r="BG131" i="2"/>
  <c r="BH131" i="2"/>
  <c r="BA132" i="2"/>
  <c r="BB132" i="2"/>
  <c r="BF132" i="2"/>
  <c r="BE132" i="2"/>
  <c r="BG132" i="2"/>
  <c r="BH132" i="2"/>
  <c r="BA133" i="2"/>
  <c r="BB133" i="2"/>
  <c r="BF133" i="2"/>
  <c r="BE133" i="2"/>
  <c r="BG133" i="2"/>
  <c r="BH133" i="2"/>
  <c r="BA134" i="2"/>
  <c r="BB134" i="2"/>
  <c r="BF134" i="2"/>
  <c r="BE134" i="2"/>
  <c r="BG134" i="2"/>
  <c r="BH134" i="2"/>
  <c r="BA135" i="2"/>
  <c r="BB135" i="2"/>
  <c r="BF135" i="2"/>
  <c r="BE135" i="2"/>
  <c r="BG135" i="2"/>
  <c r="BH135" i="2"/>
  <c r="BA136" i="2"/>
  <c r="BB136" i="2"/>
  <c r="BF136" i="2"/>
  <c r="BE136" i="2"/>
  <c r="BG136" i="2"/>
  <c r="BH136" i="2"/>
  <c r="BA137" i="2"/>
  <c r="BB137" i="2"/>
  <c r="BF137" i="2"/>
  <c r="BE137" i="2"/>
  <c r="BG137" i="2"/>
  <c r="BH137" i="2"/>
  <c r="BA138" i="2"/>
  <c r="BB138" i="2"/>
  <c r="BF138" i="2"/>
  <c r="BE138" i="2"/>
  <c r="BG138" i="2"/>
  <c r="BH138" i="2"/>
  <c r="BA139" i="2"/>
  <c r="BB139" i="2"/>
  <c r="BF139" i="2"/>
  <c r="BE139" i="2"/>
  <c r="BG139" i="2"/>
  <c r="BH139" i="2"/>
  <c r="BA140" i="2"/>
  <c r="BB140" i="2"/>
  <c r="BF140" i="2"/>
  <c r="BE140" i="2"/>
  <c r="BG140" i="2"/>
  <c r="BH140" i="2"/>
  <c r="BA141" i="2"/>
  <c r="BB141" i="2"/>
  <c r="BF141" i="2"/>
  <c r="BE141" i="2"/>
  <c r="BG141" i="2"/>
  <c r="BH141" i="2"/>
  <c r="BA142" i="2"/>
  <c r="BB142" i="2"/>
  <c r="BF142" i="2"/>
  <c r="BE142" i="2"/>
  <c r="BG142" i="2"/>
  <c r="BH142" i="2"/>
  <c r="BA143" i="2"/>
  <c r="BB143" i="2"/>
  <c r="BF143" i="2"/>
  <c r="BE143" i="2"/>
  <c r="BG143" i="2"/>
  <c r="BH143" i="2"/>
  <c r="BA144" i="2"/>
  <c r="BB144" i="2"/>
  <c r="BF144" i="2"/>
  <c r="BE144" i="2"/>
  <c r="BG144" i="2"/>
  <c r="BH144" i="2"/>
  <c r="BA145" i="2"/>
  <c r="BB145" i="2"/>
  <c r="BF145" i="2"/>
  <c r="BE145" i="2"/>
  <c r="BG145" i="2"/>
  <c r="BH145" i="2"/>
  <c r="BA146" i="2"/>
  <c r="BB146" i="2"/>
  <c r="BF146" i="2"/>
  <c r="BE146" i="2"/>
  <c r="BG146" i="2"/>
  <c r="BH146" i="2"/>
  <c r="BA147" i="2"/>
  <c r="BB147" i="2"/>
  <c r="BF147" i="2"/>
  <c r="BE147" i="2"/>
  <c r="BG147" i="2"/>
  <c r="BH147" i="2"/>
  <c r="BA148" i="2"/>
  <c r="BB148" i="2"/>
  <c r="BF148" i="2"/>
  <c r="BE148" i="2"/>
  <c r="BG148" i="2"/>
  <c r="BH148" i="2"/>
  <c r="BA149" i="2"/>
  <c r="BB149" i="2"/>
  <c r="BF149" i="2"/>
  <c r="BE149" i="2"/>
  <c r="BG149" i="2"/>
  <c r="BH149" i="2"/>
  <c r="BA150" i="2"/>
  <c r="BB150" i="2"/>
  <c r="BF150" i="2"/>
  <c r="BE150" i="2"/>
  <c r="BG150" i="2"/>
  <c r="BH150" i="2"/>
  <c r="BA151" i="2"/>
  <c r="BB151" i="2"/>
  <c r="BF151" i="2"/>
  <c r="BE151" i="2"/>
  <c r="BG151" i="2"/>
  <c r="BH151" i="2"/>
  <c r="BA152" i="2"/>
  <c r="BB152" i="2"/>
  <c r="BF152" i="2"/>
  <c r="BE152" i="2"/>
  <c r="BG152" i="2"/>
  <c r="BH152" i="2"/>
  <c r="BA153" i="2"/>
  <c r="BB153" i="2"/>
  <c r="BF153" i="2"/>
  <c r="BE153" i="2"/>
  <c r="BG153" i="2"/>
  <c r="BH153" i="2"/>
  <c r="BA154" i="2"/>
  <c r="BB154" i="2"/>
  <c r="BF154" i="2"/>
  <c r="BE154" i="2"/>
  <c r="BG154" i="2"/>
  <c r="BH154" i="2"/>
  <c r="BA155" i="2"/>
  <c r="BB155" i="2"/>
  <c r="BF155" i="2"/>
  <c r="BE155" i="2"/>
  <c r="BG155" i="2"/>
  <c r="BH155" i="2"/>
  <c r="BA156" i="2"/>
  <c r="BB156" i="2"/>
  <c r="BF156" i="2"/>
  <c r="BE156" i="2"/>
  <c r="BG156" i="2"/>
  <c r="BH156" i="2"/>
  <c r="BA157" i="2"/>
  <c r="BB157" i="2"/>
  <c r="BF157" i="2"/>
  <c r="BE157" i="2"/>
  <c r="BG157" i="2"/>
  <c r="BH157" i="2"/>
  <c r="BA158" i="2"/>
  <c r="BB158" i="2"/>
  <c r="BF158" i="2"/>
  <c r="BE158" i="2"/>
  <c r="BG158" i="2"/>
  <c r="BH158" i="2"/>
  <c r="BA159" i="2"/>
  <c r="C24" i="1"/>
  <c r="BB159" i="2"/>
  <c r="C27" i="1"/>
  <c r="BF159" i="2"/>
  <c r="BE159" i="2"/>
  <c r="BG159" i="2"/>
  <c r="BH159" i="2"/>
  <c r="BA160" i="2"/>
  <c r="BB160" i="2"/>
  <c r="BF160" i="2"/>
  <c r="BE160" i="2"/>
  <c r="BG160" i="2"/>
  <c r="BH160" i="2"/>
  <c r="BA161" i="2"/>
  <c r="BB161" i="2"/>
  <c r="BF161" i="2"/>
  <c r="BE161" i="2"/>
  <c r="BG161" i="2"/>
  <c r="BH161" i="2"/>
  <c r="BA162" i="2"/>
  <c r="BB162" i="2"/>
  <c r="BF162" i="2"/>
  <c r="BE162" i="2"/>
  <c r="BG162" i="2"/>
  <c r="BH162" i="2"/>
  <c r="BA163" i="2"/>
  <c r="BB163" i="2"/>
  <c r="BF163" i="2"/>
  <c r="BE163" i="2"/>
  <c r="BG163" i="2"/>
  <c r="BH163" i="2"/>
  <c r="BA164" i="2"/>
  <c r="BB164" i="2"/>
  <c r="BF164" i="2"/>
  <c r="BE164" i="2"/>
  <c r="BG164" i="2"/>
  <c r="BH164" i="2"/>
  <c r="BA165" i="2"/>
  <c r="BB165" i="2"/>
  <c r="BF165" i="2"/>
  <c r="BE165" i="2"/>
  <c r="BG165" i="2"/>
  <c r="BH165" i="2"/>
  <c r="BA166" i="2"/>
  <c r="BB166" i="2"/>
  <c r="BF166" i="2"/>
  <c r="BE166" i="2"/>
  <c r="BG166" i="2"/>
  <c r="BH166" i="2"/>
  <c r="BA167" i="2"/>
  <c r="BB167" i="2"/>
  <c r="BF167" i="2"/>
  <c r="BE167" i="2"/>
  <c r="BG167" i="2"/>
  <c r="BH167" i="2"/>
  <c r="BA168" i="2"/>
  <c r="BB168" i="2"/>
  <c r="BF168" i="2"/>
  <c r="BE168" i="2"/>
  <c r="BG168" i="2"/>
  <c r="BH168" i="2"/>
  <c r="BA169" i="2"/>
  <c r="BB169" i="2"/>
  <c r="BF169" i="2"/>
  <c r="BE169" i="2"/>
  <c r="BG169" i="2"/>
  <c r="BH169" i="2"/>
  <c r="BA170" i="2"/>
  <c r="BB170" i="2"/>
  <c r="BF170" i="2"/>
  <c r="BE170" i="2"/>
  <c r="BG170" i="2"/>
  <c r="BH170" i="2"/>
  <c r="BA171" i="2"/>
  <c r="BB171" i="2"/>
  <c r="BF171" i="2"/>
  <c r="BE171" i="2"/>
  <c r="BG171" i="2"/>
  <c r="BH171" i="2"/>
  <c r="BA172" i="2"/>
  <c r="BB172" i="2"/>
  <c r="BF172" i="2"/>
  <c r="BE172" i="2"/>
  <c r="BG172" i="2"/>
  <c r="BH172" i="2"/>
  <c r="BA173" i="2"/>
  <c r="BB173" i="2"/>
  <c r="BF173" i="2"/>
  <c r="BE173" i="2"/>
  <c r="BG173" i="2"/>
  <c r="BH173" i="2"/>
  <c r="BA174" i="2"/>
  <c r="BB174" i="2"/>
  <c r="BF174" i="2"/>
  <c r="BE174" i="2"/>
  <c r="BG174" i="2"/>
  <c r="BH174" i="2"/>
  <c r="BA175" i="2"/>
  <c r="BB175" i="2"/>
  <c r="BF175" i="2"/>
  <c r="BE175" i="2"/>
  <c r="BG175" i="2"/>
  <c r="BH175" i="2"/>
  <c r="BA176" i="2"/>
  <c r="BB176" i="2"/>
  <c r="BF176" i="2"/>
  <c r="BE176" i="2"/>
  <c r="BG176" i="2"/>
  <c r="BH176" i="2"/>
  <c r="BA177" i="2"/>
  <c r="BB177" i="2"/>
  <c r="BF177" i="2"/>
  <c r="BE177" i="2"/>
  <c r="BG177" i="2"/>
  <c r="BH177" i="2"/>
  <c r="BA178" i="2"/>
  <c r="BB178" i="2"/>
  <c r="BF178" i="2"/>
  <c r="BE178" i="2"/>
  <c r="BG178" i="2"/>
  <c r="BH178" i="2"/>
  <c r="BA179" i="2"/>
  <c r="BB179" i="2"/>
  <c r="BF179" i="2"/>
  <c r="BE179" i="2"/>
  <c r="BG179" i="2"/>
  <c r="BH179" i="2"/>
  <c r="BA180" i="2"/>
  <c r="BB180" i="2"/>
  <c r="BF180" i="2"/>
  <c r="BE180" i="2"/>
  <c r="BG180" i="2"/>
  <c r="BH180" i="2"/>
  <c r="BA181" i="2"/>
  <c r="BB181" i="2"/>
  <c r="BF181" i="2"/>
  <c r="BE181" i="2"/>
  <c r="BG181" i="2"/>
  <c r="BH181" i="2"/>
  <c r="BA182" i="2"/>
  <c r="BB182" i="2"/>
  <c r="BF182" i="2"/>
  <c r="BE182" i="2"/>
  <c r="BG182" i="2"/>
  <c r="BH182" i="2"/>
  <c r="BA183" i="2"/>
  <c r="BB183" i="2"/>
  <c r="BF183" i="2"/>
  <c r="BE183" i="2"/>
  <c r="BG183" i="2"/>
  <c r="BH183" i="2"/>
  <c r="BA184" i="2"/>
  <c r="BB184" i="2"/>
  <c r="BF184" i="2"/>
  <c r="BE184" i="2"/>
  <c r="BG184" i="2"/>
  <c r="BH184" i="2"/>
  <c r="BA185" i="2"/>
  <c r="BB185" i="2"/>
  <c r="BF185" i="2"/>
  <c r="BE185" i="2"/>
  <c r="BG185" i="2"/>
  <c r="BH185" i="2"/>
  <c r="BA186" i="2"/>
  <c r="BB186" i="2"/>
  <c r="BF186" i="2"/>
  <c r="BE186" i="2"/>
  <c r="BG186" i="2"/>
  <c r="BH186" i="2"/>
  <c r="BA187" i="2"/>
  <c r="BB187" i="2"/>
  <c r="BF187" i="2"/>
  <c r="BE187" i="2"/>
  <c r="BG187" i="2"/>
  <c r="BH187" i="2"/>
  <c r="BA188" i="2"/>
  <c r="BB188" i="2"/>
  <c r="BF188" i="2"/>
  <c r="BE188" i="2"/>
  <c r="BG188" i="2"/>
  <c r="BH188" i="2"/>
  <c r="BA189" i="2"/>
  <c r="BB189" i="2"/>
  <c r="BF189" i="2"/>
  <c r="BE189" i="2"/>
  <c r="BG189" i="2"/>
  <c r="BH189" i="2"/>
  <c r="BA190" i="2"/>
  <c r="BB190" i="2"/>
  <c r="BF190" i="2"/>
  <c r="BE190" i="2"/>
  <c r="BG190" i="2"/>
  <c r="BH190" i="2"/>
  <c r="BA191" i="2"/>
  <c r="BB191" i="2"/>
  <c r="BF191" i="2"/>
  <c r="BE191" i="2"/>
  <c r="BG191" i="2"/>
  <c r="BH191" i="2"/>
  <c r="BA192" i="2"/>
  <c r="BB192" i="2"/>
  <c r="BF192" i="2"/>
  <c r="BE192" i="2"/>
  <c r="BG192" i="2"/>
  <c r="BH192" i="2"/>
  <c r="BA193" i="2"/>
  <c r="BB193" i="2"/>
  <c r="BF193" i="2"/>
  <c r="BE193" i="2"/>
  <c r="BG193" i="2"/>
  <c r="BH193" i="2"/>
  <c r="BA194" i="2"/>
  <c r="BB194" i="2"/>
  <c r="BF194" i="2"/>
  <c r="BE194" i="2"/>
  <c r="BG194" i="2"/>
  <c r="BH194" i="2"/>
  <c r="BA195" i="2"/>
  <c r="BB195" i="2"/>
  <c r="BF195" i="2"/>
  <c r="BE195" i="2"/>
  <c r="BG195" i="2"/>
  <c r="BH195" i="2"/>
  <c r="BA196" i="2"/>
  <c r="BB196" i="2"/>
  <c r="BF196" i="2"/>
  <c r="BE196" i="2"/>
  <c r="BG196" i="2"/>
  <c r="BH196" i="2"/>
  <c r="BA197" i="2"/>
  <c r="BB197" i="2"/>
  <c r="BF197" i="2"/>
  <c r="BE197" i="2"/>
  <c r="BG197" i="2"/>
  <c r="BH197" i="2"/>
  <c r="BA198" i="2"/>
  <c r="BB198" i="2"/>
  <c r="BF198" i="2"/>
  <c r="BE198" i="2"/>
  <c r="BG198" i="2"/>
  <c r="BH198" i="2"/>
  <c r="BA199" i="2"/>
  <c r="BB199" i="2"/>
  <c r="BF199" i="2"/>
  <c r="BE199" i="2"/>
  <c r="BG199" i="2"/>
  <c r="BH199" i="2"/>
  <c r="BA200" i="2"/>
  <c r="BB200" i="2"/>
  <c r="BF200" i="2"/>
  <c r="BE200" i="2"/>
  <c r="BG200" i="2"/>
  <c r="BH200" i="2"/>
  <c r="BA201" i="2"/>
  <c r="BB201" i="2"/>
  <c r="BF201" i="2"/>
  <c r="BE201" i="2"/>
  <c r="BG201" i="2"/>
  <c r="BH201" i="2"/>
  <c r="BA202" i="2"/>
  <c r="BB202" i="2"/>
  <c r="BF202" i="2"/>
  <c r="BE202" i="2"/>
  <c r="BG202" i="2"/>
  <c r="BH202" i="2"/>
  <c r="BA203" i="2"/>
  <c r="BB203" i="2"/>
  <c r="BF203" i="2"/>
  <c r="BE203" i="2"/>
  <c r="BG203" i="2"/>
  <c r="BH203" i="2"/>
  <c r="BA204" i="2"/>
  <c r="BB204" i="2"/>
  <c r="BF204" i="2"/>
  <c r="BE204" i="2"/>
  <c r="BG204" i="2"/>
  <c r="BH204" i="2"/>
  <c r="BA205" i="2"/>
  <c r="BB205" i="2"/>
  <c r="BF205" i="2"/>
  <c r="BE205" i="2"/>
  <c r="BG205" i="2"/>
  <c r="BH205" i="2"/>
  <c r="BA206" i="2"/>
  <c r="BB206" i="2"/>
  <c r="BF206" i="2"/>
  <c r="BE206" i="2"/>
  <c r="BG206" i="2"/>
  <c r="BH206" i="2"/>
  <c r="BA207" i="2"/>
  <c r="BB207" i="2"/>
  <c r="BF207" i="2"/>
  <c r="BE207" i="2"/>
  <c r="BG207" i="2"/>
  <c r="BH207" i="2"/>
  <c r="BA208" i="2"/>
  <c r="BB208" i="2"/>
  <c r="BF208" i="2"/>
  <c r="BE208" i="2"/>
  <c r="BG208" i="2"/>
  <c r="BH208" i="2"/>
  <c r="BA209" i="2"/>
  <c r="BB209" i="2"/>
  <c r="BF209" i="2"/>
  <c r="BE209" i="2"/>
  <c r="BG209" i="2"/>
  <c r="BH209" i="2"/>
  <c r="BA210" i="2"/>
  <c r="BB210" i="2"/>
  <c r="BF210" i="2"/>
  <c r="BE210" i="2"/>
  <c r="BG210" i="2"/>
  <c r="BH210" i="2"/>
  <c r="BA211" i="2"/>
  <c r="BB211" i="2"/>
  <c r="BF211" i="2"/>
  <c r="BE211" i="2"/>
  <c r="BG211" i="2"/>
  <c r="BH211" i="2"/>
  <c r="BA212" i="2"/>
  <c r="BB212" i="2"/>
  <c r="BF212" i="2"/>
  <c r="BE212" i="2"/>
  <c r="BG212" i="2"/>
  <c r="BH212" i="2"/>
  <c r="BA213" i="2"/>
  <c r="BB213" i="2"/>
  <c r="BF213" i="2"/>
  <c r="BE213" i="2"/>
  <c r="BG213" i="2"/>
  <c r="BH213" i="2"/>
  <c r="BA214" i="2"/>
  <c r="BB214" i="2"/>
  <c r="BF214" i="2"/>
  <c r="BE214" i="2"/>
  <c r="BG214" i="2"/>
  <c r="BH214" i="2"/>
  <c r="BA215" i="2"/>
  <c r="BB215" i="2"/>
  <c r="BF215" i="2"/>
  <c r="BE215" i="2"/>
  <c r="BG215" i="2"/>
  <c r="BH215" i="2"/>
  <c r="BA216" i="2"/>
  <c r="BB216" i="2"/>
  <c r="BF216" i="2"/>
  <c r="BE216" i="2"/>
  <c r="BG216" i="2"/>
  <c r="BH216" i="2"/>
  <c r="BA217" i="2"/>
  <c r="BB217" i="2"/>
  <c r="BF217" i="2"/>
  <c r="BE217" i="2"/>
  <c r="BG217" i="2"/>
  <c r="BH217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C15" i="2"/>
  <c r="BH15" i="2"/>
  <c r="BF15" i="2"/>
  <c r="BH14" i="2"/>
  <c r="E35" i="11"/>
  <c r="B7" i="11"/>
  <c r="P17" i="2"/>
  <c r="R17" i="2"/>
  <c r="S17" i="2"/>
  <c r="P18" i="2"/>
  <c r="R18" i="2"/>
  <c r="S18" i="2"/>
  <c r="P19" i="2"/>
  <c r="R19" i="2"/>
  <c r="S19" i="2"/>
  <c r="P20" i="2"/>
  <c r="R20" i="2"/>
  <c r="S20" i="2"/>
  <c r="P21" i="2"/>
  <c r="R21" i="2"/>
  <c r="S21" i="2"/>
  <c r="P22" i="2"/>
  <c r="R22" i="2"/>
  <c r="S22" i="2"/>
  <c r="P23" i="2"/>
  <c r="R23" i="2"/>
  <c r="S23" i="2"/>
  <c r="P24" i="2"/>
  <c r="R24" i="2"/>
  <c r="S24" i="2"/>
  <c r="P25" i="2"/>
  <c r="R25" i="2"/>
  <c r="S25" i="2"/>
  <c r="P26" i="2"/>
  <c r="R26" i="2"/>
  <c r="S26" i="2"/>
  <c r="P27" i="2"/>
  <c r="R27" i="2"/>
  <c r="S27" i="2"/>
  <c r="P28" i="2"/>
  <c r="R28" i="2"/>
  <c r="S28" i="2"/>
  <c r="P29" i="2"/>
  <c r="R29" i="2"/>
  <c r="S29" i="2"/>
  <c r="P30" i="2"/>
  <c r="R30" i="2"/>
  <c r="S30" i="2"/>
  <c r="P31" i="2"/>
  <c r="R31" i="2"/>
  <c r="S31" i="2"/>
  <c r="P32" i="2"/>
  <c r="R32" i="2"/>
  <c r="S32" i="2"/>
  <c r="P33" i="2"/>
  <c r="R33" i="2"/>
  <c r="S33" i="2"/>
  <c r="P34" i="2"/>
  <c r="R34" i="2"/>
  <c r="S34" i="2"/>
  <c r="P35" i="2"/>
  <c r="R35" i="2"/>
  <c r="S35" i="2"/>
  <c r="P36" i="2"/>
  <c r="R36" i="2"/>
  <c r="S36" i="2"/>
  <c r="P37" i="2"/>
  <c r="R37" i="2"/>
  <c r="S37" i="2"/>
  <c r="P38" i="2"/>
  <c r="R38" i="2"/>
  <c r="S38" i="2"/>
  <c r="P39" i="2"/>
  <c r="R39" i="2"/>
  <c r="S39" i="2"/>
  <c r="P40" i="2"/>
  <c r="R40" i="2"/>
  <c r="S40" i="2"/>
  <c r="P41" i="2"/>
  <c r="R41" i="2"/>
  <c r="S41" i="2"/>
  <c r="P42" i="2"/>
  <c r="R42" i="2"/>
  <c r="S42" i="2"/>
  <c r="P43" i="2"/>
  <c r="R43" i="2"/>
  <c r="S43" i="2"/>
  <c r="P44" i="2"/>
  <c r="R44" i="2"/>
  <c r="S44" i="2"/>
  <c r="P45" i="2"/>
  <c r="R45" i="2"/>
  <c r="S45" i="2"/>
  <c r="P46" i="2"/>
  <c r="R46" i="2"/>
  <c r="S46" i="2"/>
  <c r="P47" i="2"/>
  <c r="R47" i="2"/>
  <c r="S47" i="2"/>
  <c r="P48" i="2"/>
  <c r="R48" i="2"/>
  <c r="S48" i="2"/>
  <c r="P49" i="2"/>
  <c r="R49" i="2"/>
  <c r="S49" i="2"/>
  <c r="P50" i="2"/>
  <c r="R50" i="2"/>
  <c r="S50" i="2"/>
  <c r="P51" i="2"/>
  <c r="R51" i="2"/>
  <c r="S51" i="2"/>
  <c r="P52" i="2"/>
  <c r="R52" i="2"/>
  <c r="S52" i="2"/>
  <c r="P53" i="2"/>
  <c r="R53" i="2"/>
  <c r="S53" i="2"/>
  <c r="P54" i="2"/>
  <c r="R54" i="2"/>
  <c r="S54" i="2"/>
  <c r="P55" i="2"/>
  <c r="R55" i="2"/>
  <c r="S55" i="2"/>
  <c r="P56" i="2"/>
  <c r="R56" i="2"/>
  <c r="S56" i="2"/>
  <c r="P57" i="2"/>
  <c r="R57" i="2"/>
  <c r="S57" i="2"/>
  <c r="P58" i="2"/>
  <c r="R58" i="2"/>
  <c r="S58" i="2"/>
  <c r="P59" i="2"/>
  <c r="R59" i="2"/>
  <c r="S59" i="2"/>
  <c r="P60" i="2"/>
  <c r="R60" i="2"/>
  <c r="S60" i="2"/>
  <c r="P61" i="2"/>
  <c r="R61" i="2"/>
  <c r="S61" i="2"/>
  <c r="P62" i="2"/>
  <c r="R62" i="2"/>
  <c r="S62" i="2"/>
  <c r="P63" i="2"/>
  <c r="R63" i="2"/>
  <c r="S63" i="2"/>
  <c r="P64" i="2"/>
  <c r="R64" i="2"/>
  <c r="S64" i="2"/>
  <c r="P65" i="2"/>
  <c r="R65" i="2"/>
  <c r="S65" i="2"/>
  <c r="P66" i="2"/>
  <c r="R66" i="2"/>
  <c r="S66" i="2"/>
  <c r="P67" i="2"/>
  <c r="R67" i="2"/>
  <c r="S67" i="2"/>
  <c r="P68" i="2"/>
  <c r="R68" i="2"/>
  <c r="S68" i="2"/>
  <c r="P69" i="2"/>
  <c r="R69" i="2"/>
  <c r="S69" i="2"/>
  <c r="P70" i="2"/>
  <c r="R70" i="2"/>
  <c r="S70" i="2"/>
  <c r="P71" i="2"/>
  <c r="R71" i="2"/>
  <c r="S71" i="2"/>
  <c r="P72" i="2"/>
  <c r="R72" i="2"/>
  <c r="S72" i="2"/>
  <c r="P73" i="2"/>
  <c r="R73" i="2"/>
  <c r="S73" i="2"/>
  <c r="P74" i="2"/>
  <c r="R74" i="2"/>
  <c r="S74" i="2"/>
  <c r="P75" i="2"/>
  <c r="R75" i="2"/>
  <c r="S75" i="2"/>
  <c r="P76" i="2"/>
  <c r="R76" i="2"/>
  <c r="S76" i="2"/>
  <c r="P77" i="2"/>
  <c r="R77" i="2"/>
  <c r="S77" i="2"/>
  <c r="P78" i="2"/>
  <c r="R78" i="2"/>
  <c r="S78" i="2"/>
  <c r="P79" i="2"/>
  <c r="R79" i="2"/>
  <c r="S79" i="2"/>
  <c r="P80" i="2"/>
  <c r="R80" i="2"/>
  <c r="S80" i="2"/>
  <c r="P81" i="2"/>
  <c r="R81" i="2"/>
  <c r="S81" i="2"/>
  <c r="P82" i="2"/>
  <c r="R82" i="2"/>
  <c r="S82" i="2"/>
  <c r="P83" i="2"/>
  <c r="R83" i="2"/>
  <c r="S83" i="2"/>
  <c r="P84" i="2"/>
  <c r="R84" i="2"/>
  <c r="S84" i="2"/>
  <c r="P85" i="2"/>
  <c r="R85" i="2"/>
  <c r="S85" i="2"/>
  <c r="P86" i="2"/>
  <c r="R86" i="2"/>
  <c r="S86" i="2"/>
  <c r="P87" i="2"/>
  <c r="R87" i="2"/>
  <c r="S87" i="2"/>
  <c r="P88" i="2"/>
  <c r="R88" i="2"/>
  <c r="S88" i="2"/>
  <c r="P89" i="2"/>
  <c r="R89" i="2"/>
  <c r="S89" i="2"/>
  <c r="P90" i="2"/>
  <c r="R90" i="2"/>
  <c r="S90" i="2"/>
  <c r="P91" i="2"/>
  <c r="R91" i="2"/>
  <c r="S91" i="2"/>
  <c r="P92" i="2"/>
  <c r="R92" i="2"/>
  <c r="S92" i="2"/>
  <c r="P93" i="2"/>
  <c r="R93" i="2"/>
  <c r="S93" i="2"/>
  <c r="P94" i="2"/>
  <c r="R94" i="2"/>
  <c r="S94" i="2"/>
  <c r="P95" i="2"/>
  <c r="R95" i="2"/>
  <c r="S95" i="2"/>
  <c r="P96" i="2"/>
  <c r="R96" i="2"/>
  <c r="S96" i="2"/>
  <c r="P97" i="2"/>
  <c r="R97" i="2"/>
  <c r="S97" i="2"/>
  <c r="P98" i="2"/>
  <c r="R98" i="2"/>
  <c r="S98" i="2"/>
  <c r="P99" i="2"/>
  <c r="R99" i="2"/>
  <c r="S99" i="2"/>
  <c r="P100" i="2"/>
  <c r="R100" i="2"/>
  <c r="S100" i="2"/>
  <c r="P101" i="2"/>
  <c r="R101" i="2"/>
  <c r="S101" i="2"/>
  <c r="P102" i="2"/>
  <c r="R102" i="2"/>
  <c r="S102" i="2"/>
  <c r="P103" i="2"/>
  <c r="R103" i="2"/>
  <c r="S103" i="2"/>
  <c r="P104" i="2"/>
  <c r="R104" i="2"/>
  <c r="S104" i="2"/>
  <c r="P105" i="2"/>
  <c r="R105" i="2"/>
  <c r="S105" i="2"/>
  <c r="P106" i="2"/>
  <c r="R106" i="2"/>
  <c r="S106" i="2"/>
  <c r="P107" i="2"/>
  <c r="R107" i="2"/>
  <c r="S107" i="2"/>
  <c r="P108" i="2"/>
  <c r="R108" i="2"/>
  <c r="S108" i="2"/>
  <c r="P109" i="2"/>
  <c r="R109" i="2"/>
  <c r="S109" i="2"/>
  <c r="P110" i="2"/>
  <c r="R110" i="2"/>
  <c r="S110" i="2"/>
  <c r="P111" i="2"/>
  <c r="R111" i="2"/>
  <c r="S111" i="2"/>
  <c r="P112" i="2"/>
  <c r="R112" i="2"/>
  <c r="S112" i="2"/>
  <c r="P113" i="2"/>
  <c r="R113" i="2"/>
  <c r="S113" i="2"/>
  <c r="P114" i="2"/>
  <c r="R114" i="2"/>
  <c r="S114" i="2"/>
  <c r="P115" i="2"/>
  <c r="R115" i="2"/>
  <c r="S115" i="2"/>
  <c r="P116" i="2"/>
  <c r="R116" i="2"/>
  <c r="S116" i="2"/>
  <c r="P117" i="2"/>
  <c r="R117" i="2"/>
  <c r="S117" i="2"/>
  <c r="P118" i="2"/>
  <c r="R118" i="2"/>
  <c r="S118" i="2"/>
  <c r="P119" i="2"/>
  <c r="R119" i="2"/>
  <c r="S119" i="2"/>
  <c r="P120" i="2"/>
  <c r="R120" i="2"/>
  <c r="S120" i="2"/>
  <c r="P121" i="2"/>
  <c r="R121" i="2"/>
  <c r="S121" i="2"/>
  <c r="P122" i="2"/>
  <c r="R122" i="2"/>
  <c r="S122" i="2"/>
  <c r="P123" i="2"/>
  <c r="R123" i="2"/>
  <c r="S123" i="2"/>
  <c r="P124" i="2"/>
  <c r="R124" i="2"/>
  <c r="S124" i="2"/>
  <c r="P125" i="2"/>
  <c r="R125" i="2"/>
  <c r="S125" i="2"/>
  <c r="P126" i="2"/>
  <c r="R126" i="2"/>
  <c r="S126" i="2"/>
  <c r="P127" i="2"/>
  <c r="R127" i="2"/>
  <c r="S127" i="2"/>
  <c r="P128" i="2"/>
  <c r="R128" i="2"/>
  <c r="S128" i="2"/>
  <c r="P129" i="2"/>
  <c r="R129" i="2"/>
  <c r="S129" i="2"/>
  <c r="P130" i="2"/>
  <c r="R130" i="2"/>
  <c r="S130" i="2"/>
  <c r="P131" i="2"/>
  <c r="R131" i="2"/>
  <c r="S131" i="2"/>
  <c r="P132" i="2"/>
  <c r="R132" i="2"/>
  <c r="S132" i="2"/>
  <c r="P133" i="2"/>
  <c r="R133" i="2"/>
  <c r="S133" i="2"/>
  <c r="P134" i="2"/>
  <c r="R134" i="2"/>
  <c r="S134" i="2"/>
  <c r="P135" i="2"/>
  <c r="R135" i="2"/>
  <c r="S135" i="2"/>
  <c r="P136" i="2"/>
  <c r="R136" i="2"/>
  <c r="S136" i="2"/>
  <c r="P137" i="2"/>
  <c r="R137" i="2"/>
  <c r="S137" i="2"/>
  <c r="P138" i="2"/>
  <c r="R138" i="2"/>
  <c r="S138" i="2"/>
  <c r="P139" i="2"/>
  <c r="R139" i="2"/>
  <c r="S139" i="2"/>
  <c r="P140" i="2"/>
  <c r="R140" i="2"/>
  <c r="S140" i="2"/>
  <c r="P141" i="2"/>
  <c r="R141" i="2"/>
  <c r="S141" i="2"/>
  <c r="P142" i="2"/>
  <c r="R142" i="2"/>
  <c r="S142" i="2"/>
  <c r="P143" i="2"/>
  <c r="R143" i="2"/>
  <c r="S143" i="2"/>
  <c r="P144" i="2"/>
  <c r="R144" i="2"/>
  <c r="S144" i="2"/>
  <c r="P145" i="2"/>
  <c r="R145" i="2"/>
  <c r="S145" i="2"/>
  <c r="P146" i="2"/>
  <c r="R146" i="2"/>
  <c r="S146" i="2"/>
  <c r="P147" i="2"/>
  <c r="R147" i="2"/>
  <c r="S147" i="2"/>
  <c r="P148" i="2"/>
  <c r="R148" i="2"/>
  <c r="S148" i="2"/>
  <c r="P149" i="2"/>
  <c r="R149" i="2"/>
  <c r="S149" i="2"/>
  <c r="P150" i="2"/>
  <c r="R150" i="2"/>
  <c r="S150" i="2"/>
  <c r="P151" i="2"/>
  <c r="R151" i="2"/>
  <c r="S151" i="2"/>
  <c r="P152" i="2"/>
  <c r="R152" i="2"/>
  <c r="S152" i="2"/>
  <c r="P153" i="2"/>
  <c r="R153" i="2"/>
  <c r="S153" i="2"/>
  <c r="P154" i="2"/>
  <c r="R154" i="2"/>
  <c r="S154" i="2"/>
  <c r="P155" i="2"/>
  <c r="R155" i="2"/>
  <c r="S155" i="2"/>
  <c r="P156" i="2"/>
  <c r="R156" i="2"/>
  <c r="S156" i="2"/>
  <c r="P157" i="2"/>
  <c r="R157" i="2"/>
  <c r="S157" i="2"/>
  <c r="P158" i="2"/>
  <c r="R158" i="2"/>
  <c r="S158" i="2"/>
  <c r="P159" i="2"/>
  <c r="R159" i="2"/>
  <c r="S159" i="2"/>
  <c r="P160" i="2"/>
  <c r="R160" i="2"/>
  <c r="S160" i="2"/>
  <c r="P161" i="2"/>
  <c r="R161" i="2"/>
  <c r="S161" i="2"/>
  <c r="P162" i="2"/>
  <c r="R162" i="2"/>
  <c r="S162" i="2"/>
  <c r="P163" i="2"/>
  <c r="R163" i="2"/>
  <c r="S163" i="2"/>
  <c r="P164" i="2"/>
  <c r="R164" i="2"/>
  <c r="S164" i="2"/>
  <c r="P165" i="2"/>
  <c r="R165" i="2"/>
  <c r="S165" i="2"/>
  <c r="P166" i="2"/>
  <c r="R166" i="2"/>
  <c r="S166" i="2"/>
  <c r="P167" i="2"/>
  <c r="R167" i="2"/>
  <c r="S167" i="2"/>
  <c r="P168" i="2"/>
  <c r="R168" i="2"/>
  <c r="S168" i="2"/>
  <c r="P169" i="2"/>
  <c r="R169" i="2"/>
  <c r="S169" i="2"/>
  <c r="P170" i="2"/>
  <c r="R170" i="2"/>
  <c r="S170" i="2"/>
  <c r="P171" i="2"/>
  <c r="R171" i="2"/>
  <c r="S171" i="2"/>
  <c r="P172" i="2"/>
  <c r="R172" i="2"/>
  <c r="S172" i="2"/>
  <c r="P173" i="2"/>
  <c r="R173" i="2"/>
  <c r="S173" i="2"/>
  <c r="P174" i="2"/>
  <c r="R174" i="2"/>
  <c r="S174" i="2"/>
  <c r="P175" i="2"/>
  <c r="R175" i="2"/>
  <c r="S175" i="2"/>
  <c r="P176" i="2"/>
  <c r="R176" i="2"/>
  <c r="S176" i="2"/>
  <c r="P177" i="2"/>
  <c r="R177" i="2"/>
  <c r="S177" i="2"/>
  <c r="P178" i="2"/>
  <c r="R178" i="2"/>
  <c r="S178" i="2"/>
  <c r="P179" i="2"/>
  <c r="R179" i="2"/>
  <c r="S179" i="2"/>
  <c r="P180" i="2"/>
  <c r="R180" i="2"/>
  <c r="S180" i="2"/>
  <c r="P181" i="2"/>
  <c r="R181" i="2"/>
  <c r="S181" i="2"/>
  <c r="P182" i="2"/>
  <c r="R182" i="2"/>
  <c r="S182" i="2"/>
  <c r="P183" i="2"/>
  <c r="R183" i="2"/>
  <c r="S183" i="2"/>
  <c r="P184" i="2"/>
  <c r="R184" i="2"/>
  <c r="S184" i="2"/>
  <c r="P185" i="2"/>
  <c r="R185" i="2"/>
  <c r="S185" i="2"/>
  <c r="P186" i="2"/>
  <c r="R186" i="2"/>
  <c r="S186" i="2"/>
  <c r="P187" i="2"/>
  <c r="R187" i="2"/>
  <c r="S187" i="2"/>
  <c r="P188" i="2"/>
  <c r="R188" i="2"/>
  <c r="S188" i="2"/>
  <c r="P189" i="2"/>
  <c r="R189" i="2"/>
  <c r="S189" i="2"/>
  <c r="P190" i="2"/>
  <c r="R190" i="2"/>
  <c r="S190" i="2"/>
  <c r="P191" i="2"/>
  <c r="R191" i="2"/>
  <c r="S191" i="2"/>
  <c r="P192" i="2"/>
  <c r="R192" i="2"/>
  <c r="S192" i="2"/>
  <c r="P193" i="2"/>
  <c r="R193" i="2"/>
  <c r="S193" i="2"/>
  <c r="P194" i="2"/>
  <c r="R194" i="2"/>
  <c r="S194" i="2"/>
  <c r="P195" i="2"/>
  <c r="R195" i="2"/>
  <c r="S195" i="2"/>
  <c r="P196" i="2"/>
  <c r="R196" i="2"/>
  <c r="S196" i="2"/>
  <c r="P197" i="2"/>
  <c r="R197" i="2"/>
  <c r="S197" i="2"/>
  <c r="P198" i="2"/>
  <c r="R198" i="2"/>
  <c r="S198" i="2"/>
  <c r="P199" i="2"/>
  <c r="R199" i="2"/>
  <c r="S199" i="2"/>
  <c r="P200" i="2"/>
  <c r="R200" i="2"/>
  <c r="S200" i="2"/>
  <c r="P201" i="2"/>
  <c r="R201" i="2"/>
  <c r="S201" i="2"/>
  <c r="P202" i="2"/>
  <c r="R202" i="2"/>
  <c r="S202" i="2"/>
  <c r="P203" i="2"/>
  <c r="R203" i="2"/>
  <c r="S203" i="2"/>
  <c r="P204" i="2"/>
  <c r="R204" i="2"/>
  <c r="S204" i="2"/>
  <c r="P205" i="2"/>
  <c r="R205" i="2"/>
  <c r="S205" i="2"/>
  <c r="P206" i="2"/>
  <c r="R206" i="2"/>
  <c r="S206" i="2"/>
  <c r="P207" i="2"/>
  <c r="R207" i="2"/>
  <c r="S207" i="2"/>
  <c r="P208" i="2"/>
  <c r="R208" i="2"/>
  <c r="S208" i="2"/>
  <c r="P209" i="2"/>
  <c r="R209" i="2"/>
  <c r="S209" i="2"/>
  <c r="P210" i="2"/>
  <c r="R210" i="2"/>
  <c r="S210" i="2"/>
  <c r="P211" i="2"/>
  <c r="R211" i="2"/>
  <c r="S211" i="2"/>
  <c r="P212" i="2"/>
  <c r="R212" i="2"/>
  <c r="S212" i="2"/>
  <c r="P213" i="2"/>
  <c r="R213" i="2"/>
  <c r="S213" i="2"/>
  <c r="P214" i="2"/>
  <c r="R214" i="2"/>
  <c r="S214" i="2"/>
  <c r="P215" i="2"/>
  <c r="R215" i="2"/>
  <c r="S215" i="2"/>
  <c r="P216" i="2"/>
  <c r="R216" i="2"/>
  <c r="S216" i="2"/>
  <c r="P217" i="2"/>
  <c r="R217" i="2"/>
  <c r="S217" i="2"/>
  <c r="S15" i="2"/>
  <c r="S14" i="2"/>
  <c r="B35" i="11"/>
  <c r="E53" i="11"/>
  <c r="E59" i="11"/>
  <c r="E8" i="11"/>
  <c r="B8" i="11"/>
  <c r="E55" i="11"/>
  <c r="E56" i="11"/>
  <c r="E9" i="11"/>
  <c r="B9" i="11"/>
  <c r="E54" i="11"/>
  <c r="B53" i="11"/>
  <c r="B54" i="11"/>
  <c r="B55" i="11"/>
  <c r="B56" i="11"/>
  <c r="C8" i="11"/>
  <c r="Z7" i="2"/>
  <c r="Z8" i="2"/>
  <c r="AA8" i="2"/>
  <c r="AA7" i="2"/>
  <c r="Z5" i="2"/>
  <c r="Z9" i="2"/>
  <c r="Z6" i="2"/>
  <c r="Z12" i="2"/>
  <c r="Z17" i="2"/>
  <c r="Y17" i="2"/>
  <c r="AA17" i="2"/>
  <c r="AB17" i="2"/>
  <c r="AC17" i="2"/>
  <c r="Z13" i="2"/>
  <c r="AD17" i="2"/>
  <c r="AE17" i="2"/>
  <c r="AF17" i="2"/>
  <c r="Z18" i="2"/>
  <c r="Y18" i="2"/>
  <c r="AA18" i="2"/>
  <c r="AB18" i="2"/>
  <c r="AC18" i="2"/>
  <c r="AD18" i="2"/>
  <c r="AE18" i="2"/>
  <c r="AF18" i="2"/>
  <c r="Z19" i="2"/>
  <c r="Y19" i="2"/>
  <c r="AA19" i="2"/>
  <c r="AB19" i="2"/>
  <c r="AC19" i="2"/>
  <c r="AD19" i="2"/>
  <c r="AE19" i="2"/>
  <c r="AF19" i="2"/>
  <c r="Z20" i="2"/>
  <c r="Y20" i="2"/>
  <c r="AA20" i="2"/>
  <c r="AB20" i="2"/>
  <c r="AC20" i="2"/>
  <c r="AD20" i="2"/>
  <c r="AE20" i="2"/>
  <c r="AF20" i="2"/>
  <c r="Z21" i="2"/>
  <c r="Y21" i="2"/>
  <c r="AA21" i="2"/>
  <c r="AB21" i="2"/>
  <c r="AC21" i="2"/>
  <c r="AD21" i="2"/>
  <c r="AE21" i="2"/>
  <c r="AF21" i="2"/>
  <c r="Z22" i="2"/>
  <c r="Y22" i="2"/>
  <c r="AA22" i="2"/>
  <c r="AB22" i="2"/>
  <c r="AC22" i="2"/>
  <c r="AD22" i="2"/>
  <c r="AE22" i="2"/>
  <c r="AF22" i="2"/>
  <c r="Z23" i="2"/>
  <c r="Y23" i="2"/>
  <c r="AA23" i="2"/>
  <c r="AB23" i="2"/>
  <c r="AC23" i="2"/>
  <c r="AD23" i="2"/>
  <c r="AE23" i="2"/>
  <c r="AF23" i="2"/>
  <c r="Z24" i="2"/>
  <c r="Y24" i="2"/>
  <c r="AA24" i="2"/>
  <c r="AB24" i="2"/>
  <c r="AC24" i="2"/>
  <c r="AD24" i="2"/>
  <c r="AE24" i="2"/>
  <c r="AF24" i="2"/>
  <c r="Z25" i="2"/>
  <c r="Y25" i="2"/>
  <c r="AA25" i="2"/>
  <c r="AB25" i="2"/>
  <c r="AC25" i="2"/>
  <c r="AD25" i="2"/>
  <c r="AE25" i="2"/>
  <c r="AF25" i="2"/>
  <c r="Z26" i="2"/>
  <c r="Y26" i="2"/>
  <c r="AA26" i="2"/>
  <c r="AB26" i="2"/>
  <c r="AC26" i="2"/>
  <c r="AD26" i="2"/>
  <c r="AE26" i="2"/>
  <c r="AF26" i="2"/>
  <c r="Z27" i="2"/>
  <c r="Y27" i="2"/>
  <c r="AA27" i="2"/>
  <c r="AB27" i="2"/>
  <c r="AC27" i="2"/>
  <c r="AD27" i="2"/>
  <c r="AE27" i="2"/>
  <c r="AF27" i="2"/>
  <c r="Z28" i="2"/>
  <c r="Y28" i="2"/>
  <c r="AA28" i="2"/>
  <c r="AB28" i="2"/>
  <c r="AC28" i="2"/>
  <c r="AD28" i="2"/>
  <c r="AE28" i="2"/>
  <c r="AF28" i="2"/>
  <c r="Z29" i="2"/>
  <c r="Y29" i="2"/>
  <c r="AA29" i="2"/>
  <c r="AB29" i="2"/>
  <c r="AC29" i="2"/>
  <c r="AD29" i="2"/>
  <c r="AE29" i="2"/>
  <c r="AF29" i="2"/>
  <c r="Z30" i="2"/>
  <c r="Y30" i="2"/>
  <c r="AA30" i="2"/>
  <c r="AB30" i="2"/>
  <c r="AC30" i="2"/>
  <c r="AD30" i="2"/>
  <c r="AE30" i="2"/>
  <c r="AF30" i="2"/>
  <c r="Z31" i="2"/>
  <c r="Y31" i="2"/>
  <c r="AA31" i="2"/>
  <c r="AB31" i="2"/>
  <c r="AC31" i="2"/>
  <c r="AD31" i="2"/>
  <c r="AE31" i="2"/>
  <c r="AF31" i="2"/>
  <c r="Z32" i="2"/>
  <c r="Y32" i="2"/>
  <c r="AA32" i="2"/>
  <c r="AB32" i="2"/>
  <c r="AC32" i="2"/>
  <c r="AD32" i="2"/>
  <c r="AE32" i="2"/>
  <c r="AF32" i="2"/>
  <c r="Z33" i="2"/>
  <c r="Y33" i="2"/>
  <c r="AA33" i="2"/>
  <c r="AB33" i="2"/>
  <c r="AC33" i="2"/>
  <c r="AD33" i="2"/>
  <c r="AE33" i="2"/>
  <c r="AF33" i="2"/>
  <c r="Z34" i="2"/>
  <c r="Y34" i="2"/>
  <c r="AA34" i="2"/>
  <c r="AB34" i="2"/>
  <c r="AC34" i="2"/>
  <c r="AD34" i="2"/>
  <c r="AE34" i="2"/>
  <c r="AF34" i="2"/>
  <c r="Z35" i="2"/>
  <c r="Y35" i="2"/>
  <c r="AA35" i="2"/>
  <c r="AB35" i="2"/>
  <c r="AC35" i="2"/>
  <c r="AD35" i="2"/>
  <c r="AE35" i="2"/>
  <c r="AF35" i="2"/>
  <c r="Z36" i="2"/>
  <c r="Y36" i="2"/>
  <c r="AA36" i="2"/>
  <c r="AB36" i="2"/>
  <c r="AC36" i="2"/>
  <c r="AD36" i="2"/>
  <c r="AE36" i="2"/>
  <c r="AF36" i="2"/>
  <c r="Z37" i="2"/>
  <c r="Y37" i="2"/>
  <c r="AA37" i="2"/>
  <c r="AB37" i="2"/>
  <c r="AC37" i="2"/>
  <c r="AD37" i="2"/>
  <c r="AE37" i="2"/>
  <c r="AF37" i="2"/>
  <c r="Z38" i="2"/>
  <c r="Y38" i="2"/>
  <c r="AA38" i="2"/>
  <c r="AB38" i="2"/>
  <c r="AC38" i="2"/>
  <c r="AD38" i="2"/>
  <c r="AE38" i="2"/>
  <c r="AF38" i="2"/>
  <c r="Z39" i="2"/>
  <c r="Y39" i="2"/>
  <c r="AA39" i="2"/>
  <c r="AB39" i="2"/>
  <c r="AC39" i="2"/>
  <c r="AD39" i="2"/>
  <c r="AE39" i="2"/>
  <c r="AF39" i="2"/>
  <c r="Z40" i="2"/>
  <c r="Y40" i="2"/>
  <c r="AA40" i="2"/>
  <c r="AB40" i="2"/>
  <c r="AC40" i="2"/>
  <c r="AD40" i="2"/>
  <c r="AE40" i="2"/>
  <c r="AF40" i="2"/>
  <c r="Z41" i="2"/>
  <c r="Y41" i="2"/>
  <c r="AA41" i="2"/>
  <c r="AB41" i="2"/>
  <c r="AC41" i="2"/>
  <c r="AD41" i="2"/>
  <c r="AE41" i="2"/>
  <c r="AF41" i="2"/>
  <c r="Z42" i="2"/>
  <c r="Y42" i="2"/>
  <c r="AA42" i="2"/>
  <c r="AB42" i="2"/>
  <c r="AC42" i="2"/>
  <c r="AD42" i="2"/>
  <c r="AE42" i="2"/>
  <c r="AF42" i="2"/>
  <c r="Z43" i="2"/>
  <c r="Y43" i="2"/>
  <c r="AA43" i="2"/>
  <c r="AB43" i="2"/>
  <c r="AC43" i="2"/>
  <c r="AD43" i="2"/>
  <c r="AE43" i="2"/>
  <c r="AF43" i="2"/>
  <c r="Z44" i="2"/>
  <c r="Y44" i="2"/>
  <c r="AA44" i="2"/>
  <c r="AB44" i="2"/>
  <c r="AC44" i="2"/>
  <c r="AD44" i="2"/>
  <c r="AE44" i="2"/>
  <c r="AF44" i="2"/>
  <c r="Z45" i="2"/>
  <c r="Y45" i="2"/>
  <c r="AA45" i="2"/>
  <c r="AB45" i="2"/>
  <c r="AC45" i="2"/>
  <c r="AD45" i="2"/>
  <c r="AE45" i="2"/>
  <c r="AF45" i="2"/>
  <c r="Z46" i="2"/>
  <c r="Y46" i="2"/>
  <c r="AA46" i="2"/>
  <c r="AB46" i="2"/>
  <c r="AC46" i="2"/>
  <c r="AD46" i="2"/>
  <c r="AE46" i="2"/>
  <c r="AF46" i="2"/>
  <c r="Z47" i="2"/>
  <c r="Y47" i="2"/>
  <c r="AA47" i="2"/>
  <c r="AB47" i="2"/>
  <c r="AC47" i="2"/>
  <c r="AD47" i="2"/>
  <c r="AE47" i="2"/>
  <c r="AF47" i="2"/>
  <c r="Z48" i="2"/>
  <c r="Y48" i="2"/>
  <c r="AA48" i="2"/>
  <c r="AB48" i="2"/>
  <c r="AC48" i="2"/>
  <c r="AD48" i="2"/>
  <c r="AE48" i="2"/>
  <c r="AF48" i="2"/>
  <c r="Z49" i="2"/>
  <c r="Y49" i="2"/>
  <c r="AA49" i="2"/>
  <c r="AB49" i="2"/>
  <c r="AC49" i="2"/>
  <c r="AD49" i="2"/>
  <c r="AE49" i="2"/>
  <c r="AF49" i="2"/>
  <c r="Z50" i="2"/>
  <c r="Y50" i="2"/>
  <c r="AA50" i="2"/>
  <c r="AB50" i="2"/>
  <c r="AC50" i="2"/>
  <c r="AD50" i="2"/>
  <c r="AE50" i="2"/>
  <c r="AF50" i="2"/>
  <c r="Z51" i="2"/>
  <c r="Y51" i="2"/>
  <c r="AA51" i="2"/>
  <c r="AB51" i="2"/>
  <c r="AC51" i="2"/>
  <c r="AD51" i="2"/>
  <c r="AE51" i="2"/>
  <c r="AF51" i="2"/>
  <c r="Z52" i="2"/>
  <c r="Y52" i="2"/>
  <c r="AA52" i="2"/>
  <c r="AB52" i="2"/>
  <c r="AC52" i="2"/>
  <c r="AD52" i="2"/>
  <c r="AE52" i="2"/>
  <c r="AF52" i="2"/>
  <c r="Z53" i="2"/>
  <c r="Y53" i="2"/>
  <c r="AA53" i="2"/>
  <c r="AB53" i="2"/>
  <c r="AC53" i="2"/>
  <c r="AD53" i="2"/>
  <c r="AE53" i="2"/>
  <c r="AF53" i="2"/>
  <c r="Z54" i="2"/>
  <c r="Y54" i="2"/>
  <c r="AA54" i="2"/>
  <c r="AB54" i="2"/>
  <c r="AC54" i="2"/>
  <c r="AD54" i="2"/>
  <c r="AE54" i="2"/>
  <c r="AF54" i="2"/>
  <c r="Z55" i="2"/>
  <c r="Y55" i="2"/>
  <c r="AA55" i="2"/>
  <c r="AB55" i="2"/>
  <c r="AC55" i="2"/>
  <c r="AD55" i="2"/>
  <c r="AE55" i="2"/>
  <c r="AF55" i="2"/>
  <c r="Z56" i="2"/>
  <c r="Y56" i="2"/>
  <c r="AA56" i="2"/>
  <c r="AB56" i="2"/>
  <c r="AC56" i="2"/>
  <c r="AD56" i="2"/>
  <c r="AE56" i="2"/>
  <c r="AF56" i="2"/>
  <c r="Z57" i="2"/>
  <c r="Y57" i="2"/>
  <c r="AA57" i="2"/>
  <c r="AB57" i="2"/>
  <c r="AC57" i="2"/>
  <c r="AD57" i="2"/>
  <c r="AE57" i="2"/>
  <c r="AF57" i="2"/>
  <c r="Z58" i="2"/>
  <c r="Y58" i="2"/>
  <c r="AA58" i="2"/>
  <c r="AB58" i="2"/>
  <c r="AC58" i="2"/>
  <c r="AD58" i="2"/>
  <c r="AE58" i="2"/>
  <c r="AF58" i="2"/>
  <c r="Z59" i="2"/>
  <c r="Y59" i="2"/>
  <c r="AA59" i="2"/>
  <c r="AB59" i="2"/>
  <c r="AC59" i="2"/>
  <c r="AD59" i="2"/>
  <c r="AE59" i="2"/>
  <c r="AF59" i="2"/>
  <c r="Z60" i="2"/>
  <c r="Y60" i="2"/>
  <c r="AA60" i="2"/>
  <c r="AB60" i="2"/>
  <c r="AC60" i="2"/>
  <c r="AD60" i="2"/>
  <c r="AE60" i="2"/>
  <c r="AF60" i="2"/>
  <c r="Z61" i="2"/>
  <c r="Y61" i="2"/>
  <c r="AA61" i="2"/>
  <c r="AB61" i="2"/>
  <c r="AC61" i="2"/>
  <c r="AD61" i="2"/>
  <c r="AE61" i="2"/>
  <c r="AF61" i="2"/>
  <c r="Z62" i="2"/>
  <c r="Y62" i="2"/>
  <c r="AA62" i="2"/>
  <c r="AB62" i="2"/>
  <c r="AC62" i="2"/>
  <c r="AD62" i="2"/>
  <c r="AE62" i="2"/>
  <c r="AF62" i="2"/>
  <c r="Z63" i="2"/>
  <c r="Y63" i="2"/>
  <c r="AA63" i="2"/>
  <c r="AB63" i="2"/>
  <c r="AC63" i="2"/>
  <c r="AD63" i="2"/>
  <c r="AE63" i="2"/>
  <c r="AF63" i="2"/>
  <c r="Z64" i="2"/>
  <c r="Y64" i="2"/>
  <c r="AA64" i="2"/>
  <c r="AB64" i="2"/>
  <c r="AC64" i="2"/>
  <c r="AD64" i="2"/>
  <c r="AE64" i="2"/>
  <c r="AF64" i="2"/>
  <c r="Z65" i="2"/>
  <c r="Y65" i="2"/>
  <c r="AA65" i="2"/>
  <c r="AB65" i="2"/>
  <c r="AC65" i="2"/>
  <c r="AD65" i="2"/>
  <c r="AE65" i="2"/>
  <c r="AF65" i="2"/>
  <c r="Z66" i="2"/>
  <c r="Y66" i="2"/>
  <c r="AA66" i="2"/>
  <c r="AB66" i="2"/>
  <c r="AC66" i="2"/>
  <c r="AD66" i="2"/>
  <c r="AE66" i="2"/>
  <c r="AF66" i="2"/>
  <c r="Z67" i="2"/>
  <c r="Y67" i="2"/>
  <c r="AA67" i="2"/>
  <c r="AB67" i="2"/>
  <c r="AC67" i="2"/>
  <c r="AD67" i="2"/>
  <c r="AE67" i="2"/>
  <c r="AF67" i="2"/>
  <c r="Z68" i="2"/>
  <c r="Y68" i="2"/>
  <c r="AA68" i="2"/>
  <c r="AB68" i="2"/>
  <c r="AC68" i="2"/>
  <c r="AD68" i="2"/>
  <c r="AE68" i="2"/>
  <c r="AF68" i="2"/>
  <c r="Z69" i="2"/>
  <c r="Y69" i="2"/>
  <c r="AA69" i="2"/>
  <c r="AB69" i="2"/>
  <c r="AC69" i="2"/>
  <c r="AD69" i="2"/>
  <c r="AE69" i="2"/>
  <c r="AF69" i="2"/>
  <c r="Z70" i="2"/>
  <c r="Y70" i="2"/>
  <c r="AA70" i="2"/>
  <c r="AB70" i="2"/>
  <c r="AC70" i="2"/>
  <c r="AD70" i="2"/>
  <c r="AE70" i="2"/>
  <c r="AF70" i="2"/>
  <c r="Z71" i="2"/>
  <c r="Y71" i="2"/>
  <c r="AA71" i="2"/>
  <c r="AB71" i="2"/>
  <c r="AC71" i="2"/>
  <c r="AD71" i="2"/>
  <c r="AE71" i="2"/>
  <c r="AF71" i="2"/>
  <c r="Z72" i="2"/>
  <c r="Y72" i="2"/>
  <c r="AA72" i="2"/>
  <c r="AB72" i="2"/>
  <c r="AC72" i="2"/>
  <c r="AD72" i="2"/>
  <c r="AE72" i="2"/>
  <c r="AF72" i="2"/>
  <c r="Z73" i="2"/>
  <c r="Y73" i="2"/>
  <c r="AA73" i="2"/>
  <c r="AB73" i="2"/>
  <c r="AC73" i="2"/>
  <c r="AD73" i="2"/>
  <c r="AE73" i="2"/>
  <c r="AF73" i="2"/>
  <c r="Z74" i="2"/>
  <c r="Y74" i="2"/>
  <c r="AA74" i="2"/>
  <c r="AB74" i="2"/>
  <c r="AC74" i="2"/>
  <c r="AD74" i="2"/>
  <c r="AE74" i="2"/>
  <c r="AF74" i="2"/>
  <c r="Z75" i="2"/>
  <c r="Y75" i="2"/>
  <c r="AA75" i="2"/>
  <c r="AB75" i="2"/>
  <c r="AC75" i="2"/>
  <c r="AD75" i="2"/>
  <c r="AE75" i="2"/>
  <c r="AF75" i="2"/>
  <c r="Z76" i="2"/>
  <c r="Y76" i="2"/>
  <c r="AA76" i="2"/>
  <c r="AB76" i="2"/>
  <c r="AC76" i="2"/>
  <c r="AD76" i="2"/>
  <c r="AE76" i="2"/>
  <c r="AF76" i="2"/>
  <c r="Z77" i="2"/>
  <c r="Y77" i="2"/>
  <c r="AA77" i="2"/>
  <c r="AB77" i="2"/>
  <c r="AC77" i="2"/>
  <c r="AD77" i="2"/>
  <c r="AE77" i="2"/>
  <c r="AF77" i="2"/>
  <c r="Z78" i="2"/>
  <c r="Y78" i="2"/>
  <c r="AA78" i="2"/>
  <c r="AB78" i="2"/>
  <c r="AC78" i="2"/>
  <c r="AD78" i="2"/>
  <c r="AE78" i="2"/>
  <c r="AF78" i="2"/>
  <c r="Z79" i="2"/>
  <c r="Y79" i="2"/>
  <c r="AA79" i="2"/>
  <c r="AB79" i="2"/>
  <c r="AC79" i="2"/>
  <c r="AD79" i="2"/>
  <c r="AE79" i="2"/>
  <c r="AF79" i="2"/>
  <c r="Z80" i="2"/>
  <c r="Y80" i="2"/>
  <c r="AA80" i="2"/>
  <c r="AB80" i="2"/>
  <c r="AC80" i="2"/>
  <c r="AD80" i="2"/>
  <c r="AE80" i="2"/>
  <c r="AF80" i="2"/>
  <c r="Z81" i="2"/>
  <c r="Y81" i="2"/>
  <c r="AA81" i="2"/>
  <c r="AB81" i="2"/>
  <c r="AC81" i="2"/>
  <c r="AD81" i="2"/>
  <c r="AE81" i="2"/>
  <c r="AF81" i="2"/>
  <c r="Z82" i="2"/>
  <c r="Y82" i="2"/>
  <c r="AA82" i="2"/>
  <c r="AB82" i="2"/>
  <c r="AC82" i="2"/>
  <c r="AD82" i="2"/>
  <c r="AE82" i="2"/>
  <c r="AF82" i="2"/>
  <c r="Z83" i="2"/>
  <c r="Y83" i="2"/>
  <c r="AA83" i="2"/>
  <c r="AB83" i="2"/>
  <c r="AC83" i="2"/>
  <c r="AD83" i="2"/>
  <c r="AE83" i="2"/>
  <c r="AF83" i="2"/>
  <c r="Z84" i="2"/>
  <c r="Y84" i="2"/>
  <c r="AA84" i="2"/>
  <c r="AB84" i="2"/>
  <c r="AC84" i="2"/>
  <c r="AD84" i="2"/>
  <c r="AE84" i="2"/>
  <c r="AF84" i="2"/>
  <c r="Z85" i="2"/>
  <c r="Y85" i="2"/>
  <c r="AA85" i="2"/>
  <c r="AB85" i="2"/>
  <c r="AC85" i="2"/>
  <c r="AD85" i="2"/>
  <c r="AE85" i="2"/>
  <c r="AF85" i="2"/>
  <c r="Z86" i="2"/>
  <c r="Y86" i="2"/>
  <c r="AA86" i="2"/>
  <c r="AB86" i="2"/>
  <c r="AC86" i="2"/>
  <c r="AD86" i="2"/>
  <c r="AE86" i="2"/>
  <c r="AF86" i="2"/>
  <c r="Z87" i="2"/>
  <c r="Y87" i="2"/>
  <c r="AA87" i="2"/>
  <c r="AB87" i="2"/>
  <c r="AC87" i="2"/>
  <c r="AD87" i="2"/>
  <c r="AE87" i="2"/>
  <c r="AF87" i="2"/>
  <c r="Z88" i="2"/>
  <c r="Y88" i="2"/>
  <c r="AA88" i="2"/>
  <c r="AB88" i="2"/>
  <c r="AC88" i="2"/>
  <c r="AD88" i="2"/>
  <c r="AE88" i="2"/>
  <c r="AF88" i="2"/>
  <c r="Z89" i="2"/>
  <c r="Y89" i="2"/>
  <c r="AA89" i="2"/>
  <c r="AB89" i="2"/>
  <c r="AC89" i="2"/>
  <c r="AD89" i="2"/>
  <c r="AE89" i="2"/>
  <c r="AF89" i="2"/>
  <c r="Z90" i="2"/>
  <c r="Y90" i="2"/>
  <c r="AA90" i="2"/>
  <c r="AB90" i="2"/>
  <c r="AC90" i="2"/>
  <c r="AD90" i="2"/>
  <c r="AE90" i="2"/>
  <c r="AF90" i="2"/>
  <c r="Z91" i="2"/>
  <c r="Y91" i="2"/>
  <c r="AA91" i="2"/>
  <c r="AB91" i="2"/>
  <c r="AC91" i="2"/>
  <c r="AD91" i="2"/>
  <c r="AE91" i="2"/>
  <c r="AF91" i="2"/>
  <c r="Z92" i="2"/>
  <c r="Y92" i="2"/>
  <c r="AA92" i="2"/>
  <c r="AB92" i="2"/>
  <c r="AC92" i="2"/>
  <c r="AD92" i="2"/>
  <c r="AE92" i="2"/>
  <c r="AF92" i="2"/>
  <c r="Z93" i="2"/>
  <c r="Y93" i="2"/>
  <c r="AA93" i="2"/>
  <c r="AB93" i="2"/>
  <c r="AC93" i="2"/>
  <c r="AD93" i="2"/>
  <c r="AE93" i="2"/>
  <c r="AF93" i="2"/>
  <c r="Z94" i="2"/>
  <c r="Y94" i="2"/>
  <c r="AA94" i="2"/>
  <c r="AB94" i="2"/>
  <c r="AC94" i="2"/>
  <c r="AD94" i="2"/>
  <c r="AE94" i="2"/>
  <c r="AF94" i="2"/>
  <c r="Z95" i="2"/>
  <c r="Y95" i="2"/>
  <c r="AA95" i="2"/>
  <c r="AB95" i="2"/>
  <c r="AC95" i="2"/>
  <c r="AD95" i="2"/>
  <c r="AE95" i="2"/>
  <c r="AF95" i="2"/>
  <c r="Z96" i="2"/>
  <c r="Y96" i="2"/>
  <c r="AA96" i="2"/>
  <c r="AB96" i="2"/>
  <c r="AC96" i="2"/>
  <c r="AD96" i="2"/>
  <c r="AE96" i="2"/>
  <c r="AF96" i="2"/>
  <c r="Z97" i="2"/>
  <c r="Y97" i="2"/>
  <c r="AA97" i="2"/>
  <c r="AB97" i="2"/>
  <c r="AC97" i="2"/>
  <c r="AD97" i="2"/>
  <c r="AE97" i="2"/>
  <c r="AF97" i="2"/>
  <c r="Z98" i="2"/>
  <c r="Y98" i="2"/>
  <c r="AA98" i="2"/>
  <c r="AB98" i="2"/>
  <c r="AC98" i="2"/>
  <c r="AD98" i="2"/>
  <c r="AE98" i="2"/>
  <c r="AF98" i="2"/>
  <c r="Z99" i="2"/>
  <c r="Y99" i="2"/>
  <c r="AA99" i="2"/>
  <c r="AB99" i="2"/>
  <c r="AC99" i="2"/>
  <c r="AD99" i="2"/>
  <c r="AE99" i="2"/>
  <c r="AF99" i="2"/>
  <c r="Z100" i="2"/>
  <c r="Y100" i="2"/>
  <c r="AA100" i="2"/>
  <c r="AB100" i="2"/>
  <c r="AC100" i="2"/>
  <c r="AD100" i="2"/>
  <c r="AE100" i="2"/>
  <c r="AF100" i="2"/>
  <c r="Z101" i="2"/>
  <c r="Y101" i="2"/>
  <c r="AA101" i="2"/>
  <c r="AB101" i="2"/>
  <c r="AC101" i="2"/>
  <c r="AD101" i="2"/>
  <c r="AE101" i="2"/>
  <c r="AF101" i="2"/>
  <c r="Z102" i="2"/>
  <c r="Y102" i="2"/>
  <c r="AA102" i="2"/>
  <c r="AB102" i="2"/>
  <c r="AC102" i="2"/>
  <c r="AD102" i="2"/>
  <c r="AE102" i="2"/>
  <c r="AF102" i="2"/>
  <c r="Z103" i="2"/>
  <c r="Y103" i="2"/>
  <c r="AA103" i="2"/>
  <c r="AB103" i="2"/>
  <c r="AC103" i="2"/>
  <c r="AD103" i="2"/>
  <c r="AE103" i="2"/>
  <c r="AF103" i="2"/>
  <c r="Z104" i="2"/>
  <c r="Y104" i="2"/>
  <c r="AA104" i="2"/>
  <c r="AB104" i="2"/>
  <c r="AC104" i="2"/>
  <c r="AD104" i="2"/>
  <c r="AE104" i="2"/>
  <c r="AF104" i="2"/>
  <c r="Z105" i="2"/>
  <c r="Y105" i="2"/>
  <c r="AA105" i="2"/>
  <c r="AB105" i="2"/>
  <c r="AC105" i="2"/>
  <c r="AD105" i="2"/>
  <c r="AE105" i="2"/>
  <c r="AF105" i="2"/>
  <c r="Z106" i="2"/>
  <c r="Y106" i="2"/>
  <c r="AA106" i="2"/>
  <c r="AB106" i="2"/>
  <c r="AC106" i="2"/>
  <c r="AD106" i="2"/>
  <c r="AE106" i="2"/>
  <c r="AF106" i="2"/>
  <c r="Z107" i="2"/>
  <c r="Y107" i="2"/>
  <c r="AA107" i="2"/>
  <c r="AB107" i="2"/>
  <c r="AC107" i="2"/>
  <c r="AD107" i="2"/>
  <c r="AE107" i="2"/>
  <c r="AF107" i="2"/>
  <c r="Z108" i="2"/>
  <c r="Y108" i="2"/>
  <c r="AA108" i="2"/>
  <c r="AB108" i="2"/>
  <c r="AC108" i="2"/>
  <c r="AD108" i="2"/>
  <c r="AE108" i="2"/>
  <c r="AF108" i="2"/>
  <c r="Z109" i="2"/>
  <c r="Y109" i="2"/>
  <c r="AA109" i="2"/>
  <c r="AB109" i="2"/>
  <c r="AC109" i="2"/>
  <c r="AD109" i="2"/>
  <c r="AE109" i="2"/>
  <c r="AF109" i="2"/>
  <c r="Z110" i="2"/>
  <c r="Y110" i="2"/>
  <c r="AA110" i="2"/>
  <c r="AB110" i="2"/>
  <c r="AC110" i="2"/>
  <c r="AD110" i="2"/>
  <c r="AE110" i="2"/>
  <c r="AF110" i="2"/>
  <c r="Z111" i="2"/>
  <c r="Y111" i="2"/>
  <c r="AA111" i="2"/>
  <c r="AB111" i="2"/>
  <c r="AC111" i="2"/>
  <c r="AD111" i="2"/>
  <c r="AE111" i="2"/>
  <c r="AF111" i="2"/>
  <c r="Z112" i="2"/>
  <c r="Y112" i="2"/>
  <c r="AA112" i="2"/>
  <c r="AB112" i="2"/>
  <c r="AC112" i="2"/>
  <c r="AD112" i="2"/>
  <c r="AE112" i="2"/>
  <c r="AF112" i="2"/>
  <c r="Z113" i="2"/>
  <c r="Y113" i="2"/>
  <c r="AA113" i="2"/>
  <c r="AB113" i="2"/>
  <c r="AC113" i="2"/>
  <c r="AD113" i="2"/>
  <c r="AE113" i="2"/>
  <c r="AF113" i="2"/>
  <c r="Z114" i="2"/>
  <c r="Y114" i="2"/>
  <c r="AA114" i="2"/>
  <c r="AB114" i="2"/>
  <c r="AC114" i="2"/>
  <c r="AD114" i="2"/>
  <c r="AE114" i="2"/>
  <c r="AF114" i="2"/>
  <c r="Z115" i="2"/>
  <c r="Y115" i="2"/>
  <c r="AA115" i="2"/>
  <c r="AB115" i="2"/>
  <c r="AC115" i="2"/>
  <c r="AD115" i="2"/>
  <c r="AE115" i="2"/>
  <c r="AF115" i="2"/>
  <c r="Z116" i="2"/>
  <c r="Y116" i="2"/>
  <c r="AA116" i="2"/>
  <c r="AB116" i="2"/>
  <c r="AC116" i="2"/>
  <c r="AD116" i="2"/>
  <c r="AE116" i="2"/>
  <c r="AF116" i="2"/>
  <c r="Z117" i="2"/>
  <c r="Y117" i="2"/>
  <c r="AA117" i="2"/>
  <c r="AB117" i="2"/>
  <c r="AC117" i="2"/>
  <c r="AD117" i="2"/>
  <c r="AE117" i="2"/>
  <c r="AF117" i="2"/>
  <c r="Z118" i="2"/>
  <c r="Y118" i="2"/>
  <c r="AA118" i="2"/>
  <c r="AB118" i="2"/>
  <c r="AC118" i="2"/>
  <c r="C52" i="1"/>
  <c r="AD118" i="2"/>
  <c r="AE118" i="2"/>
  <c r="AF118" i="2"/>
  <c r="Z119" i="2"/>
  <c r="Y119" i="2"/>
  <c r="AA119" i="2"/>
  <c r="AB119" i="2"/>
  <c r="AC119" i="2"/>
  <c r="AD119" i="2"/>
  <c r="AE119" i="2"/>
  <c r="AF119" i="2"/>
  <c r="Z120" i="2"/>
  <c r="Y120" i="2"/>
  <c r="AA120" i="2"/>
  <c r="AB120" i="2"/>
  <c r="AC120" i="2"/>
  <c r="AD120" i="2"/>
  <c r="AE120" i="2"/>
  <c r="AF120" i="2"/>
  <c r="Z121" i="2"/>
  <c r="Y121" i="2"/>
  <c r="AA121" i="2"/>
  <c r="AB121" i="2"/>
  <c r="AC121" i="2"/>
  <c r="AD121" i="2"/>
  <c r="AE121" i="2"/>
  <c r="AF121" i="2"/>
  <c r="Z122" i="2"/>
  <c r="Y122" i="2"/>
  <c r="AA122" i="2"/>
  <c r="AB122" i="2"/>
  <c r="AC122" i="2"/>
  <c r="AD122" i="2"/>
  <c r="AE122" i="2"/>
  <c r="AF122" i="2"/>
  <c r="Z123" i="2"/>
  <c r="Y123" i="2"/>
  <c r="AA123" i="2"/>
  <c r="AB123" i="2"/>
  <c r="AC123" i="2"/>
  <c r="AD123" i="2"/>
  <c r="AE123" i="2"/>
  <c r="AF123" i="2"/>
  <c r="Z124" i="2"/>
  <c r="Y124" i="2"/>
  <c r="AA124" i="2"/>
  <c r="AB124" i="2"/>
  <c r="AC124" i="2"/>
  <c r="AD124" i="2"/>
  <c r="AE124" i="2"/>
  <c r="AF124" i="2"/>
  <c r="Z125" i="2"/>
  <c r="Y125" i="2"/>
  <c r="AA125" i="2"/>
  <c r="AB125" i="2"/>
  <c r="AC125" i="2"/>
  <c r="AD125" i="2"/>
  <c r="AE125" i="2"/>
  <c r="AF125" i="2"/>
  <c r="Z126" i="2"/>
  <c r="Y126" i="2"/>
  <c r="AA126" i="2"/>
  <c r="AB126" i="2"/>
  <c r="AC126" i="2"/>
  <c r="AD126" i="2"/>
  <c r="AE126" i="2"/>
  <c r="AF126" i="2"/>
  <c r="Z127" i="2"/>
  <c r="Y127" i="2"/>
  <c r="AA127" i="2"/>
  <c r="AB127" i="2"/>
  <c r="AC127" i="2"/>
  <c r="AD127" i="2"/>
  <c r="AE127" i="2"/>
  <c r="AF127" i="2"/>
  <c r="Z128" i="2"/>
  <c r="Y128" i="2"/>
  <c r="AA128" i="2"/>
  <c r="AB128" i="2"/>
  <c r="AC128" i="2"/>
  <c r="AD128" i="2"/>
  <c r="AE128" i="2"/>
  <c r="AF128" i="2"/>
  <c r="Z129" i="2"/>
  <c r="Y129" i="2"/>
  <c r="AA129" i="2"/>
  <c r="AB129" i="2"/>
  <c r="AC129" i="2"/>
  <c r="AD129" i="2"/>
  <c r="AE129" i="2"/>
  <c r="AF129" i="2"/>
  <c r="Z130" i="2"/>
  <c r="Y130" i="2"/>
  <c r="AA130" i="2"/>
  <c r="AB130" i="2"/>
  <c r="AC130" i="2"/>
  <c r="AD130" i="2"/>
  <c r="AE130" i="2"/>
  <c r="AF130" i="2"/>
  <c r="Z131" i="2"/>
  <c r="Y131" i="2"/>
  <c r="AA131" i="2"/>
  <c r="AB131" i="2"/>
  <c r="AC131" i="2"/>
  <c r="AD131" i="2"/>
  <c r="AE131" i="2"/>
  <c r="AF131" i="2"/>
  <c r="Z132" i="2"/>
  <c r="Y132" i="2"/>
  <c r="AA132" i="2"/>
  <c r="AB132" i="2"/>
  <c r="AC132" i="2"/>
  <c r="AD132" i="2"/>
  <c r="AE132" i="2"/>
  <c r="AF132" i="2"/>
  <c r="Z133" i="2"/>
  <c r="Y133" i="2"/>
  <c r="AA133" i="2"/>
  <c r="AB133" i="2"/>
  <c r="AC133" i="2"/>
  <c r="AD133" i="2"/>
  <c r="AE133" i="2"/>
  <c r="AF133" i="2"/>
  <c r="Z134" i="2"/>
  <c r="Y134" i="2"/>
  <c r="AA134" i="2"/>
  <c r="AB134" i="2"/>
  <c r="AC134" i="2"/>
  <c r="AD134" i="2"/>
  <c r="AE134" i="2"/>
  <c r="AF134" i="2"/>
  <c r="Z135" i="2"/>
  <c r="Y135" i="2"/>
  <c r="AA135" i="2"/>
  <c r="AB135" i="2"/>
  <c r="AC135" i="2"/>
  <c r="AD135" i="2"/>
  <c r="AE135" i="2"/>
  <c r="AF135" i="2"/>
  <c r="Z136" i="2"/>
  <c r="Y136" i="2"/>
  <c r="AA136" i="2"/>
  <c r="AB136" i="2"/>
  <c r="AC136" i="2"/>
  <c r="AD136" i="2"/>
  <c r="AE136" i="2"/>
  <c r="AF136" i="2"/>
  <c r="Z137" i="2"/>
  <c r="Y137" i="2"/>
  <c r="AA137" i="2"/>
  <c r="AB137" i="2"/>
  <c r="AC137" i="2"/>
  <c r="AD137" i="2"/>
  <c r="AE137" i="2"/>
  <c r="AF137" i="2"/>
  <c r="Z138" i="2"/>
  <c r="Y138" i="2"/>
  <c r="AA138" i="2"/>
  <c r="AB138" i="2"/>
  <c r="AC138" i="2"/>
  <c r="AD138" i="2"/>
  <c r="AE138" i="2"/>
  <c r="AF138" i="2"/>
  <c r="Z139" i="2"/>
  <c r="Y139" i="2"/>
  <c r="AA139" i="2"/>
  <c r="AB139" i="2"/>
  <c r="AC139" i="2"/>
  <c r="AD139" i="2"/>
  <c r="AE139" i="2"/>
  <c r="AF139" i="2"/>
  <c r="Z140" i="2"/>
  <c r="Y140" i="2"/>
  <c r="AA140" i="2"/>
  <c r="AB140" i="2"/>
  <c r="AC140" i="2"/>
  <c r="AD140" i="2"/>
  <c r="AE140" i="2"/>
  <c r="AF140" i="2"/>
  <c r="Z141" i="2"/>
  <c r="Y141" i="2"/>
  <c r="AA141" i="2"/>
  <c r="AB141" i="2"/>
  <c r="AC141" i="2"/>
  <c r="AD141" i="2"/>
  <c r="AE141" i="2"/>
  <c r="AF141" i="2"/>
  <c r="Z142" i="2"/>
  <c r="Y142" i="2"/>
  <c r="AA142" i="2"/>
  <c r="AB142" i="2"/>
  <c r="AC142" i="2"/>
  <c r="AD142" i="2"/>
  <c r="AE142" i="2"/>
  <c r="AF142" i="2"/>
  <c r="Z143" i="2"/>
  <c r="Y143" i="2"/>
  <c r="AA143" i="2"/>
  <c r="AB143" i="2"/>
  <c r="AC143" i="2"/>
  <c r="AD143" i="2"/>
  <c r="AE143" i="2"/>
  <c r="AF143" i="2"/>
  <c r="Z144" i="2"/>
  <c r="Y144" i="2"/>
  <c r="AA144" i="2"/>
  <c r="AB144" i="2"/>
  <c r="AC144" i="2"/>
  <c r="AD144" i="2"/>
  <c r="AE144" i="2"/>
  <c r="AF144" i="2"/>
  <c r="Z145" i="2"/>
  <c r="Y145" i="2"/>
  <c r="AA145" i="2"/>
  <c r="AB145" i="2"/>
  <c r="AC145" i="2"/>
  <c r="AD145" i="2"/>
  <c r="AE145" i="2"/>
  <c r="AF145" i="2"/>
  <c r="Z146" i="2"/>
  <c r="Y146" i="2"/>
  <c r="AA146" i="2"/>
  <c r="AB146" i="2"/>
  <c r="AC146" i="2"/>
  <c r="AD146" i="2"/>
  <c r="AE146" i="2"/>
  <c r="AF146" i="2"/>
  <c r="Z147" i="2"/>
  <c r="Y147" i="2"/>
  <c r="AA147" i="2"/>
  <c r="AB147" i="2"/>
  <c r="AC147" i="2"/>
  <c r="AD147" i="2"/>
  <c r="AE147" i="2"/>
  <c r="AF147" i="2"/>
  <c r="Z148" i="2"/>
  <c r="Y148" i="2"/>
  <c r="AA148" i="2"/>
  <c r="AB148" i="2"/>
  <c r="AC148" i="2"/>
  <c r="AD148" i="2"/>
  <c r="AE148" i="2"/>
  <c r="AF148" i="2"/>
  <c r="Z149" i="2"/>
  <c r="Y149" i="2"/>
  <c r="AA149" i="2"/>
  <c r="AB149" i="2"/>
  <c r="AC149" i="2"/>
  <c r="AD149" i="2"/>
  <c r="AE149" i="2"/>
  <c r="AF149" i="2"/>
  <c r="Z150" i="2"/>
  <c r="Y150" i="2"/>
  <c r="AA150" i="2"/>
  <c r="AB150" i="2"/>
  <c r="AC150" i="2"/>
  <c r="AD150" i="2"/>
  <c r="AE150" i="2"/>
  <c r="AF150" i="2"/>
  <c r="Z151" i="2"/>
  <c r="Y151" i="2"/>
  <c r="AA151" i="2"/>
  <c r="AB151" i="2"/>
  <c r="AC151" i="2"/>
  <c r="AD151" i="2"/>
  <c r="AE151" i="2"/>
  <c r="AF151" i="2"/>
  <c r="Z152" i="2"/>
  <c r="Y152" i="2"/>
  <c r="AA152" i="2"/>
  <c r="AB152" i="2"/>
  <c r="AC152" i="2"/>
  <c r="AD152" i="2"/>
  <c r="AE152" i="2"/>
  <c r="AF152" i="2"/>
  <c r="Z153" i="2"/>
  <c r="Y153" i="2"/>
  <c r="AA153" i="2"/>
  <c r="AB153" i="2"/>
  <c r="AC153" i="2"/>
  <c r="AD153" i="2"/>
  <c r="AE153" i="2"/>
  <c r="AF153" i="2"/>
  <c r="Z154" i="2"/>
  <c r="Y154" i="2"/>
  <c r="AA154" i="2"/>
  <c r="AB154" i="2"/>
  <c r="AC154" i="2"/>
  <c r="AD154" i="2"/>
  <c r="AE154" i="2"/>
  <c r="AF154" i="2"/>
  <c r="Z155" i="2"/>
  <c r="Y155" i="2"/>
  <c r="AA155" i="2"/>
  <c r="AB155" i="2"/>
  <c r="AC155" i="2"/>
  <c r="AD155" i="2"/>
  <c r="AE155" i="2"/>
  <c r="AF155" i="2"/>
  <c r="Z156" i="2"/>
  <c r="Y156" i="2"/>
  <c r="AA156" i="2"/>
  <c r="AB156" i="2"/>
  <c r="AC156" i="2"/>
  <c r="AD156" i="2"/>
  <c r="AE156" i="2"/>
  <c r="AF156" i="2"/>
  <c r="Z157" i="2"/>
  <c r="Y157" i="2"/>
  <c r="AA157" i="2"/>
  <c r="AB157" i="2"/>
  <c r="AC157" i="2"/>
  <c r="AD157" i="2"/>
  <c r="AE157" i="2"/>
  <c r="AF157" i="2"/>
  <c r="Z158" i="2"/>
  <c r="Y158" i="2"/>
  <c r="AA158" i="2"/>
  <c r="AB158" i="2"/>
  <c r="AC158" i="2"/>
  <c r="AD158" i="2"/>
  <c r="AE158" i="2"/>
  <c r="AF158" i="2"/>
  <c r="Z159" i="2"/>
  <c r="Y159" i="2"/>
  <c r="AA159" i="2"/>
  <c r="AB159" i="2"/>
  <c r="AC159" i="2"/>
  <c r="AD159" i="2"/>
  <c r="AE159" i="2"/>
  <c r="AF159" i="2"/>
  <c r="Z160" i="2"/>
  <c r="Y160" i="2"/>
  <c r="AA160" i="2"/>
  <c r="AB160" i="2"/>
  <c r="AC160" i="2"/>
  <c r="AD160" i="2"/>
  <c r="AE160" i="2"/>
  <c r="AF160" i="2"/>
  <c r="Z161" i="2"/>
  <c r="Y161" i="2"/>
  <c r="AA161" i="2"/>
  <c r="AB161" i="2"/>
  <c r="AC161" i="2"/>
  <c r="AD161" i="2"/>
  <c r="AE161" i="2"/>
  <c r="AF161" i="2"/>
  <c r="Z162" i="2"/>
  <c r="Y162" i="2"/>
  <c r="AA162" i="2"/>
  <c r="AB162" i="2"/>
  <c r="AC162" i="2"/>
  <c r="AD162" i="2"/>
  <c r="AE162" i="2"/>
  <c r="AF162" i="2"/>
  <c r="Z163" i="2"/>
  <c r="Y163" i="2"/>
  <c r="AA163" i="2"/>
  <c r="AB163" i="2"/>
  <c r="AC163" i="2"/>
  <c r="AD163" i="2"/>
  <c r="AE163" i="2"/>
  <c r="AF163" i="2"/>
  <c r="Z164" i="2"/>
  <c r="Y164" i="2"/>
  <c r="AA164" i="2"/>
  <c r="AB164" i="2"/>
  <c r="AC164" i="2"/>
  <c r="AD164" i="2"/>
  <c r="AE164" i="2"/>
  <c r="AF164" i="2"/>
  <c r="Z165" i="2"/>
  <c r="Y165" i="2"/>
  <c r="AA165" i="2"/>
  <c r="AB165" i="2"/>
  <c r="AC165" i="2"/>
  <c r="AD165" i="2"/>
  <c r="AE165" i="2"/>
  <c r="AF165" i="2"/>
  <c r="Z166" i="2"/>
  <c r="Y166" i="2"/>
  <c r="AA166" i="2"/>
  <c r="AB166" i="2"/>
  <c r="AC166" i="2"/>
  <c r="AD166" i="2"/>
  <c r="AE166" i="2"/>
  <c r="AF166" i="2"/>
  <c r="Z167" i="2"/>
  <c r="Y167" i="2"/>
  <c r="AA167" i="2"/>
  <c r="AB167" i="2"/>
  <c r="AC167" i="2"/>
  <c r="AD167" i="2"/>
  <c r="AE167" i="2"/>
  <c r="AF167" i="2"/>
  <c r="Z168" i="2"/>
  <c r="Y168" i="2"/>
  <c r="AA168" i="2"/>
  <c r="AB168" i="2"/>
  <c r="AC168" i="2"/>
  <c r="AD168" i="2"/>
  <c r="AE168" i="2"/>
  <c r="AF168" i="2"/>
  <c r="Z169" i="2"/>
  <c r="Y169" i="2"/>
  <c r="AA169" i="2"/>
  <c r="AB169" i="2"/>
  <c r="AC169" i="2"/>
  <c r="AD169" i="2"/>
  <c r="AE169" i="2"/>
  <c r="AF169" i="2"/>
  <c r="Z170" i="2"/>
  <c r="Y170" i="2"/>
  <c r="AA170" i="2"/>
  <c r="AB170" i="2"/>
  <c r="AC170" i="2"/>
  <c r="AD170" i="2"/>
  <c r="AE170" i="2"/>
  <c r="AF170" i="2"/>
  <c r="Z171" i="2"/>
  <c r="Y171" i="2"/>
  <c r="AA171" i="2"/>
  <c r="AB171" i="2"/>
  <c r="AC171" i="2"/>
  <c r="AD171" i="2"/>
  <c r="AE171" i="2"/>
  <c r="AF171" i="2"/>
  <c r="Z172" i="2"/>
  <c r="Y172" i="2"/>
  <c r="AA172" i="2"/>
  <c r="AB172" i="2"/>
  <c r="AC172" i="2"/>
  <c r="AD172" i="2"/>
  <c r="AE172" i="2"/>
  <c r="AF172" i="2"/>
  <c r="Z173" i="2"/>
  <c r="Y173" i="2"/>
  <c r="AA173" i="2"/>
  <c r="AB173" i="2"/>
  <c r="AC173" i="2"/>
  <c r="AD173" i="2"/>
  <c r="AE173" i="2"/>
  <c r="AF173" i="2"/>
  <c r="Z174" i="2"/>
  <c r="Y174" i="2"/>
  <c r="AA174" i="2"/>
  <c r="AB174" i="2"/>
  <c r="AC174" i="2"/>
  <c r="AD174" i="2"/>
  <c r="AE174" i="2"/>
  <c r="AF174" i="2"/>
  <c r="Z175" i="2"/>
  <c r="Y175" i="2"/>
  <c r="AA175" i="2"/>
  <c r="AB175" i="2"/>
  <c r="AC175" i="2"/>
  <c r="AD175" i="2"/>
  <c r="AE175" i="2"/>
  <c r="AF175" i="2"/>
  <c r="Z176" i="2"/>
  <c r="Y176" i="2"/>
  <c r="AA176" i="2"/>
  <c r="AB176" i="2"/>
  <c r="AC176" i="2"/>
  <c r="AD176" i="2"/>
  <c r="AE176" i="2"/>
  <c r="AF176" i="2"/>
  <c r="Z177" i="2"/>
  <c r="Y177" i="2"/>
  <c r="AA177" i="2"/>
  <c r="AB177" i="2"/>
  <c r="AC177" i="2"/>
  <c r="AD177" i="2"/>
  <c r="AE177" i="2"/>
  <c r="AF177" i="2"/>
  <c r="Z178" i="2"/>
  <c r="Y178" i="2"/>
  <c r="AA178" i="2"/>
  <c r="AB178" i="2"/>
  <c r="AC178" i="2"/>
  <c r="AD178" i="2"/>
  <c r="AE178" i="2"/>
  <c r="AF178" i="2"/>
  <c r="Z179" i="2"/>
  <c r="Y179" i="2"/>
  <c r="AA179" i="2"/>
  <c r="AB179" i="2"/>
  <c r="AC179" i="2"/>
  <c r="AD179" i="2"/>
  <c r="AE179" i="2"/>
  <c r="AF179" i="2"/>
  <c r="Z180" i="2"/>
  <c r="Y180" i="2"/>
  <c r="AA180" i="2"/>
  <c r="AB180" i="2"/>
  <c r="AC180" i="2"/>
  <c r="AD180" i="2"/>
  <c r="AE180" i="2"/>
  <c r="AF180" i="2"/>
  <c r="Z181" i="2"/>
  <c r="Y181" i="2"/>
  <c r="AA181" i="2"/>
  <c r="AB181" i="2"/>
  <c r="AC181" i="2"/>
  <c r="AD181" i="2"/>
  <c r="AE181" i="2"/>
  <c r="AF181" i="2"/>
  <c r="Z182" i="2"/>
  <c r="Y182" i="2"/>
  <c r="AA182" i="2"/>
  <c r="AB182" i="2"/>
  <c r="AC182" i="2"/>
  <c r="AD182" i="2"/>
  <c r="AE182" i="2"/>
  <c r="AF182" i="2"/>
  <c r="Z183" i="2"/>
  <c r="Y183" i="2"/>
  <c r="AA183" i="2"/>
  <c r="AB183" i="2"/>
  <c r="AC183" i="2"/>
  <c r="AD183" i="2"/>
  <c r="AE183" i="2"/>
  <c r="AF183" i="2"/>
  <c r="Z184" i="2"/>
  <c r="Y184" i="2"/>
  <c r="AA184" i="2"/>
  <c r="AB184" i="2"/>
  <c r="AC184" i="2"/>
  <c r="AD184" i="2"/>
  <c r="AE184" i="2"/>
  <c r="AF184" i="2"/>
  <c r="Z185" i="2"/>
  <c r="Y185" i="2"/>
  <c r="AA185" i="2"/>
  <c r="AB185" i="2"/>
  <c r="AC185" i="2"/>
  <c r="AD185" i="2"/>
  <c r="AE185" i="2"/>
  <c r="AF185" i="2"/>
  <c r="Z186" i="2"/>
  <c r="Y186" i="2"/>
  <c r="AA186" i="2"/>
  <c r="AB186" i="2"/>
  <c r="AC186" i="2"/>
  <c r="AD186" i="2"/>
  <c r="AE186" i="2"/>
  <c r="AF186" i="2"/>
  <c r="Z187" i="2"/>
  <c r="Y187" i="2"/>
  <c r="AA187" i="2"/>
  <c r="AB187" i="2"/>
  <c r="AC187" i="2"/>
  <c r="AD187" i="2"/>
  <c r="AE187" i="2"/>
  <c r="AF187" i="2"/>
  <c r="Z188" i="2"/>
  <c r="Y188" i="2"/>
  <c r="AA188" i="2"/>
  <c r="AB188" i="2"/>
  <c r="AC188" i="2"/>
  <c r="AD188" i="2"/>
  <c r="AE188" i="2"/>
  <c r="AF188" i="2"/>
  <c r="Z189" i="2"/>
  <c r="Y189" i="2"/>
  <c r="AA189" i="2"/>
  <c r="AB189" i="2"/>
  <c r="AC189" i="2"/>
  <c r="AD189" i="2"/>
  <c r="AE189" i="2"/>
  <c r="AF189" i="2"/>
  <c r="Z190" i="2"/>
  <c r="Y190" i="2"/>
  <c r="AA190" i="2"/>
  <c r="AB190" i="2"/>
  <c r="AC190" i="2"/>
  <c r="AD190" i="2"/>
  <c r="AE190" i="2"/>
  <c r="AF190" i="2"/>
  <c r="Z191" i="2"/>
  <c r="Y191" i="2"/>
  <c r="AA191" i="2"/>
  <c r="AB191" i="2"/>
  <c r="AC191" i="2"/>
  <c r="AD191" i="2"/>
  <c r="AE191" i="2"/>
  <c r="AF191" i="2"/>
  <c r="Z192" i="2"/>
  <c r="Y192" i="2"/>
  <c r="AA192" i="2"/>
  <c r="AB192" i="2"/>
  <c r="AC192" i="2"/>
  <c r="C53" i="1"/>
  <c r="AD192" i="2"/>
  <c r="AE192" i="2"/>
  <c r="AF192" i="2"/>
  <c r="Z193" i="2"/>
  <c r="Y193" i="2"/>
  <c r="AA193" i="2"/>
  <c r="AB193" i="2"/>
  <c r="AC193" i="2"/>
  <c r="AD193" i="2"/>
  <c r="AE193" i="2"/>
  <c r="AF193" i="2"/>
  <c r="Z194" i="2"/>
  <c r="Y194" i="2"/>
  <c r="AA194" i="2"/>
  <c r="AB194" i="2"/>
  <c r="AC194" i="2"/>
  <c r="AD194" i="2"/>
  <c r="AE194" i="2"/>
  <c r="AF194" i="2"/>
  <c r="Z195" i="2"/>
  <c r="Y195" i="2"/>
  <c r="AA195" i="2"/>
  <c r="AB195" i="2"/>
  <c r="AC195" i="2"/>
  <c r="AD195" i="2"/>
  <c r="AE195" i="2"/>
  <c r="AF195" i="2"/>
  <c r="Z196" i="2"/>
  <c r="Y196" i="2"/>
  <c r="AA196" i="2"/>
  <c r="AB196" i="2"/>
  <c r="AC196" i="2"/>
  <c r="AD196" i="2"/>
  <c r="AE196" i="2"/>
  <c r="AF196" i="2"/>
  <c r="Z197" i="2"/>
  <c r="Y197" i="2"/>
  <c r="AA197" i="2"/>
  <c r="AB197" i="2"/>
  <c r="AC197" i="2"/>
  <c r="AD197" i="2"/>
  <c r="AE197" i="2"/>
  <c r="AF197" i="2"/>
  <c r="Z198" i="2"/>
  <c r="Y198" i="2"/>
  <c r="AA198" i="2"/>
  <c r="AB198" i="2"/>
  <c r="AC198" i="2"/>
  <c r="AD198" i="2"/>
  <c r="AE198" i="2"/>
  <c r="AF198" i="2"/>
  <c r="Z199" i="2"/>
  <c r="Y199" i="2"/>
  <c r="AA199" i="2"/>
  <c r="AB199" i="2"/>
  <c r="AC199" i="2"/>
  <c r="AD199" i="2"/>
  <c r="AE199" i="2"/>
  <c r="AF199" i="2"/>
  <c r="Z200" i="2"/>
  <c r="Y200" i="2"/>
  <c r="AA200" i="2"/>
  <c r="AB200" i="2"/>
  <c r="AC200" i="2"/>
  <c r="AD200" i="2"/>
  <c r="AE200" i="2"/>
  <c r="AF200" i="2"/>
  <c r="Z201" i="2"/>
  <c r="Y201" i="2"/>
  <c r="AA201" i="2"/>
  <c r="AB201" i="2"/>
  <c r="AC201" i="2"/>
  <c r="AD201" i="2"/>
  <c r="AE201" i="2"/>
  <c r="AF201" i="2"/>
  <c r="Z202" i="2"/>
  <c r="Y202" i="2"/>
  <c r="AA202" i="2"/>
  <c r="AB202" i="2"/>
  <c r="AC202" i="2"/>
  <c r="AD202" i="2"/>
  <c r="AE202" i="2"/>
  <c r="AF202" i="2"/>
  <c r="Z203" i="2"/>
  <c r="Y203" i="2"/>
  <c r="AA203" i="2"/>
  <c r="AB203" i="2"/>
  <c r="AC203" i="2"/>
  <c r="AD203" i="2"/>
  <c r="AE203" i="2"/>
  <c r="AF203" i="2"/>
  <c r="Z204" i="2"/>
  <c r="Y204" i="2"/>
  <c r="AA204" i="2"/>
  <c r="AB204" i="2"/>
  <c r="AC204" i="2"/>
  <c r="AD204" i="2"/>
  <c r="AE204" i="2"/>
  <c r="AF204" i="2"/>
  <c r="Z205" i="2"/>
  <c r="Y205" i="2"/>
  <c r="AA205" i="2"/>
  <c r="AB205" i="2"/>
  <c r="AC205" i="2"/>
  <c r="AD205" i="2"/>
  <c r="AE205" i="2"/>
  <c r="AF205" i="2"/>
  <c r="Z206" i="2"/>
  <c r="Y206" i="2"/>
  <c r="AA206" i="2"/>
  <c r="AB206" i="2"/>
  <c r="AC206" i="2"/>
  <c r="AD206" i="2"/>
  <c r="AE206" i="2"/>
  <c r="AF206" i="2"/>
  <c r="Z207" i="2"/>
  <c r="Y207" i="2"/>
  <c r="AA207" i="2"/>
  <c r="AB207" i="2"/>
  <c r="AC207" i="2"/>
  <c r="AD207" i="2"/>
  <c r="AE207" i="2"/>
  <c r="AF207" i="2"/>
  <c r="Z208" i="2"/>
  <c r="Y208" i="2"/>
  <c r="AA208" i="2"/>
  <c r="AB208" i="2"/>
  <c r="AC208" i="2"/>
  <c r="AD208" i="2"/>
  <c r="AE208" i="2"/>
  <c r="AF208" i="2"/>
  <c r="Z209" i="2"/>
  <c r="Y209" i="2"/>
  <c r="AA209" i="2"/>
  <c r="AB209" i="2"/>
  <c r="AC209" i="2"/>
  <c r="AD209" i="2"/>
  <c r="AE209" i="2"/>
  <c r="AF209" i="2"/>
  <c r="Z210" i="2"/>
  <c r="Y210" i="2"/>
  <c r="AA210" i="2"/>
  <c r="AB210" i="2"/>
  <c r="AC210" i="2"/>
  <c r="AD210" i="2"/>
  <c r="AE210" i="2"/>
  <c r="AF210" i="2"/>
  <c r="Z211" i="2"/>
  <c r="Y211" i="2"/>
  <c r="AA211" i="2"/>
  <c r="AB211" i="2"/>
  <c r="AC211" i="2"/>
  <c r="AD211" i="2"/>
  <c r="AE211" i="2"/>
  <c r="AF211" i="2"/>
  <c r="Z212" i="2"/>
  <c r="Y212" i="2"/>
  <c r="AA212" i="2"/>
  <c r="AB212" i="2"/>
  <c r="AC212" i="2"/>
  <c r="AD212" i="2"/>
  <c r="AE212" i="2"/>
  <c r="AF212" i="2"/>
  <c r="Z213" i="2"/>
  <c r="Y213" i="2"/>
  <c r="AA213" i="2"/>
  <c r="AB213" i="2"/>
  <c r="AC213" i="2"/>
  <c r="AD213" i="2"/>
  <c r="AE213" i="2"/>
  <c r="AF213" i="2"/>
  <c r="Z214" i="2"/>
  <c r="Y214" i="2"/>
  <c r="AA214" i="2"/>
  <c r="AB214" i="2"/>
  <c r="AC214" i="2"/>
  <c r="AD214" i="2"/>
  <c r="AE214" i="2"/>
  <c r="AF214" i="2"/>
  <c r="Z215" i="2"/>
  <c r="Y215" i="2"/>
  <c r="AA215" i="2"/>
  <c r="AB215" i="2"/>
  <c r="AC215" i="2"/>
  <c r="AD215" i="2"/>
  <c r="AE215" i="2"/>
  <c r="AF215" i="2"/>
  <c r="Z216" i="2"/>
  <c r="Y216" i="2"/>
  <c r="AA216" i="2"/>
  <c r="AB216" i="2"/>
  <c r="AC216" i="2"/>
  <c r="AD216" i="2"/>
  <c r="AE216" i="2"/>
  <c r="AF216" i="2"/>
  <c r="Z217" i="2"/>
  <c r="Y217" i="2"/>
  <c r="AA217" i="2"/>
  <c r="AB217" i="2"/>
  <c r="AC217" i="2"/>
  <c r="AD217" i="2"/>
  <c r="AE217" i="2"/>
  <c r="AF217" i="2"/>
  <c r="AF15" i="2"/>
  <c r="AG17" i="2"/>
  <c r="AH17" i="2"/>
  <c r="AL17" i="2"/>
  <c r="AK17" i="2"/>
  <c r="AM17" i="2"/>
  <c r="AN17" i="2"/>
  <c r="AG18" i="2"/>
  <c r="AH18" i="2"/>
  <c r="AL18" i="2"/>
  <c r="AK18" i="2"/>
  <c r="AM18" i="2"/>
  <c r="AN18" i="2"/>
  <c r="AG19" i="2"/>
  <c r="AH19" i="2"/>
  <c r="AL19" i="2"/>
  <c r="AK19" i="2"/>
  <c r="AM19" i="2"/>
  <c r="AN19" i="2"/>
  <c r="AG20" i="2"/>
  <c r="AH20" i="2"/>
  <c r="AL20" i="2"/>
  <c r="AK20" i="2"/>
  <c r="AM20" i="2"/>
  <c r="AN20" i="2"/>
  <c r="AG21" i="2"/>
  <c r="AH21" i="2"/>
  <c r="AL21" i="2"/>
  <c r="AK21" i="2"/>
  <c r="AM21" i="2"/>
  <c r="AN21" i="2"/>
  <c r="AG22" i="2"/>
  <c r="AH22" i="2"/>
  <c r="AL22" i="2"/>
  <c r="AK22" i="2"/>
  <c r="AM22" i="2"/>
  <c r="AN22" i="2"/>
  <c r="AG23" i="2"/>
  <c r="AH23" i="2"/>
  <c r="AL23" i="2"/>
  <c r="AK23" i="2"/>
  <c r="AM23" i="2"/>
  <c r="AN23" i="2"/>
  <c r="AG24" i="2"/>
  <c r="AH24" i="2"/>
  <c r="AL24" i="2"/>
  <c r="AK24" i="2"/>
  <c r="AM24" i="2"/>
  <c r="AN24" i="2"/>
  <c r="AG25" i="2"/>
  <c r="AH25" i="2"/>
  <c r="AL25" i="2"/>
  <c r="AK25" i="2"/>
  <c r="AM25" i="2"/>
  <c r="AN25" i="2"/>
  <c r="AG26" i="2"/>
  <c r="AH26" i="2"/>
  <c r="AL26" i="2"/>
  <c r="AK26" i="2"/>
  <c r="AM26" i="2"/>
  <c r="AN26" i="2"/>
  <c r="AG27" i="2"/>
  <c r="AH27" i="2"/>
  <c r="AL27" i="2"/>
  <c r="AK27" i="2"/>
  <c r="AM27" i="2"/>
  <c r="AN27" i="2"/>
  <c r="AG28" i="2"/>
  <c r="AH28" i="2"/>
  <c r="AL28" i="2"/>
  <c r="AK28" i="2"/>
  <c r="AM28" i="2"/>
  <c r="AN28" i="2"/>
  <c r="AG29" i="2"/>
  <c r="AH29" i="2"/>
  <c r="AL29" i="2"/>
  <c r="AK29" i="2"/>
  <c r="AM29" i="2"/>
  <c r="AN29" i="2"/>
  <c r="AG30" i="2"/>
  <c r="AH30" i="2"/>
  <c r="AL30" i="2"/>
  <c r="AK30" i="2"/>
  <c r="AM30" i="2"/>
  <c r="AN30" i="2"/>
  <c r="AG31" i="2"/>
  <c r="AH31" i="2"/>
  <c r="AL31" i="2"/>
  <c r="AK31" i="2"/>
  <c r="AM31" i="2"/>
  <c r="AN31" i="2"/>
  <c r="AG32" i="2"/>
  <c r="AH32" i="2"/>
  <c r="AL32" i="2"/>
  <c r="AK32" i="2"/>
  <c r="AM32" i="2"/>
  <c r="AN32" i="2"/>
  <c r="AG33" i="2"/>
  <c r="AH33" i="2"/>
  <c r="AL33" i="2"/>
  <c r="AK33" i="2"/>
  <c r="AM33" i="2"/>
  <c r="AN33" i="2"/>
  <c r="AG34" i="2"/>
  <c r="AH34" i="2"/>
  <c r="AL34" i="2"/>
  <c r="AK34" i="2"/>
  <c r="AM34" i="2"/>
  <c r="AN34" i="2"/>
  <c r="AG35" i="2"/>
  <c r="AH35" i="2"/>
  <c r="AL35" i="2"/>
  <c r="AK35" i="2"/>
  <c r="AM35" i="2"/>
  <c r="AN35" i="2"/>
  <c r="AG36" i="2"/>
  <c r="AH36" i="2"/>
  <c r="AL36" i="2"/>
  <c r="AK36" i="2"/>
  <c r="AM36" i="2"/>
  <c r="AN36" i="2"/>
  <c r="AG37" i="2"/>
  <c r="AH37" i="2"/>
  <c r="AL37" i="2"/>
  <c r="AK37" i="2"/>
  <c r="AM37" i="2"/>
  <c r="AN37" i="2"/>
  <c r="AG38" i="2"/>
  <c r="AH38" i="2"/>
  <c r="AL38" i="2"/>
  <c r="AK38" i="2"/>
  <c r="AM38" i="2"/>
  <c r="AN38" i="2"/>
  <c r="AG39" i="2"/>
  <c r="AH39" i="2"/>
  <c r="AL39" i="2"/>
  <c r="AK39" i="2"/>
  <c r="AM39" i="2"/>
  <c r="AN39" i="2"/>
  <c r="AG40" i="2"/>
  <c r="AH40" i="2"/>
  <c r="AL40" i="2"/>
  <c r="AK40" i="2"/>
  <c r="AM40" i="2"/>
  <c r="AN40" i="2"/>
  <c r="AG41" i="2"/>
  <c r="AH41" i="2"/>
  <c r="AL41" i="2"/>
  <c r="AK41" i="2"/>
  <c r="AM41" i="2"/>
  <c r="AN41" i="2"/>
  <c r="AG42" i="2"/>
  <c r="AH42" i="2"/>
  <c r="AL42" i="2"/>
  <c r="AK42" i="2"/>
  <c r="AM42" i="2"/>
  <c r="AN42" i="2"/>
  <c r="AG43" i="2"/>
  <c r="AH43" i="2"/>
  <c r="AL43" i="2"/>
  <c r="AK43" i="2"/>
  <c r="AM43" i="2"/>
  <c r="AN43" i="2"/>
  <c r="AG44" i="2"/>
  <c r="AH44" i="2"/>
  <c r="AL44" i="2"/>
  <c r="AK44" i="2"/>
  <c r="AM44" i="2"/>
  <c r="AN44" i="2"/>
  <c r="AG45" i="2"/>
  <c r="AH45" i="2"/>
  <c r="AL45" i="2"/>
  <c r="AK45" i="2"/>
  <c r="AM45" i="2"/>
  <c r="AN45" i="2"/>
  <c r="AG46" i="2"/>
  <c r="AH46" i="2"/>
  <c r="AL46" i="2"/>
  <c r="AK46" i="2"/>
  <c r="AM46" i="2"/>
  <c r="AN46" i="2"/>
  <c r="AG47" i="2"/>
  <c r="AH47" i="2"/>
  <c r="AL47" i="2"/>
  <c r="AK47" i="2"/>
  <c r="AM47" i="2"/>
  <c r="AN47" i="2"/>
  <c r="AG48" i="2"/>
  <c r="AH48" i="2"/>
  <c r="AL48" i="2"/>
  <c r="AK48" i="2"/>
  <c r="AM48" i="2"/>
  <c r="AN48" i="2"/>
  <c r="AG49" i="2"/>
  <c r="AH49" i="2"/>
  <c r="AL49" i="2"/>
  <c r="AK49" i="2"/>
  <c r="AM49" i="2"/>
  <c r="AN49" i="2"/>
  <c r="AG50" i="2"/>
  <c r="AH50" i="2"/>
  <c r="AL50" i="2"/>
  <c r="AK50" i="2"/>
  <c r="AM50" i="2"/>
  <c r="AN50" i="2"/>
  <c r="AG51" i="2"/>
  <c r="AH51" i="2"/>
  <c r="AL51" i="2"/>
  <c r="AK51" i="2"/>
  <c r="AM51" i="2"/>
  <c r="AN51" i="2"/>
  <c r="AG52" i="2"/>
  <c r="AH52" i="2"/>
  <c r="AL52" i="2"/>
  <c r="AK52" i="2"/>
  <c r="AM52" i="2"/>
  <c r="AN52" i="2"/>
  <c r="AG53" i="2"/>
  <c r="AH53" i="2"/>
  <c r="AL53" i="2"/>
  <c r="AK53" i="2"/>
  <c r="AM53" i="2"/>
  <c r="AN53" i="2"/>
  <c r="AG54" i="2"/>
  <c r="AH54" i="2"/>
  <c r="AL54" i="2"/>
  <c r="AK54" i="2"/>
  <c r="AM54" i="2"/>
  <c r="AN54" i="2"/>
  <c r="AG55" i="2"/>
  <c r="AH55" i="2"/>
  <c r="AL55" i="2"/>
  <c r="AK55" i="2"/>
  <c r="AM55" i="2"/>
  <c r="AN55" i="2"/>
  <c r="AG56" i="2"/>
  <c r="AH56" i="2"/>
  <c r="AL56" i="2"/>
  <c r="AK56" i="2"/>
  <c r="AM56" i="2"/>
  <c r="AN56" i="2"/>
  <c r="AG57" i="2"/>
  <c r="AH57" i="2"/>
  <c r="AL57" i="2"/>
  <c r="AK57" i="2"/>
  <c r="AM57" i="2"/>
  <c r="AN57" i="2"/>
  <c r="AG58" i="2"/>
  <c r="AH58" i="2"/>
  <c r="AL58" i="2"/>
  <c r="AK58" i="2"/>
  <c r="AM58" i="2"/>
  <c r="AN58" i="2"/>
  <c r="AG59" i="2"/>
  <c r="AH59" i="2"/>
  <c r="AL59" i="2"/>
  <c r="AK59" i="2"/>
  <c r="AM59" i="2"/>
  <c r="AN59" i="2"/>
  <c r="AG60" i="2"/>
  <c r="AH60" i="2"/>
  <c r="AL60" i="2"/>
  <c r="AK60" i="2"/>
  <c r="AM60" i="2"/>
  <c r="AN60" i="2"/>
  <c r="AG61" i="2"/>
  <c r="AH61" i="2"/>
  <c r="AL61" i="2"/>
  <c r="AK61" i="2"/>
  <c r="AM61" i="2"/>
  <c r="AN61" i="2"/>
  <c r="AG62" i="2"/>
  <c r="AH62" i="2"/>
  <c r="AL62" i="2"/>
  <c r="AK62" i="2"/>
  <c r="AM62" i="2"/>
  <c r="AN62" i="2"/>
  <c r="AG63" i="2"/>
  <c r="AH63" i="2"/>
  <c r="AL63" i="2"/>
  <c r="AK63" i="2"/>
  <c r="AM63" i="2"/>
  <c r="AN63" i="2"/>
  <c r="AG64" i="2"/>
  <c r="AH64" i="2"/>
  <c r="AL64" i="2"/>
  <c r="AK64" i="2"/>
  <c r="AM64" i="2"/>
  <c r="AN64" i="2"/>
  <c r="AG65" i="2"/>
  <c r="AH65" i="2"/>
  <c r="AL65" i="2"/>
  <c r="AK65" i="2"/>
  <c r="AM65" i="2"/>
  <c r="AN65" i="2"/>
  <c r="AG66" i="2"/>
  <c r="AH66" i="2"/>
  <c r="AL66" i="2"/>
  <c r="AK66" i="2"/>
  <c r="AM66" i="2"/>
  <c r="AN66" i="2"/>
  <c r="AG67" i="2"/>
  <c r="AH67" i="2"/>
  <c r="AL67" i="2"/>
  <c r="AK67" i="2"/>
  <c r="AM67" i="2"/>
  <c r="AN67" i="2"/>
  <c r="AG68" i="2"/>
  <c r="AH68" i="2"/>
  <c r="AL68" i="2"/>
  <c r="AK68" i="2"/>
  <c r="AM68" i="2"/>
  <c r="AN68" i="2"/>
  <c r="AG69" i="2"/>
  <c r="AH69" i="2"/>
  <c r="AL69" i="2"/>
  <c r="AK69" i="2"/>
  <c r="AM69" i="2"/>
  <c r="AN69" i="2"/>
  <c r="AG70" i="2"/>
  <c r="AH70" i="2"/>
  <c r="AL70" i="2"/>
  <c r="AK70" i="2"/>
  <c r="AM70" i="2"/>
  <c r="AN70" i="2"/>
  <c r="AG71" i="2"/>
  <c r="AH71" i="2"/>
  <c r="AL71" i="2"/>
  <c r="AK71" i="2"/>
  <c r="AM71" i="2"/>
  <c r="AN71" i="2"/>
  <c r="AG72" i="2"/>
  <c r="AH72" i="2"/>
  <c r="AL72" i="2"/>
  <c r="AK72" i="2"/>
  <c r="AM72" i="2"/>
  <c r="AN72" i="2"/>
  <c r="AG73" i="2"/>
  <c r="AH73" i="2"/>
  <c r="AL73" i="2"/>
  <c r="AK73" i="2"/>
  <c r="AM73" i="2"/>
  <c r="AN73" i="2"/>
  <c r="AG74" i="2"/>
  <c r="AH74" i="2"/>
  <c r="AL74" i="2"/>
  <c r="AK74" i="2"/>
  <c r="AM74" i="2"/>
  <c r="AN74" i="2"/>
  <c r="AG75" i="2"/>
  <c r="AH75" i="2"/>
  <c r="AL75" i="2"/>
  <c r="AK75" i="2"/>
  <c r="AM75" i="2"/>
  <c r="AN75" i="2"/>
  <c r="AG76" i="2"/>
  <c r="AH76" i="2"/>
  <c r="AL76" i="2"/>
  <c r="AK76" i="2"/>
  <c r="AM76" i="2"/>
  <c r="AN76" i="2"/>
  <c r="AG77" i="2"/>
  <c r="AH77" i="2"/>
  <c r="AL77" i="2"/>
  <c r="AK77" i="2"/>
  <c r="AM77" i="2"/>
  <c r="AN77" i="2"/>
  <c r="AG78" i="2"/>
  <c r="AH78" i="2"/>
  <c r="AL78" i="2"/>
  <c r="AK78" i="2"/>
  <c r="AM78" i="2"/>
  <c r="AN78" i="2"/>
  <c r="AG79" i="2"/>
  <c r="AH79" i="2"/>
  <c r="AL79" i="2"/>
  <c r="AK79" i="2"/>
  <c r="AM79" i="2"/>
  <c r="AN79" i="2"/>
  <c r="AG80" i="2"/>
  <c r="AH80" i="2"/>
  <c r="AL80" i="2"/>
  <c r="AK80" i="2"/>
  <c r="AM80" i="2"/>
  <c r="AN80" i="2"/>
  <c r="AG81" i="2"/>
  <c r="AH81" i="2"/>
  <c r="AL81" i="2"/>
  <c r="AK81" i="2"/>
  <c r="AM81" i="2"/>
  <c r="AN81" i="2"/>
  <c r="AG82" i="2"/>
  <c r="AH82" i="2"/>
  <c r="AL82" i="2"/>
  <c r="AK82" i="2"/>
  <c r="AM82" i="2"/>
  <c r="AN82" i="2"/>
  <c r="AG83" i="2"/>
  <c r="AH83" i="2"/>
  <c r="AL83" i="2"/>
  <c r="AK83" i="2"/>
  <c r="AM83" i="2"/>
  <c r="AN83" i="2"/>
  <c r="AG84" i="2"/>
  <c r="AH84" i="2"/>
  <c r="AL84" i="2"/>
  <c r="AK84" i="2"/>
  <c r="AM84" i="2"/>
  <c r="AN84" i="2"/>
  <c r="AG85" i="2"/>
  <c r="AH85" i="2"/>
  <c r="AL85" i="2"/>
  <c r="AK85" i="2"/>
  <c r="AM85" i="2"/>
  <c r="AN85" i="2"/>
  <c r="AG86" i="2"/>
  <c r="AH86" i="2"/>
  <c r="AL86" i="2"/>
  <c r="AK86" i="2"/>
  <c r="AM86" i="2"/>
  <c r="AN86" i="2"/>
  <c r="AG87" i="2"/>
  <c r="AH87" i="2"/>
  <c r="AL87" i="2"/>
  <c r="AK87" i="2"/>
  <c r="AM87" i="2"/>
  <c r="AN87" i="2"/>
  <c r="AG88" i="2"/>
  <c r="AH88" i="2"/>
  <c r="AL88" i="2"/>
  <c r="AK88" i="2"/>
  <c r="AM88" i="2"/>
  <c r="AN88" i="2"/>
  <c r="AG89" i="2"/>
  <c r="AH89" i="2"/>
  <c r="AL89" i="2"/>
  <c r="AK89" i="2"/>
  <c r="AM89" i="2"/>
  <c r="AN89" i="2"/>
  <c r="AG90" i="2"/>
  <c r="AH90" i="2"/>
  <c r="AL90" i="2"/>
  <c r="AK90" i="2"/>
  <c r="AM90" i="2"/>
  <c r="AN90" i="2"/>
  <c r="AG91" i="2"/>
  <c r="AH91" i="2"/>
  <c r="AL91" i="2"/>
  <c r="AK91" i="2"/>
  <c r="AM91" i="2"/>
  <c r="AN91" i="2"/>
  <c r="AG92" i="2"/>
  <c r="AH92" i="2"/>
  <c r="AL92" i="2"/>
  <c r="AK92" i="2"/>
  <c r="AM92" i="2"/>
  <c r="AN92" i="2"/>
  <c r="AG93" i="2"/>
  <c r="AH93" i="2"/>
  <c r="AL93" i="2"/>
  <c r="AK93" i="2"/>
  <c r="AM93" i="2"/>
  <c r="AN93" i="2"/>
  <c r="AG94" i="2"/>
  <c r="AH94" i="2"/>
  <c r="AL94" i="2"/>
  <c r="AK94" i="2"/>
  <c r="AM94" i="2"/>
  <c r="AN94" i="2"/>
  <c r="AG95" i="2"/>
  <c r="AH95" i="2"/>
  <c r="AL95" i="2"/>
  <c r="AK95" i="2"/>
  <c r="AM95" i="2"/>
  <c r="AN95" i="2"/>
  <c r="AG96" i="2"/>
  <c r="AH96" i="2"/>
  <c r="AL96" i="2"/>
  <c r="AK96" i="2"/>
  <c r="AM96" i="2"/>
  <c r="AN96" i="2"/>
  <c r="AG97" i="2"/>
  <c r="AH97" i="2"/>
  <c r="AL97" i="2"/>
  <c r="AK97" i="2"/>
  <c r="AM97" i="2"/>
  <c r="AN97" i="2"/>
  <c r="AG98" i="2"/>
  <c r="AH98" i="2"/>
  <c r="AL98" i="2"/>
  <c r="AK98" i="2"/>
  <c r="AM98" i="2"/>
  <c r="AN98" i="2"/>
  <c r="AG99" i="2"/>
  <c r="AH99" i="2"/>
  <c r="AL99" i="2"/>
  <c r="AK99" i="2"/>
  <c r="AM99" i="2"/>
  <c r="AN99" i="2"/>
  <c r="AG100" i="2"/>
  <c r="AH100" i="2"/>
  <c r="AL100" i="2"/>
  <c r="AK100" i="2"/>
  <c r="AM100" i="2"/>
  <c r="AN100" i="2"/>
  <c r="AG101" i="2"/>
  <c r="AH101" i="2"/>
  <c r="AL101" i="2"/>
  <c r="AK101" i="2"/>
  <c r="AM101" i="2"/>
  <c r="AN101" i="2"/>
  <c r="AG102" i="2"/>
  <c r="AH102" i="2"/>
  <c r="AL102" i="2"/>
  <c r="AK102" i="2"/>
  <c r="AM102" i="2"/>
  <c r="AN102" i="2"/>
  <c r="AG103" i="2"/>
  <c r="AH103" i="2"/>
  <c r="AL103" i="2"/>
  <c r="AK103" i="2"/>
  <c r="AM103" i="2"/>
  <c r="AN103" i="2"/>
  <c r="AG104" i="2"/>
  <c r="AH104" i="2"/>
  <c r="AL104" i="2"/>
  <c r="AK104" i="2"/>
  <c r="AM104" i="2"/>
  <c r="AN104" i="2"/>
  <c r="AG105" i="2"/>
  <c r="AH105" i="2"/>
  <c r="AL105" i="2"/>
  <c r="AK105" i="2"/>
  <c r="AM105" i="2"/>
  <c r="AN105" i="2"/>
  <c r="AG106" i="2"/>
  <c r="AH106" i="2"/>
  <c r="AL106" i="2"/>
  <c r="AK106" i="2"/>
  <c r="AM106" i="2"/>
  <c r="AN106" i="2"/>
  <c r="AG107" i="2"/>
  <c r="AH107" i="2"/>
  <c r="AL107" i="2"/>
  <c r="AK107" i="2"/>
  <c r="AM107" i="2"/>
  <c r="AN107" i="2"/>
  <c r="AG108" i="2"/>
  <c r="AH108" i="2"/>
  <c r="AL108" i="2"/>
  <c r="AK108" i="2"/>
  <c r="AM108" i="2"/>
  <c r="AN108" i="2"/>
  <c r="AG109" i="2"/>
  <c r="AH109" i="2"/>
  <c r="AL109" i="2"/>
  <c r="AK109" i="2"/>
  <c r="AM109" i="2"/>
  <c r="AN109" i="2"/>
  <c r="AG110" i="2"/>
  <c r="AH110" i="2"/>
  <c r="AL110" i="2"/>
  <c r="AK110" i="2"/>
  <c r="AM110" i="2"/>
  <c r="AN110" i="2"/>
  <c r="AG111" i="2"/>
  <c r="AH111" i="2"/>
  <c r="AL111" i="2"/>
  <c r="AK111" i="2"/>
  <c r="AM111" i="2"/>
  <c r="AN111" i="2"/>
  <c r="AG112" i="2"/>
  <c r="AH112" i="2"/>
  <c r="AL112" i="2"/>
  <c r="AK112" i="2"/>
  <c r="AM112" i="2"/>
  <c r="AN112" i="2"/>
  <c r="AG113" i="2"/>
  <c r="AH113" i="2"/>
  <c r="AL113" i="2"/>
  <c r="AK113" i="2"/>
  <c r="AM113" i="2"/>
  <c r="AN113" i="2"/>
  <c r="AG114" i="2"/>
  <c r="AH114" i="2"/>
  <c r="AL114" i="2"/>
  <c r="AK114" i="2"/>
  <c r="AM114" i="2"/>
  <c r="AN114" i="2"/>
  <c r="AG115" i="2"/>
  <c r="AH115" i="2"/>
  <c r="AL115" i="2"/>
  <c r="AK115" i="2"/>
  <c r="AM115" i="2"/>
  <c r="AN115" i="2"/>
  <c r="AG116" i="2"/>
  <c r="AH116" i="2"/>
  <c r="AL116" i="2"/>
  <c r="AK116" i="2"/>
  <c r="AM116" i="2"/>
  <c r="AN116" i="2"/>
  <c r="AG117" i="2"/>
  <c r="AH117" i="2"/>
  <c r="AL117" i="2"/>
  <c r="AK117" i="2"/>
  <c r="AM117" i="2"/>
  <c r="AN117" i="2"/>
  <c r="AG118" i="2"/>
  <c r="AH118" i="2"/>
  <c r="AL118" i="2"/>
  <c r="AK118" i="2"/>
  <c r="AM118" i="2"/>
  <c r="AN118" i="2"/>
  <c r="AG119" i="2"/>
  <c r="AH119" i="2"/>
  <c r="AL119" i="2"/>
  <c r="AK119" i="2"/>
  <c r="AM119" i="2"/>
  <c r="AN119" i="2"/>
  <c r="AG120" i="2"/>
  <c r="AH120" i="2"/>
  <c r="AL120" i="2"/>
  <c r="AK120" i="2"/>
  <c r="AM120" i="2"/>
  <c r="AN120" i="2"/>
  <c r="AG121" i="2"/>
  <c r="AH121" i="2"/>
  <c r="AL121" i="2"/>
  <c r="AK121" i="2"/>
  <c r="AM121" i="2"/>
  <c r="AN121" i="2"/>
  <c r="AG122" i="2"/>
  <c r="AH122" i="2"/>
  <c r="AL122" i="2"/>
  <c r="AK122" i="2"/>
  <c r="AM122" i="2"/>
  <c r="AN122" i="2"/>
  <c r="AG123" i="2"/>
  <c r="AH123" i="2"/>
  <c r="AL123" i="2"/>
  <c r="AK123" i="2"/>
  <c r="AM123" i="2"/>
  <c r="AN123" i="2"/>
  <c r="AG124" i="2"/>
  <c r="AH124" i="2"/>
  <c r="AL124" i="2"/>
  <c r="AK124" i="2"/>
  <c r="AM124" i="2"/>
  <c r="AN124" i="2"/>
  <c r="AG125" i="2"/>
  <c r="AH125" i="2"/>
  <c r="AL125" i="2"/>
  <c r="AK125" i="2"/>
  <c r="AM125" i="2"/>
  <c r="AN125" i="2"/>
  <c r="AG126" i="2"/>
  <c r="AH126" i="2"/>
  <c r="AL126" i="2"/>
  <c r="AK126" i="2"/>
  <c r="AM126" i="2"/>
  <c r="AN126" i="2"/>
  <c r="AG127" i="2"/>
  <c r="AH127" i="2"/>
  <c r="AL127" i="2"/>
  <c r="AK127" i="2"/>
  <c r="AM127" i="2"/>
  <c r="AN127" i="2"/>
  <c r="AG128" i="2"/>
  <c r="AH128" i="2"/>
  <c r="AL128" i="2"/>
  <c r="AK128" i="2"/>
  <c r="AM128" i="2"/>
  <c r="AN128" i="2"/>
  <c r="AG129" i="2"/>
  <c r="AH129" i="2"/>
  <c r="AL129" i="2"/>
  <c r="AK129" i="2"/>
  <c r="AM129" i="2"/>
  <c r="AN129" i="2"/>
  <c r="AG130" i="2"/>
  <c r="AH130" i="2"/>
  <c r="AL130" i="2"/>
  <c r="AK130" i="2"/>
  <c r="AM130" i="2"/>
  <c r="AN130" i="2"/>
  <c r="AG131" i="2"/>
  <c r="AH131" i="2"/>
  <c r="AL131" i="2"/>
  <c r="AK131" i="2"/>
  <c r="AM131" i="2"/>
  <c r="AN131" i="2"/>
  <c r="AG132" i="2"/>
  <c r="AH132" i="2"/>
  <c r="AL132" i="2"/>
  <c r="AK132" i="2"/>
  <c r="AM132" i="2"/>
  <c r="AN132" i="2"/>
  <c r="AG133" i="2"/>
  <c r="AH133" i="2"/>
  <c r="AL133" i="2"/>
  <c r="AK133" i="2"/>
  <c r="AM133" i="2"/>
  <c r="AN133" i="2"/>
  <c r="AG134" i="2"/>
  <c r="AH134" i="2"/>
  <c r="AL134" i="2"/>
  <c r="AK134" i="2"/>
  <c r="AM134" i="2"/>
  <c r="AN134" i="2"/>
  <c r="AG135" i="2"/>
  <c r="AH135" i="2"/>
  <c r="AL135" i="2"/>
  <c r="AK135" i="2"/>
  <c r="AM135" i="2"/>
  <c r="AN135" i="2"/>
  <c r="AG136" i="2"/>
  <c r="AH136" i="2"/>
  <c r="AL136" i="2"/>
  <c r="AK136" i="2"/>
  <c r="AM136" i="2"/>
  <c r="AN136" i="2"/>
  <c r="AG137" i="2"/>
  <c r="AH137" i="2"/>
  <c r="AL137" i="2"/>
  <c r="AK137" i="2"/>
  <c r="AM137" i="2"/>
  <c r="AN137" i="2"/>
  <c r="AG138" i="2"/>
  <c r="AH138" i="2"/>
  <c r="AL138" i="2"/>
  <c r="AK138" i="2"/>
  <c r="AM138" i="2"/>
  <c r="AN138" i="2"/>
  <c r="AG139" i="2"/>
  <c r="AH139" i="2"/>
  <c r="AL139" i="2"/>
  <c r="AK139" i="2"/>
  <c r="AM139" i="2"/>
  <c r="AN139" i="2"/>
  <c r="AG140" i="2"/>
  <c r="AH140" i="2"/>
  <c r="AL140" i="2"/>
  <c r="AK140" i="2"/>
  <c r="AM140" i="2"/>
  <c r="AN140" i="2"/>
  <c r="AG141" i="2"/>
  <c r="AH141" i="2"/>
  <c r="AL141" i="2"/>
  <c r="AK141" i="2"/>
  <c r="AM141" i="2"/>
  <c r="AN141" i="2"/>
  <c r="AG142" i="2"/>
  <c r="AH142" i="2"/>
  <c r="AL142" i="2"/>
  <c r="AK142" i="2"/>
  <c r="AM142" i="2"/>
  <c r="AN142" i="2"/>
  <c r="AG143" i="2"/>
  <c r="AH143" i="2"/>
  <c r="AL143" i="2"/>
  <c r="AK143" i="2"/>
  <c r="AM143" i="2"/>
  <c r="AN143" i="2"/>
  <c r="AG144" i="2"/>
  <c r="AH144" i="2"/>
  <c r="AL144" i="2"/>
  <c r="AK144" i="2"/>
  <c r="AM144" i="2"/>
  <c r="AN144" i="2"/>
  <c r="AG145" i="2"/>
  <c r="AH145" i="2"/>
  <c r="AL145" i="2"/>
  <c r="AK145" i="2"/>
  <c r="AM145" i="2"/>
  <c r="AN145" i="2"/>
  <c r="AG146" i="2"/>
  <c r="AH146" i="2"/>
  <c r="AL146" i="2"/>
  <c r="AK146" i="2"/>
  <c r="AM146" i="2"/>
  <c r="AN146" i="2"/>
  <c r="AG147" i="2"/>
  <c r="AH147" i="2"/>
  <c r="AL147" i="2"/>
  <c r="AK147" i="2"/>
  <c r="AM147" i="2"/>
  <c r="AN147" i="2"/>
  <c r="AG148" i="2"/>
  <c r="AH148" i="2"/>
  <c r="AL148" i="2"/>
  <c r="AK148" i="2"/>
  <c r="AM148" i="2"/>
  <c r="AN148" i="2"/>
  <c r="AG149" i="2"/>
  <c r="AH149" i="2"/>
  <c r="AL149" i="2"/>
  <c r="AK149" i="2"/>
  <c r="AM149" i="2"/>
  <c r="AN149" i="2"/>
  <c r="AG150" i="2"/>
  <c r="AH150" i="2"/>
  <c r="AL150" i="2"/>
  <c r="AK150" i="2"/>
  <c r="AM150" i="2"/>
  <c r="AN150" i="2"/>
  <c r="AG151" i="2"/>
  <c r="AH151" i="2"/>
  <c r="AL151" i="2"/>
  <c r="AK151" i="2"/>
  <c r="AM151" i="2"/>
  <c r="AN151" i="2"/>
  <c r="AG152" i="2"/>
  <c r="AH152" i="2"/>
  <c r="AL152" i="2"/>
  <c r="AK152" i="2"/>
  <c r="AM152" i="2"/>
  <c r="AN152" i="2"/>
  <c r="AG153" i="2"/>
  <c r="AH153" i="2"/>
  <c r="AL153" i="2"/>
  <c r="AK153" i="2"/>
  <c r="AM153" i="2"/>
  <c r="AN153" i="2"/>
  <c r="AG154" i="2"/>
  <c r="AH154" i="2"/>
  <c r="AL154" i="2"/>
  <c r="AK154" i="2"/>
  <c r="AM154" i="2"/>
  <c r="AN154" i="2"/>
  <c r="AG155" i="2"/>
  <c r="AH155" i="2"/>
  <c r="AL155" i="2"/>
  <c r="AK155" i="2"/>
  <c r="AM155" i="2"/>
  <c r="AN155" i="2"/>
  <c r="AG156" i="2"/>
  <c r="AH156" i="2"/>
  <c r="AL156" i="2"/>
  <c r="AK156" i="2"/>
  <c r="AM156" i="2"/>
  <c r="AN156" i="2"/>
  <c r="AG157" i="2"/>
  <c r="AH157" i="2"/>
  <c r="AL157" i="2"/>
  <c r="AK157" i="2"/>
  <c r="AM157" i="2"/>
  <c r="AN157" i="2"/>
  <c r="AG158" i="2"/>
  <c r="AH158" i="2"/>
  <c r="AL158" i="2"/>
  <c r="AK158" i="2"/>
  <c r="AM158" i="2"/>
  <c r="AN158" i="2"/>
  <c r="AG159" i="2"/>
  <c r="AH159" i="2"/>
  <c r="AL159" i="2"/>
  <c r="AK159" i="2"/>
  <c r="AM159" i="2"/>
  <c r="AN159" i="2"/>
  <c r="AG160" i="2"/>
  <c r="AH160" i="2"/>
  <c r="AL160" i="2"/>
  <c r="AK160" i="2"/>
  <c r="AM160" i="2"/>
  <c r="AN160" i="2"/>
  <c r="AG161" i="2"/>
  <c r="AH161" i="2"/>
  <c r="AL161" i="2"/>
  <c r="AK161" i="2"/>
  <c r="AM161" i="2"/>
  <c r="AN161" i="2"/>
  <c r="AG162" i="2"/>
  <c r="AH162" i="2"/>
  <c r="AL162" i="2"/>
  <c r="AK162" i="2"/>
  <c r="AM162" i="2"/>
  <c r="AN162" i="2"/>
  <c r="AG163" i="2"/>
  <c r="AH163" i="2"/>
  <c r="AL163" i="2"/>
  <c r="AK163" i="2"/>
  <c r="AM163" i="2"/>
  <c r="AN163" i="2"/>
  <c r="AG164" i="2"/>
  <c r="AH164" i="2"/>
  <c r="AL164" i="2"/>
  <c r="AK164" i="2"/>
  <c r="AM164" i="2"/>
  <c r="AN164" i="2"/>
  <c r="AG165" i="2"/>
  <c r="AH165" i="2"/>
  <c r="AL165" i="2"/>
  <c r="AK165" i="2"/>
  <c r="AM165" i="2"/>
  <c r="AN165" i="2"/>
  <c r="AG166" i="2"/>
  <c r="AH166" i="2"/>
  <c r="AL166" i="2"/>
  <c r="AK166" i="2"/>
  <c r="AM166" i="2"/>
  <c r="AN166" i="2"/>
  <c r="AG167" i="2"/>
  <c r="AH167" i="2"/>
  <c r="AL167" i="2"/>
  <c r="AK167" i="2"/>
  <c r="AM167" i="2"/>
  <c r="AN167" i="2"/>
  <c r="AG168" i="2"/>
  <c r="AH168" i="2"/>
  <c r="AL168" i="2"/>
  <c r="AK168" i="2"/>
  <c r="AM168" i="2"/>
  <c r="AN168" i="2"/>
  <c r="AG169" i="2"/>
  <c r="AH169" i="2"/>
  <c r="AL169" i="2"/>
  <c r="AK169" i="2"/>
  <c r="AM169" i="2"/>
  <c r="AN169" i="2"/>
  <c r="AG170" i="2"/>
  <c r="AH170" i="2"/>
  <c r="AL170" i="2"/>
  <c r="AK170" i="2"/>
  <c r="AM170" i="2"/>
  <c r="AN170" i="2"/>
  <c r="AG171" i="2"/>
  <c r="AH171" i="2"/>
  <c r="AL171" i="2"/>
  <c r="AK171" i="2"/>
  <c r="AM171" i="2"/>
  <c r="AN171" i="2"/>
  <c r="AG172" i="2"/>
  <c r="AH172" i="2"/>
  <c r="AL172" i="2"/>
  <c r="AK172" i="2"/>
  <c r="AM172" i="2"/>
  <c r="AN172" i="2"/>
  <c r="AG173" i="2"/>
  <c r="AH173" i="2"/>
  <c r="AL173" i="2"/>
  <c r="AK173" i="2"/>
  <c r="AM173" i="2"/>
  <c r="AN173" i="2"/>
  <c r="AG174" i="2"/>
  <c r="AH174" i="2"/>
  <c r="AL174" i="2"/>
  <c r="AK174" i="2"/>
  <c r="AM174" i="2"/>
  <c r="AN174" i="2"/>
  <c r="AG175" i="2"/>
  <c r="AH175" i="2"/>
  <c r="AL175" i="2"/>
  <c r="AK175" i="2"/>
  <c r="AM175" i="2"/>
  <c r="AN175" i="2"/>
  <c r="AG176" i="2"/>
  <c r="AH176" i="2"/>
  <c r="AL176" i="2"/>
  <c r="AK176" i="2"/>
  <c r="AM176" i="2"/>
  <c r="AN176" i="2"/>
  <c r="AG177" i="2"/>
  <c r="AH177" i="2"/>
  <c r="AL177" i="2"/>
  <c r="AK177" i="2"/>
  <c r="AM177" i="2"/>
  <c r="AN177" i="2"/>
  <c r="AG178" i="2"/>
  <c r="AH178" i="2"/>
  <c r="AL178" i="2"/>
  <c r="AK178" i="2"/>
  <c r="AM178" i="2"/>
  <c r="AN178" i="2"/>
  <c r="AG179" i="2"/>
  <c r="AH179" i="2"/>
  <c r="AL179" i="2"/>
  <c r="AK179" i="2"/>
  <c r="AM179" i="2"/>
  <c r="AN179" i="2"/>
  <c r="AG180" i="2"/>
  <c r="AH180" i="2"/>
  <c r="AL180" i="2"/>
  <c r="AK180" i="2"/>
  <c r="AM180" i="2"/>
  <c r="AN180" i="2"/>
  <c r="AG181" i="2"/>
  <c r="AH181" i="2"/>
  <c r="AL181" i="2"/>
  <c r="AK181" i="2"/>
  <c r="AM181" i="2"/>
  <c r="AN181" i="2"/>
  <c r="AG182" i="2"/>
  <c r="AH182" i="2"/>
  <c r="AL182" i="2"/>
  <c r="AK182" i="2"/>
  <c r="AM182" i="2"/>
  <c r="AN182" i="2"/>
  <c r="AG183" i="2"/>
  <c r="AH183" i="2"/>
  <c r="AL183" i="2"/>
  <c r="AK183" i="2"/>
  <c r="AM183" i="2"/>
  <c r="AN183" i="2"/>
  <c r="AG184" i="2"/>
  <c r="AH184" i="2"/>
  <c r="AL184" i="2"/>
  <c r="AK184" i="2"/>
  <c r="AM184" i="2"/>
  <c r="AN184" i="2"/>
  <c r="AG185" i="2"/>
  <c r="AH185" i="2"/>
  <c r="AL185" i="2"/>
  <c r="AK185" i="2"/>
  <c r="AM185" i="2"/>
  <c r="AN185" i="2"/>
  <c r="AG186" i="2"/>
  <c r="AH186" i="2"/>
  <c r="AL186" i="2"/>
  <c r="AK186" i="2"/>
  <c r="AM186" i="2"/>
  <c r="AN186" i="2"/>
  <c r="AG187" i="2"/>
  <c r="AH187" i="2"/>
  <c r="AL187" i="2"/>
  <c r="AK187" i="2"/>
  <c r="AM187" i="2"/>
  <c r="AN187" i="2"/>
  <c r="AG188" i="2"/>
  <c r="AH188" i="2"/>
  <c r="AL188" i="2"/>
  <c r="AK188" i="2"/>
  <c r="AM188" i="2"/>
  <c r="AN188" i="2"/>
  <c r="AG189" i="2"/>
  <c r="AH189" i="2"/>
  <c r="AL189" i="2"/>
  <c r="AK189" i="2"/>
  <c r="AM189" i="2"/>
  <c r="AN189" i="2"/>
  <c r="AG190" i="2"/>
  <c r="AH190" i="2"/>
  <c r="AL190" i="2"/>
  <c r="AK190" i="2"/>
  <c r="AM190" i="2"/>
  <c r="AN190" i="2"/>
  <c r="AG191" i="2"/>
  <c r="AH191" i="2"/>
  <c r="AL191" i="2"/>
  <c r="AK191" i="2"/>
  <c r="AM191" i="2"/>
  <c r="AN191" i="2"/>
  <c r="AG192" i="2"/>
  <c r="AH192" i="2"/>
  <c r="AL192" i="2"/>
  <c r="AK192" i="2"/>
  <c r="AM192" i="2"/>
  <c r="AN192" i="2"/>
  <c r="AG193" i="2"/>
  <c r="AH193" i="2"/>
  <c r="AL193" i="2"/>
  <c r="AK193" i="2"/>
  <c r="AM193" i="2"/>
  <c r="AN193" i="2"/>
  <c r="AG194" i="2"/>
  <c r="AH194" i="2"/>
  <c r="AL194" i="2"/>
  <c r="AK194" i="2"/>
  <c r="AM194" i="2"/>
  <c r="AN194" i="2"/>
  <c r="AG195" i="2"/>
  <c r="AH195" i="2"/>
  <c r="AL195" i="2"/>
  <c r="AK195" i="2"/>
  <c r="AM195" i="2"/>
  <c r="AN195" i="2"/>
  <c r="AG196" i="2"/>
  <c r="AH196" i="2"/>
  <c r="AL196" i="2"/>
  <c r="AK196" i="2"/>
  <c r="AM196" i="2"/>
  <c r="AN196" i="2"/>
  <c r="AG197" i="2"/>
  <c r="AH197" i="2"/>
  <c r="AL197" i="2"/>
  <c r="AK197" i="2"/>
  <c r="AM197" i="2"/>
  <c r="AN197" i="2"/>
  <c r="AG198" i="2"/>
  <c r="AH198" i="2"/>
  <c r="AL198" i="2"/>
  <c r="AK198" i="2"/>
  <c r="AM198" i="2"/>
  <c r="AN198" i="2"/>
  <c r="AG199" i="2"/>
  <c r="AH199" i="2"/>
  <c r="AL199" i="2"/>
  <c r="AK199" i="2"/>
  <c r="AM199" i="2"/>
  <c r="AN199" i="2"/>
  <c r="AG200" i="2"/>
  <c r="AH200" i="2"/>
  <c r="AL200" i="2"/>
  <c r="AK200" i="2"/>
  <c r="AM200" i="2"/>
  <c r="AN200" i="2"/>
  <c r="AG201" i="2"/>
  <c r="AH201" i="2"/>
  <c r="AL201" i="2"/>
  <c r="AK201" i="2"/>
  <c r="AM201" i="2"/>
  <c r="AN201" i="2"/>
  <c r="AG202" i="2"/>
  <c r="AH202" i="2"/>
  <c r="AL202" i="2"/>
  <c r="AK202" i="2"/>
  <c r="AM202" i="2"/>
  <c r="AN202" i="2"/>
  <c r="AG203" i="2"/>
  <c r="AH203" i="2"/>
  <c r="AL203" i="2"/>
  <c r="AK203" i="2"/>
  <c r="AM203" i="2"/>
  <c r="AN203" i="2"/>
  <c r="AG204" i="2"/>
  <c r="AH204" i="2"/>
  <c r="AL204" i="2"/>
  <c r="AK204" i="2"/>
  <c r="AM204" i="2"/>
  <c r="AN204" i="2"/>
  <c r="AG205" i="2"/>
  <c r="AH205" i="2"/>
  <c r="AL205" i="2"/>
  <c r="AK205" i="2"/>
  <c r="AM205" i="2"/>
  <c r="AN205" i="2"/>
  <c r="AG206" i="2"/>
  <c r="AH206" i="2"/>
  <c r="AL206" i="2"/>
  <c r="AK206" i="2"/>
  <c r="AM206" i="2"/>
  <c r="AN206" i="2"/>
  <c r="AG207" i="2"/>
  <c r="AH207" i="2"/>
  <c r="AL207" i="2"/>
  <c r="AK207" i="2"/>
  <c r="AM207" i="2"/>
  <c r="AN207" i="2"/>
  <c r="AG208" i="2"/>
  <c r="AH208" i="2"/>
  <c r="AL208" i="2"/>
  <c r="AK208" i="2"/>
  <c r="AM208" i="2"/>
  <c r="AN208" i="2"/>
  <c r="AG209" i="2"/>
  <c r="AH209" i="2"/>
  <c r="AL209" i="2"/>
  <c r="AK209" i="2"/>
  <c r="AM209" i="2"/>
  <c r="AN209" i="2"/>
  <c r="AG210" i="2"/>
  <c r="AH210" i="2"/>
  <c r="AL210" i="2"/>
  <c r="AK210" i="2"/>
  <c r="AM210" i="2"/>
  <c r="AN210" i="2"/>
  <c r="AG211" i="2"/>
  <c r="AH211" i="2"/>
  <c r="AL211" i="2"/>
  <c r="AK211" i="2"/>
  <c r="AM211" i="2"/>
  <c r="AN211" i="2"/>
  <c r="AG212" i="2"/>
  <c r="AH212" i="2"/>
  <c r="AL212" i="2"/>
  <c r="AK212" i="2"/>
  <c r="AM212" i="2"/>
  <c r="AN212" i="2"/>
  <c r="AG213" i="2"/>
  <c r="AH213" i="2"/>
  <c r="AL213" i="2"/>
  <c r="AK213" i="2"/>
  <c r="AM213" i="2"/>
  <c r="AN213" i="2"/>
  <c r="AG214" i="2"/>
  <c r="AH214" i="2"/>
  <c r="AL214" i="2"/>
  <c r="AK214" i="2"/>
  <c r="AM214" i="2"/>
  <c r="AN214" i="2"/>
  <c r="AG215" i="2"/>
  <c r="AH215" i="2"/>
  <c r="AL215" i="2"/>
  <c r="AK215" i="2"/>
  <c r="AM215" i="2"/>
  <c r="AN215" i="2"/>
  <c r="AG216" i="2"/>
  <c r="AH216" i="2"/>
  <c r="AL216" i="2"/>
  <c r="AK216" i="2"/>
  <c r="AM216" i="2"/>
  <c r="AN216" i="2"/>
  <c r="AG217" i="2"/>
  <c r="AH217" i="2"/>
  <c r="AL217" i="2"/>
  <c r="AK217" i="2"/>
  <c r="AM217" i="2"/>
  <c r="AN217" i="2"/>
  <c r="AN15" i="2"/>
  <c r="AL15" i="2"/>
  <c r="AN14" i="2"/>
  <c r="C35" i="11"/>
  <c r="C55" i="11"/>
  <c r="C7" i="11"/>
  <c r="C53" i="11"/>
  <c r="C56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X1" i="11"/>
  <c r="CY1" i="11"/>
  <c r="CZ1" i="11"/>
  <c r="DA1" i="11"/>
  <c r="DB1" i="11"/>
  <c r="DC1" i="11"/>
  <c r="DD1" i="11"/>
  <c r="DE1" i="11"/>
  <c r="DF1" i="11"/>
  <c r="DG1" i="11"/>
  <c r="DH1" i="11"/>
  <c r="DI1" i="11"/>
  <c r="DJ1" i="11"/>
  <c r="DK1" i="11"/>
  <c r="DL1" i="11"/>
  <c r="DM1" i="11"/>
  <c r="DN1" i="11"/>
  <c r="DO1" i="11"/>
  <c r="DP1" i="11"/>
  <c r="DQ1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1" i="11"/>
  <c r="EE1" i="11"/>
  <c r="EF1" i="11"/>
  <c r="EG1" i="11"/>
  <c r="EH1" i="11"/>
  <c r="EI1" i="11"/>
  <c r="EJ1" i="11"/>
  <c r="EK1" i="11"/>
  <c r="EL1" i="11"/>
  <c r="EM1" i="11"/>
  <c r="EN1" i="11"/>
  <c r="EO1" i="11"/>
  <c r="EP1" i="11"/>
  <c r="EQ1" i="11"/>
  <c r="ER1" i="11"/>
  <c r="ES1" i="11"/>
  <c r="ET1" i="11"/>
  <c r="EU1" i="11"/>
  <c r="EV1" i="11"/>
  <c r="EW1" i="11"/>
  <c r="EX1" i="11"/>
  <c r="EY1" i="11"/>
  <c r="EZ1" i="11"/>
  <c r="FA1" i="11"/>
  <c r="FB1" i="11"/>
  <c r="FC1" i="11"/>
  <c r="FD1" i="11"/>
  <c r="FE1" i="11"/>
  <c r="FF1" i="11"/>
  <c r="FG1" i="11"/>
  <c r="FH1" i="11"/>
  <c r="FI1" i="11"/>
  <c r="FJ1" i="11"/>
  <c r="FK1" i="11"/>
  <c r="FL1" i="11"/>
  <c r="FM1" i="11"/>
  <c r="FN1" i="11"/>
  <c r="FO1" i="11"/>
  <c r="FP1" i="11"/>
  <c r="FQ1" i="11"/>
  <c r="FR1" i="11"/>
  <c r="FS1" i="11"/>
  <c r="FT1" i="11"/>
  <c r="FU1" i="11"/>
  <c r="FV1" i="11"/>
  <c r="FW1" i="11"/>
  <c r="FX1" i="11"/>
  <c r="FY1" i="11"/>
  <c r="FZ1" i="11"/>
  <c r="GA1" i="11"/>
  <c r="GB1" i="11"/>
  <c r="GC1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GP1" i="11"/>
  <c r="GQ1" i="11"/>
  <c r="GR1" i="11"/>
  <c r="GS1" i="11"/>
  <c r="GT1" i="11"/>
  <c r="GU1" i="11"/>
  <c r="GV1" i="11"/>
  <c r="GW1" i="11"/>
  <c r="GX1" i="11"/>
  <c r="GY1" i="11"/>
  <c r="GZ1" i="11"/>
  <c r="HA1" i="11"/>
  <c r="HB1" i="11"/>
  <c r="HC1" i="11"/>
  <c r="HD1" i="11"/>
  <c r="HE1" i="11"/>
  <c r="HF1" i="11"/>
  <c r="HG1" i="11"/>
  <c r="HH1" i="11"/>
  <c r="HI1" i="11"/>
  <c r="HJ1" i="11"/>
  <c r="HK1" i="11"/>
  <c r="HL1" i="11"/>
  <c r="HM1" i="11"/>
  <c r="HN1" i="11"/>
  <c r="HO1" i="11"/>
  <c r="HP1" i="11"/>
  <c r="HQ1" i="11"/>
  <c r="HR1" i="11"/>
  <c r="HS1" i="11"/>
  <c r="HT1" i="11"/>
  <c r="HU1" i="11"/>
  <c r="HV1" i="11"/>
  <c r="HW1" i="11"/>
  <c r="HX1" i="11"/>
  <c r="HY1" i="11"/>
  <c r="HZ1" i="11"/>
  <c r="IA1" i="11"/>
  <c r="IB1" i="11"/>
  <c r="IC1" i="11"/>
  <c r="ID1" i="11"/>
  <c r="IE1" i="11"/>
  <c r="IF1" i="11"/>
  <c r="IG1" i="11"/>
  <c r="IH1" i="11"/>
  <c r="II1" i="11"/>
  <c r="IJ1" i="11"/>
  <c r="IK1" i="11"/>
  <c r="IL1" i="11"/>
  <c r="IM1" i="11"/>
  <c r="IN1" i="11"/>
  <c r="IO1" i="11"/>
  <c r="IP1" i="11"/>
  <c r="IQ1" i="11"/>
  <c r="IR1" i="11"/>
  <c r="IS1" i="11"/>
  <c r="IT1" i="11"/>
  <c r="IU1" i="11"/>
  <c r="IV1" i="11"/>
  <c r="IW1" i="11"/>
  <c r="IX1" i="11"/>
  <c r="IY1" i="11"/>
  <c r="IZ1" i="11"/>
  <c r="JA1" i="11"/>
  <c r="JB1" i="11"/>
  <c r="JC1" i="11"/>
  <c r="JD1" i="11"/>
  <c r="JE1" i="11"/>
  <c r="JF1" i="11"/>
  <c r="JG1" i="11"/>
  <c r="JH1" i="11"/>
  <c r="JI1" i="11"/>
  <c r="JJ1" i="11"/>
  <c r="JK1" i="11"/>
  <c r="JL1" i="11"/>
  <c r="JM1" i="11"/>
  <c r="JN1" i="11"/>
  <c r="JO1" i="11"/>
  <c r="JP1" i="11"/>
  <c r="JQ1" i="11"/>
  <c r="JR1" i="11"/>
  <c r="JS1" i="11"/>
  <c r="JT1" i="11"/>
  <c r="JU1" i="11"/>
  <c r="JV1" i="11"/>
  <c r="JW1" i="11"/>
  <c r="JX1" i="11"/>
  <c r="JY1" i="11"/>
  <c r="JZ1" i="11"/>
  <c r="KA1" i="11"/>
  <c r="KB1" i="11"/>
  <c r="KC1" i="11"/>
  <c r="KD1" i="11"/>
  <c r="KE1" i="11"/>
  <c r="KF1" i="11"/>
  <c r="KG1" i="11"/>
  <c r="KH1" i="11"/>
  <c r="KI1" i="11"/>
  <c r="KJ1" i="11"/>
  <c r="KK1" i="11"/>
  <c r="KL1" i="11"/>
  <c r="KM1" i="11"/>
  <c r="KN1" i="11"/>
  <c r="KO1" i="11"/>
  <c r="KP1" i="11"/>
  <c r="KQ1" i="11"/>
  <c r="KR1" i="11"/>
  <c r="KS1" i="11"/>
  <c r="KT1" i="11"/>
  <c r="KU1" i="11"/>
  <c r="KV1" i="11"/>
  <c r="KW1" i="11"/>
  <c r="KX1" i="11"/>
  <c r="KY1" i="11"/>
  <c r="KZ1" i="11"/>
  <c r="LA1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N1" i="11"/>
  <c r="LO1" i="11"/>
  <c r="C20" i="48"/>
  <c r="AG15" i="2"/>
  <c r="J7" i="2"/>
  <c r="B6" i="49"/>
  <c r="J8" i="2"/>
  <c r="B7" i="49"/>
  <c r="I8" i="2"/>
  <c r="C7" i="49"/>
  <c r="M15" i="2"/>
  <c r="I6" i="2"/>
  <c r="C5" i="49"/>
  <c r="J6" i="2"/>
  <c r="B5" i="49"/>
  <c r="LP1" i="11"/>
  <c r="LQ1" i="11"/>
  <c r="LR1" i="11"/>
  <c r="LS1" i="11"/>
  <c r="LT1" i="11"/>
  <c r="LU1" i="11"/>
  <c r="LV1" i="11"/>
  <c r="LW1" i="11"/>
  <c r="LX1" i="11"/>
  <c r="LY1" i="11"/>
  <c r="LZ1" i="11"/>
  <c r="MA1" i="11"/>
  <c r="MB1" i="11"/>
  <c r="MC1" i="11"/>
  <c r="MD1" i="11"/>
  <c r="ME1" i="11"/>
  <c r="MF1" i="11"/>
  <c r="MG1" i="11"/>
  <c r="MH1" i="11"/>
  <c r="MI1" i="11"/>
  <c r="MJ1" i="11"/>
  <c r="MK1" i="11"/>
  <c r="ML1" i="11"/>
  <c r="MM1" i="11"/>
  <c r="MN1" i="11"/>
  <c r="MO1" i="11"/>
  <c r="MP1" i="11"/>
  <c r="MQ1" i="11"/>
  <c r="MR1" i="11"/>
  <c r="MS1" i="11"/>
  <c r="MT1" i="11"/>
  <c r="MU1" i="11"/>
  <c r="MV1" i="11"/>
  <c r="MW1" i="11"/>
  <c r="MX1" i="11"/>
  <c r="MY1" i="11"/>
  <c r="MZ1" i="11"/>
  <c r="NA1" i="11"/>
  <c r="NB1" i="11"/>
  <c r="NC1" i="11"/>
  <c r="ND1" i="11"/>
  <c r="NE1" i="11"/>
  <c r="NF1" i="11"/>
  <c r="NG1" i="11"/>
  <c r="NH1" i="11"/>
  <c r="NI1" i="11"/>
  <c r="NJ1" i="11"/>
  <c r="NK1" i="11"/>
  <c r="NL1" i="11"/>
  <c r="NM1" i="11"/>
  <c r="NN1" i="11"/>
  <c r="NO1" i="11"/>
  <c r="NP1" i="11"/>
  <c r="NQ1" i="11"/>
  <c r="NR1" i="11"/>
  <c r="NS1" i="11"/>
  <c r="NT1" i="11"/>
  <c r="NU1" i="11"/>
  <c r="NV1" i="11"/>
  <c r="NW1" i="11"/>
  <c r="NX1" i="11"/>
  <c r="NY1" i="11"/>
  <c r="NZ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M1" i="11"/>
  <c r="ON1" i="11"/>
  <c r="OO1" i="11"/>
  <c r="OP1" i="11"/>
  <c r="OQ1" i="11"/>
  <c r="E28" i="48"/>
  <c r="D28" i="48"/>
  <c r="C28" i="48"/>
  <c r="B28" i="48"/>
  <c r="OR1" i="11"/>
  <c r="OS1" i="11"/>
  <c r="OT1" i="11"/>
  <c r="OU1" i="11"/>
  <c r="OV1" i="11"/>
  <c r="OW1" i="11"/>
  <c r="OX1" i="11"/>
  <c r="OY1" i="11"/>
  <c r="OZ1" i="11"/>
  <c r="PA1" i="11"/>
  <c r="PB1" i="11"/>
  <c r="PC1" i="11"/>
  <c r="PD1" i="11"/>
  <c r="PE1" i="11"/>
  <c r="PF1" i="11"/>
  <c r="PG1" i="11"/>
  <c r="PH1" i="11"/>
  <c r="PI1" i="11"/>
  <c r="PJ1" i="11"/>
  <c r="PK1" i="11"/>
  <c r="PL1" i="11"/>
  <c r="PM1" i="11"/>
  <c r="PN1" i="11"/>
  <c r="PO1" i="11"/>
  <c r="PP1" i="11"/>
  <c r="PQ1" i="11"/>
  <c r="PR1" i="11"/>
  <c r="PS1" i="11"/>
  <c r="PT1" i="11"/>
  <c r="PU1" i="11"/>
  <c r="PV1" i="11"/>
  <c r="PW1" i="11"/>
  <c r="PX1" i="11"/>
  <c r="PY1" i="11"/>
  <c r="PZ1" i="11"/>
  <c r="QA1" i="11"/>
  <c r="QB1" i="11"/>
  <c r="QC1" i="11"/>
  <c r="QD1" i="11"/>
  <c r="QE1" i="11"/>
  <c r="E27" i="48"/>
  <c r="D27" i="48"/>
  <c r="C27" i="48"/>
  <c r="B27" i="48"/>
  <c r="E26" i="48"/>
  <c r="D26" i="48"/>
  <c r="C26" i="48"/>
  <c r="B26" i="48"/>
  <c r="E25" i="48"/>
  <c r="D25" i="48"/>
  <c r="C25" i="48"/>
  <c r="B25" i="48"/>
  <c r="E24" i="48"/>
  <c r="D24" i="48"/>
  <c r="C24" i="48"/>
  <c r="B24" i="48"/>
  <c r="O21" i="48"/>
  <c r="O22" i="48"/>
  <c r="E22" i="48"/>
  <c r="D22" i="48"/>
  <c r="C22" i="48"/>
  <c r="B22" i="48"/>
  <c r="E21" i="48"/>
  <c r="D21" i="48"/>
  <c r="C21" i="48"/>
  <c r="B21" i="48"/>
  <c r="E20" i="48"/>
  <c r="D20" i="48"/>
  <c r="B20" i="48"/>
  <c r="E19" i="48"/>
  <c r="D19" i="48"/>
  <c r="C19" i="48"/>
  <c r="B19" i="48"/>
  <c r="E18" i="48"/>
  <c r="D18" i="48"/>
  <c r="C18" i="48"/>
  <c r="B18" i="48"/>
  <c r="E16" i="48"/>
  <c r="D16" i="48"/>
  <c r="C16" i="48"/>
  <c r="B16" i="48"/>
  <c r="E15" i="48"/>
  <c r="D15" i="48"/>
  <c r="C15" i="48"/>
  <c r="B15" i="48"/>
  <c r="E14" i="48"/>
  <c r="D14" i="48"/>
  <c r="C14" i="48"/>
  <c r="B14" i="48"/>
  <c r="E13" i="48"/>
  <c r="D13" i="48"/>
  <c r="C13" i="48"/>
  <c r="B13" i="48"/>
  <c r="E12" i="48"/>
  <c r="D12" i="48"/>
  <c r="C12" i="48"/>
  <c r="B12" i="48"/>
  <c r="O6" i="48"/>
  <c r="O9" i="48"/>
  <c r="O10" i="48"/>
  <c r="E10" i="48"/>
  <c r="D10" i="48"/>
  <c r="C10" i="48"/>
  <c r="B10" i="48"/>
  <c r="E9" i="48"/>
  <c r="D9" i="48"/>
  <c r="C9" i="48"/>
  <c r="B9" i="48"/>
  <c r="E8" i="48"/>
  <c r="D8" i="48"/>
  <c r="C8" i="48"/>
  <c r="E7" i="48"/>
  <c r="D7" i="48"/>
  <c r="C7" i="48"/>
  <c r="B7" i="48"/>
  <c r="E6" i="48"/>
  <c r="D6" i="48"/>
  <c r="C6" i="48"/>
  <c r="B6" i="48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17" i="2"/>
  <c r="C36" i="11"/>
  <c r="B36" i="11"/>
  <c r="C47" i="11"/>
  <c r="C45" i="1"/>
  <c r="D45" i="1"/>
  <c r="B30" i="11"/>
  <c r="B31" i="11"/>
  <c r="F24" i="1"/>
  <c r="E57" i="30"/>
  <c r="E58" i="30"/>
  <c r="E59" i="30"/>
  <c r="E60" i="30"/>
  <c r="E61" i="30"/>
  <c r="E62" i="30"/>
  <c r="E63" i="30"/>
  <c r="E64" i="30"/>
  <c r="E65" i="30"/>
  <c r="E66" i="30"/>
  <c r="E67" i="30"/>
  <c r="E56" i="30"/>
  <c r="D57" i="30"/>
  <c r="D58" i="30"/>
  <c r="D59" i="30"/>
  <c r="D60" i="30"/>
  <c r="D61" i="30"/>
  <c r="D62" i="30"/>
  <c r="D63" i="30"/>
  <c r="D64" i="30"/>
  <c r="D65" i="30"/>
  <c r="D66" i="30"/>
  <c r="D67" i="30"/>
  <c r="D56" i="30"/>
  <c r="D45" i="30"/>
  <c r="D46" i="30"/>
  <c r="D47" i="30"/>
  <c r="D48" i="30"/>
  <c r="D49" i="30"/>
  <c r="D50" i="30"/>
  <c r="D51" i="30"/>
  <c r="D44" i="30"/>
  <c r="C45" i="30"/>
  <c r="C46" i="30"/>
  <c r="C47" i="30"/>
  <c r="C48" i="30"/>
  <c r="C49" i="30"/>
  <c r="C50" i="30"/>
  <c r="C51" i="30"/>
  <c r="C44" i="30"/>
  <c r="E26" i="30"/>
  <c r="F26" i="30"/>
  <c r="G26" i="30"/>
  <c r="E27" i="30"/>
  <c r="F27" i="30"/>
  <c r="G27" i="30"/>
  <c r="E28" i="30"/>
  <c r="F28" i="30"/>
  <c r="G28" i="30"/>
  <c r="E29" i="30"/>
  <c r="F29" i="30"/>
  <c r="G29" i="30"/>
  <c r="E30" i="30"/>
  <c r="F30" i="30"/>
  <c r="G30" i="30"/>
  <c r="E31" i="30"/>
  <c r="F31" i="30"/>
  <c r="G31" i="30"/>
  <c r="E32" i="30"/>
  <c r="F32" i="30"/>
  <c r="G32" i="30"/>
  <c r="E33" i="30"/>
  <c r="F33" i="30"/>
  <c r="G33" i="30"/>
  <c r="E34" i="30"/>
  <c r="F34" i="30"/>
  <c r="G34" i="30"/>
  <c r="E35" i="30"/>
  <c r="F35" i="30"/>
  <c r="G35" i="30"/>
  <c r="E36" i="30"/>
  <c r="F36" i="30"/>
  <c r="G36" i="30"/>
  <c r="G25" i="30"/>
  <c r="F25" i="30"/>
  <c r="E25" i="30"/>
  <c r="E6" i="30"/>
  <c r="F6" i="30"/>
  <c r="G6" i="30"/>
  <c r="E7" i="30"/>
  <c r="F7" i="30"/>
  <c r="G7" i="30"/>
  <c r="E8" i="30"/>
  <c r="F8" i="30"/>
  <c r="G8" i="30"/>
  <c r="E9" i="30"/>
  <c r="F9" i="30"/>
  <c r="G9" i="30"/>
  <c r="E10" i="30"/>
  <c r="F10" i="30"/>
  <c r="G10" i="30"/>
  <c r="E11" i="30"/>
  <c r="F11" i="30"/>
  <c r="G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F5" i="30"/>
  <c r="G5" i="30"/>
  <c r="E5" i="30"/>
  <c r="CE5" i="2"/>
  <c r="CF7" i="2"/>
  <c r="CE7" i="2"/>
  <c r="CE9" i="2"/>
  <c r="CE6" i="2"/>
  <c r="CE8" i="2"/>
  <c r="CF8" i="2"/>
  <c r="CE12" i="2"/>
  <c r="CE13" i="2"/>
  <c r="D31" i="1"/>
  <c r="CE17" i="2"/>
  <c r="CD17" i="2"/>
  <c r="D30" i="1"/>
  <c r="CF17" i="2"/>
  <c r="CG17" i="2"/>
  <c r="CH17" i="2"/>
  <c r="CI17" i="2"/>
  <c r="CJ17" i="2"/>
  <c r="CK17" i="2"/>
  <c r="CE18" i="2"/>
  <c r="CD18" i="2"/>
  <c r="CF18" i="2"/>
  <c r="CG18" i="2"/>
  <c r="CH18" i="2"/>
  <c r="CI18" i="2"/>
  <c r="CJ18" i="2"/>
  <c r="CK18" i="2"/>
  <c r="CE19" i="2"/>
  <c r="CD19" i="2"/>
  <c r="CF19" i="2"/>
  <c r="CG19" i="2"/>
  <c r="CH19" i="2"/>
  <c r="CI19" i="2"/>
  <c r="CJ19" i="2"/>
  <c r="CK19" i="2"/>
  <c r="CE20" i="2"/>
  <c r="CD20" i="2"/>
  <c r="CF20" i="2"/>
  <c r="CG20" i="2"/>
  <c r="CH20" i="2"/>
  <c r="CI20" i="2"/>
  <c r="CJ20" i="2"/>
  <c r="CK20" i="2"/>
  <c r="CE21" i="2"/>
  <c r="CD21" i="2"/>
  <c r="CF21" i="2"/>
  <c r="CG21" i="2"/>
  <c r="CH21" i="2"/>
  <c r="CI21" i="2"/>
  <c r="CJ21" i="2"/>
  <c r="CK21" i="2"/>
  <c r="CE22" i="2"/>
  <c r="CD22" i="2"/>
  <c r="CF22" i="2"/>
  <c r="CG22" i="2"/>
  <c r="CH22" i="2"/>
  <c r="CI22" i="2"/>
  <c r="CJ22" i="2"/>
  <c r="CK22" i="2"/>
  <c r="CE23" i="2"/>
  <c r="CD23" i="2"/>
  <c r="CF23" i="2"/>
  <c r="CG23" i="2"/>
  <c r="CH23" i="2"/>
  <c r="CI23" i="2"/>
  <c r="CJ23" i="2"/>
  <c r="CK23" i="2"/>
  <c r="CE24" i="2"/>
  <c r="CD24" i="2"/>
  <c r="CF24" i="2"/>
  <c r="CG24" i="2"/>
  <c r="CH24" i="2"/>
  <c r="CI24" i="2"/>
  <c r="CJ24" i="2"/>
  <c r="CK24" i="2"/>
  <c r="CE25" i="2"/>
  <c r="CD25" i="2"/>
  <c r="CF25" i="2"/>
  <c r="CG25" i="2"/>
  <c r="CH25" i="2"/>
  <c r="CI25" i="2"/>
  <c r="CJ25" i="2"/>
  <c r="CK25" i="2"/>
  <c r="CE26" i="2"/>
  <c r="CD26" i="2"/>
  <c r="CF26" i="2"/>
  <c r="CG26" i="2"/>
  <c r="CH26" i="2"/>
  <c r="CI26" i="2"/>
  <c r="CJ26" i="2"/>
  <c r="CK26" i="2"/>
  <c r="CE27" i="2"/>
  <c r="CD27" i="2"/>
  <c r="CF27" i="2"/>
  <c r="CG27" i="2"/>
  <c r="CH27" i="2"/>
  <c r="CI27" i="2"/>
  <c r="CJ27" i="2"/>
  <c r="CK27" i="2"/>
  <c r="CE28" i="2"/>
  <c r="CD28" i="2"/>
  <c r="CF28" i="2"/>
  <c r="CG28" i="2"/>
  <c r="CH28" i="2"/>
  <c r="CI28" i="2"/>
  <c r="CJ28" i="2"/>
  <c r="CK28" i="2"/>
  <c r="CE29" i="2"/>
  <c r="CD29" i="2"/>
  <c r="CF29" i="2"/>
  <c r="CG29" i="2"/>
  <c r="CH29" i="2"/>
  <c r="CI29" i="2"/>
  <c r="CJ29" i="2"/>
  <c r="CK29" i="2"/>
  <c r="CE30" i="2"/>
  <c r="CD30" i="2"/>
  <c r="CF30" i="2"/>
  <c r="CG30" i="2"/>
  <c r="CH30" i="2"/>
  <c r="CI30" i="2"/>
  <c r="CJ30" i="2"/>
  <c r="CK30" i="2"/>
  <c r="CE31" i="2"/>
  <c r="CD31" i="2"/>
  <c r="CF31" i="2"/>
  <c r="CG31" i="2"/>
  <c r="CH31" i="2"/>
  <c r="CI31" i="2"/>
  <c r="CJ31" i="2"/>
  <c r="CK31" i="2"/>
  <c r="CE32" i="2"/>
  <c r="CD32" i="2"/>
  <c r="CF32" i="2"/>
  <c r="CG32" i="2"/>
  <c r="CH32" i="2"/>
  <c r="CI32" i="2"/>
  <c r="CJ32" i="2"/>
  <c r="CK32" i="2"/>
  <c r="CE33" i="2"/>
  <c r="CD33" i="2"/>
  <c r="CF33" i="2"/>
  <c r="CG33" i="2"/>
  <c r="CH33" i="2"/>
  <c r="CI33" i="2"/>
  <c r="CJ33" i="2"/>
  <c r="CK33" i="2"/>
  <c r="CE34" i="2"/>
  <c r="CD34" i="2"/>
  <c r="CF34" i="2"/>
  <c r="CG34" i="2"/>
  <c r="CH34" i="2"/>
  <c r="CI34" i="2"/>
  <c r="CJ34" i="2"/>
  <c r="CK34" i="2"/>
  <c r="CE35" i="2"/>
  <c r="CD35" i="2"/>
  <c r="CF35" i="2"/>
  <c r="CG35" i="2"/>
  <c r="CH35" i="2"/>
  <c r="CI35" i="2"/>
  <c r="CJ35" i="2"/>
  <c r="CK35" i="2"/>
  <c r="CE36" i="2"/>
  <c r="CD36" i="2"/>
  <c r="CF36" i="2"/>
  <c r="CG36" i="2"/>
  <c r="CH36" i="2"/>
  <c r="CI36" i="2"/>
  <c r="CJ36" i="2"/>
  <c r="CK36" i="2"/>
  <c r="CE37" i="2"/>
  <c r="CD37" i="2"/>
  <c r="CF37" i="2"/>
  <c r="CG37" i="2"/>
  <c r="CH37" i="2"/>
  <c r="CI37" i="2"/>
  <c r="CJ37" i="2"/>
  <c r="CK37" i="2"/>
  <c r="CE38" i="2"/>
  <c r="CD38" i="2"/>
  <c r="CF38" i="2"/>
  <c r="CG38" i="2"/>
  <c r="CH38" i="2"/>
  <c r="CI38" i="2"/>
  <c r="CJ38" i="2"/>
  <c r="CK38" i="2"/>
  <c r="CE39" i="2"/>
  <c r="CD39" i="2"/>
  <c r="CF39" i="2"/>
  <c r="CG39" i="2"/>
  <c r="CH39" i="2"/>
  <c r="CI39" i="2"/>
  <c r="CJ39" i="2"/>
  <c r="CK39" i="2"/>
  <c r="CE40" i="2"/>
  <c r="CD40" i="2"/>
  <c r="CF40" i="2"/>
  <c r="CG40" i="2"/>
  <c r="CH40" i="2"/>
  <c r="CI40" i="2"/>
  <c r="CJ40" i="2"/>
  <c r="CK40" i="2"/>
  <c r="CE41" i="2"/>
  <c r="CD41" i="2"/>
  <c r="CF41" i="2"/>
  <c r="CG41" i="2"/>
  <c r="CH41" i="2"/>
  <c r="CI41" i="2"/>
  <c r="CJ41" i="2"/>
  <c r="CK41" i="2"/>
  <c r="CE42" i="2"/>
  <c r="CD42" i="2"/>
  <c r="CF42" i="2"/>
  <c r="CG42" i="2"/>
  <c r="CH42" i="2"/>
  <c r="CI42" i="2"/>
  <c r="CJ42" i="2"/>
  <c r="CK42" i="2"/>
  <c r="CE43" i="2"/>
  <c r="CD43" i="2"/>
  <c r="CF43" i="2"/>
  <c r="CG43" i="2"/>
  <c r="CH43" i="2"/>
  <c r="CI43" i="2"/>
  <c r="CJ43" i="2"/>
  <c r="CK43" i="2"/>
  <c r="CE44" i="2"/>
  <c r="CD44" i="2"/>
  <c r="CF44" i="2"/>
  <c r="CG44" i="2"/>
  <c r="CH44" i="2"/>
  <c r="CI44" i="2"/>
  <c r="CJ44" i="2"/>
  <c r="CK44" i="2"/>
  <c r="CE45" i="2"/>
  <c r="CD45" i="2"/>
  <c r="CF45" i="2"/>
  <c r="CG45" i="2"/>
  <c r="CH45" i="2"/>
  <c r="CI45" i="2"/>
  <c r="CJ45" i="2"/>
  <c r="CK45" i="2"/>
  <c r="CE46" i="2"/>
  <c r="CD46" i="2"/>
  <c r="CF46" i="2"/>
  <c r="CG46" i="2"/>
  <c r="CH46" i="2"/>
  <c r="CI46" i="2"/>
  <c r="CJ46" i="2"/>
  <c r="CK46" i="2"/>
  <c r="CE47" i="2"/>
  <c r="CD47" i="2"/>
  <c r="CF47" i="2"/>
  <c r="CG47" i="2"/>
  <c r="CH47" i="2"/>
  <c r="CI47" i="2"/>
  <c r="CJ47" i="2"/>
  <c r="CK47" i="2"/>
  <c r="CE48" i="2"/>
  <c r="CD48" i="2"/>
  <c r="CF48" i="2"/>
  <c r="CG48" i="2"/>
  <c r="CH48" i="2"/>
  <c r="CI48" i="2"/>
  <c r="CJ48" i="2"/>
  <c r="CK48" i="2"/>
  <c r="CE49" i="2"/>
  <c r="CD49" i="2"/>
  <c r="CF49" i="2"/>
  <c r="CG49" i="2"/>
  <c r="CH49" i="2"/>
  <c r="CI49" i="2"/>
  <c r="CJ49" i="2"/>
  <c r="CK49" i="2"/>
  <c r="CE50" i="2"/>
  <c r="CD50" i="2"/>
  <c r="CF50" i="2"/>
  <c r="CG50" i="2"/>
  <c r="CH50" i="2"/>
  <c r="CI50" i="2"/>
  <c r="CJ50" i="2"/>
  <c r="CK50" i="2"/>
  <c r="CE51" i="2"/>
  <c r="CD51" i="2"/>
  <c r="CF51" i="2"/>
  <c r="CG51" i="2"/>
  <c r="CH51" i="2"/>
  <c r="CI51" i="2"/>
  <c r="CJ51" i="2"/>
  <c r="CK51" i="2"/>
  <c r="CE52" i="2"/>
  <c r="CD52" i="2"/>
  <c r="CF52" i="2"/>
  <c r="CG52" i="2"/>
  <c r="CH52" i="2"/>
  <c r="CI52" i="2"/>
  <c r="CJ52" i="2"/>
  <c r="CK52" i="2"/>
  <c r="CE53" i="2"/>
  <c r="CD53" i="2"/>
  <c r="CF53" i="2"/>
  <c r="CG53" i="2"/>
  <c r="CH53" i="2"/>
  <c r="CI53" i="2"/>
  <c r="CJ53" i="2"/>
  <c r="CK53" i="2"/>
  <c r="CE54" i="2"/>
  <c r="CD54" i="2"/>
  <c r="CF54" i="2"/>
  <c r="CG54" i="2"/>
  <c r="CH54" i="2"/>
  <c r="CI54" i="2"/>
  <c r="CJ54" i="2"/>
  <c r="CK54" i="2"/>
  <c r="CE55" i="2"/>
  <c r="CD55" i="2"/>
  <c r="CF55" i="2"/>
  <c r="CG55" i="2"/>
  <c r="CH55" i="2"/>
  <c r="CI55" i="2"/>
  <c r="CJ55" i="2"/>
  <c r="CK55" i="2"/>
  <c r="CE56" i="2"/>
  <c r="CD56" i="2"/>
  <c r="CF56" i="2"/>
  <c r="CG56" i="2"/>
  <c r="CH56" i="2"/>
  <c r="CI56" i="2"/>
  <c r="CJ56" i="2"/>
  <c r="CK56" i="2"/>
  <c r="CE57" i="2"/>
  <c r="CD57" i="2"/>
  <c r="CF57" i="2"/>
  <c r="CG57" i="2"/>
  <c r="CH57" i="2"/>
  <c r="CI57" i="2"/>
  <c r="CJ57" i="2"/>
  <c r="CK57" i="2"/>
  <c r="CE58" i="2"/>
  <c r="CD58" i="2"/>
  <c r="CF58" i="2"/>
  <c r="CG58" i="2"/>
  <c r="CH58" i="2"/>
  <c r="CI58" i="2"/>
  <c r="CJ58" i="2"/>
  <c r="CK58" i="2"/>
  <c r="CE59" i="2"/>
  <c r="CD59" i="2"/>
  <c r="CF59" i="2"/>
  <c r="CG59" i="2"/>
  <c r="CH59" i="2"/>
  <c r="CI59" i="2"/>
  <c r="CJ59" i="2"/>
  <c r="CK59" i="2"/>
  <c r="CE60" i="2"/>
  <c r="CD60" i="2"/>
  <c r="CF60" i="2"/>
  <c r="CG60" i="2"/>
  <c r="CH60" i="2"/>
  <c r="CI60" i="2"/>
  <c r="CJ60" i="2"/>
  <c r="CK60" i="2"/>
  <c r="CE61" i="2"/>
  <c r="CD61" i="2"/>
  <c r="CF61" i="2"/>
  <c r="CG61" i="2"/>
  <c r="CH61" i="2"/>
  <c r="CI61" i="2"/>
  <c r="CJ61" i="2"/>
  <c r="CK61" i="2"/>
  <c r="CE62" i="2"/>
  <c r="CD62" i="2"/>
  <c r="CF62" i="2"/>
  <c r="CG62" i="2"/>
  <c r="CH62" i="2"/>
  <c r="CI62" i="2"/>
  <c r="CJ62" i="2"/>
  <c r="CK62" i="2"/>
  <c r="CE63" i="2"/>
  <c r="CD63" i="2"/>
  <c r="CF63" i="2"/>
  <c r="CG63" i="2"/>
  <c r="CH63" i="2"/>
  <c r="CI63" i="2"/>
  <c r="CJ63" i="2"/>
  <c r="CK63" i="2"/>
  <c r="CE64" i="2"/>
  <c r="CD64" i="2"/>
  <c r="CF64" i="2"/>
  <c r="CG64" i="2"/>
  <c r="CH64" i="2"/>
  <c r="CI64" i="2"/>
  <c r="CJ64" i="2"/>
  <c r="CK64" i="2"/>
  <c r="CE65" i="2"/>
  <c r="CD65" i="2"/>
  <c r="CF65" i="2"/>
  <c r="CG65" i="2"/>
  <c r="CH65" i="2"/>
  <c r="CI65" i="2"/>
  <c r="CJ65" i="2"/>
  <c r="CK65" i="2"/>
  <c r="CE66" i="2"/>
  <c r="CD66" i="2"/>
  <c r="CF66" i="2"/>
  <c r="CG66" i="2"/>
  <c r="CH66" i="2"/>
  <c r="CI66" i="2"/>
  <c r="CJ66" i="2"/>
  <c r="CK66" i="2"/>
  <c r="CE67" i="2"/>
  <c r="CD67" i="2"/>
  <c r="CF67" i="2"/>
  <c r="CG67" i="2"/>
  <c r="CH67" i="2"/>
  <c r="CI67" i="2"/>
  <c r="CJ67" i="2"/>
  <c r="CK67" i="2"/>
  <c r="CE68" i="2"/>
  <c r="CD68" i="2"/>
  <c r="CF68" i="2"/>
  <c r="CG68" i="2"/>
  <c r="CH68" i="2"/>
  <c r="CI68" i="2"/>
  <c r="CJ68" i="2"/>
  <c r="CK68" i="2"/>
  <c r="CE69" i="2"/>
  <c r="CD69" i="2"/>
  <c r="CF69" i="2"/>
  <c r="CG69" i="2"/>
  <c r="CH69" i="2"/>
  <c r="CI69" i="2"/>
  <c r="CJ69" i="2"/>
  <c r="CK69" i="2"/>
  <c r="CE70" i="2"/>
  <c r="CD70" i="2"/>
  <c r="CF70" i="2"/>
  <c r="CG70" i="2"/>
  <c r="CH70" i="2"/>
  <c r="CI70" i="2"/>
  <c r="CJ70" i="2"/>
  <c r="CK70" i="2"/>
  <c r="CE71" i="2"/>
  <c r="CD71" i="2"/>
  <c r="CF71" i="2"/>
  <c r="CG71" i="2"/>
  <c r="CH71" i="2"/>
  <c r="CI71" i="2"/>
  <c r="CJ71" i="2"/>
  <c r="CK71" i="2"/>
  <c r="CE72" i="2"/>
  <c r="CD72" i="2"/>
  <c r="CF72" i="2"/>
  <c r="CG72" i="2"/>
  <c r="CH72" i="2"/>
  <c r="CI72" i="2"/>
  <c r="CJ72" i="2"/>
  <c r="CK72" i="2"/>
  <c r="CE73" i="2"/>
  <c r="CD73" i="2"/>
  <c r="CF73" i="2"/>
  <c r="CG73" i="2"/>
  <c r="CH73" i="2"/>
  <c r="CI73" i="2"/>
  <c r="CJ73" i="2"/>
  <c r="CK73" i="2"/>
  <c r="CE74" i="2"/>
  <c r="CD74" i="2"/>
  <c r="CF74" i="2"/>
  <c r="CG74" i="2"/>
  <c r="CH74" i="2"/>
  <c r="CI74" i="2"/>
  <c r="CJ74" i="2"/>
  <c r="CK74" i="2"/>
  <c r="CE75" i="2"/>
  <c r="CD75" i="2"/>
  <c r="CF75" i="2"/>
  <c r="CG75" i="2"/>
  <c r="CH75" i="2"/>
  <c r="CI75" i="2"/>
  <c r="CJ75" i="2"/>
  <c r="CK75" i="2"/>
  <c r="CE76" i="2"/>
  <c r="CD76" i="2"/>
  <c r="CF76" i="2"/>
  <c r="CG76" i="2"/>
  <c r="CH76" i="2"/>
  <c r="CI76" i="2"/>
  <c r="CJ76" i="2"/>
  <c r="CK76" i="2"/>
  <c r="CE77" i="2"/>
  <c r="CD77" i="2"/>
  <c r="CF77" i="2"/>
  <c r="CG77" i="2"/>
  <c r="CH77" i="2"/>
  <c r="CI77" i="2"/>
  <c r="CJ77" i="2"/>
  <c r="CK77" i="2"/>
  <c r="CE78" i="2"/>
  <c r="CD78" i="2"/>
  <c r="CF78" i="2"/>
  <c r="CG78" i="2"/>
  <c r="CH78" i="2"/>
  <c r="CI78" i="2"/>
  <c r="CJ78" i="2"/>
  <c r="CK78" i="2"/>
  <c r="CE79" i="2"/>
  <c r="CD79" i="2"/>
  <c r="CF79" i="2"/>
  <c r="CG79" i="2"/>
  <c r="CH79" i="2"/>
  <c r="CI79" i="2"/>
  <c r="CJ79" i="2"/>
  <c r="CK79" i="2"/>
  <c r="CE80" i="2"/>
  <c r="CD80" i="2"/>
  <c r="CF80" i="2"/>
  <c r="CG80" i="2"/>
  <c r="CH80" i="2"/>
  <c r="CI80" i="2"/>
  <c r="CJ80" i="2"/>
  <c r="CK80" i="2"/>
  <c r="CE81" i="2"/>
  <c r="CD81" i="2"/>
  <c r="CF81" i="2"/>
  <c r="CG81" i="2"/>
  <c r="CH81" i="2"/>
  <c r="CI81" i="2"/>
  <c r="CJ81" i="2"/>
  <c r="CK81" i="2"/>
  <c r="CE82" i="2"/>
  <c r="CD82" i="2"/>
  <c r="CF82" i="2"/>
  <c r="CG82" i="2"/>
  <c r="CH82" i="2"/>
  <c r="CI82" i="2"/>
  <c r="CJ82" i="2"/>
  <c r="CK82" i="2"/>
  <c r="CE83" i="2"/>
  <c r="CD83" i="2"/>
  <c r="CF83" i="2"/>
  <c r="CG83" i="2"/>
  <c r="CH83" i="2"/>
  <c r="CI83" i="2"/>
  <c r="CJ83" i="2"/>
  <c r="CK83" i="2"/>
  <c r="CE84" i="2"/>
  <c r="CD84" i="2"/>
  <c r="CF84" i="2"/>
  <c r="CG84" i="2"/>
  <c r="CH84" i="2"/>
  <c r="CI84" i="2"/>
  <c r="CJ84" i="2"/>
  <c r="CK84" i="2"/>
  <c r="CE85" i="2"/>
  <c r="CD85" i="2"/>
  <c r="CF85" i="2"/>
  <c r="CG85" i="2"/>
  <c r="CH85" i="2"/>
  <c r="CI85" i="2"/>
  <c r="CJ85" i="2"/>
  <c r="CK85" i="2"/>
  <c r="CE86" i="2"/>
  <c r="CD86" i="2"/>
  <c r="CF86" i="2"/>
  <c r="CG86" i="2"/>
  <c r="CH86" i="2"/>
  <c r="CI86" i="2"/>
  <c r="CJ86" i="2"/>
  <c r="CK86" i="2"/>
  <c r="CE87" i="2"/>
  <c r="CD87" i="2"/>
  <c r="CF87" i="2"/>
  <c r="CG87" i="2"/>
  <c r="CH87" i="2"/>
  <c r="CI87" i="2"/>
  <c r="CJ87" i="2"/>
  <c r="CK87" i="2"/>
  <c r="CE88" i="2"/>
  <c r="CD88" i="2"/>
  <c r="CF88" i="2"/>
  <c r="CG88" i="2"/>
  <c r="CH88" i="2"/>
  <c r="CI88" i="2"/>
  <c r="CJ88" i="2"/>
  <c r="CK88" i="2"/>
  <c r="CE89" i="2"/>
  <c r="CD89" i="2"/>
  <c r="CF89" i="2"/>
  <c r="CG89" i="2"/>
  <c r="CH89" i="2"/>
  <c r="CI89" i="2"/>
  <c r="CJ89" i="2"/>
  <c r="CK89" i="2"/>
  <c r="CE90" i="2"/>
  <c r="CD90" i="2"/>
  <c r="CF90" i="2"/>
  <c r="CG90" i="2"/>
  <c r="CH90" i="2"/>
  <c r="CI90" i="2"/>
  <c r="CJ90" i="2"/>
  <c r="CK90" i="2"/>
  <c r="CE91" i="2"/>
  <c r="CD91" i="2"/>
  <c r="CF91" i="2"/>
  <c r="CG91" i="2"/>
  <c r="CH91" i="2"/>
  <c r="CI91" i="2"/>
  <c r="CJ91" i="2"/>
  <c r="CK91" i="2"/>
  <c r="CE92" i="2"/>
  <c r="CD92" i="2"/>
  <c r="CF92" i="2"/>
  <c r="CG92" i="2"/>
  <c r="CH92" i="2"/>
  <c r="CI92" i="2"/>
  <c r="CJ92" i="2"/>
  <c r="CK92" i="2"/>
  <c r="CE93" i="2"/>
  <c r="CD93" i="2"/>
  <c r="CF93" i="2"/>
  <c r="CG93" i="2"/>
  <c r="CH93" i="2"/>
  <c r="CI93" i="2"/>
  <c r="CJ93" i="2"/>
  <c r="CK93" i="2"/>
  <c r="CE94" i="2"/>
  <c r="CD94" i="2"/>
  <c r="CF94" i="2"/>
  <c r="CG94" i="2"/>
  <c r="CH94" i="2"/>
  <c r="CI94" i="2"/>
  <c r="CJ94" i="2"/>
  <c r="CK94" i="2"/>
  <c r="CE95" i="2"/>
  <c r="CD95" i="2"/>
  <c r="CF95" i="2"/>
  <c r="CG95" i="2"/>
  <c r="CH95" i="2"/>
  <c r="CI95" i="2"/>
  <c r="CJ95" i="2"/>
  <c r="CK95" i="2"/>
  <c r="CE96" i="2"/>
  <c r="CD96" i="2"/>
  <c r="CF96" i="2"/>
  <c r="CG96" i="2"/>
  <c r="CH96" i="2"/>
  <c r="CI96" i="2"/>
  <c r="CJ96" i="2"/>
  <c r="CK96" i="2"/>
  <c r="CE97" i="2"/>
  <c r="CD97" i="2"/>
  <c r="CF97" i="2"/>
  <c r="CG97" i="2"/>
  <c r="CH97" i="2"/>
  <c r="CI97" i="2"/>
  <c r="CJ97" i="2"/>
  <c r="CK97" i="2"/>
  <c r="CE98" i="2"/>
  <c r="CD98" i="2"/>
  <c r="CF98" i="2"/>
  <c r="CG98" i="2"/>
  <c r="CH98" i="2"/>
  <c r="CI98" i="2"/>
  <c r="CJ98" i="2"/>
  <c r="CK98" i="2"/>
  <c r="CE99" i="2"/>
  <c r="CD99" i="2"/>
  <c r="CF99" i="2"/>
  <c r="CG99" i="2"/>
  <c r="CH99" i="2"/>
  <c r="CI99" i="2"/>
  <c r="CJ99" i="2"/>
  <c r="CK99" i="2"/>
  <c r="CE100" i="2"/>
  <c r="CD100" i="2"/>
  <c r="CF100" i="2"/>
  <c r="CG100" i="2"/>
  <c r="CH100" i="2"/>
  <c r="CI100" i="2"/>
  <c r="CJ100" i="2"/>
  <c r="CK100" i="2"/>
  <c r="CE101" i="2"/>
  <c r="CD101" i="2"/>
  <c r="CF101" i="2"/>
  <c r="CG101" i="2"/>
  <c r="CH101" i="2"/>
  <c r="CI101" i="2"/>
  <c r="CJ101" i="2"/>
  <c r="CK101" i="2"/>
  <c r="CE102" i="2"/>
  <c r="CD102" i="2"/>
  <c r="CF102" i="2"/>
  <c r="CG102" i="2"/>
  <c r="CH102" i="2"/>
  <c r="CI102" i="2"/>
  <c r="CJ102" i="2"/>
  <c r="CK102" i="2"/>
  <c r="CE103" i="2"/>
  <c r="CD103" i="2"/>
  <c r="CF103" i="2"/>
  <c r="CG103" i="2"/>
  <c r="CH103" i="2"/>
  <c r="CI103" i="2"/>
  <c r="CJ103" i="2"/>
  <c r="CK103" i="2"/>
  <c r="CE104" i="2"/>
  <c r="CD104" i="2"/>
  <c r="CF104" i="2"/>
  <c r="CG104" i="2"/>
  <c r="CH104" i="2"/>
  <c r="CI104" i="2"/>
  <c r="CJ104" i="2"/>
  <c r="CK104" i="2"/>
  <c r="CE105" i="2"/>
  <c r="CD105" i="2"/>
  <c r="CF105" i="2"/>
  <c r="CG105" i="2"/>
  <c r="CH105" i="2"/>
  <c r="CI105" i="2"/>
  <c r="CJ105" i="2"/>
  <c r="CK105" i="2"/>
  <c r="CE106" i="2"/>
  <c r="CD106" i="2"/>
  <c r="CF106" i="2"/>
  <c r="CG106" i="2"/>
  <c r="CH106" i="2"/>
  <c r="CI106" i="2"/>
  <c r="CJ106" i="2"/>
  <c r="CK106" i="2"/>
  <c r="CE107" i="2"/>
  <c r="CD107" i="2"/>
  <c r="CF107" i="2"/>
  <c r="CG107" i="2"/>
  <c r="CH107" i="2"/>
  <c r="CI107" i="2"/>
  <c r="CJ107" i="2"/>
  <c r="CK107" i="2"/>
  <c r="CE108" i="2"/>
  <c r="CD108" i="2"/>
  <c r="CF108" i="2"/>
  <c r="CG108" i="2"/>
  <c r="CH108" i="2"/>
  <c r="CI108" i="2"/>
  <c r="CJ108" i="2"/>
  <c r="CK108" i="2"/>
  <c r="CE109" i="2"/>
  <c r="CD109" i="2"/>
  <c r="CF109" i="2"/>
  <c r="CG109" i="2"/>
  <c r="CH109" i="2"/>
  <c r="CI109" i="2"/>
  <c r="CJ109" i="2"/>
  <c r="CK109" i="2"/>
  <c r="CE110" i="2"/>
  <c r="CD110" i="2"/>
  <c r="CF110" i="2"/>
  <c r="CG110" i="2"/>
  <c r="CH110" i="2"/>
  <c r="CI110" i="2"/>
  <c r="CJ110" i="2"/>
  <c r="CK110" i="2"/>
  <c r="CE111" i="2"/>
  <c r="CD111" i="2"/>
  <c r="CF111" i="2"/>
  <c r="CG111" i="2"/>
  <c r="CH111" i="2"/>
  <c r="CI111" i="2"/>
  <c r="CJ111" i="2"/>
  <c r="CK111" i="2"/>
  <c r="CE112" i="2"/>
  <c r="CD112" i="2"/>
  <c r="CF112" i="2"/>
  <c r="CG112" i="2"/>
  <c r="CH112" i="2"/>
  <c r="CI112" i="2"/>
  <c r="CJ112" i="2"/>
  <c r="CK112" i="2"/>
  <c r="CE113" i="2"/>
  <c r="CD113" i="2"/>
  <c r="CF113" i="2"/>
  <c r="CG113" i="2"/>
  <c r="CH113" i="2"/>
  <c r="CI113" i="2"/>
  <c r="CJ113" i="2"/>
  <c r="CK113" i="2"/>
  <c r="CE114" i="2"/>
  <c r="CD114" i="2"/>
  <c r="CF114" i="2"/>
  <c r="CG114" i="2"/>
  <c r="CH114" i="2"/>
  <c r="CI114" i="2"/>
  <c r="CJ114" i="2"/>
  <c r="CK114" i="2"/>
  <c r="CE115" i="2"/>
  <c r="CD115" i="2"/>
  <c r="CF115" i="2"/>
  <c r="CG115" i="2"/>
  <c r="CH115" i="2"/>
  <c r="CI115" i="2"/>
  <c r="CJ115" i="2"/>
  <c r="CK115" i="2"/>
  <c r="CE116" i="2"/>
  <c r="CD116" i="2"/>
  <c r="CF116" i="2"/>
  <c r="CG116" i="2"/>
  <c r="CH116" i="2"/>
  <c r="CI116" i="2"/>
  <c r="CJ116" i="2"/>
  <c r="CK116" i="2"/>
  <c r="CE117" i="2"/>
  <c r="CD117" i="2"/>
  <c r="CF117" i="2"/>
  <c r="CG117" i="2"/>
  <c r="CH117" i="2"/>
  <c r="CI117" i="2"/>
  <c r="CJ117" i="2"/>
  <c r="CK117" i="2"/>
  <c r="CE118" i="2"/>
  <c r="CD118" i="2"/>
  <c r="CF118" i="2"/>
  <c r="CG118" i="2"/>
  <c r="CH118" i="2"/>
  <c r="CI118" i="2"/>
  <c r="CJ118" i="2"/>
  <c r="CK118" i="2"/>
  <c r="CE119" i="2"/>
  <c r="CD119" i="2"/>
  <c r="CF119" i="2"/>
  <c r="CG119" i="2"/>
  <c r="CH119" i="2"/>
  <c r="CI119" i="2"/>
  <c r="CJ119" i="2"/>
  <c r="CK119" i="2"/>
  <c r="CE120" i="2"/>
  <c r="CD120" i="2"/>
  <c r="CF120" i="2"/>
  <c r="CG120" i="2"/>
  <c r="CH120" i="2"/>
  <c r="CI120" i="2"/>
  <c r="CJ120" i="2"/>
  <c r="CK120" i="2"/>
  <c r="CE121" i="2"/>
  <c r="CD121" i="2"/>
  <c r="CF121" i="2"/>
  <c r="CG121" i="2"/>
  <c r="CH121" i="2"/>
  <c r="CI121" i="2"/>
  <c r="CJ121" i="2"/>
  <c r="CK121" i="2"/>
  <c r="CE122" i="2"/>
  <c r="CD122" i="2"/>
  <c r="CF122" i="2"/>
  <c r="CG122" i="2"/>
  <c r="CH122" i="2"/>
  <c r="CI122" i="2"/>
  <c r="CJ122" i="2"/>
  <c r="CK122" i="2"/>
  <c r="CE123" i="2"/>
  <c r="CD123" i="2"/>
  <c r="CF123" i="2"/>
  <c r="CG123" i="2"/>
  <c r="CH123" i="2"/>
  <c r="CI123" i="2"/>
  <c r="CJ123" i="2"/>
  <c r="CK123" i="2"/>
  <c r="CE124" i="2"/>
  <c r="CD124" i="2"/>
  <c r="CF124" i="2"/>
  <c r="CG124" i="2"/>
  <c r="CH124" i="2"/>
  <c r="CI124" i="2"/>
  <c r="CJ124" i="2"/>
  <c r="CK124" i="2"/>
  <c r="CE125" i="2"/>
  <c r="CD125" i="2"/>
  <c r="CF125" i="2"/>
  <c r="CG125" i="2"/>
  <c r="CH125" i="2"/>
  <c r="CI125" i="2"/>
  <c r="CJ125" i="2"/>
  <c r="CK125" i="2"/>
  <c r="CE126" i="2"/>
  <c r="CD126" i="2"/>
  <c r="CF126" i="2"/>
  <c r="CG126" i="2"/>
  <c r="CH126" i="2"/>
  <c r="CI126" i="2"/>
  <c r="CJ126" i="2"/>
  <c r="CK126" i="2"/>
  <c r="CE127" i="2"/>
  <c r="CD127" i="2"/>
  <c r="CF127" i="2"/>
  <c r="CG127" i="2"/>
  <c r="CH127" i="2"/>
  <c r="CI127" i="2"/>
  <c r="CJ127" i="2"/>
  <c r="CK127" i="2"/>
  <c r="CE128" i="2"/>
  <c r="CD128" i="2"/>
  <c r="CF128" i="2"/>
  <c r="CG128" i="2"/>
  <c r="CH128" i="2"/>
  <c r="CI128" i="2"/>
  <c r="CJ128" i="2"/>
  <c r="CK128" i="2"/>
  <c r="CE129" i="2"/>
  <c r="CD129" i="2"/>
  <c r="CF129" i="2"/>
  <c r="CG129" i="2"/>
  <c r="CH129" i="2"/>
  <c r="CI129" i="2"/>
  <c r="CJ129" i="2"/>
  <c r="CK129" i="2"/>
  <c r="CE130" i="2"/>
  <c r="CD130" i="2"/>
  <c r="CF130" i="2"/>
  <c r="CG130" i="2"/>
  <c r="CH130" i="2"/>
  <c r="CI130" i="2"/>
  <c r="CJ130" i="2"/>
  <c r="CK130" i="2"/>
  <c r="CE131" i="2"/>
  <c r="CD131" i="2"/>
  <c r="CF131" i="2"/>
  <c r="CG131" i="2"/>
  <c r="CH131" i="2"/>
  <c r="CI131" i="2"/>
  <c r="CJ131" i="2"/>
  <c r="CK131" i="2"/>
  <c r="CE132" i="2"/>
  <c r="CD132" i="2"/>
  <c r="CF132" i="2"/>
  <c r="CG132" i="2"/>
  <c r="CH132" i="2"/>
  <c r="CI132" i="2"/>
  <c r="CJ132" i="2"/>
  <c r="CK132" i="2"/>
  <c r="CE133" i="2"/>
  <c r="CD133" i="2"/>
  <c r="CF133" i="2"/>
  <c r="CG133" i="2"/>
  <c r="CH133" i="2"/>
  <c r="CI133" i="2"/>
  <c r="CJ133" i="2"/>
  <c r="CK133" i="2"/>
  <c r="CE134" i="2"/>
  <c r="CD134" i="2"/>
  <c r="CF134" i="2"/>
  <c r="CG134" i="2"/>
  <c r="CH134" i="2"/>
  <c r="CI134" i="2"/>
  <c r="CJ134" i="2"/>
  <c r="CK134" i="2"/>
  <c r="CE135" i="2"/>
  <c r="CD135" i="2"/>
  <c r="CF135" i="2"/>
  <c r="CG135" i="2"/>
  <c r="CH135" i="2"/>
  <c r="CI135" i="2"/>
  <c r="CJ135" i="2"/>
  <c r="CK135" i="2"/>
  <c r="CE136" i="2"/>
  <c r="CD136" i="2"/>
  <c r="CF136" i="2"/>
  <c r="CG136" i="2"/>
  <c r="CH136" i="2"/>
  <c r="CI136" i="2"/>
  <c r="CJ136" i="2"/>
  <c r="CK136" i="2"/>
  <c r="CE137" i="2"/>
  <c r="CD137" i="2"/>
  <c r="CF137" i="2"/>
  <c r="CG137" i="2"/>
  <c r="CH137" i="2"/>
  <c r="CI137" i="2"/>
  <c r="CJ137" i="2"/>
  <c r="CK137" i="2"/>
  <c r="CE138" i="2"/>
  <c r="CD138" i="2"/>
  <c r="CF138" i="2"/>
  <c r="CG138" i="2"/>
  <c r="CH138" i="2"/>
  <c r="CI138" i="2"/>
  <c r="CJ138" i="2"/>
  <c r="CK138" i="2"/>
  <c r="CE139" i="2"/>
  <c r="CD139" i="2"/>
  <c r="CF139" i="2"/>
  <c r="CG139" i="2"/>
  <c r="CH139" i="2"/>
  <c r="CI139" i="2"/>
  <c r="CJ139" i="2"/>
  <c r="CK139" i="2"/>
  <c r="CE140" i="2"/>
  <c r="CD140" i="2"/>
  <c r="CF140" i="2"/>
  <c r="CG140" i="2"/>
  <c r="CH140" i="2"/>
  <c r="CI140" i="2"/>
  <c r="CJ140" i="2"/>
  <c r="CK140" i="2"/>
  <c r="CE141" i="2"/>
  <c r="CD141" i="2"/>
  <c r="CF141" i="2"/>
  <c r="CG141" i="2"/>
  <c r="CH141" i="2"/>
  <c r="CI141" i="2"/>
  <c r="CJ141" i="2"/>
  <c r="CK141" i="2"/>
  <c r="CE142" i="2"/>
  <c r="CD142" i="2"/>
  <c r="CF142" i="2"/>
  <c r="CG142" i="2"/>
  <c r="CH142" i="2"/>
  <c r="CI142" i="2"/>
  <c r="CJ142" i="2"/>
  <c r="CK142" i="2"/>
  <c r="CE143" i="2"/>
  <c r="CD143" i="2"/>
  <c r="CF143" i="2"/>
  <c r="CG143" i="2"/>
  <c r="CH143" i="2"/>
  <c r="CI143" i="2"/>
  <c r="CJ143" i="2"/>
  <c r="CK143" i="2"/>
  <c r="CE144" i="2"/>
  <c r="CD144" i="2"/>
  <c r="CF144" i="2"/>
  <c r="CG144" i="2"/>
  <c r="CH144" i="2"/>
  <c r="CI144" i="2"/>
  <c r="CJ144" i="2"/>
  <c r="CK144" i="2"/>
  <c r="CE145" i="2"/>
  <c r="CD145" i="2"/>
  <c r="CF145" i="2"/>
  <c r="CG145" i="2"/>
  <c r="CH145" i="2"/>
  <c r="CI145" i="2"/>
  <c r="CJ145" i="2"/>
  <c r="CK145" i="2"/>
  <c r="CE146" i="2"/>
  <c r="CD146" i="2"/>
  <c r="CF146" i="2"/>
  <c r="CG146" i="2"/>
  <c r="CH146" i="2"/>
  <c r="CI146" i="2"/>
  <c r="CJ146" i="2"/>
  <c r="CK146" i="2"/>
  <c r="CE147" i="2"/>
  <c r="CD147" i="2"/>
  <c r="CF147" i="2"/>
  <c r="CG147" i="2"/>
  <c r="CH147" i="2"/>
  <c r="CI147" i="2"/>
  <c r="CJ147" i="2"/>
  <c r="CK147" i="2"/>
  <c r="CE148" i="2"/>
  <c r="CD148" i="2"/>
  <c r="CF148" i="2"/>
  <c r="CG148" i="2"/>
  <c r="CH148" i="2"/>
  <c r="CI148" i="2"/>
  <c r="CJ148" i="2"/>
  <c r="CK148" i="2"/>
  <c r="CE149" i="2"/>
  <c r="CD149" i="2"/>
  <c r="CF149" i="2"/>
  <c r="CG149" i="2"/>
  <c r="CH149" i="2"/>
  <c r="CI149" i="2"/>
  <c r="CJ149" i="2"/>
  <c r="CK149" i="2"/>
  <c r="CE150" i="2"/>
  <c r="CD150" i="2"/>
  <c r="CF150" i="2"/>
  <c r="CG150" i="2"/>
  <c r="CH150" i="2"/>
  <c r="CI150" i="2"/>
  <c r="CJ150" i="2"/>
  <c r="CK150" i="2"/>
  <c r="CE151" i="2"/>
  <c r="CD151" i="2"/>
  <c r="CF151" i="2"/>
  <c r="CG151" i="2"/>
  <c r="CH151" i="2"/>
  <c r="CI151" i="2"/>
  <c r="CJ151" i="2"/>
  <c r="CK151" i="2"/>
  <c r="CE152" i="2"/>
  <c r="CD152" i="2"/>
  <c r="CF152" i="2"/>
  <c r="CG152" i="2"/>
  <c r="CH152" i="2"/>
  <c r="CI152" i="2"/>
  <c r="CJ152" i="2"/>
  <c r="CK152" i="2"/>
  <c r="CE153" i="2"/>
  <c r="CD153" i="2"/>
  <c r="CF153" i="2"/>
  <c r="CG153" i="2"/>
  <c r="CH153" i="2"/>
  <c r="CI153" i="2"/>
  <c r="CJ153" i="2"/>
  <c r="CK153" i="2"/>
  <c r="CE154" i="2"/>
  <c r="CD154" i="2"/>
  <c r="CF154" i="2"/>
  <c r="CG154" i="2"/>
  <c r="CH154" i="2"/>
  <c r="CI154" i="2"/>
  <c r="CJ154" i="2"/>
  <c r="CK154" i="2"/>
  <c r="CE155" i="2"/>
  <c r="CD155" i="2"/>
  <c r="CF155" i="2"/>
  <c r="CG155" i="2"/>
  <c r="CH155" i="2"/>
  <c r="CI155" i="2"/>
  <c r="CJ155" i="2"/>
  <c r="CK155" i="2"/>
  <c r="CE156" i="2"/>
  <c r="CD156" i="2"/>
  <c r="CF156" i="2"/>
  <c r="CG156" i="2"/>
  <c r="CH156" i="2"/>
  <c r="CI156" i="2"/>
  <c r="CJ156" i="2"/>
  <c r="CK156" i="2"/>
  <c r="CE157" i="2"/>
  <c r="CD157" i="2"/>
  <c r="CF157" i="2"/>
  <c r="CG157" i="2"/>
  <c r="CH157" i="2"/>
  <c r="CI157" i="2"/>
  <c r="CJ157" i="2"/>
  <c r="CK157" i="2"/>
  <c r="CE158" i="2"/>
  <c r="CD158" i="2"/>
  <c r="CF158" i="2"/>
  <c r="CG158" i="2"/>
  <c r="CH158" i="2"/>
  <c r="CI158" i="2"/>
  <c r="CJ158" i="2"/>
  <c r="CK158" i="2"/>
  <c r="CE159" i="2"/>
  <c r="CD159" i="2"/>
  <c r="CF159" i="2"/>
  <c r="CG159" i="2"/>
  <c r="CH159" i="2"/>
  <c r="CI159" i="2"/>
  <c r="CJ159" i="2"/>
  <c r="CK159" i="2"/>
  <c r="CE160" i="2"/>
  <c r="CD160" i="2"/>
  <c r="CF160" i="2"/>
  <c r="CG160" i="2"/>
  <c r="CH160" i="2"/>
  <c r="CI160" i="2"/>
  <c r="CJ160" i="2"/>
  <c r="CK160" i="2"/>
  <c r="CE161" i="2"/>
  <c r="CD161" i="2"/>
  <c r="CF161" i="2"/>
  <c r="CG161" i="2"/>
  <c r="CH161" i="2"/>
  <c r="CI161" i="2"/>
  <c r="CJ161" i="2"/>
  <c r="CK161" i="2"/>
  <c r="CE162" i="2"/>
  <c r="CD162" i="2"/>
  <c r="CF162" i="2"/>
  <c r="CG162" i="2"/>
  <c r="CH162" i="2"/>
  <c r="CI162" i="2"/>
  <c r="CJ162" i="2"/>
  <c r="CK162" i="2"/>
  <c r="CE163" i="2"/>
  <c r="CD163" i="2"/>
  <c r="CF163" i="2"/>
  <c r="CG163" i="2"/>
  <c r="CH163" i="2"/>
  <c r="CI163" i="2"/>
  <c r="CJ163" i="2"/>
  <c r="CK163" i="2"/>
  <c r="CE164" i="2"/>
  <c r="CD164" i="2"/>
  <c r="CF164" i="2"/>
  <c r="CG164" i="2"/>
  <c r="CH164" i="2"/>
  <c r="CI164" i="2"/>
  <c r="CJ164" i="2"/>
  <c r="CK164" i="2"/>
  <c r="CE165" i="2"/>
  <c r="CD165" i="2"/>
  <c r="CF165" i="2"/>
  <c r="CG165" i="2"/>
  <c r="CH165" i="2"/>
  <c r="CI165" i="2"/>
  <c r="CJ165" i="2"/>
  <c r="CK165" i="2"/>
  <c r="CE166" i="2"/>
  <c r="CD166" i="2"/>
  <c r="CF166" i="2"/>
  <c r="CG166" i="2"/>
  <c r="CH166" i="2"/>
  <c r="CI166" i="2"/>
  <c r="CJ166" i="2"/>
  <c r="CK166" i="2"/>
  <c r="CE167" i="2"/>
  <c r="CD167" i="2"/>
  <c r="CF167" i="2"/>
  <c r="CG167" i="2"/>
  <c r="CH167" i="2"/>
  <c r="CI167" i="2"/>
  <c r="CJ167" i="2"/>
  <c r="CK167" i="2"/>
  <c r="CE168" i="2"/>
  <c r="CD168" i="2"/>
  <c r="CF168" i="2"/>
  <c r="CG168" i="2"/>
  <c r="CH168" i="2"/>
  <c r="CI168" i="2"/>
  <c r="CJ168" i="2"/>
  <c r="CK168" i="2"/>
  <c r="CE169" i="2"/>
  <c r="CD169" i="2"/>
  <c r="CF169" i="2"/>
  <c r="CG169" i="2"/>
  <c r="CH169" i="2"/>
  <c r="CI169" i="2"/>
  <c r="CJ169" i="2"/>
  <c r="CK169" i="2"/>
  <c r="CE170" i="2"/>
  <c r="CD170" i="2"/>
  <c r="CF170" i="2"/>
  <c r="CG170" i="2"/>
  <c r="CH170" i="2"/>
  <c r="CI170" i="2"/>
  <c r="CJ170" i="2"/>
  <c r="CK170" i="2"/>
  <c r="CE171" i="2"/>
  <c r="CD171" i="2"/>
  <c r="CF171" i="2"/>
  <c r="CG171" i="2"/>
  <c r="CH171" i="2"/>
  <c r="CI171" i="2"/>
  <c r="CJ171" i="2"/>
  <c r="CK171" i="2"/>
  <c r="CE172" i="2"/>
  <c r="CD172" i="2"/>
  <c r="CF172" i="2"/>
  <c r="CG172" i="2"/>
  <c r="CH172" i="2"/>
  <c r="CI172" i="2"/>
  <c r="CJ172" i="2"/>
  <c r="CK172" i="2"/>
  <c r="CE173" i="2"/>
  <c r="CD173" i="2"/>
  <c r="CF173" i="2"/>
  <c r="CG173" i="2"/>
  <c r="CH173" i="2"/>
  <c r="CI173" i="2"/>
  <c r="CJ173" i="2"/>
  <c r="CK173" i="2"/>
  <c r="CE174" i="2"/>
  <c r="CD174" i="2"/>
  <c r="CF174" i="2"/>
  <c r="CG174" i="2"/>
  <c r="CH174" i="2"/>
  <c r="CI174" i="2"/>
  <c r="CJ174" i="2"/>
  <c r="CK174" i="2"/>
  <c r="CE175" i="2"/>
  <c r="CD175" i="2"/>
  <c r="CF175" i="2"/>
  <c r="CG175" i="2"/>
  <c r="CH175" i="2"/>
  <c r="CI175" i="2"/>
  <c r="CJ175" i="2"/>
  <c r="CK175" i="2"/>
  <c r="CE176" i="2"/>
  <c r="CD176" i="2"/>
  <c r="CF176" i="2"/>
  <c r="CG176" i="2"/>
  <c r="CH176" i="2"/>
  <c r="CI176" i="2"/>
  <c r="CJ176" i="2"/>
  <c r="CK176" i="2"/>
  <c r="CE177" i="2"/>
  <c r="CD177" i="2"/>
  <c r="CF177" i="2"/>
  <c r="CG177" i="2"/>
  <c r="CH177" i="2"/>
  <c r="CI177" i="2"/>
  <c r="CJ177" i="2"/>
  <c r="CK177" i="2"/>
  <c r="CE178" i="2"/>
  <c r="CD178" i="2"/>
  <c r="CF178" i="2"/>
  <c r="CG178" i="2"/>
  <c r="CH178" i="2"/>
  <c r="CI178" i="2"/>
  <c r="CJ178" i="2"/>
  <c r="CK178" i="2"/>
  <c r="CE179" i="2"/>
  <c r="CD179" i="2"/>
  <c r="CF179" i="2"/>
  <c r="CG179" i="2"/>
  <c r="CH179" i="2"/>
  <c r="CI179" i="2"/>
  <c r="CJ179" i="2"/>
  <c r="CK179" i="2"/>
  <c r="CE180" i="2"/>
  <c r="CD180" i="2"/>
  <c r="CF180" i="2"/>
  <c r="CG180" i="2"/>
  <c r="CH180" i="2"/>
  <c r="CI180" i="2"/>
  <c r="CJ180" i="2"/>
  <c r="CK180" i="2"/>
  <c r="CE181" i="2"/>
  <c r="CD181" i="2"/>
  <c r="CF181" i="2"/>
  <c r="CG181" i="2"/>
  <c r="CH181" i="2"/>
  <c r="CI181" i="2"/>
  <c r="CJ181" i="2"/>
  <c r="CK181" i="2"/>
  <c r="CE182" i="2"/>
  <c r="CD182" i="2"/>
  <c r="CF182" i="2"/>
  <c r="CG182" i="2"/>
  <c r="CH182" i="2"/>
  <c r="CI182" i="2"/>
  <c r="CJ182" i="2"/>
  <c r="CK182" i="2"/>
  <c r="CE183" i="2"/>
  <c r="CD183" i="2"/>
  <c r="CF183" i="2"/>
  <c r="CG183" i="2"/>
  <c r="CH183" i="2"/>
  <c r="CI183" i="2"/>
  <c r="CJ183" i="2"/>
  <c r="CK183" i="2"/>
  <c r="CE184" i="2"/>
  <c r="CD184" i="2"/>
  <c r="CF184" i="2"/>
  <c r="CG184" i="2"/>
  <c r="CH184" i="2"/>
  <c r="CI184" i="2"/>
  <c r="CJ184" i="2"/>
  <c r="CK184" i="2"/>
  <c r="CE185" i="2"/>
  <c r="CD185" i="2"/>
  <c r="CF185" i="2"/>
  <c r="CG185" i="2"/>
  <c r="CH185" i="2"/>
  <c r="CI185" i="2"/>
  <c r="CJ185" i="2"/>
  <c r="CK185" i="2"/>
  <c r="CE186" i="2"/>
  <c r="CD186" i="2"/>
  <c r="CF186" i="2"/>
  <c r="CG186" i="2"/>
  <c r="CH186" i="2"/>
  <c r="CI186" i="2"/>
  <c r="CJ186" i="2"/>
  <c r="CK186" i="2"/>
  <c r="CE187" i="2"/>
  <c r="CD187" i="2"/>
  <c r="CF187" i="2"/>
  <c r="CG187" i="2"/>
  <c r="CH187" i="2"/>
  <c r="CI187" i="2"/>
  <c r="CJ187" i="2"/>
  <c r="CK187" i="2"/>
  <c r="CE188" i="2"/>
  <c r="CD188" i="2"/>
  <c r="CF188" i="2"/>
  <c r="CG188" i="2"/>
  <c r="CH188" i="2"/>
  <c r="CI188" i="2"/>
  <c r="CJ188" i="2"/>
  <c r="CK188" i="2"/>
  <c r="CE189" i="2"/>
  <c r="CD189" i="2"/>
  <c r="CF189" i="2"/>
  <c r="CG189" i="2"/>
  <c r="CH189" i="2"/>
  <c r="CI189" i="2"/>
  <c r="CJ189" i="2"/>
  <c r="CK189" i="2"/>
  <c r="CE190" i="2"/>
  <c r="CD190" i="2"/>
  <c r="CF190" i="2"/>
  <c r="CG190" i="2"/>
  <c r="CH190" i="2"/>
  <c r="CI190" i="2"/>
  <c r="CJ190" i="2"/>
  <c r="CK190" i="2"/>
  <c r="CE191" i="2"/>
  <c r="CD191" i="2"/>
  <c r="CF191" i="2"/>
  <c r="CG191" i="2"/>
  <c r="CH191" i="2"/>
  <c r="CI191" i="2"/>
  <c r="CJ191" i="2"/>
  <c r="CK191" i="2"/>
  <c r="CE192" i="2"/>
  <c r="CD192" i="2"/>
  <c r="CF192" i="2"/>
  <c r="CG192" i="2"/>
  <c r="CH192" i="2"/>
  <c r="CI192" i="2"/>
  <c r="CJ192" i="2"/>
  <c r="CK192" i="2"/>
  <c r="CE193" i="2"/>
  <c r="CD193" i="2"/>
  <c r="CF193" i="2"/>
  <c r="CG193" i="2"/>
  <c r="CH193" i="2"/>
  <c r="CI193" i="2"/>
  <c r="CJ193" i="2"/>
  <c r="CK193" i="2"/>
  <c r="CE194" i="2"/>
  <c r="CD194" i="2"/>
  <c r="CF194" i="2"/>
  <c r="CG194" i="2"/>
  <c r="CH194" i="2"/>
  <c r="CI194" i="2"/>
  <c r="CJ194" i="2"/>
  <c r="CK194" i="2"/>
  <c r="CE195" i="2"/>
  <c r="CD195" i="2"/>
  <c r="CF195" i="2"/>
  <c r="CG195" i="2"/>
  <c r="CH195" i="2"/>
  <c r="CI195" i="2"/>
  <c r="CJ195" i="2"/>
  <c r="CK195" i="2"/>
  <c r="CE196" i="2"/>
  <c r="CD196" i="2"/>
  <c r="CF196" i="2"/>
  <c r="CG196" i="2"/>
  <c r="CH196" i="2"/>
  <c r="CI196" i="2"/>
  <c r="CJ196" i="2"/>
  <c r="CK196" i="2"/>
  <c r="CE197" i="2"/>
  <c r="CD197" i="2"/>
  <c r="CF197" i="2"/>
  <c r="CG197" i="2"/>
  <c r="CH197" i="2"/>
  <c r="CI197" i="2"/>
  <c r="CJ197" i="2"/>
  <c r="CK197" i="2"/>
  <c r="CE198" i="2"/>
  <c r="CD198" i="2"/>
  <c r="CF198" i="2"/>
  <c r="CG198" i="2"/>
  <c r="CH198" i="2"/>
  <c r="CI198" i="2"/>
  <c r="CJ198" i="2"/>
  <c r="CK198" i="2"/>
  <c r="CE199" i="2"/>
  <c r="CD199" i="2"/>
  <c r="CF199" i="2"/>
  <c r="CG199" i="2"/>
  <c r="CH199" i="2"/>
  <c r="CI199" i="2"/>
  <c r="CJ199" i="2"/>
  <c r="CK199" i="2"/>
  <c r="CE200" i="2"/>
  <c r="CD200" i="2"/>
  <c r="CF200" i="2"/>
  <c r="CG200" i="2"/>
  <c r="CH200" i="2"/>
  <c r="CI200" i="2"/>
  <c r="CJ200" i="2"/>
  <c r="CK200" i="2"/>
  <c r="CE201" i="2"/>
  <c r="CD201" i="2"/>
  <c r="CF201" i="2"/>
  <c r="CG201" i="2"/>
  <c r="CH201" i="2"/>
  <c r="CI201" i="2"/>
  <c r="CJ201" i="2"/>
  <c r="CK201" i="2"/>
  <c r="CE202" i="2"/>
  <c r="CD202" i="2"/>
  <c r="CF202" i="2"/>
  <c r="CG202" i="2"/>
  <c r="CH202" i="2"/>
  <c r="CI202" i="2"/>
  <c r="CJ202" i="2"/>
  <c r="CK202" i="2"/>
  <c r="CE203" i="2"/>
  <c r="CD203" i="2"/>
  <c r="CF203" i="2"/>
  <c r="CG203" i="2"/>
  <c r="CH203" i="2"/>
  <c r="CI203" i="2"/>
  <c r="CJ203" i="2"/>
  <c r="CK203" i="2"/>
  <c r="CE204" i="2"/>
  <c r="CD204" i="2"/>
  <c r="CF204" i="2"/>
  <c r="CG204" i="2"/>
  <c r="CH204" i="2"/>
  <c r="CI204" i="2"/>
  <c r="CJ204" i="2"/>
  <c r="CK204" i="2"/>
  <c r="CE205" i="2"/>
  <c r="CD205" i="2"/>
  <c r="CF205" i="2"/>
  <c r="CG205" i="2"/>
  <c r="CH205" i="2"/>
  <c r="CI205" i="2"/>
  <c r="CJ205" i="2"/>
  <c r="CK205" i="2"/>
  <c r="CE206" i="2"/>
  <c r="CD206" i="2"/>
  <c r="CF206" i="2"/>
  <c r="CG206" i="2"/>
  <c r="CH206" i="2"/>
  <c r="CI206" i="2"/>
  <c r="CJ206" i="2"/>
  <c r="CK206" i="2"/>
  <c r="CE207" i="2"/>
  <c r="CD207" i="2"/>
  <c r="CF207" i="2"/>
  <c r="CG207" i="2"/>
  <c r="CH207" i="2"/>
  <c r="CI207" i="2"/>
  <c r="CJ207" i="2"/>
  <c r="CK207" i="2"/>
  <c r="CE208" i="2"/>
  <c r="CD208" i="2"/>
  <c r="CF208" i="2"/>
  <c r="CG208" i="2"/>
  <c r="CH208" i="2"/>
  <c r="CI208" i="2"/>
  <c r="CJ208" i="2"/>
  <c r="CK208" i="2"/>
  <c r="CE209" i="2"/>
  <c r="CD209" i="2"/>
  <c r="CF209" i="2"/>
  <c r="CG209" i="2"/>
  <c r="CH209" i="2"/>
  <c r="CI209" i="2"/>
  <c r="CJ209" i="2"/>
  <c r="CK209" i="2"/>
  <c r="CE210" i="2"/>
  <c r="CD210" i="2"/>
  <c r="CF210" i="2"/>
  <c r="CG210" i="2"/>
  <c r="CH210" i="2"/>
  <c r="CI210" i="2"/>
  <c r="CJ210" i="2"/>
  <c r="CK210" i="2"/>
  <c r="CE211" i="2"/>
  <c r="CD211" i="2"/>
  <c r="CF211" i="2"/>
  <c r="CG211" i="2"/>
  <c r="CH211" i="2"/>
  <c r="CI211" i="2"/>
  <c r="CJ211" i="2"/>
  <c r="CK211" i="2"/>
  <c r="CE212" i="2"/>
  <c r="CD212" i="2"/>
  <c r="CF212" i="2"/>
  <c r="CG212" i="2"/>
  <c r="CH212" i="2"/>
  <c r="CI212" i="2"/>
  <c r="CJ212" i="2"/>
  <c r="CK212" i="2"/>
  <c r="CE213" i="2"/>
  <c r="CD213" i="2"/>
  <c r="CF213" i="2"/>
  <c r="CG213" i="2"/>
  <c r="CH213" i="2"/>
  <c r="CI213" i="2"/>
  <c r="CJ213" i="2"/>
  <c r="CK213" i="2"/>
  <c r="CE214" i="2"/>
  <c r="CD214" i="2"/>
  <c r="CF214" i="2"/>
  <c r="CG214" i="2"/>
  <c r="CH214" i="2"/>
  <c r="CI214" i="2"/>
  <c r="CJ214" i="2"/>
  <c r="CK214" i="2"/>
  <c r="CE215" i="2"/>
  <c r="CD215" i="2"/>
  <c r="CF215" i="2"/>
  <c r="CG215" i="2"/>
  <c r="CH215" i="2"/>
  <c r="CI215" i="2"/>
  <c r="CJ215" i="2"/>
  <c r="CK215" i="2"/>
  <c r="CE216" i="2"/>
  <c r="CD216" i="2"/>
  <c r="CF216" i="2"/>
  <c r="CG216" i="2"/>
  <c r="CH216" i="2"/>
  <c r="CI216" i="2"/>
  <c r="CJ216" i="2"/>
  <c r="CK216" i="2"/>
  <c r="CE217" i="2"/>
  <c r="CD217" i="2"/>
  <c r="CF217" i="2"/>
  <c r="CG217" i="2"/>
  <c r="CH217" i="2"/>
  <c r="CI217" i="2"/>
  <c r="CJ217" i="2"/>
  <c r="CK217" i="2"/>
  <c r="CK15" i="2"/>
  <c r="CL17" i="2"/>
  <c r="CM17" i="2"/>
  <c r="CL18" i="2"/>
  <c r="CM18" i="2"/>
  <c r="CL19" i="2"/>
  <c r="CM19" i="2"/>
  <c r="CL20" i="2"/>
  <c r="CM20" i="2"/>
  <c r="CL21" i="2"/>
  <c r="CM21" i="2"/>
  <c r="CL22" i="2"/>
  <c r="CM22" i="2"/>
  <c r="CL23" i="2"/>
  <c r="CM23" i="2"/>
  <c r="CL24" i="2"/>
  <c r="CM24" i="2"/>
  <c r="CL25" i="2"/>
  <c r="CM25" i="2"/>
  <c r="CL26" i="2"/>
  <c r="CM26" i="2"/>
  <c r="CL27" i="2"/>
  <c r="CM27" i="2"/>
  <c r="CL28" i="2"/>
  <c r="CM28" i="2"/>
  <c r="CL29" i="2"/>
  <c r="CM29" i="2"/>
  <c r="CL30" i="2"/>
  <c r="CM30" i="2"/>
  <c r="CL31" i="2"/>
  <c r="CM31" i="2"/>
  <c r="CL32" i="2"/>
  <c r="CM32" i="2"/>
  <c r="CL33" i="2"/>
  <c r="CM33" i="2"/>
  <c r="CL34" i="2"/>
  <c r="CM34" i="2"/>
  <c r="CL35" i="2"/>
  <c r="CM35" i="2"/>
  <c r="CL36" i="2"/>
  <c r="CM36" i="2"/>
  <c r="CL37" i="2"/>
  <c r="CM37" i="2"/>
  <c r="CL38" i="2"/>
  <c r="CM38" i="2"/>
  <c r="CL39" i="2"/>
  <c r="CM39" i="2"/>
  <c r="CL40" i="2"/>
  <c r="CM40" i="2"/>
  <c r="CL41" i="2"/>
  <c r="CM41" i="2"/>
  <c r="CL42" i="2"/>
  <c r="CM42" i="2"/>
  <c r="CL43" i="2"/>
  <c r="CM43" i="2"/>
  <c r="CL44" i="2"/>
  <c r="CM44" i="2"/>
  <c r="CL45" i="2"/>
  <c r="CM45" i="2"/>
  <c r="CL46" i="2"/>
  <c r="CM46" i="2"/>
  <c r="CL47" i="2"/>
  <c r="CM47" i="2"/>
  <c r="CL48" i="2"/>
  <c r="CM48" i="2"/>
  <c r="CL49" i="2"/>
  <c r="CM49" i="2"/>
  <c r="CL50" i="2"/>
  <c r="CM50" i="2"/>
  <c r="CL51" i="2"/>
  <c r="CM51" i="2"/>
  <c r="CL52" i="2"/>
  <c r="CM52" i="2"/>
  <c r="CL53" i="2"/>
  <c r="CM53" i="2"/>
  <c r="CL54" i="2"/>
  <c r="CM54" i="2"/>
  <c r="CL55" i="2"/>
  <c r="CM55" i="2"/>
  <c r="CL56" i="2"/>
  <c r="CM56" i="2"/>
  <c r="CL57" i="2"/>
  <c r="CM57" i="2"/>
  <c r="CL58" i="2"/>
  <c r="CM58" i="2"/>
  <c r="CL59" i="2"/>
  <c r="CM59" i="2"/>
  <c r="CL60" i="2"/>
  <c r="CM60" i="2"/>
  <c r="CL61" i="2"/>
  <c r="CM61" i="2"/>
  <c r="CL62" i="2"/>
  <c r="CM62" i="2"/>
  <c r="CL63" i="2"/>
  <c r="CM63" i="2"/>
  <c r="CL64" i="2"/>
  <c r="CM64" i="2"/>
  <c r="CL65" i="2"/>
  <c r="CM65" i="2"/>
  <c r="CL66" i="2"/>
  <c r="CM66" i="2"/>
  <c r="CL67" i="2"/>
  <c r="CM67" i="2"/>
  <c r="CL68" i="2"/>
  <c r="CM68" i="2"/>
  <c r="CL69" i="2"/>
  <c r="CM69" i="2"/>
  <c r="CL70" i="2"/>
  <c r="CM70" i="2"/>
  <c r="CL71" i="2"/>
  <c r="CM71" i="2"/>
  <c r="CL72" i="2"/>
  <c r="CM72" i="2"/>
  <c r="CL73" i="2"/>
  <c r="CM73" i="2"/>
  <c r="CL74" i="2"/>
  <c r="CM74" i="2"/>
  <c r="CL75" i="2"/>
  <c r="CM75" i="2"/>
  <c r="CL76" i="2"/>
  <c r="CM76" i="2"/>
  <c r="CL77" i="2"/>
  <c r="CM77" i="2"/>
  <c r="CL78" i="2"/>
  <c r="CM78" i="2"/>
  <c r="CL79" i="2"/>
  <c r="CM79" i="2"/>
  <c r="CL80" i="2"/>
  <c r="CM80" i="2"/>
  <c r="CL81" i="2"/>
  <c r="CM81" i="2"/>
  <c r="CL82" i="2"/>
  <c r="CM82" i="2"/>
  <c r="CL83" i="2"/>
  <c r="CM83" i="2"/>
  <c r="CL84" i="2"/>
  <c r="CM84" i="2"/>
  <c r="CL85" i="2"/>
  <c r="CM85" i="2"/>
  <c r="CL86" i="2"/>
  <c r="CM86" i="2"/>
  <c r="CL87" i="2"/>
  <c r="CM87" i="2"/>
  <c r="CL88" i="2"/>
  <c r="CM88" i="2"/>
  <c r="CL89" i="2"/>
  <c r="CM89" i="2"/>
  <c r="CL90" i="2"/>
  <c r="CM90" i="2"/>
  <c r="CL91" i="2"/>
  <c r="CM91" i="2"/>
  <c r="CL92" i="2"/>
  <c r="CM92" i="2"/>
  <c r="CL93" i="2"/>
  <c r="CM93" i="2"/>
  <c r="CL94" i="2"/>
  <c r="CM94" i="2"/>
  <c r="CL95" i="2"/>
  <c r="CM95" i="2"/>
  <c r="CL96" i="2"/>
  <c r="CM96" i="2"/>
  <c r="CL97" i="2"/>
  <c r="CM97" i="2"/>
  <c r="CL98" i="2"/>
  <c r="CM98" i="2"/>
  <c r="CL99" i="2"/>
  <c r="CM99" i="2"/>
  <c r="CL100" i="2"/>
  <c r="CM100" i="2"/>
  <c r="CL101" i="2"/>
  <c r="CM101" i="2"/>
  <c r="CL102" i="2"/>
  <c r="CM102" i="2"/>
  <c r="CL103" i="2"/>
  <c r="CM103" i="2"/>
  <c r="CL104" i="2"/>
  <c r="CM104" i="2"/>
  <c r="CL105" i="2"/>
  <c r="CM105" i="2"/>
  <c r="CL106" i="2"/>
  <c r="CM106" i="2"/>
  <c r="CL107" i="2"/>
  <c r="CM107" i="2"/>
  <c r="CL108" i="2"/>
  <c r="CM108" i="2"/>
  <c r="CL109" i="2"/>
  <c r="CM109" i="2"/>
  <c r="CL110" i="2"/>
  <c r="CM110" i="2"/>
  <c r="CL111" i="2"/>
  <c r="CM111" i="2"/>
  <c r="CL112" i="2"/>
  <c r="CM112" i="2"/>
  <c r="CL113" i="2"/>
  <c r="CM113" i="2"/>
  <c r="CL114" i="2"/>
  <c r="CM114" i="2"/>
  <c r="CL115" i="2"/>
  <c r="CM115" i="2"/>
  <c r="CL116" i="2"/>
  <c r="CM116" i="2"/>
  <c r="CL117" i="2"/>
  <c r="CM117" i="2"/>
  <c r="CL118" i="2"/>
  <c r="CM118" i="2"/>
  <c r="CL119" i="2"/>
  <c r="CM119" i="2"/>
  <c r="CL120" i="2"/>
  <c r="CM120" i="2"/>
  <c r="CL121" i="2"/>
  <c r="CM121" i="2"/>
  <c r="CL122" i="2"/>
  <c r="CM122" i="2"/>
  <c r="CL123" i="2"/>
  <c r="CM123" i="2"/>
  <c r="CL124" i="2"/>
  <c r="CM124" i="2"/>
  <c r="CL125" i="2"/>
  <c r="CM125" i="2"/>
  <c r="CL126" i="2"/>
  <c r="CM126" i="2"/>
  <c r="CL127" i="2"/>
  <c r="CM127" i="2"/>
  <c r="CL128" i="2"/>
  <c r="CM128" i="2"/>
  <c r="CL129" i="2"/>
  <c r="CM129" i="2"/>
  <c r="CL130" i="2"/>
  <c r="CM130" i="2"/>
  <c r="CL131" i="2"/>
  <c r="CM131" i="2"/>
  <c r="CL132" i="2"/>
  <c r="CM132" i="2"/>
  <c r="CL133" i="2"/>
  <c r="CM133" i="2"/>
  <c r="CL134" i="2"/>
  <c r="CM134" i="2"/>
  <c r="CL135" i="2"/>
  <c r="CM135" i="2"/>
  <c r="CL136" i="2"/>
  <c r="CM136" i="2"/>
  <c r="CL137" i="2"/>
  <c r="CM137" i="2"/>
  <c r="CL138" i="2"/>
  <c r="CM138" i="2"/>
  <c r="CL139" i="2"/>
  <c r="CM139" i="2"/>
  <c r="CL140" i="2"/>
  <c r="CM140" i="2"/>
  <c r="CL141" i="2"/>
  <c r="CM141" i="2"/>
  <c r="CL142" i="2"/>
  <c r="CM142" i="2"/>
  <c r="CL143" i="2"/>
  <c r="CM143" i="2"/>
  <c r="CL144" i="2"/>
  <c r="CM144" i="2"/>
  <c r="CL145" i="2"/>
  <c r="CM145" i="2"/>
  <c r="CL146" i="2"/>
  <c r="CM146" i="2"/>
  <c r="CL147" i="2"/>
  <c r="CM147" i="2"/>
  <c r="CL148" i="2"/>
  <c r="CM148" i="2"/>
  <c r="CL149" i="2"/>
  <c r="CM149" i="2"/>
  <c r="CL150" i="2"/>
  <c r="CM150" i="2"/>
  <c r="CL151" i="2"/>
  <c r="CM151" i="2"/>
  <c r="CL152" i="2"/>
  <c r="CM152" i="2"/>
  <c r="CL153" i="2"/>
  <c r="CM153" i="2"/>
  <c r="CL154" i="2"/>
  <c r="CM154" i="2"/>
  <c r="CL155" i="2"/>
  <c r="CM155" i="2"/>
  <c r="CL156" i="2"/>
  <c r="CM156" i="2"/>
  <c r="CL157" i="2"/>
  <c r="CM157" i="2"/>
  <c r="CL158" i="2"/>
  <c r="CM158" i="2"/>
  <c r="CL159" i="2"/>
  <c r="CM159" i="2"/>
  <c r="CL160" i="2"/>
  <c r="CM160" i="2"/>
  <c r="CL161" i="2"/>
  <c r="CM161" i="2"/>
  <c r="CL162" i="2"/>
  <c r="CM162" i="2"/>
  <c r="CL163" i="2"/>
  <c r="CM163" i="2"/>
  <c r="CL164" i="2"/>
  <c r="CM164" i="2"/>
  <c r="CL165" i="2"/>
  <c r="CM165" i="2"/>
  <c r="CL166" i="2"/>
  <c r="CM166" i="2"/>
  <c r="CL167" i="2"/>
  <c r="CM167" i="2"/>
  <c r="CL168" i="2"/>
  <c r="CM168" i="2"/>
  <c r="CL169" i="2"/>
  <c r="CM169" i="2"/>
  <c r="CL170" i="2"/>
  <c r="CM170" i="2"/>
  <c r="CL171" i="2"/>
  <c r="CM171" i="2"/>
  <c r="CL172" i="2"/>
  <c r="CM172" i="2"/>
  <c r="CL173" i="2"/>
  <c r="CM173" i="2"/>
  <c r="CL174" i="2"/>
  <c r="CM174" i="2"/>
  <c r="CL175" i="2"/>
  <c r="CM175" i="2"/>
  <c r="CL176" i="2"/>
  <c r="CM176" i="2"/>
  <c r="CL177" i="2"/>
  <c r="CM177" i="2"/>
  <c r="CL178" i="2"/>
  <c r="CM178" i="2"/>
  <c r="CL179" i="2"/>
  <c r="CM179" i="2"/>
  <c r="CL180" i="2"/>
  <c r="CM180" i="2"/>
  <c r="CL181" i="2"/>
  <c r="CM181" i="2"/>
  <c r="CL182" i="2"/>
  <c r="CM182" i="2"/>
  <c r="CL183" i="2"/>
  <c r="CM183" i="2"/>
  <c r="CL184" i="2"/>
  <c r="CM184" i="2"/>
  <c r="CL185" i="2"/>
  <c r="CM185" i="2"/>
  <c r="CL186" i="2"/>
  <c r="CM186" i="2"/>
  <c r="CL187" i="2"/>
  <c r="CM187" i="2"/>
  <c r="CL188" i="2"/>
  <c r="CM188" i="2"/>
  <c r="CL189" i="2"/>
  <c r="CM189" i="2"/>
  <c r="CL190" i="2"/>
  <c r="CM190" i="2"/>
  <c r="CL191" i="2"/>
  <c r="CM191" i="2"/>
  <c r="CL192" i="2"/>
  <c r="CM192" i="2"/>
  <c r="CL193" i="2"/>
  <c r="CM193" i="2"/>
  <c r="CL194" i="2"/>
  <c r="CM194" i="2"/>
  <c r="CL195" i="2"/>
  <c r="CM195" i="2"/>
  <c r="CL196" i="2"/>
  <c r="CM196" i="2"/>
  <c r="CL197" i="2"/>
  <c r="CM197" i="2"/>
  <c r="CL198" i="2"/>
  <c r="CM198" i="2"/>
  <c r="CL199" i="2"/>
  <c r="CM199" i="2"/>
  <c r="CL200" i="2"/>
  <c r="CM200" i="2"/>
  <c r="CL201" i="2"/>
  <c r="CM201" i="2"/>
  <c r="CL202" i="2"/>
  <c r="CM202" i="2"/>
  <c r="CL203" i="2"/>
  <c r="CM203" i="2"/>
  <c r="CL204" i="2"/>
  <c r="CM204" i="2"/>
  <c r="CL205" i="2"/>
  <c r="CM205" i="2"/>
  <c r="CL206" i="2"/>
  <c r="CM206" i="2"/>
  <c r="CL207" i="2"/>
  <c r="CM207" i="2"/>
  <c r="CL208" i="2"/>
  <c r="CM208" i="2"/>
  <c r="CL209" i="2"/>
  <c r="CM209" i="2"/>
  <c r="CL210" i="2"/>
  <c r="CM210" i="2"/>
  <c r="CL211" i="2"/>
  <c r="CM211" i="2"/>
  <c r="CL212" i="2"/>
  <c r="CM212" i="2"/>
  <c r="CL213" i="2"/>
  <c r="CM213" i="2"/>
  <c r="CL214" i="2"/>
  <c r="CM214" i="2"/>
  <c r="CL215" i="2"/>
  <c r="CM215" i="2"/>
  <c r="CL216" i="2"/>
  <c r="CM216" i="2"/>
  <c r="CL217" i="2"/>
  <c r="CM217" i="2"/>
  <c r="CM15" i="2"/>
  <c r="BB15" i="2"/>
  <c r="BK5" i="2"/>
  <c r="BL7" i="2"/>
  <c r="BK7" i="2"/>
  <c r="BK9" i="2"/>
  <c r="BK6" i="2"/>
  <c r="BK8" i="2"/>
  <c r="BL8" i="2"/>
  <c r="BK12" i="2"/>
  <c r="BK13" i="2"/>
  <c r="BK17" i="2"/>
  <c r="BJ17" i="2"/>
  <c r="BL17" i="2"/>
  <c r="BM17" i="2"/>
  <c r="BN17" i="2"/>
  <c r="BO17" i="2"/>
  <c r="BP17" i="2"/>
  <c r="BQ17" i="2"/>
  <c r="BK18" i="2"/>
  <c r="BJ18" i="2"/>
  <c r="BL18" i="2"/>
  <c r="BM18" i="2"/>
  <c r="BN18" i="2"/>
  <c r="BO18" i="2"/>
  <c r="BP18" i="2"/>
  <c r="BQ18" i="2"/>
  <c r="BK19" i="2"/>
  <c r="BJ19" i="2"/>
  <c r="BL19" i="2"/>
  <c r="BM19" i="2"/>
  <c r="BN19" i="2"/>
  <c r="BO19" i="2"/>
  <c r="BP19" i="2"/>
  <c r="BQ19" i="2"/>
  <c r="BK20" i="2"/>
  <c r="BJ20" i="2"/>
  <c r="BL20" i="2"/>
  <c r="BM20" i="2"/>
  <c r="BN20" i="2"/>
  <c r="BO20" i="2"/>
  <c r="BP20" i="2"/>
  <c r="BQ20" i="2"/>
  <c r="BK21" i="2"/>
  <c r="BJ21" i="2"/>
  <c r="BL21" i="2"/>
  <c r="BM21" i="2"/>
  <c r="BN21" i="2"/>
  <c r="BO21" i="2"/>
  <c r="BP21" i="2"/>
  <c r="BQ21" i="2"/>
  <c r="BK22" i="2"/>
  <c r="BJ22" i="2"/>
  <c r="BL22" i="2"/>
  <c r="BM22" i="2"/>
  <c r="BN22" i="2"/>
  <c r="BO22" i="2"/>
  <c r="BP22" i="2"/>
  <c r="BQ22" i="2"/>
  <c r="BK23" i="2"/>
  <c r="BJ23" i="2"/>
  <c r="BL23" i="2"/>
  <c r="BM23" i="2"/>
  <c r="BN23" i="2"/>
  <c r="BO23" i="2"/>
  <c r="BP23" i="2"/>
  <c r="BQ23" i="2"/>
  <c r="BK24" i="2"/>
  <c r="BJ24" i="2"/>
  <c r="BL24" i="2"/>
  <c r="BM24" i="2"/>
  <c r="BN24" i="2"/>
  <c r="BO24" i="2"/>
  <c r="BP24" i="2"/>
  <c r="BQ24" i="2"/>
  <c r="BK25" i="2"/>
  <c r="BJ25" i="2"/>
  <c r="BL25" i="2"/>
  <c r="BM25" i="2"/>
  <c r="BN25" i="2"/>
  <c r="BO25" i="2"/>
  <c r="BP25" i="2"/>
  <c r="BQ25" i="2"/>
  <c r="BK26" i="2"/>
  <c r="BJ26" i="2"/>
  <c r="BL26" i="2"/>
  <c r="BM26" i="2"/>
  <c r="BN26" i="2"/>
  <c r="BO26" i="2"/>
  <c r="BP26" i="2"/>
  <c r="BQ26" i="2"/>
  <c r="BK27" i="2"/>
  <c r="BJ27" i="2"/>
  <c r="BL27" i="2"/>
  <c r="BM27" i="2"/>
  <c r="BN27" i="2"/>
  <c r="BO27" i="2"/>
  <c r="BP27" i="2"/>
  <c r="BQ27" i="2"/>
  <c r="BK28" i="2"/>
  <c r="BJ28" i="2"/>
  <c r="BL28" i="2"/>
  <c r="BM28" i="2"/>
  <c r="BN28" i="2"/>
  <c r="BO28" i="2"/>
  <c r="BP28" i="2"/>
  <c r="BQ28" i="2"/>
  <c r="BK29" i="2"/>
  <c r="BJ29" i="2"/>
  <c r="BL29" i="2"/>
  <c r="BM29" i="2"/>
  <c r="BN29" i="2"/>
  <c r="BO29" i="2"/>
  <c r="BP29" i="2"/>
  <c r="BQ29" i="2"/>
  <c r="BK30" i="2"/>
  <c r="BJ30" i="2"/>
  <c r="BL30" i="2"/>
  <c r="BM30" i="2"/>
  <c r="BN30" i="2"/>
  <c r="BO30" i="2"/>
  <c r="BP30" i="2"/>
  <c r="BQ30" i="2"/>
  <c r="BK31" i="2"/>
  <c r="BJ31" i="2"/>
  <c r="BL31" i="2"/>
  <c r="BM31" i="2"/>
  <c r="BN31" i="2"/>
  <c r="BO31" i="2"/>
  <c r="BP31" i="2"/>
  <c r="BQ31" i="2"/>
  <c r="BK32" i="2"/>
  <c r="BJ32" i="2"/>
  <c r="BL32" i="2"/>
  <c r="BM32" i="2"/>
  <c r="BN32" i="2"/>
  <c r="BO32" i="2"/>
  <c r="BP32" i="2"/>
  <c r="BQ32" i="2"/>
  <c r="BK33" i="2"/>
  <c r="BJ33" i="2"/>
  <c r="BL33" i="2"/>
  <c r="BM33" i="2"/>
  <c r="BN33" i="2"/>
  <c r="BO33" i="2"/>
  <c r="BP33" i="2"/>
  <c r="BQ33" i="2"/>
  <c r="BK34" i="2"/>
  <c r="BJ34" i="2"/>
  <c r="BL34" i="2"/>
  <c r="BM34" i="2"/>
  <c r="BN34" i="2"/>
  <c r="BO34" i="2"/>
  <c r="BP34" i="2"/>
  <c r="BQ34" i="2"/>
  <c r="BK35" i="2"/>
  <c r="BJ35" i="2"/>
  <c r="BL35" i="2"/>
  <c r="BM35" i="2"/>
  <c r="BN35" i="2"/>
  <c r="BO35" i="2"/>
  <c r="BP35" i="2"/>
  <c r="BQ35" i="2"/>
  <c r="BK36" i="2"/>
  <c r="BJ36" i="2"/>
  <c r="BL36" i="2"/>
  <c r="BM36" i="2"/>
  <c r="BN36" i="2"/>
  <c r="BO36" i="2"/>
  <c r="BP36" i="2"/>
  <c r="BQ36" i="2"/>
  <c r="BK37" i="2"/>
  <c r="BJ37" i="2"/>
  <c r="BL37" i="2"/>
  <c r="BM37" i="2"/>
  <c r="BN37" i="2"/>
  <c r="BO37" i="2"/>
  <c r="BP37" i="2"/>
  <c r="BQ37" i="2"/>
  <c r="BK38" i="2"/>
  <c r="BJ38" i="2"/>
  <c r="BL38" i="2"/>
  <c r="BM38" i="2"/>
  <c r="BN38" i="2"/>
  <c r="BO38" i="2"/>
  <c r="BP38" i="2"/>
  <c r="BQ38" i="2"/>
  <c r="BK39" i="2"/>
  <c r="BJ39" i="2"/>
  <c r="BL39" i="2"/>
  <c r="BM39" i="2"/>
  <c r="BN39" i="2"/>
  <c r="BO39" i="2"/>
  <c r="BP39" i="2"/>
  <c r="BQ39" i="2"/>
  <c r="BK40" i="2"/>
  <c r="BJ40" i="2"/>
  <c r="BL40" i="2"/>
  <c r="BM40" i="2"/>
  <c r="BN40" i="2"/>
  <c r="BO40" i="2"/>
  <c r="BP40" i="2"/>
  <c r="BQ40" i="2"/>
  <c r="BK41" i="2"/>
  <c r="BJ41" i="2"/>
  <c r="BL41" i="2"/>
  <c r="BM41" i="2"/>
  <c r="BN41" i="2"/>
  <c r="BO41" i="2"/>
  <c r="BP41" i="2"/>
  <c r="BQ41" i="2"/>
  <c r="BK42" i="2"/>
  <c r="BJ42" i="2"/>
  <c r="BL42" i="2"/>
  <c r="BM42" i="2"/>
  <c r="BN42" i="2"/>
  <c r="BO42" i="2"/>
  <c r="BP42" i="2"/>
  <c r="BQ42" i="2"/>
  <c r="BK43" i="2"/>
  <c r="BJ43" i="2"/>
  <c r="BL43" i="2"/>
  <c r="BM43" i="2"/>
  <c r="BN43" i="2"/>
  <c r="BO43" i="2"/>
  <c r="BP43" i="2"/>
  <c r="BQ43" i="2"/>
  <c r="BK44" i="2"/>
  <c r="BJ44" i="2"/>
  <c r="BL44" i="2"/>
  <c r="BM44" i="2"/>
  <c r="BN44" i="2"/>
  <c r="BO44" i="2"/>
  <c r="BP44" i="2"/>
  <c r="BQ44" i="2"/>
  <c r="BK45" i="2"/>
  <c r="BJ45" i="2"/>
  <c r="BL45" i="2"/>
  <c r="BM45" i="2"/>
  <c r="BN45" i="2"/>
  <c r="BO45" i="2"/>
  <c r="BP45" i="2"/>
  <c r="BQ45" i="2"/>
  <c r="BK46" i="2"/>
  <c r="BJ46" i="2"/>
  <c r="BL46" i="2"/>
  <c r="BM46" i="2"/>
  <c r="BN46" i="2"/>
  <c r="BO46" i="2"/>
  <c r="BP46" i="2"/>
  <c r="BQ46" i="2"/>
  <c r="BK47" i="2"/>
  <c r="BJ47" i="2"/>
  <c r="BL47" i="2"/>
  <c r="BM47" i="2"/>
  <c r="BN47" i="2"/>
  <c r="BO47" i="2"/>
  <c r="BP47" i="2"/>
  <c r="BQ47" i="2"/>
  <c r="BK48" i="2"/>
  <c r="BJ48" i="2"/>
  <c r="BL48" i="2"/>
  <c r="BM48" i="2"/>
  <c r="BN48" i="2"/>
  <c r="BO48" i="2"/>
  <c r="BP48" i="2"/>
  <c r="BQ48" i="2"/>
  <c r="BK49" i="2"/>
  <c r="BJ49" i="2"/>
  <c r="BL49" i="2"/>
  <c r="BM49" i="2"/>
  <c r="BN49" i="2"/>
  <c r="BO49" i="2"/>
  <c r="BP49" i="2"/>
  <c r="BQ49" i="2"/>
  <c r="BK50" i="2"/>
  <c r="BJ50" i="2"/>
  <c r="BL50" i="2"/>
  <c r="BM50" i="2"/>
  <c r="BN50" i="2"/>
  <c r="BO50" i="2"/>
  <c r="BP50" i="2"/>
  <c r="BQ50" i="2"/>
  <c r="BK51" i="2"/>
  <c r="BJ51" i="2"/>
  <c r="BL51" i="2"/>
  <c r="BM51" i="2"/>
  <c r="BN51" i="2"/>
  <c r="BO51" i="2"/>
  <c r="BP51" i="2"/>
  <c r="BQ51" i="2"/>
  <c r="BK52" i="2"/>
  <c r="BJ52" i="2"/>
  <c r="BL52" i="2"/>
  <c r="BM52" i="2"/>
  <c r="BN52" i="2"/>
  <c r="BO52" i="2"/>
  <c r="BP52" i="2"/>
  <c r="BQ52" i="2"/>
  <c r="BK53" i="2"/>
  <c r="BJ53" i="2"/>
  <c r="BL53" i="2"/>
  <c r="BM53" i="2"/>
  <c r="BN53" i="2"/>
  <c r="BO53" i="2"/>
  <c r="BP53" i="2"/>
  <c r="BQ53" i="2"/>
  <c r="BK54" i="2"/>
  <c r="BJ54" i="2"/>
  <c r="BL54" i="2"/>
  <c r="BM54" i="2"/>
  <c r="BN54" i="2"/>
  <c r="BO54" i="2"/>
  <c r="BP54" i="2"/>
  <c r="BQ54" i="2"/>
  <c r="BK55" i="2"/>
  <c r="BJ55" i="2"/>
  <c r="BL55" i="2"/>
  <c r="BM55" i="2"/>
  <c r="BN55" i="2"/>
  <c r="BO55" i="2"/>
  <c r="BP55" i="2"/>
  <c r="BQ55" i="2"/>
  <c r="BK56" i="2"/>
  <c r="BJ56" i="2"/>
  <c r="BL56" i="2"/>
  <c r="BM56" i="2"/>
  <c r="BN56" i="2"/>
  <c r="BO56" i="2"/>
  <c r="BP56" i="2"/>
  <c r="BQ56" i="2"/>
  <c r="BK57" i="2"/>
  <c r="BJ57" i="2"/>
  <c r="BL57" i="2"/>
  <c r="BM57" i="2"/>
  <c r="BN57" i="2"/>
  <c r="BO57" i="2"/>
  <c r="BP57" i="2"/>
  <c r="BQ57" i="2"/>
  <c r="BK58" i="2"/>
  <c r="BJ58" i="2"/>
  <c r="BL58" i="2"/>
  <c r="BM58" i="2"/>
  <c r="BN58" i="2"/>
  <c r="BO58" i="2"/>
  <c r="BP58" i="2"/>
  <c r="BQ58" i="2"/>
  <c r="BK59" i="2"/>
  <c r="BJ59" i="2"/>
  <c r="BL59" i="2"/>
  <c r="BM59" i="2"/>
  <c r="BN59" i="2"/>
  <c r="BO59" i="2"/>
  <c r="BP59" i="2"/>
  <c r="BQ59" i="2"/>
  <c r="BK60" i="2"/>
  <c r="BJ60" i="2"/>
  <c r="BL60" i="2"/>
  <c r="BM60" i="2"/>
  <c r="BN60" i="2"/>
  <c r="BO60" i="2"/>
  <c r="BP60" i="2"/>
  <c r="BQ60" i="2"/>
  <c r="BK61" i="2"/>
  <c r="BJ61" i="2"/>
  <c r="BL61" i="2"/>
  <c r="BM61" i="2"/>
  <c r="BN61" i="2"/>
  <c r="BO61" i="2"/>
  <c r="BP61" i="2"/>
  <c r="BQ61" i="2"/>
  <c r="BK62" i="2"/>
  <c r="BJ62" i="2"/>
  <c r="BL62" i="2"/>
  <c r="BM62" i="2"/>
  <c r="BN62" i="2"/>
  <c r="BO62" i="2"/>
  <c r="BP62" i="2"/>
  <c r="BQ62" i="2"/>
  <c r="BK63" i="2"/>
  <c r="BJ63" i="2"/>
  <c r="BL63" i="2"/>
  <c r="BM63" i="2"/>
  <c r="BN63" i="2"/>
  <c r="BO63" i="2"/>
  <c r="BP63" i="2"/>
  <c r="BQ63" i="2"/>
  <c r="BK64" i="2"/>
  <c r="BJ64" i="2"/>
  <c r="BL64" i="2"/>
  <c r="BM64" i="2"/>
  <c r="BN64" i="2"/>
  <c r="BO64" i="2"/>
  <c r="BP64" i="2"/>
  <c r="BQ64" i="2"/>
  <c r="BK65" i="2"/>
  <c r="BJ65" i="2"/>
  <c r="BL65" i="2"/>
  <c r="BM65" i="2"/>
  <c r="BN65" i="2"/>
  <c r="BO65" i="2"/>
  <c r="BP65" i="2"/>
  <c r="BQ65" i="2"/>
  <c r="BK66" i="2"/>
  <c r="BJ66" i="2"/>
  <c r="BL66" i="2"/>
  <c r="BM66" i="2"/>
  <c r="BN66" i="2"/>
  <c r="BO66" i="2"/>
  <c r="BP66" i="2"/>
  <c r="BQ66" i="2"/>
  <c r="BK67" i="2"/>
  <c r="BJ67" i="2"/>
  <c r="BL67" i="2"/>
  <c r="BM67" i="2"/>
  <c r="BN67" i="2"/>
  <c r="BO67" i="2"/>
  <c r="BP67" i="2"/>
  <c r="BQ67" i="2"/>
  <c r="BK68" i="2"/>
  <c r="BJ68" i="2"/>
  <c r="BL68" i="2"/>
  <c r="BM68" i="2"/>
  <c r="BN68" i="2"/>
  <c r="BO68" i="2"/>
  <c r="BP68" i="2"/>
  <c r="BQ68" i="2"/>
  <c r="BK69" i="2"/>
  <c r="BJ69" i="2"/>
  <c r="BL69" i="2"/>
  <c r="BM69" i="2"/>
  <c r="BN69" i="2"/>
  <c r="BO69" i="2"/>
  <c r="BP69" i="2"/>
  <c r="BQ69" i="2"/>
  <c r="BK70" i="2"/>
  <c r="BJ70" i="2"/>
  <c r="BL70" i="2"/>
  <c r="BM70" i="2"/>
  <c r="BN70" i="2"/>
  <c r="BO70" i="2"/>
  <c r="BP70" i="2"/>
  <c r="BQ70" i="2"/>
  <c r="BK71" i="2"/>
  <c r="BJ71" i="2"/>
  <c r="BL71" i="2"/>
  <c r="BM71" i="2"/>
  <c r="BN71" i="2"/>
  <c r="BO71" i="2"/>
  <c r="BP71" i="2"/>
  <c r="BQ71" i="2"/>
  <c r="BK72" i="2"/>
  <c r="BJ72" i="2"/>
  <c r="BL72" i="2"/>
  <c r="BM72" i="2"/>
  <c r="BN72" i="2"/>
  <c r="BO72" i="2"/>
  <c r="BP72" i="2"/>
  <c r="BQ72" i="2"/>
  <c r="BK73" i="2"/>
  <c r="BJ73" i="2"/>
  <c r="BL73" i="2"/>
  <c r="BM73" i="2"/>
  <c r="BN73" i="2"/>
  <c r="BO73" i="2"/>
  <c r="BP73" i="2"/>
  <c r="BQ73" i="2"/>
  <c r="BK74" i="2"/>
  <c r="BJ74" i="2"/>
  <c r="BL74" i="2"/>
  <c r="BM74" i="2"/>
  <c r="BN74" i="2"/>
  <c r="BO74" i="2"/>
  <c r="BP74" i="2"/>
  <c r="BQ74" i="2"/>
  <c r="BK75" i="2"/>
  <c r="BJ75" i="2"/>
  <c r="BL75" i="2"/>
  <c r="BM75" i="2"/>
  <c r="BN75" i="2"/>
  <c r="BO75" i="2"/>
  <c r="BP75" i="2"/>
  <c r="BQ75" i="2"/>
  <c r="BK76" i="2"/>
  <c r="BJ76" i="2"/>
  <c r="BL76" i="2"/>
  <c r="BM76" i="2"/>
  <c r="BN76" i="2"/>
  <c r="BO76" i="2"/>
  <c r="BP76" i="2"/>
  <c r="BQ76" i="2"/>
  <c r="BK77" i="2"/>
  <c r="BJ77" i="2"/>
  <c r="BL77" i="2"/>
  <c r="BM77" i="2"/>
  <c r="BN77" i="2"/>
  <c r="BO77" i="2"/>
  <c r="BP77" i="2"/>
  <c r="BQ77" i="2"/>
  <c r="BK78" i="2"/>
  <c r="BJ78" i="2"/>
  <c r="BL78" i="2"/>
  <c r="BM78" i="2"/>
  <c r="BN78" i="2"/>
  <c r="BO78" i="2"/>
  <c r="BP78" i="2"/>
  <c r="BQ78" i="2"/>
  <c r="BK79" i="2"/>
  <c r="BJ79" i="2"/>
  <c r="BL79" i="2"/>
  <c r="BM79" i="2"/>
  <c r="BN79" i="2"/>
  <c r="BO79" i="2"/>
  <c r="BP79" i="2"/>
  <c r="BQ79" i="2"/>
  <c r="BK80" i="2"/>
  <c r="BJ80" i="2"/>
  <c r="BL80" i="2"/>
  <c r="BM80" i="2"/>
  <c r="BN80" i="2"/>
  <c r="BO80" i="2"/>
  <c r="BP80" i="2"/>
  <c r="BQ80" i="2"/>
  <c r="BK81" i="2"/>
  <c r="BJ81" i="2"/>
  <c r="BL81" i="2"/>
  <c r="BM81" i="2"/>
  <c r="BN81" i="2"/>
  <c r="BO81" i="2"/>
  <c r="BP81" i="2"/>
  <c r="BQ81" i="2"/>
  <c r="BK82" i="2"/>
  <c r="BJ82" i="2"/>
  <c r="BL82" i="2"/>
  <c r="BM82" i="2"/>
  <c r="BN82" i="2"/>
  <c r="BO82" i="2"/>
  <c r="BP82" i="2"/>
  <c r="BQ82" i="2"/>
  <c r="BK83" i="2"/>
  <c r="BJ83" i="2"/>
  <c r="BL83" i="2"/>
  <c r="BM83" i="2"/>
  <c r="BN83" i="2"/>
  <c r="BO83" i="2"/>
  <c r="BP83" i="2"/>
  <c r="BQ83" i="2"/>
  <c r="BK84" i="2"/>
  <c r="BJ84" i="2"/>
  <c r="BL84" i="2"/>
  <c r="BM84" i="2"/>
  <c r="BN84" i="2"/>
  <c r="BO84" i="2"/>
  <c r="BP84" i="2"/>
  <c r="BQ84" i="2"/>
  <c r="BK85" i="2"/>
  <c r="BJ85" i="2"/>
  <c r="BL85" i="2"/>
  <c r="BM85" i="2"/>
  <c r="BN85" i="2"/>
  <c r="BO85" i="2"/>
  <c r="BP85" i="2"/>
  <c r="BQ85" i="2"/>
  <c r="BK86" i="2"/>
  <c r="BJ86" i="2"/>
  <c r="BL86" i="2"/>
  <c r="BM86" i="2"/>
  <c r="BN86" i="2"/>
  <c r="BO86" i="2"/>
  <c r="BP86" i="2"/>
  <c r="BQ86" i="2"/>
  <c r="BK87" i="2"/>
  <c r="BJ87" i="2"/>
  <c r="BL87" i="2"/>
  <c r="BM87" i="2"/>
  <c r="BN87" i="2"/>
  <c r="BO87" i="2"/>
  <c r="BP87" i="2"/>
  <c r="BQ87" i="2"/>
  <c r="BK88" i="2"/>
  <c r="BJ88" i="2"/>
  <c r="BL88" i="2"/>
  <c r="BM88" i="2"/>
  <c r="BN88" i="2"/>
  <c r="BO88" i="2"/>
  <c r="BP88" i="2"/>
  <c r="BQ88" i="2"/>
  <c r="BK89" i="2"/>
  <c r="BJ89" i="2"/>
  <c r="BL89" i="2"/>
  <c r="BM89" i="2"/>
  <c r="BN89" i="2"/>
  <c r="BO89" i="2"/>
  <c r="BP89" i="2"/>
  <c r="BQ89" i="2"/>
  <c r="BK90" i="2"/>
  <c r="BJ90" i="2"/>
  <c r="BL90" i="2"/>
  <c r="BM90" i="2"/>
  <c r="BN90" i="2"/>
  <c r="BO90" i="2"/>
  <c r="BP90" i="2"/>
  <c r="BQ90" i="2"/>
  <c r="BK91" i="2"/>
  <c r="BJ91" i="2"/>
  <c r="BL91" i="2"/>
  <c r="BM91" i="2"/>
  <c r="BN91" i="2"/>
  <c r="BO91" i="2"/>
  <c r="BP91" i="2"/>
  <c r="BQ91" i="2"/>
  <c r="BK92" i="2"/>
  <c r="BJ92" i="2"/>
  <c r="BL92" i="2"/>
  <c r="BM92" i="2"/>
  <c r="BN92" i="2"/>
  <c r="BO92" i="2"/>
  <c r="BP92" i="2"/>
  <c r="BQ92" i="2"/>
  <c r="BK93" i="2"/>
  <c r="BJ93" i="2"/>
  <c r="BL93" i="2"/>
  <c r="BM93" i="2"/>
  <c r="BN93" i="2"/>
  <c r="BO93" i="2"/>
  <c r="BP93" i="2"/>
  <c r="BQ93" i="2"/>
  <c r="BK94" i="2"/>
  <c r="BJ94" i="2"/>
  <c r="BL94" i="2"/>
  <c r="BM94" i="2"/>
  <c r="BN94" i="2"/>
  <c r="BO94" i="2"/>
  <c r="BP94" i="2"/>
  <c r="BQ94" i="2"/>
  <c r="BK95" i="2"/>
  <c r="BJ95" i="2"/>
  <c r="BL95" i="2"/>
  <c r="BM95" i="2"/>
  <c r="BN95" i="2"/>
  <c r="BO95" i="2"/>
  <c r="BP95" i="2"/>
  <c r="BQ95" i="2"/>
  <c r="BK96" i="2"/>
  <c r="BJ96" i="2"/>
  <c r="BL96" i="2"/>
  <c r="BM96" i="2"/>
  <c r="BN96" i="2"/>
  <c r="BO96" i="2"/>
  <c r="BP96" i="2"/>
  <c r="BQ96" i="2"/>
  <c r="BK97" i="2"/>
  <c r="BJ97" i="2"/>
  <c r="BL97" i="2"/>
  <c r="BM97" i="2"/>
  <c r="BN97" i="2"/>
  <c r="BO97" i="2"/>
  <c r="BP97" i="2"/>
  <c r="BQ97" i="2"/>
  <c r="BK98" i="2"/>
  <c r="BJ98" i="2"/>
  <c r="BL98" i="2"/>
  <c r="BM98" i="2"/>
  <c r="BN98" i="2"/>
  <c r="BO98" i="2"/>
  <c r="BP98" i="2"/>
  <c r="BQ98" i="2"/>
  <c r="BK99" i="2"/>
  <c r="BJ99" i="2"/>
  <c r="BL99" i="2"/>
  <c r="BM99" i="2"/>
  <c r="BN99" i="2"/>
  <c r="BO99" i="2"/>
  <c r="BP99" i="2"/>
  <c r="BQ99" i="2"/>
  <c r="BK100" i="2"/>
  <c r="BJ100" i="2"/>
  <c r="BL100" i="2"/>
  <c r="BM100" i="2"/>
  <c r="BN100" i="2"/>
  <c r="BO100" i="2"/>
  <c r="BP100" i="2"/>
  <c r="BQ100" i="2"/>
  <c r="BK101" i="2"/>
  <c r="BJ101" i="2"/>
  <c r="BL101" i="2"/>
  <c r="BM101" i="2"/>
  <c r="BN101" i="2"/>
  <c r="BO101" i="2"/>
  <c r="BP101" i="2"/>
  <c r="BQ101" i="2"/>
  <c r="BK102" i="2"/>
  <c r="BJ102" i="2"/>
  <c r="BL102" i="2"/>
  <c r="BM102" i="2"/>
  <c r="BN102" i="2"/>
  <c r="BO102" i="2"/>
  <c r="BP102" i="2"/>
  <c r="BQ102" i="2"/>
  <c r="BK103" i="2"/>
  <c r="BJ103" i="2"/>
  <c r="BL103" i="2"/>
  <c r="BM103" i="2"/>
  <c r="BN103" i="2"/>
  <c r="BO103" i="2"/>
  <c r="BP103" i="2"/>
  <c r="BQ103" i="2"/>
  <c r="BK104" i="2"/>
  <c r="BJ104" i="2"/>
  <c r="BL104" i="2"/>
  <c r="BM104" i="2"/>
  <c r="BN104" i="2"/>
  <c r="BO104" i="2"/>
  <c r="BP104" i="2"/>
  <c r="BQ104" i="2"/>
  <c r="BK105" i="2"/>
  <c r="BJ105" i="2"/>
  <c r="BL105" i="2"/>
  <c r="BM105" i="2"/>
  <c r="BN105" i="2"/>
  <c r="BO105" i="2"/>
  <c r="BP105" i="2"/>
  <c r="BQ105" i="2"/>
  <c r="BK106" i="2"/>
  <c r="BJ106" i="2"/>
  <c r="BL106" i="2"/>
  <c r="BM106" i="2"/>
  <c r="BN106" i="2"/>
  <c r="BO106" i="2"/>
  <c r="BP106" i="2"/>
  <c r="BQ106" i="2"/>
  <c r="BK107" i="2"/>
  <c r="BJ107" i="2"/>
  <c r="BL107" i="2"/>
  <c r="BM107" i="2"/>
  <c r="BN107" i="2"/>
  <c r="BO107" i="2"/>
  <c r="BP107" i="2"/>
  <c r="BQ107" i="2"/>
  <c r="BK108" i="2"/>
  <c r="BJ108" i="2"/>
  <c r="BL108" i="2"/>
  <c r="BM108" i="2"/>
  <c r="BN108" i="2"/>
  <c r="BO108" i="2"/>
  <c r="BP108" i="2"/>
  <c r="BQ108" i="2"/>
  <c r="BK109" i="2"/>
  <c r="BJ109" i="2"/>
  <c r="BL109" i="2"/>
  <c r="BM109" i="2"/>
  <c r="BN109" i="2"/>
  <c r="BO109" i="2"/>
  <c r="BP109" i="2"/>
  <c r="BQ109" i="2"/>
  <c r="BK110" i="2"/>
  <c r="BJ110" i="2"/>
  <c r="BL110" i="2"/>
  <c r="BM110" i="2"/>
  <c r="BN110" i="2"/>
  <c r="BO110" i="2"/>
  <c r="BP110" i="2"/>
  <c r="BQ110" i="2"/>
  <c r="BK111" i="2"/>
  <c r="BJ111" i="2"/>
  <c r="BL111" i="2"/>
  <c r="BM111" i="2"/>
  <c r="BN111" i="2"/>
  <c r="BO111" i="2"/>
  <c r="BP111" i="2"/>
  <c r="BQ111" i="2"/>
  <c r="BK112" i="2"/>
  <c r="BJ112" i="2"/>
  <c r="BL112" i="2"/>
  <c r="BM112" i="2"/>
  <c r="BN112" i="2"/>
  <c r="BO112" i="2"/>
  <c r="BP112" i="2"/>
  <c r="BQ112" i="2"/>
  <c r="BK113" i="2"/>
  <c r="BJ113" i="2"/>
  <c r="BL113" i="2"/>
  <c r="BM113" i="2"/>
  <c r="BN113" i="2"/>
  <c r="BO113" i="2"/>
  <c r="BP113" i="2"/>
  <c r="BQ113" i="2"/>
  <c r="BK114" i="2"/>
  <c r="BJ114" i="2"/>
  <c r="BL114" i="2"/>
  <c r="BM114" i="2"/>
  <c r="BN114" i="2"/>
  <c r="BO114" i="2"/>
  <c r="BP114" i="2"/>
  <c r="BQ114" i="2"/>
  <c r="BK115" i="2"/>
  <c r="BJ115" i="2"/>
  <c r="BL115" i="2"/>
  <c r="BM115" i="2"/>
  <c r="BN115" i="2"/>
  <c r="BO115" i="2"/>
  <c r="BP115" i="2"/>
  <c r="BQ115" i="2"/>
  <c r="BK116" i="2"/>
  <c r="BJ116" i="2"/>
  <c r="BL116" i="2"/>
  <c r="BM116" i="2"/>
  <c r="BN116" i="2"/>
  <c r="BO116" i="2"/>
  <c r="BP116" i="2"/>
  <c r="BQ116" i="2"/>
  <c r="BK117" i="2"/>
  <c r="BJ117" i="2"/>
  <c r="BL117" i="2"/>
  <c r="BM117" i="2"/>
  <c r="BN117" i="2"/>
  <c r="BO117" i="2"/>
  <c r="BP117" i="2"/>
  <c r="BQ117" i="2"/>
  <c r="BK118" i="2"/>
  <c r="BJ118" i="2"/>
  <c r="BL118" i="2"/>
  <c r="BM118" i="2"/>
  <c r="BN118" i="2"/>
  <c r="BO118" i="2"/>
  <c r="BP118" i="2"/>
  <c r="BQ118" i="2"/>
  <c r="BK119" i="2"/>
  <c r="BJ119" i="2"/>
  <c r="BL119" i="2"/>
  <c r="BM119" i="2"/>
  <c r="BN119" i="2"/>
  <c r="BO119" i="2"/>
  <c r="BP119" i="2"/>
  <c r="BQ119" i="2"/>
  <c r="BK120" i="2"/>
  <c r="BJ120" i="2"/>
  <c r="BL120" i="2"/>
  <c r="BM120" i="2"/>
  <c r="BN120" i="2"/>
  <c r="BO120" i="2"/>
  <c r="BP120" i="2"/>
  <c r="BQ120" i="2"/>
  <c r="BK121" i="2"/>
  <c r="BJ121" i="2"/>
  <c r="BL121" i="2"/>
  <c r="BM121" i="2"/>
  <c r="BN121" i="2"/>
  <c r="BO121" i="2"/>
  <c r="BP121" i="2"/>
  <c r="BQ121" i="2"/>
  <c r="BK122" i="2"/>
  <c r="BJ122" i="2"/>
  <c r="BL122" i="2"/>
  <c r="BM122" i="2"/>
  <c r="BN122" i="2"/>
  <c r="BO122" i="2"/>
  <c r="BP122" i="2"/>
  <c r="BQ122" i="2"/>
  <c r="BK123" i="2"/>
  <c r="BJ123" i="2"/>
  <c r="BL123" i="2"/>
  <c r="BM123" i="2"/>
  <c r="BN123" i="2"/>
  <c r="BO123" i="2"/>
  <c r="BP123" i="2"/>
  <c r="BQ123" i="2"/>
  <c r="BK124" i="2"/>
  <c r="BJ124" i="2"/>
  <c r="BL124" i="2"/>
  <c r="BM124" i="2"/>
  <c r="BN124" i="2"/>
  <c r="BO124" i="2"/>
  <c r="BP124" i="2"/>
  <c r="BQ124" i="2"/>
  <c r="BK125" i="2"/>
  <c r="BJ125" i="2"/>
  <c r="BL125" i="2"/>
  <c r="BM125" i="2"/>
  <c r="BN125" i="2"/>
  <c r="BO125" i="2"/>
  <c r="BP125" i="2"/>
  <c r="BQ125" i="2"/>
  <c r="BK126" i="2"/>
  <c r="BJ126" i="2"/>
  <c r="BL126" i="2"/>
  <c r="BM126" i="2"/>
  <c r="BN126" i="2"/>
  <c r="BO126" i="2"/>
  <c r="BP126" i="2"/>
  <c r="BQ126" i="2"/>
  <c r="BK127" i="2"/>
  <c r="BJ127" i="2"/>
  <c r="BL127" i="2"/>
  <c r="BM127" i="2"/>
  <c r="BN127" i="2"/>
  <c r="BO127" i="2"/>
  <c r="BP127" i="2"/>
  <c r="BQ127" i="2"/>
  <c r="BK128" i="2"/>
  <c r="BJ128" i="2"/>
  <c r="BL128" i="2"/>
  <c r="BM128" i="2"/>
  <c r="BN128" i="2"/>
  <c r="BO128" i="2"/>
  <c r="BP128" i="2"/>
  <c r="BQ128" i="2"/>
  <c r="BK129" i="2"/>
  <c r="BJ129" i="2"/>
  <c r="BL129" i="2"/>
  <c r="BM129" i="2"/>
  <c r="BN129" i="2"/>
  <c r="BO129" i="2"/>
  <c r="BP129" i="2"/>
  <c r="BQ129" i="2"/>
  <c r="BK130" i="2"/>
  <c r="BJ130" i="2"/>
  <c r="BL130" i="2"/>
  <c r="BM130" i="2"/>
  <c r="BN130" i="2"/>
  <c r="BO130" i="2"/>
  <c r="BP130" i="2"/>
  <c r="BQ130" i="2"/>
  <c r="BK131" i="2"/>
  <c r="BJ131" i="2"/>
  <c r="BL131" i="2"/>
  <c r="BM131" i="2"/>
  <c r="BN131" i="2"/>
  <c r="BO131" i="2"/>
  <c r="BP131" i="2"/>
  <c r="BQ131" i="2"/>
  <c r="BK132" i="2"/>
  <c r="BJ132" i="2"/>
  <c r="BL132" i="2"/>
  <c r="BM132" i="2"/>
  <c r="BN132" i="2"/>
  <c r="BO132" i="2"/>
  <c r="BP132" i="2"/>
  <c r="BQ132" i="2"/>
  <c r="BK133" i="2"/>
  <c r="BJ133" i="2"/>
  <c r="BL133" i="2"/>
  <c r="BM133" i="2"/>
  <c r="BN133" i="2"/>
  <c r="BO133" i="2"/>
  <c r="BP133" i="2"/>
  <c r="BQ133" i="2"/>
  <c r="BK134" i="2"/>
  <c r="BJ134" i="2"/>
  <c r="BL134" i="2"/>
  <c r="BM134" i="2"/>
  <c r="BN134" i="2"/>
  <c r="BO134" i="2"/>
  <c r="BP134" i="2"/>
  <c r="BQ134" i="2"/>
  <c r="BK135" i="2"/>
  <c r="BJ135" i="2"/>
  <c r="BL135" i="2"/>
  <c r="BM135" i="2"/>
  <c r="BN135" i="2"/>
  <c r="BO135" i="2"/>
  <c r="BP135" i="2"/>
  <c r="BQ135" i="2"/>
  <c r="BK136" i="2"/>
  <c r="BJ136" i="2"/>
  <c r="BL136" i="2"/>
  <c r="BM136" i="2"/>
  <c r="BN136" i="2"/>
  <c r="BO136" i="2"/>
  <c r="BP136" i="2"/>
  <c r="BQ136" i="2"/>
  <c r="BK137" i="2"/>
  <c r="BJ137" i="2"/>
  <c r="BL137" i="2"/>
  <c r="BM137" i="2"/>
  <c r="BN137" i="2"/>
  <c r="BO137" i="2"/>
  <c r="BP137" i="2"/>
  <c r="BQ137" i="2"/>
  <c r="BK138" i="2"/>
  <c r="BJ138" i="2"/>
  <c r="BL138" i="2"/>
  <c r="BM138" i="2"/>
  <c r="BN138" i="2"/>
  <c r="BO138" i="2"/>
  <c r="BP138" i="2"/>
  <c r="BQ138" i="2"/>
  <c r="BK139" i="2"/>
  <c r="BJ139" i="2"/>
  <c r="BL139" i="2"/>
  <c r="BM139" i="2"/>
  <c r="BN139" i="2"/>
  <c r="BO139" i="2"/>
  <c r="BP139" i="2"/>
  <c r="BQ139" i="2"/>
  <c r="BK140" i="2"/>
  <c r="BJ140" i="2"/>
  <c r="BL140" i="2"/>
  <c r="BM140" i="2"/>
  <c r="BN140" i="2"/>
  <c r="BO140" i="2"/>
  <c r="BP140" i="2"/>
  <c r="BQ140" i="2"/>
  <c r="BK141" i="2"/>
  <c r="BJ141" i="2"/>
  <c r="BL141" i="2"/>
  <c r="BM141" i="2"/>
  <c r="BN141" i="2"/>
  <c r="BO141" i="2"/>
  <c r="BP141" i="2"/>
  <c r="BQ141" i="2"/>
  <c r="BK142" i="2"/>
  <c r="BJ142" i="2"/>
  <c r="BL142" i="2"/>
  <c r="BM142" i="2"/>
  <c r="BN142" i="2"/>
  <c r="BO142" i="2"/>
  <c r="BP142" i="2"/>
  <c r="BQ142" i="2"/>
  <c r="BK143" i="2"/>
  <c r="BJ143" i="2"/>
  <c r="BL143" i="2"/>
  <c r="BM143" i="2"/>
  <c r="BN143" i="2"/>
  <c r="BO143" i="2"/>
  <c r="BP143" i="2"/>
  <c r="BQ143" i="2"/>
  <c r="BK144" i="2"/>
  <c r="BJ144" i="2"/>
  <c r="BL144" i="2"/>
  <c r="BM144" i="2"/>
  <c r="BN144" i="2"/>
  <c r="BO144" i="2"/>
  <c r="BP144" i="2"/>
  <c r="BQ144" i="2"/>
  <c r="BK145" i="2"/>
  <c r="BJ145" i="2"/>
  <c r="BL145" i="2"/>
  <c r="BM145" i="2"/>
  <c r="BN145" i="2"/>
  <c r="BO145" i="2"/>
  <c r="BP145" i="2"/>
  <c r="BQ145" i="2"/>
  <c r="BK146" i="2"/>
  <c r="BJ146" i="2"/>
  <c r="BL146" i="2"/>
  <c r="BM146" i="2"/>
  <c r="BN146" i="2"/>
  <c r="BO146" i="2"/>
  <c r="BP146" i="2"/>
  <c r="BQ146" i="2"/>
  <c r="BK147" i="2"/>
  <c r="BJ147" i="2"/>
  <c r="BL147" i="2"/>
  <c r="BM147" i="2"/>
  <c r="BN147" i="2"/>
  <c r="BO147" i="2"/>
  <c r="BP147" i="2"/>
  <c r="BQ147" i="2"/>
  <c r="BK148" i="2"/>
  <c r="BJ148" i="2"/>
  <c r="BL148" i="2"/>
  <c r="BM148" i="2"/>
  <c r="BN148" i="2"/>
  <c r="BO148" i="2"/>
  <c r="BP148" i="2"/>
  <c r="BQ148" i="2"/>
  <c r="BK149" i="2"/>
  <c r="BJ149" i="2"/>
  <c r="BL149" i="2"/>
  <c r="BM149" i="2"/>
  <c r="BN149" i="2"/>
  <c r="BO149" i="2"/>
  <c r="BP149" i="2"/>
  <c r="BQ149" i="2"/>
  <c r="BK150" i="2"/>
  <c r="BJ150" i="2"/>
  <c r="BL150" i="2"/>
  <c r="BM150" i="2"/>
  <c r="BN150" i="2"/>
  <c r="BO150" i="2"/>
  <c r="BP150" i="2"/>
  <c r="BQ150" i="2"/>
  <c r="BK151" i="2"/>
  <c r="BJ151" i="2"/>
  <c r="BL151" i="2"/>
  <c r="BM151" i="2"/>
  <c r="BN151" i="2"/>
  <c r="BO151" i="2"/>
  <c r="BP151" i="2"/>
  <c r="BQ151" i="2"/>
  <c r="BK152" i="2"/>
  <c r="BJ152" i="2"/>
  <c r="BL152" i="2"/>
  <c r="BM152" i="2"/>
  <c r="BN152" i="2"/>
  <c r="BO152" i="2"/>
  <c r="BP152" i="2"/>
  <c r="BQ152" i="2"/>
  <c r="BK153" i="2"/>
  <c r="BJ153" i="2"/>
  <c r="BL153" i="2"/>
  <c r="BM153" i="2"/>
  <c r="BN153" i="2"/>
  <c r="BO153" i="2"/>
  <c r="BP153" i="2"/>
  <c r="BQ153" i="2"/>
  <c r="BK154" i="2"/>
  <c r="BJ154" i="2"/>
  <c r="BL154" i="2"/>
  <c r="BM154" i="2"/>
  <c r="BN154" i="2"/>
  <c r="BO154" i="2"/>
  <c r="BP154" i="2"/>
  <c r="BQ154" i="2"/>
  <c r="BK155" i="2"/>
  <c r="BJ155" i="2"/>
  <c r="BL155" i="2"/>
  <c r="BM155" i="2"/>
  <c r="BN155" i="2"/>
  <c r="BO155" i="2"/>
  <c r="BP155" i="2"/>
  <c r="BQ155" i="2"/>
  <c r="BK156" i="2"/>
  <c r="BJ156" i="2"/>
  <c r="BL156" i="2"/>
  <c r="BM156" i="2"/>
  <c r="BN156" i="2"/>
  <c r="BO156" i="2"/>
  <c r="BP156" i="2"/>
  <c r="BQ156" i="2"/>
  <c r="BK157" i="2"/>
  <c r="BJ157" i="2"/>
  <c r="BL157" i="2"/>
  <c r="BM157" i="2"/>
  <c r="BN157" i="2"/>
  <c r="BO157" i="2"/>
  <c r="BP157" i="2"/>
  <c r="BQ157" i="2"/>
  <c r="BK158" i="2"/>
  <c r="BJ158" i="2"/>
  <c r="BL158" i="2"/>
  <c r="BM158" i="2"/>
  <c r="BN158" i="2"/>
  <c r="BO158" i="2"/>
  <c r="BP158" i="2"/>
  <c r="BQ158" i="2"/>
  <c r="BK159" i="2"/>
  <c r="BJ159" i="2"/>
  <c r="BL159" i="2"/>
  <c r="BM159" i="2"/>
  <c r="BN159" i="2"/>
  <c r="BO159" i="2"/>
  <c r="BP159" i="2"/>
  <c r="BQ159" i="2"/>
  <c r="BK160" i="2"/>
  <c r="BJ160" i="2"/>
  <c r="BL160" i="2"/>
  <c r="BM160" i="2"/>
  <c r="BN160" i="2"/>
  <c r="BO160" i="2"/>
  <c r="BP160" i="2"/>
  <c r="BQ160" i="2"/>
  <c r="BK161" i="2"/>
  <c r="BJ161" i="2"/>
  <c r="BL161" i="2"/>
  <c r="BM161" i="2"/>
  <c r="BN161" i="2"/>
  <c r="BO161" i="2"/>
  <c r="BP161" i="2"/>
  <c r="BQ161" i="2"/>
  <c r="BK162" i="2"/>
  <c r="BJ162" i="2"/>
  <c r="BL162" i="2"/>
  <c r="BM162" i="2"/>
  <c r="BN162" i="2"/>
  <c r="BO162" i="2"/>
  <c r="BP162" i="2"/>
  <c r="BQ162" i="2"/>
  <c r="BK163" i="2"/>
  <c r="BJ163" i="2"/>
  <c r="BL163" i="2"/>
  <c r="BM163" i="2"/>
  <c r="BN163" i="2"/>
  <c r="BO163" i="2"/>
  <c r="BP163" i="2"/>
  <c r="BQ163" i="2"/>
  <c r="BK164" i="2"/>
  <c r="BJ164" i="2"/>
  <c r="BL164" i="2"/>
  <c r="BM164" i="2"/>
  <c r="BN164" i="2"/>
  <c r="BO164" i="2"/>
  <c r="BP164" i="2"/>
  <c r="BQ164" i="2"/>
  <c r="BK165" i="2"/>
  <c r="BJ165" i="2"/>
  <c r="BL165" i="2"/>
  <c r="BM165" i="2"/>
  <c r="BN165" i="2"/>
  <c r="BO165" i="2"/>
  <c r="BP165" i="2"/>
  <c r="BQ165" i="2"/>
  <c r="BK166" i="2"/>
  <c r="BJ166" i="2"/>
  <c r="BL166" i="2"/>
  <c r="BM166" i="2"/>
  <c r="BN166" i="2"/>
  <c r="BO166" i="2"/>
  <c r="BP166" i="2"/>
  <c r="BQ166" i="2"/>
  <c r="BK167" i="2"/>
  <c r="BJ167" i="2"/>
  <c r="BL167" i="2"/>
  <c r="BM167" i="2"/>
  <c r="BN167" i="2"/>
  <c r="BO167" i="2"/>
  <c r="BP167" i="2"/>
  <c r="BQ167" i="2"/>
  <c r="BK168" i="2"/>
  <c r="BJ168" i="2"/>
  <c r="BL168" i="2"/>
  <c r="BM168" i="2"/>
  <c r="BN168" i="2"/>
  <c r="BO168" i="2"/>
  <c r="BP168" i="2"/>
  <c r="BQ168" i="2"/>
  <c r="BK169" i="2"/>
  <c r="BJ169" i="2"/>
  <c r="BL169" i="2"/>
  <c r="BM169" i="2"/>
  <c r="BN169" i="2"/>
  <c r="BO169" i="2"/>
  <c r="BP169" i="2"/>
  <c r="BQ169" i="2"/>
  <c r="BK170" i="2"/>
  <c r="BJ170" i="2"/>
  <c r="BL170" i="2"/>
  <c r="BM170" i="2"/>
  <c r="BN170" i="2"/>
  <c r="BO170" i="2"/>
  <c r="BP170" i="2"/>
  <c r="BQ170" i="2"/>
  <c r="BK171" i="2"/>
  <c r="BJ171" i="2"/>
  <c r="BL171" i="2"/>
  <c r="BM171" i="2"/>
  <c r="BN171" i="2"/>
  <c r="BO171" i="2"/>
  <c r="BP171" i="2"/>
  <c r="BQ171" i="2"/>
  <c r="BK172" i="2"/>
  <c r="BJ172" i="2"/>
  <c r="BL172" i="2"/>
  <c r="BM172" i="2"/>
  <c r="BN172" i="2"/>
  <c r="BO172" i="2"/>
  <c r="BP172" i="2"/>
  <c r="BQ172" i="2"/>
  <c r="BK173" i="2"/>
  <c r="BJ173" i="2"/>
  <c r="BL173" i="2"/>
  <c r="BM173" i="2"/>
  <c r="BN173" i="2"/>
  <c r="BO173" i="2"/>
  <c r="BP173" i="2"/>
  <c r="BQ173" i="2"/>
  <c r="BK174" i="2"/>
  <c r="BJ174" i="2"/>
  <c r="BL174" i="2"/>
  <c r="BM174" i="2"/>
  <c r="BN174" i="2"/>
  <c r="BO174" i="2"/>
  <c r="BP174" i="2"/>
  <c r="BQ174" i="2"/>
  <c r="BK175" i="2"/>
  <c r="BJ175" i="2"/>
  <c r="BL175" i="2"/>
  <c r="BM175" i="2"/>
  <c r="BN175" i="2"/>
  <c r="BO175" i="2"/>
  <c r="BP175" i="2"/>
  <c r="BQ175" i="2"/>
  <c r="BK176" i="2"/>
  <c r="BJ176" i="2"/>
  <c r="BL176" i="2"/>
  <c r="BM176" i="2"/>
  <c r="BN176" i="2"/>
  <c r="BO176" i="2"/>
  <c r="BP176" i="2"/>
  <c r="BQ176" i="2"/>
  <c r="BK177" i="2"/>
  <c r="BJ177" i="2"/>
  <c r="BL177" i="2"/>
  <c r="BM177" i="2"/>
  <c r="BN177" i="2"/>
  <c r="BO177" i="2"/>
  <c r="BP177" i="2"/>
  <c r="BQ177" i="2"/>
  <c r="BK178" i="2"/>
  <c r="BJ178" i="2"/>
  <c r="BL178" i="2"/>
  <c r="BM178" i="2"/>
  <c r="BN178" i="2"/>
  <c r="BO178" i="2"/>
  <c r="BP178" i="2"/>
  <c r="BQ178" i="2"/>
  <c r="BK179" i="2"/>
  <c r="BJ179" i="2"/>
  <c r="BL179" i="2"/>
  <c r="BM179" i="2"/>
  <c r="BN179" i="2"/>
  <c r="BO179" i="2"/>
  <c r="BP179" i="2"/>
  <c r="BQ179" i="2"/>
  <c r="BK180" i="2"/>
  <c r="BJ180" i="2"/>
  <c r="BL180" i="2"/>
  <c r="BM180" i="2"/>
  <c r="BN180" i="2"/>
  <c r="BO180" i="2"/>
  <c r="BP180" i="2"/>
  <c r="BQ180" i="2"/>
  <c r="BK181" i="2"/>
  <c r="BJ181" i="2"/>
  <c r="BL181" i="2"/>
  <c r="BM181" i="2"/>
  <c r="BN181" i="2"/>
  <c r="BO181" i="2"/>
  <c r="BP181" i="2"/>
  <c r="BQ181" i="2"/>
  <c r="BK182" i="2"/>
  <c r="BJ182" i="2"/>
  <c r="BL182" i="2"/>
  <c r="BM182" i="2"/>
  <c r="BN182" i="2"/>
  <c r="BO182" i="2"/>
  <c r="BP182" i="2"/>
  <c r="BQ182" i="2"/>
  <c r="BK183" i="2"/>
  <c r="BJ183" i="2"/>
  <c r="BL183" i="2"/>
  <c r="BM183" i="2"/>
  <c r="BN183" i="2"/>
  <c r="BO183" i="2"/>
  <c r="BP183" i="2"/>
  <c r="BQ183" i="2"/>
  <c r="BK184" i="2"/>
  <c r="BJ184" i="2"/>
  <c r="BL184" i="2"/>
  <c r="BM184" i="2"/>
  <c r="BN184" i="2"/>
  <c r="BO184" i="2"/>
  <c r="BP184" i="2"/>
  <c r="BQ184" i="2"/>
  <c r="BK185" i="2"/>
  <c r="BJ185" i="2"/>
  <c r="BL185" i="2"/>
  <c r="BM185" i="2"/>
  <c r="BN185" i="2"/>
  <c r="BO185" i="2"/>
  <c r="BP185" i="2"/>
  <c r="BQ185" i="2"/>
  <c r="BK186" i="2"/>
  <c r="BJ186" i="2"/>
  <c r="BL186" i="2"/>
  <c r="BM186" i="2"/>
  <c r="BN186" i="2"/>
  <c r="BO186" i="2"/>
  <c r="BP186" i="2"/>
  <c r="BQ186" i="2"/>
  <c r="BK187" i="2"/>
  <c r="BJ187" i="2"/>
  <c r="BL187" i="2"/>
  <c r="BM187" i="2"/>
  <c r="BN187" i="2"/>
  <c r="BO187" i="2"/>
  <c r="BP187" i="2"/>
  <c r="BQ187" i="2"/>
  <c r="BK188" i="2"/>
  <c r="BJ188" i="2"/>
  <c r="BL188" i="2"/>
  <c r="BM188" i="2"/>
  <c r="BN188" i="2"/>
  <c r="BO188" i="2"/>
  <c r="BP188" i="2"/>
  <c r="BQ188" i="2"/>
  <c r="BK189" i="2"/>
  <c r="BJ189" i="2"/>
  <c r="BL189" i="2"/>
  <c r="BM189" i="2"/>
  <c r="BN189" i="2"/>
  <c r="BO189" i="2"/>
  <c r="BP189" i="2"/>
  <c r="BQ189" i="2"/>
  <c r="BK190" i="2"/>
  <c r="BJ190" i="2"/>
  <c r="BL190" i="2"/>
  <c r="BM190" i="2"/>
  <c r="BN190" i="2"/>
  <c r="BO190" i="2"/>
  <c r="BP190" i="2"/>
  <c r="BQ190" i="2"/>
  <c r="BK191" i="2"/>
  <c r="BJ191" i="2"/>
  <c r="BL191" i="2"/>
  <c r="BM191" i="2"/>
  <c r="BN191" i="2"/>
  <c r="BO191" i="2"/>
  <c r="BP191" i="2"/>
  <c r="BQ191" i="2"/>
  <c r="BK192" i="2"/>
  <c r="BJ192" i="2"/>
  <c r="BL192" i="2"/>
  <c r="BM192" i="2"/>
  <c r="BN192" i="2"/>
  <c r="BO192" i="2"/>
  <c r="BP192" i="2"/>
  <c r="BQ192" i="2"/>
  <c r="BK193" i="2"/>
  <c r="BJ193" i="2"/>
  <c r="BL193" i="2"/>
  <c r="BM193" i="2"/>
  <c r="BN193" i="2"/>
  <c r="BO193" i="2"/>
  <c r="BP193" i="2"/>
  <c r="BQ193" i="2"/>
  <c r="BK194" i="2"/>
  <c r="BJ194" i="2"/>
  <c r="BL194" i="2"/>
  <c r="BM194" i="2"/>
  <c r="BN194" i="2"/>
  <c r="BO194" i="2"/>
  <c r="BP194" i="2"/>
  <c r="BQ194" i="2"/>
  <c r="BK195" i="2"/>
  <c r="BJ195" i="2"/>
  <c r="BL195" i="2"/>
  <c r="BM195" i="2"/>
  <c r="BN195" i="2"/>
  <c r="BO195" i="2"/>
  <c r="BP195" i="2"/>
  <c r="BQ195" i="2"/>
  <c r="BK196" i="2"/>
  <c r="BJ196" i="2"/>
  <c r="BL196" i="2"/>
  <c r="BM196" i="2"/>
  <c r="BN196" i="2"/>
  <c r="BO196" i="2"/>
  <c r="BP196" i="2"/>
  <c r="BQ196" i="2"/>
  <c r="BK197" i="2"/>
  <c r="BJ197" i="2"/>
  <c r="BL197" i="2"/>
  <c r="BM197" i="2"/>
  <c r="BN197" i="2"/>
  <c r="BO197" i="2"/>
  <c r="BP197" i="2"/>
  <c r="BQ197" i="2"/>
  <c r="BK198" i="2"/>
  <c r="BJ198" i="2"/>
  <c r="BL198" i="2"/>
  <c r="BM198" i="2"/>
  <c r="BN198" i="2"/>
  <c r="BO198" i="2"/>
  <c r="BP198" i="2"/>
  <c r="BQ198" i="2"/>
  <c r="BK199" i="2"/>
  <c r="BJ199" i="2"/>
  <c r="BL199" i="2"/>
  <c r="BM199" i="2"/>
  <c r="BN199" i="2"/>
  <c r="BO199" i="2"/>
  <c r="BP199" i="2"/>
  <c r="BQ199" i="2"/>
  <c r="BK200" i="2"/>
  <c r="BJ200" i="2"/>
  <c r="BL200" i="2"/>
  <c r="BM200" i="2"/>
  <c r="BN200" i="2"/>
  <c r="BO200" i="2"/>
  <c r="BP200" i="2"/>
  <c r="BQ200" i="2"/>
  <c r="BK201" i="2"/>
  <c r="BJ201" i="2"/>
  <c r="BL201" i="2"/>
  <c r="BM201" i="2"/>
  <c r="BN201" i="2"/>
  <c r="BO201" i="2"/>
  <c r="BP201" i="2"/>
  <c r="BQ201" i="2"/>
  <c r="BK202" i="2"/>
  <c r="BJ202" i="2"/>
  <c r="BL202" i="2"/>
  <c r="BM202" i="2"/>
  <c r="BN202" i="2"/>
  <c r="BO202" i="2"/>
  <c r="BP202" i="2"/>
  <c r="BQ202" i="2"/>
  <c r="BK203" i="2"/>
  <c r="BJ203" i="2"/>
  <c r="BL203" i="2"/>
  <c r="BM203" i="2"/>
  <c r="BN203" i="2"/>
  <c r="BO203" i="2"/>
  <c r="BP203" i="2"/>
  <c r="BQ203" i="2"/>
  <c r="BK204" i="2"/>
  <c r="BJ204" i="2"/>
  <c r="BL204" i="2"/>
  <c r="BM204" i="2"/>
  <c r="BN204" i="2"/>
  <c r="BO204" i="2"/>
  <c r="BP204" i="2"/>
  <c r="BQ204" i="2"/>
  <c r="BK205" i="2"/>
  <c r="BJ205" i="2"/>
  <c r="BL205" i="2"/>
  <c r="BM205" i="2"/>
  <c r="BN205" i="2"/>
  <c r="BO205" i="2"/>
  <c r="BP205" i="2"/>
  <c r="BQ205" i="2"/>
  <c r="BK206" i="2"/>
  <c r="BJ206" i="2"/>
  <c r="BL206" i="2"/>
  <c r="BM206" i="2"/>
  <c r="BN206" i="2"/>
  <c r="BO206" i="2"/>
  <c r="BP206" i="2"/>
  <c r="BQ206" i="2"/>
  <c r="BK207" i="2"/>
  <c r="BJ207" i="2"/>
  <c r="BL207" i="2"/>
  <c r="BM207" i="2"/>
  <c r="BN207" i="2"/>
  <c r="BO207" i="2"/>
  <c r="BP207" i="2"/>
  <c r="BQ207" i="2"/>
  <c r="BK208" i="2"/>
  <c r="BJ208" i="2"/>
  <c r="BL208" i="2"/>
  <c r="BM208" i="2"/>
  <c r="BN208" i="2"/>
  <c r="BO208" i="2"/>
  <c r="BP208" i="2"/>
  <c r="BQ208" i="2"/>
  <c r="BK209" i="2"/>
  <c r="BJ209" i="2"/>
  <c r="BL209" i="2"/>
  <c r="BM209" i="2"/>
  <c r="BN209" i="2"/>
  <c r="BO209" i="2"/>
  <c r="BP209" i="2"/>
  <c r="BQ209" i="2"/>
  <c r="BK210" i="2"/>
  <c r="BJ210" i="2"/>
  <c r="BL210" i="2"/>
  <c r="BM210" i="2"/>
  <c r="BN210" i="2"/>
  <c r="BO210" i="2"/>
  <c r="BP210" i="2"/>
  <c r="BQ210" i="2"/>
  <c r="BK211" i="2"/>
  <c r="BJ211" i="2"/>
  <c r="BL211" i="2"/>
  <c r="BM211" i="2"/>
  <c r="BN211" i="2"/>
  <c r="BO211" i="2"/>
  <c r="BP211" i="2"/>
  <c r="BQ211" i="2"/>
  <c r="BK212" i="2"/>
  <c r="BJ212" i="2"/>
  <c r="BL212" i="2"/>
  <c r="BM212" i="2"/>
  <c r="BN212" i="2"/>
  <c r="BO212" i="2"/>
  <c r="BP212" i="2"/>
  <c r="BQ212" i="2"/>
  <c r="BK213" i="2"/>
  <c r="BJ213" i="2"/>
  <c r="BL213" i="2"/>
  <c r="BM213" i="2"/>
  <c r="BN213" i="2"/>
  <c r="BO213" i="2"/>
  <c r="BP213" i="2"/>
  <c r="BQ213" i="2"/>
  <c r="BK214" i="2"/>
  <c r="BJ214" i="2"/>
  <c r="BL214" i="2"/>
  <c r="BM214" i="2"/>
  <c r="BN214" i="2"/>
  <c r="BO214" i="2"/>
  <c r="BP214" i="2"/>
  <c r="BQ214" i="2"/>
  <c r="BK215" i="2"/>
  <c r="BJ215" i="2"/>
  <c r="BL215" i="2"/>
  <c r="BM215" i="2"/>
  <c r="BN215" i="2"/>
  <c r="BO215" i="2"/>
  <c r="BP215" i="2"/>
  <c r="BQ215" i="2"/>
  <c r="BK216" i="2"/>
  <c r="BJ216" i="2"/>
  <c r="BL216" i="2"/>
  <c r="BM216" i="2"/>
  <c r="BN216" i="2"/>
  <c r="BO216" i="2"/>
  <c r="BP216" i="2"/>
  <c r="BQ216" i="2"/>
  <c r="BK217" i="2"/>
  <c r="BJ217" i="2"/>
  <c r="BL217" i="2"/>
  <c r="BM217" i="2"/>
  <c r="BN217" i="2"/>
  <c r="BO217" i="2"/>
  <c r="BP217" i="2"/>
  <c r="BQ217" i="2"/>
  <c r="BQ15" i="2"/>
  <c r="BR17" i="2"/>
  <c r="BS17" i="2"/>
  <c r="BR18" i="2"/>
  <c r="BS18" i="2"/>
  <c r="BR19" i="2"/>
  <c r="BS19" i="2"/>
  <c r="BR20" i="2"/>
  <c r="BS20" i="2"/>
  <c r="BR21" i="2"/>
  <c r="BS21" i="2"/>
  <c r="BR22" i="2"/>
  <c r="BS22" i="2"/>
  <c r="BR23" i="2"/>
  <c r="BS23" i="2"/>
  <c r="BR24" i="2"/>
  <c r="BS24" i="2"/>
  <c r="BR25" i="2"/>
  <c r="BS25" i="2"/>
  <c r="BR26" i="2"/>
  <c r="BS26" i="2"/>
  <c r="BR27" i="2"/>
  <c r="BS27" i="2"/>
  <c r="BR28" i="2"/>
  <c r="BS28" i="2"/>
  <c r="BR29" i="2"/>
  <c r="BS29" i="2"/>
  <c r="BR30" i="2"/>
  <c r="BS30" i="2"/>
  <c r="BR31" i="2"/>
  <c r="BS31" i="2"/>
  <c r="BR32" i="2"/>
  <c r="BS32" i="2"/>
  <c r="BR33" i="2"/>
  <c r="BS33" i="2"/>
  <c r="BR34" i="2"/>
  <c r="BS34" i="2"/>
  <c r="BR35" i="2"/>
  <c r="BS35" i="2"/>
  <c r="BR36" i="2"/>
  <c r="BS36" i="2"/>
  <c r="BR37" i="2"/>
  <c r="BS37" i="2"/>
  <c r="BR38" i="2"/>
  <c r="BS38" i="2"/>
  <c r="BR39" i="2"/>
  <c r="BS39" i="2"/>
  <c r="BR40" i="2"/>
  <c r="BS40" i="2"/>
  <c r="BR41" i="2"/>
  <c r="BS41" i="2"/>
  <c r="BR42" i="2"/>
  <c r="BS42" i="2"/>
  <c r="BR43" i="2"/>
  <c r="BS43" i="2"/>
  <c r="BR44" i="2"/>
  <c r="BS44" i="2"/>
  <c r="BR45" i="2"/>
  <c r="BS45" i="2"/>
  <c r="BR46" i="2"/>
  <c r="BS46" i="2"/>
  <c r="BR47" i="2"/>
  <c r="BS47" i="2"/>
  <c r="BR48" i="2"/>
  <c r="BS48" i="2"/>
  <c r="BR49" i="2"/>
  <c r="BS49" i="2"/>
  <c r="BR50" i="2"/>
  <c r="BS50" i="2"/>
  <c r="BR51" i="2"/>
  <c r="BS51" i="2"/>
  <c r="BR52" i="2"/>
  <c r="BS52" i="2"/>
  <c r="BR53" i="2"/>
  <c r="BS53" i="2"/>
  <c r="BR54" i="2"/>
  <c r="BS54" i="2"/>
  <c r="BR55" i="2"/>
  <c r="BS55" i="2"/>
  <c r="BR56" i="2"/>
  <c r="BS56" i="2"/>
  <c r="BR57" i="2"/>
  <c r="BS57" i="2"/>
  <c r="BR58" i="2"/>
  <c r="BS58" i="2"/>
  <c r="BR59" i="2"/>
  <c r="BS59" i="2"/>
  <c r="BR60" i="2"/>
  <c r="BS60" i="2"/>
  <c r="BR61" i="2"/>
  <c r="BS61" i="2"/>
  <c r="BR62" i="2"/>
  <c r="BS62" i="2"/>
  <c r="BR63" i="2"/>
  <c r="BS63" i="2"/>
  <c r="BR64" i="2"/>
  <c r="BS64" i="2"/>
  <c r="BR65" i="2"/>
  <c r="BS65" i="2"/>
  <c r="BR66" i="2"/>
  <c r="BS66" i="2"/>
  <c r="BR67" i="2"/>
  <c r="BS67" i="2"/>
  <c r="BR68" i="2"/>
  <c r="BS68" i="2"/>
  <c r="BR69" i="2"/>
  <c r="BS69" i="2"/>
  <c r="BR70" i="2"/>
  <c r="BS70" i="2"/>
  <c r="BR71" i="2"/>
  <c r="BS71" i="2"/>
  <c r="BR72" i="2"/>
  <c r="BS72" i="2"/>
  <c r="BR73" i="2"/>
  <c r="BS73" i="2"/>
  <c r="BR74" i="2"/>
  <c r="BS74" i="2"/>
  <c r="BR75" i="2"/>
  <c r="BS75" i="2"/>
  <c r="BR76" i="2"/>
  <c r="BS76" i="2"/>
  <c r="BR77" i="2"/>
  <c r="BS77" i="2"/>
  <c r="BR78" i="2"/>
  <c r="BS78" i="2"/>
  <c r="BR79" i="2"/>
  <c r="BS79" i="2"/>
  <c r="BR80" i="2"/>
  <c r="BS80" i="2"/>
  <c r="BR81" i="2"/>
  <c r="BS81" i="2"/>
  <c r="BR82" i="2"/>
  <c r="BS82" i="2"/>
  <c r="BR83" i="2"/>
  <c r="BS83" i="2"/>
  <c r="BR84" i="2"/>
  <c r="BS84" i="2"/>
  <c r="BR85" i="2"/>
  <c r="BS85" i="2"/>
  <c r="BR86" i="2"/>
  <c r="BS86" i="2"/>
  <c r="BR87" i="2"/>
  <c r="BS87" i="2"/>
  <c r="BR88" i="2"/>
  <c r="BS88" i="2"/>
  <c r="BR89" i="2"/>
  <c r="BS89" i="2"/>
  <c r="BR90" i="2"/>
  <c r="BS90" i="2"/>
  <c r="BR91" i="2"/>
  <c r="BS91" i="2"/>
  <c r="BR92" i="2"/>
  <c r="BS92" i="2"/>
  <c r="BR93" i="2"/>
  <c r="BS93" i="2"/>
  <c r="BR94" i="2"/>
  <c r="BS94" i="2"/>
  <c r="BR95" i="2"/>
  <c r="BS95" i="2"/>
  <c r="BR96" i="2"/>
  <c r="BS96" i="2"/>
  <c r="BR97" i="2"/>
  <c r="BS97" i="2"/>
  <c r="BR98" i="2"/>
  <c r="BS98" i="2"/>
  <c r="BR99" i="2"/>
  <c r="BS99" i="2"/>
  <c r="BR100" i="2"/>
  <c r="BS100" i="2"/>
  <c r="BR101" i="2"/>
  <c r="BS101" i="2"/>
  <c r="BR102" i="2"/>
  <c r="BS102" i="2"/>
  <c r="BR103" i="2"/>
  <c r="BS103" i="2"/>
  <c r="BR104" i="2"/>
  <c r="BS104" i="2"/>
  <c r="BR105" i="2"/>
  <c r="BS105" i="2"/>
  <c r="BR106" i="2"/>
  <c r="BS106" i="2"/>
  <c r="BR107" i="2"/>
  <c r="BS107" i="2"/>
  <c r="BR108" i="2"/>
  <c r="BS108" i="2"/>
  <c r="BR109" i="2"/>
  <c r="BS109" i="2"/>
  <c r="BR110" i="2"/>
  <c r="BS110" i="2"/>
  <c r="BR111" i="2"/>
  <c r="BS111" i="2"/>
  <c r="BR112" i="2"/>
  <c r="BS112" i="2"/>
  <c r="BR113" i="2"/>
  <c r="BS113" i="2"/>
  <c r="BR114" i="2"/>
  <c r="BS114" i="2"/>
  <c r="BR115" i="2"/>
  <c r="BS115" i="2"/>
  <c r="BR116" i="2"/>
  <c r="BS116" i="2"/>
  <c r="BR117" i="2"/>
  <c r="BS117" i="2"/>
  <c r="BR118" i="2"/>
  <c r="BS118" i="2"/>
  <c r="BR119" i="2"/>
  <c r="BS119" i="2"/>
  <c r="BR120" i="2"/>
  <c r="BS120" i="2"/>
  <c r="BR121" i="2"/>
  <c r="BS121" i="2"/>
  <c r="BR122" i="2"/>
  <c r="BS122" i="2"/>
  <c r="BR123" i="2"/>
  <c r="BS123" i="2"/>
  <c r="BR124" i="2"/>
  <c r="BS124" i="2"/>
  <c r="BR125" i="2"/>
  <c r="BS125" i="2"/>
  <c r="BR126" i="2"/>
  <c r="BS126" i="2"/>
  <c r="BR127" i="2"/>
  <c r="BS127" i="2"/>
  <c r="BR128" i="2"/>
  <c r="BS128" i="2"/>
  <c r="BR129" i="2"/>
  <c r="BS129" i="2"/>
  <c r="BR130" i="2"/>
  <c r="BS130" i="2"/>
  <c r="BR131" i="2"/>
  <c r="BS131" i="2"/>
  <c r="BR132" i="2"/>
  <c r="BS132" i="2"/>
  <c r="BR133" i="2"/>
  <c r="BS133" i="2"/>
  <c r="BR134" i="2"/>
  <c r="BS134" i="2"/>
  <c r="BR135" i="2"/>
  <c r="BS135" i="2"/>
  <c r="BR136" i="2"/>
  <c r="BS136" i="2"/>
  <c r="BR137" i="2"/>
  <c r="BS137" i="2"/>
  <c r="BR138" i="2"/>
  <c r="BS138" i="2"/>
  <c r="BR139" i="2"/>
  <c r="BS139" i="2"/>
  <c r="BR140" i="2"/>
  <c r="BS140" i="2"/>
  <c r="BR141" i="2"/>
  <c r="BS141" i="2"/>
  <c r="BR142" i="2"/>
  <c r="BS142" i="2"/>
  <c r="BR143" i="2"/>
  <c r="BS143" i="2"/>
  <c r="BR144" i="2"/>
  <c r="BS144" i="2"/>
  <c r="BR145" i="2"/>
  <c r="BS145" i="2"/>
  <c r="BR146" i="2"/>
  <c r="BS146" i="2"/>
  <c r="BR147" i="2"/>
  <c r="BS147" i="2"/>
  <c r="BR148" i="2"/>
  <c r="BS148" i="2"/>
  <c r="BR149" i="2"/>
  <c r="BS149" i="2"/>
  <c r="BR150" i="2"/>
  <c r="BS150" i="2"/>
  <c r="BR151" i="2"/>
  <c r="BS151" i="2"/>
  <c r="BR152" i="2"/>
  <c r="BS152" i="2"/>
  <c r="BR153" i="2"/>
  <c r="BS153" i="2"/>
  <c r="BR154" i="2"/>
  <c r="BS154" i="2"/>
  <c r="BR155" i="2"/>
  <c r="BS155" i="2"/>
  <c r="BR156" i="2"/>
  <c r="BS156" i="2"/>
  <c r="BR157" i="2"/>
  <c r="BS157" i="2"/>
  <c r="BR158" i="2"/>
  <c r="BS158" i="2"/>
  <c r="BR159" i="2"/>
  <c r="BS159" i="2"/>
  <c r="BR160" i="2"/>
  <c r="BS160" i="2"/>
  <c r="BR161" i="2"/>
  <c r="BS161" i="2"/>
  <c r="BR162" i="2"/>
  <c r="BS162" i="2"/>
  <c r="BR163" i="2"/>
  <c r="BS163" i="2"/>
  <c r="BR164" i="2"/>
  <c r="BS164" i="2"/>
  <c r="BR165" i="2"/>
  <c r="BS165" i="2"/>
  <c r="BR166" i="2"/>
  <c r="BS166" i="2"/>
  <c r="BR167" i="2"/>
  <c r="BS167" i="2"/>
  <c r="BR168" i="2"/>
  <c r="BS168" i="2"/>
  <c r="BR169" i="2"/>
  <c r="BS169" i="2"/>
  <c r="BR170" i="2"/>
  <c r="BS170" i="2"/>
  <c r="BR171" i="2"/>
  <c r="BS171" i="2"/>
  <c r="BR172" i="2"/>
  <c r="BS172" i="2"/>
  <c r="BR173" i="2"/>
  <c r="BS173" i="2"/>
  <c r="BR174" i="2"/>
  <c r="BS174" i="2"/>
  <c r="BR175" i="2"/>
  <c r="BS175" i="2"/>
  <c r="BR176" i="2"/>
  <c r="BS176" i="2"/>
  <c r="BR177" i="2"/>
  <c r="BS177" i="2"/>
  <c r="BR178" i="2"/>
  <c r="BS178" i="2"/>
  <c r="BR179" i="2"/>
  <c r="BS179" i="2"/>
  <c r="BR180" i="2"/>
  <c r="BS180" i="2"/>
  <c r="BR181" i="2"/>
  <c r="BS181" i="2"/>
  <c r="BR182" i="2"/>
  <c r="BS182" i="2"/>
  <c r="BR183" i="2"/>
  <c r="BS183" i="2"/>
  <c r="BR184" i="2"/>
  <c r="BS184" i="2"/>
  <c r="BR185" i="2"/>
  <c r="BS185" i="2"/>
  <c r="BR186" i="2"/>
  <c r="BS186" i="2"/>
  <c r="BR187" i="2"/>
  <c r="BS187" i="2"/>
  <c r="BR188" i="2"/>
  <c r="BS188" i="2"/>
  <c r="BR189" i="2"/>
  <c r="BS189" i="2"/>
  <c r="BR190" i="2"/>
  <c r="BS190" i="2"/>
  <c r="BR191" i="2"/>
  <c r="BS191" i="2"/>
  <c r="BR192" i="2"/>
  <c r="BS192" i="2"/>
  <c r="BR193" i="2"/>
  <c r="BS193" i="2"/>
  <c r="BR194" i="2"/>
  <c r="BS194" i="2"/>
  <c r="BR195" i="2"/>
  <c r="BS195" i="2"/>
  <c r="BR196" i="2"/>
  <c r="BS196" i="2"/>
  <c r="BR197" i="2"/>
  <c r="BS197" i="2"/>
  <c r="BR198" i="2"/>
  <c r="BS198" i="2"/>
  <c r="BR199" i="2"/>
  <c r="BS199" i="2"/>
  <c r="BR200" i="2"/>
  <c r="BS200" i="2"/>
  <c r="BR201" i="2"/>
  <c r="BS201" i="2"/>
  <c r="BR202" i="2"/>
  <c r="BS202" i="2"/>
  <c r="BR203" i="2"/>
  <c r="BS203" i="2"/>
  <c r="BR204" i="2"/>
  <c r="BS204" i="2"/>
  <c r="BR205" i="2"/>
  <c r="BS205" i="2"/>
  <c r="BR206" i="2"/>
  <c r="BS206" i="2"/>
  <c r="BR207" i="2"/>
  <c r="BS207" i="2"/>
  <c r="BR208" i="2"/>
  <c r="BS208" i="2"/>
  <c r="BR209" i="2"/>
  <c r="BS209" i="2"/>
  <c r="BR210" i="2"/>
  <c r="BS210" i="2"/>
  <c r="BR211" i="2"/>
  <c r="BS211" i="2"/>
  <c r="BR212" i="2"/>
  <c r="BS212" i="2"/>
  <c r="BR213" i="2"/>
  <c r="BS213" i="2"/>
  <c r="BR214" i="2"/>
  <c r="BS214" i="2"/>
  <c r="BR215" i="2"/>
  <c r="BS215" i="2"/>
  <c r="BR216" i="2"/>
  <c r="BS216" i="2"/>
  <c r="BR217" i="2"/>
  <c r="BS217" i="2"/>
  <c r="BS15" i="2"/>
  <c r="AH15" i="2"/>
  <c r="CL15" i="2"/>
  <c r="BA15" i="2"/>
  <c r="BR15" i="2"/>
  <c r="AU6" i="2"/>
  <c r="BL6" i="2"/>
  <c r="AA6" i="2"/>
  <c r="AU5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15" i="2"/>
  <c r="BL5" i="2"/>
  <c r="AA5" i="2"/>
  <c r="J6" i="36"/>
  <c r="K6" i="36"/>
  <c r="C68" i="1"/>
  <c r="B5" i="36"/>
  <c r="J5" i="36"/>
  <c r="K5" i="36"/>
  <c r="G6" i="14"/>
  <c r="C6" i="14"/>
  <c r="Q227" i="36"/>
  <c r="R227" i="36"/>
  <c r="B29" i="20"/>
  <c r="B28" i="20"/>
  <c r="E45" i="30"/>
  <c r="E46" i="30"/>
  <c r="E47" i="30"/>
  <c r="E48" i="30"/>
  <c r="E49" i="30"/>
  <c r="E50" i="30"/>
  <c r="E51" i="30"/>
  <c r="E44" i="30"/>
  <c r="C2" i="11"/>
  <c r="D2" i="11"/>
  <c r="E2" i="11"/>
  <c r="F2" i="11"/>
  <c r="C3" i="11"/>
  <c r="D3" i="11"/>
  <c r="E3" i="11"/>
  <c r="F3" i="11"/>
  <c r="C4" i="11"/>
  <c r="D4" i="11"/>
  <c r="E4" i="11"/>
  <c r="F4" i="11"/>
  <c r="B5" i="11"/>
  <c r="C5" i="11"/>
  <c r="D5" i="11"/>
  <c r="E5" i="11"/>
  <c r="F5" i="11"/>
  <c r="C6" i="11"/>
  <c r="D6" i="11"/>
  <c r="E6" i="11"/>
  <c r="F6" i="11"/>
  <c r="F7" i="11"/>
  <c r="F8" i="11"/>
  <c r="C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9" i="11"/>
  <c r="C19" i="11"/>
  <c r="D19" i="11"/>
  <c r="E19" i="11"/>
  <c r="F19" i="11"/>
  <c r="B27" i="11"/>
  <c r="B28" i="11"/>
  <c r="B32" i="11"/>
  <c r="B33" i="11"/>
  <c r="C72" i="1"/>
  <c r="C37" i="11"/>
  <c r="D37" i="11"/>
  <c r="D72" i="1"/>
  <c r="E37" i="11"/>
  <c r="F37" i="11"/>
  <c r="C73" i="1"/>
  <c r="C38" i="11"/>
  <c r="D38" i="11"/>
  <c r="D73" i="1"/>
  <c r="E38" i="11"/>
  <c r="F38" i="11"/>
  <c r="B19" i="20"/>
  <c r="B18" i="20"/>
  <c r="B13" i="20"/>
  <c r="B36" i="20"/>
  <c r="B35" i="20"/>
  <c r="B15" i="20"/>
  <c r="B14" i="20"/>
  <c r="B20" i="20"/>
  <c r="B12" i="20"/>
  <c r="B8" i="20"/>
  <c r="B7" i="20"/>
  <c r="B6" i="20"/>
  <c r="B5" i="20"/>
  <c r="B4" i="20"/>
  <c r="C39" i="1"/>
  <c r="C38" i="1"/>
  <c r="K7" i="1"/>
  <c r="K6" i="1"/>
  <c r="D4" i="1"/>
  <c r="CD3" i="2"/>
  <c r="C4" i="1"/>
  <c r="BJ3" i="2"/>
  <c r="AS3" i="2"/>
  <c r="Y3" i="2"/>
  <c r="D71" i="1"/>
  <c r="C71" i="1"/>
  <c r="D68" i="1"/>
  <c r="D70" i="1"/>
  <c r="B60" i="1"/>
  <c r="B59" i="1"/>
  <c r="CG8" i="2"/>
  <c r="CG7" i="2"/>
  <c r="D39" i="1"/>
  <c r="D38" i="1"/>
  <c r="BM8" i="2"/>
  <c r="BM7" i="2"/>
  <c r="O40" i="15"/>
  <c r="N40" i="15"/>
  <c r="O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C35" i="15"/>
  <c r="E36" i="15"/>
  <c r="I36" i="15"/>
  <c r="B69" i="1"/>
  <c r="C11" i="14"/>
  <c r="C10" i="14"/>
  <c r="C7" i="14"/>
  <c r="B61" i="1"/>
  <c r="C4" i="14"/>
  <c r="C5" i="14"/>
  <c r="B62" i="1"/>
  <c r="C2" i="14"/>
  <c r="C3" i="14"/>
  <c r="C54" i="1"/>
  <c r="B54" i="1"/>
  <c r="B53" i="1"/>
  <c r="AV8" i="2"/>
  <c r="AV7" i="2"/>
  <c r="B3" i="9"/>
  <c r="B4" i="9"/>
  <c r="C14" i="9"/>
  <c r="C15" i="9"/>
  <c r="C16" i="9"/>
  <c r="B16" i="9"/>
  <c r="F16" i="9"/>
  <c r="E16" i="9"/>
  <c r="D16" i="9"/>
  <c r="B15" i="9"/>
  <c r="F15" i="9"/>
  <c r="E15" i="9"/>
  <c r="D15" i="9"/>
  <c r="B14" i="9"/>
  <c r="F14" i="9"/>
  <c r="E14" i="9"/>
  <c r="D14" i="9"/>
  <c r="B28" i="9"/>
  <c r="B11" i="9"/>
  <c r="C28" i="9"/>
  <c r="B7" i="9"/>
  <c r="B9" i="9"/>
  <c r="B8" i="9"/>
  <c r="B10" i="9"/>
  <c r="F28" i="9"/>
  <c r="D28" i="9"/>
  <c r="F19" i="9"/>
  <c r="E19" i="9"/>
  <c r="B2" i="9"/>
  <c r="D19" i="9"/>
  <c r="B38" i="9"/>
  <c r="C38" i="9"/>
  <c r="F38" i="9"/>
  <c r="B37" i="9"/>
  <c r="C37" i="9"/>
  <c r="F37" i="9"/>
  <c r="B36" i="9"/>
  <c r="C36" i="9"/>
  <c r="F36" i="9"/>
  <c r="B35" i="9"/>
  <c r="C35" i="9"/>
  <c r="F35" i="9"/>
  <c r="B34" i="9"/>
  <c r="C34" i="9"/>
  <c r="F34" i="9"/>
  <c r="B33" i="9"/>
  <c r="C33" i="9"/>
  <c r="F33" i="9"/>
  <c r="B32" i="9"/>
  <c r="C32" i="9"/>
  <c r="F32" i="9"/>
  <c r="B31" i="9"/>
  <c r="C31" i="9"/>
  <c r="F31" i="9"/>
  <c r="B30" i="9"/>
  <c r="C30" i="9"/>
  <c r="F30" i="9"/>
  <c r="B29" i="9"/>
  <c r="C29" i="9"/>
  <c r="F29" i="9"/>
  <c r="B27" i="9"/>
  <c r="C27" i="9"/>
  <c r="F27" i="9"/>
  <c r="B26" i="9"/>
  <c r="C26" i="9"/>
  <c r="F26" i="9"/>
  <c r="B25" i="9"/>
  <c r="C25" i="9"/>
  <c r="F25" i="9"/>
  <c r="B24" i="9"/>
  <c r="C24" i="9"/>
  <c r="F24" i="9"/>
  <c r="B23" i="9"/>
  <c r="C23" i="9"/>
  <c r="F23" i="9"/>
  <c r="B22" i="9"/>
  <c r="C22" i="9"/>
  <c r="F22" i="9"/>
  <c r="B21" i="9"/>
  <c r="C21" i="9"/>
  <c r="F21" i="9"/>
  <c r="B20" i="9"/>
  <c r="C20" i="9"/>
  <c r="F20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D38" i="9"/>
  <c r="D37" i="9"/>
  <c r="D36" i="9"/>
  <c r="D35" i="9"/>
  <c r="D34" i="9"/>
  <c r="D33" i="9"/>
  <c r="D32" i="9"/>
  <c r="D31" i="9"/>
  <c r="D30" i="9"/>
  <c r="D29" i="9"/>
  <c r="D27" i="9"/>
  <c r="D26" i="9"/>
  <c r="D25" i="9"/>
  <c r="D24" i="9"/>
  <c r="D23" i="9"/>
  <c r="D22" i="9"/>
  <c r="D21" i="9"/>
  <c r="D20" i="9"/>
  <c r="D10" i="7"/>
  <c r="D11" i="7"/>
  <c r="D15" i="7"/>
  <c r="A16" i="7"/>
  <c r="A17" i="7"/>
  <c r="D17" i="7"/>
  <c r="A18" i="7"/>
  <c r="A19" i="7"/>
  <c r="A20" i="7"/>
  <c r="D20" i="7"/>
  <c r="A21" i="7"/>
  <c r="A22" i="7"/>
  <c r="A23" i="7"/>
  <c r="D23" i="7"/>
  <c r="A24" i="7"/>
  <c r="A25" i="7"/>
  <c r="A26" i="7"/>
  <c r="A27" i="7"/>
  <c r="A28" i="7"/>
  <c r="A29" i="7"/>
  <c r="D29" i="7"/>
  <c r="A30" i="7"/>
  <c r="A31" i="7"/>
  <c r="A32" i="7"/>
  <c r="D32" i="7"/>
  <c r="A33" i="7"/>
  <c r="A34" i="7"/>
  <c r="A35" i="7"/>
  <c r="A36" i="7"/>
  <c r="A37" i="7"/>
  <c r="A38" i="7"/>
  <c r="D38" i="7"/>
  <c r="A39" i="7"/>
  <c r="A40" i="7"/>
  <c r="A41" i="7"/>
  <c r="D41" i="7"/>
  <c r="A42" i="7"/>
  <c r="A43" i="7"/>
  <c r="A44" i="7"/>
  <c r="A45" i="7"/>
  <c r="A46" i="7"/>
  <c r="A47" i="7"/>
  <c r="D47" i="7"/>
  <c r="A48" i="7"/>
  <c r="A49" i="7"/>
  <c r="A50" i="7"/>
  <c r="D50" i="7"/>
  <c r="A51" i="7"/>
  <c r="A52" i="7"/>
  <c r="A53" i="7"/>
  <c r="A54" i="7"/>
  <c r="A55" i="7"/>
  <c r="A56" i="7"/>
  <c r="D56" i="7"/>
  <c r="A57" i="7"/>
  <c r="A58" i="7"/>
  <c r="A59" i="7"/>
  <c r="D59" i="7"/>
  <c r="A60" i="7"/>
  <c r="A61" i="7"/>
  <c r="A62" i="7"/>
  <c r="A63" i="7"/>
  <c r="A64" i="7"/>
  <c r="A65" i="7"/>
  <c r="D65" i="7"/>
  <c r="B10" i="7"/>
  <c r="B11" i="7"/>
  <c r="B18" i="7"/>
  <c r="B21" i="7"/>
  <c r="B19" i="7"/>
  <c r="B22" i="7"/>
  <c r="B25" i="7"/>
  <c r="B31" i="7"/>
  <c r="B34" i="7"/>
  <c r="B37" i="7"/>
  <c r="B43" i="7"/>
  <c r="B46" i="7"/>
  <c r="B49" i="7"/>
  <c r="B55" i="7"/>
  <c r="B58" i="7"/>
  <c r="B61" i="7"/>
  <c r="D12" i="7"/>
  <c r="B12" i="7"/>
  <c r="D6" i="7"/>
  <c r="C41" i="1"/>
  <c r="B41" i="1"/>
  <c r="D40" i="1"/>
  <c r="C40" i="1"/>
  <c r="B40" i="1"/>
  <c r="D37" i="1"/>
  <c r="D36" i="1"/>
  <c r="AB8" i="2"/>
  <c r="L8" i="2"/>
  <c r="C67" i="1"/>
  <c r="B66" i="1"/>
  <c r="B58" i="1"/>
  <c r="B57" i="1"/>
  <c r="B56" i="1"/>
  <c r="B55" i="1"/>
  <c r="E43" i="1"/>
  <c r="E42" i="1"/>
  <c r="AB7" i="2"/>
  <c r="B64" i="7"/>
  <c r="B52" i="7"/>
  <c r="B40" i="7"/>
  <c r="B28" i="7"/>
  <c r="B16" i="7"/>
  <c r="B63" i="7"/>
  <c r="B51" i="7"/>
  <c r="B39" i="7"/>
  <c r="B27" i="7"/>
  <c r="B15" i="7"/>
  <c r="D62" i="7"/>
  <c r="D53" i="7"/>
  <c r="D44" i="7"/>
  <c r="D35" i="7"/>
  <c r="D26" i="7"/>
  <c r="B57" i="7"/>
  <c r="B45" i="7"/>
  <c r="B33" i="7"/>
  <c r="E10" i="15"/>
  <c r="I10" i="15"/>
  <c r="E13" i="15"/>
  <c r="I13" i="15"/>
  <c r="E16" i="15"/>
  <c r="I16" i="15"/>
  <c r="E19" i="15"/>
  <c r="I19" i="15"/>
  <c r="E22" i="15"/>
  <c r="I22" i="15"/>
  <c r="E25" i="15"/>
  <c r="I25" i="15"/>
  <c r="E28" i="15"/>
  <c r="I28" i="15"/>
  <c r="E31" i="15"/>
  <c r="I31" i="15"/>
  <c r="E34" i="15"/>
  <c r="I34" i="15"/>
  <c r="E37" i="15"/>
  <c r="I37" i="15"/>
  <c r="F9" i="15"/>
  <c r="J9" i="15"/>
  <c r="E11" i="15"/>
  <c r="I11" i="15"/>
  <c r="E14" i="15"/>
  <c r="I14" i="15"/>
  <c r="E17" i="15"/>
  <c r="I17" i="15"/>
  <c r="E20" i="15"/>
  <c r="I20" i="15"/>
  <c r="E23" i="15"/>
  <c r="I23" i="15"/>
  <c r="E26" i="15"/>
  <c r="I26" i="15"/>
  <c r="E29" i="15"/>
  <c r="I29" i="15"/>
  <c r="E32" i="15"/>
  <c r="I32" i="15"/>
  <c r="E35" i="15"/>
  <c r="I35" i="15"/>
  <c r="E42" i="15"/>
  <c r="I9" i="15"/>
  <c r="F42" i="15"/>
  <c r="E38" i="15"/>
  <c r="I38" i="15"/>
  <c r="E9" i="15"/>
  <c r="E12" i="15"/>
  <c r="I12" i="15"/>
  <c r="E15" i="15"/>
  <c r="I15" i="15"/>
  <c r="E18" i="15"/>
  <c r="I18" i="15"/>
  <c r="E21" i="15"/>
  <c r="I21" i="15"/>
  <c r="E24" i="15"/>
  <c r="I24" i="15"/>
  <c r="E27" i="15"/>
  <c r="I27" i="15"/>
  <c r="E30" i="15"/>
  <c r="I30" i="15"/>
  <c r="E33" i="15"/>
  <c r="I33" i="15"/>
  <c r="B65" i="7"/>
  <c r="B59" i="7"/>
  <c r="B53" i="7"/>
  <c r="B47" i="7"/>
  <c r="B41" i="7"/>
  <c r="B35" i="7"/>
  <c r="B29" i="7"/>
  <c r="B23" i="7"/>
  <c r="B17" i="7"/>
  <c r="B62" i="7"/>
  <c r="B56" i="7"/>
  <c r="B50" i="7"/>
  <c r="B44" i="7"/>
  <c r="B38" i="7"/>
  <c r="B32" i="7"/>
  <c r="B26" i="7"/>
  <c r="B20" i="7"/>
  <c r="D64" i="7"/>
  <c r="D61" i="7"/>
  <c r="D58" i="7"/>
  <c r="D55" i="7"/>
  <c r="D52" i="7"/>
  <c r="D49" i="7"/>
  <c r="D46" i="7"/>
  <c r="D43" i="7"/>
  <c r="D40" i="7"/>
  <c r="D37" i="7"/>
  <c r="D34" i="7"/>
  <c r="D31" i="7"/>
  <c r="D28" i="7"/>
  <c r="D25" i="7"/>
  <c r="D22" i="7"/>
  <c r="D19" i="7"/>
  <c r="D16" i="7"/>
  <c r="B60" i="7"/>
  <c r="B54" i="7"/>
  <c r="B48" i="7"/>
  <c r="B42" i="7"/>
  <c r="B36" i="7"/>
  <c r="B30" i="7"/>
  <c r="B24" i="7"/>
  <c r="D63" i="7"/>
  <c r="D60" i="7"/>
  <c r="D57" i="7"/>
  <c r="D54" i="7"/>
  <c r="D51" i="7"/>
  <c r="D48" i="7"/>
  <c r="D45" i="7"/>
  <c r="D42" i="7"/>
  <c r="D39" i="7"/>
  <c r="D36" i="7"/>
  <c r="D33" i="7"/>
  <c r="D30" i="7"/>
  <c r="D27" i="7"/>
  <c r="D24" i="7"/>
  <c r="D21" i="7"/>
  <c r="D18" i="7"/>
  <c r="C70" i="1"/>
  <c r="G35" i="15"/>
  <c r="C42" i="15"/>
  <c r="C10" i="15"/>
  <c r="C13" i="15"/>
  <c r="C16" i="15"/>
  <c r="C19" i="15"/>
  <c r="C22" i="15"/>
  <c r="C25" i="15"/>
  <c r="C28" i="15"/>
  <c r="C31" i="15"/>
  <c r="C34" i="15"/>
  <c r="G9" i="15"/>
  <c r="D42" i="15"/>
  <c r="C38" i="15"/>
  <c r="C9" i="15"/>
  <c r="C12" i="15"/>
  <c r="C15" i="15"/>
  <c r="C18" i="15"/>
  <c r="C21" i="15"/>
  <c r="C24" i="15"/>
  <c r="C27" i="15"/>
  <c r="C30" i="15"/>
  <c r="C33" i="15"/>
  <c r="C36" i="15"/>
  <c r="C37" i="15"/>
  <c r="D9" i="15"/>
  <c r="C11" i="15"/>
  <c r="C14" i="15"/>
  <c r="C17" i="15"/>
  <c r="C20" i="15"/>
  <c r="C23" i="15"/>
  <c r="C26" i="15"/>
  <c r="C29" i="15"/>
  <c r="C32" i="15"/>
  <c r="D41" i="1"/>
  <c r="B13" i="7"/>
  <c r="G30" i="15"/>
  <c r="G36" i="15"/>
  <c r="G17" i="15"/>
  <c r="G33" i="15"/>
  <c r="G15" i="15"/>
  <c r="G34" i="15"/>
  <c r="G16" i="15"/>
  <c r="G13" i="15"/>
  <c r="G27" i="15"/>
  <c r="G28" i="15"/>
  <c r="G10" i="15"/>
  <c r="G14" i="15"/>
  <c r="G31" i="15"/>
  <c r="G11" i="15"/>
  <c r="G26" i="15"/>
  <c r="G38" i="15"/>
  <c r="G32" i="15"/>
  <c r="G12" i="15"/>
  <c r="G29" i="15"/>
  <c r="H9" i="15"/>
  <c r="G24" i="15"/>
  <c r="G25" i="15"/>
  <c r="G23" i="15"/>
  <c r="G37" i="15"/>
  <c r="G21" i="15"/>
  <c r="G22" i="15"/>
  <c r="G20" i="15"/>
  <c r="G18" i="15"/>
  <c r="G19" i="15"/>
  <c r="D67" i="1"/>
  <c r="D13" i="7"/>
  <c r="D54" i="1"/>
  <c r="O17" i="2"/>
  <c r="N17" i="2"/>
  <c r="T17" i="2"/>
  <c r="U17" i="2"/>
  <c r="V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15" i="2"/>
  <c r="W17" i="2"/>
  <c r="O18" i="2"/>
  <c r="T18" i="2"/>
  <c r="U18" i="2"/>
  <c r="V18" i="2"/>
  <c r="W18" i="2"/>
  <c r="O19" i="2"/>
  <c r="T19" i="2"/>
  <c r="U19" i="2"/>
  <c r="V19" i="2"/>
  <c r="W19" i="2"/>
  <c r="O20" i="2"/>
  <c r="T20" i="2"/>
  <c r="U20" i="2"/>
  <c r="V20" i="2"/>
  <c r="W20" i="2"/>
  <c r="O21" i="2"/>
  <c r="T21" i="2"/>
  <c r="U21" i="2"/>
  <c r="V21" i="2"/>
  <c r="W21" i="2"/>
  <c r="O22" i="2"/>
  <c r="T22" i="2"/>
  <c r="U22" i="2"/>
  <c r="V22" i="2"/>
  <c r="W22" i="2"/>
  <c r="O23" i="2"/>
  <c r="T23" i="2"/>
  <c r="U23" i="2"/>
  <c r="V23" i="2"/>
  <c r="W23" i="2"/>
  <c r="O24" i="2"/>
  <c r="T24" i="2"/>
  <c r="U24" i="2"/>
  <c r="V24" i="2"/>
  <c r="W24" i="2"/>
  <c r="O25" i="2"/>
  <c r="T25" i="2"/>
  <c r="U25" i="2"/>
  <c r="V25" i="2"/>
  <c r="W25" i="2"/>
  <c r="O26" i="2"/>
  <c r="T26" i="2"/>
  <c r="U26" i="2"/>
  <c r="V26" i="2"/>
  <c r="W26" i="2"/>
  <c r="O27" i="2"/>
  <c r="T27" i="2"/>
  <c r="U27" i="2"/>
  <c r="V27" i="2"/>
  <c r="W27" i="2"/>
  <c r="O28" i="2"/>
  <c r="T28" i="2"/>
  <c r="U28" i="2"/>
  <c r="V28" i="2"/>
  <c r="W28" i="2"/>
  <c r="O29" i="2"/>
  <c r="T29" i="2"/>
  <c r="U29" i="2"/>
  <c r="V29" i="2"/>
  <c r="W29" i="2"/>
  <c r="O30" i="2"/>
  <c r="T30" i="2"/>
  <c r="U30" i="2"/>
  <c r="V30" i="2"/>
  <c r="W30" i="2"/>
  <c r="O31" i="2"/>
  <c r="T31" i="2"/>
  <c r="U31" i="2"/>
  <c r="V31" i="2"/>
  <c r="W31" i="2"/>
  <c r="O32" i="2"/>
  <c r="T32" i="2"/>
  <c r="U32" i="2"/>
  <c r="V32" i="2"/>
  <c r="W32" i="2"/>
  <c r="O33" i="2"/>
  <c r="T33" i="2"/>
  <c r="U33" i="2"/>
  <c r="V33" i="2"/>
  <c r="W33" i="2"/>
  <c r="O34" i="2"/>
  <c r="T34" i="2"/>
  <c r="U34" i="2"/>
  <c r="V34" i="2"/>
  <c r="W34" i="2"/>
  <c r="O35" i="2"/>
  <c r="T35" i="2"/>
  <c r="U35" i="2"/>
  <c r="V35" i="2"/>
  <c r="W35" i="2"/>
  <c r="O36" i="2"/>
  <c r="T36" i="2"/>
  <c r="U36" i="2"/>
  <c r="V36" i="2"/>
  <c r="W36" i="2"/>
  <c r="O37" i="2"/>
  <c r="T37" i="2"/>
  <c r="U37" i="2"/>
  <c r="V37" i="2"/>
  <c r="W37" i="2"/>
  <c r="O38" i="2"/>
  <c r="T38" i="2"/>
  <c r="U38" i="2"/>
  <c r="V38" i="2"/>
  <c r="W38" i="2"/>
  <c r="O39" i="2"/>
  <c r="T39" i="2"/>
  <c r="U39" i="2"/>
  <c r="V39" i="2"/>
  <c r="W39" i="2"/>
  <c r="O40" i="2"/>
  <c r="T40" i="2"/>
  <c r="U40" i="2"/>
  <c r="V40" i="2"/>
  <c r="W40" i="2"/>
  <c r="O41" i="2"/>
  <c r="T41" i="2"/>
  <c r="U41" i="2"/>
  <c r="V41" i="2"/>
  <c r="W41" i="2"/>
  <c r="O42" i="2"/>
  <c r="T42" i="2"/>
  <c r="U42" i="2"/>
  <c r="V42" i="2"/>
  <c r="W42" i="2"/>
  <c r="O43" i="2"/>
  <c r="T43" i="2"/>
  <c r="U43" i="2"/>
  <c r="V43" i="2"/>
  <c r="W43" i="2"/>
  <c r="O44" i="2"/>
  <c r="T44" i="2"/>
  <c r="U44" i="2"/>
  <c r="V44" i="2"/>
  <c r="W44" i="2"/>
  <c r="O45" i="2"/>
  <c r="T45" i="2"/>
  <c r="U45" i="2"/>
  <c r="V45" i="2"/>
  <c r="W45" i="2"/>
  <c r="O46" i="2"/>
  <c r="T46" i="2"/>
  <c r="U46" i="2"/>
  <c r="V46" i="2"/>
  <c r="W46" i="2"/>
  <c r="O47" i="2"/>
  <c r="T47" i="2"/>
  <c r="U47" i="2"/>
  <c r="V47" i="2"/>
  <c r="W47" i="2"/>
  <c r="O48" i="2"/>
  <c r="T48" i="2"/>
  <c r="U48" i="2"/>
  <c r="V48" i="2"/>
  <c r="W48" i="2"/>
  <c r="O49" i="2"/>
  <c r="T49" i="2"/>
  <c r="U49" i="2"/>
  <c r="V49" i="2"/>
  <c r="W49" i="2"/>
  <c r="O50" i="2"/>
  <c r="T50" i="2"/>
  <c r="U50" i="2"/>
  <c r="V50" i="2"/>
  <c r="W50" i="2"/>
  <c r="O51" i="2"/>
  <c r="T51" i="2"/>
  <c r="U51" i="2"/>
  <c r="V51" i="2"/>
  <c r="W51" i="2"/>
  <c r="O52" i="2"/>
  <c r="T52" i="2"/>
  <c r="U52" i="2"/>
  <c r="V52" i="2"/>
  <c r="W52" i="2"/>
  <c r="O53" i="2"/>
  <c r="T53" i="2"/>
  <c r="U53" i="2"/>
  <c r="V53" i="2"/>
  <c r="W53" i="2"/>
  <c r="O54" i="2"/>
  <c r="T54" i="2"/>
  <c r="U54" i="2"/>
  <c r="V54" i="2"/>
  <c r="W54" i="2"/>
  <c r="O55" i="2"/>
  <c r="T55" i="2"/>
  <c r="U55" i="2"/>
  <c r="V55" i="2"/>
  <c r="W55" i="2"/>
  <c r="O56" i="2"/>
  <c r="T56" i="2"/>
  <c r="U56" i="2"/>
  <c r="V56" i="2"/>
  <c r="W56" i="2"/>
  <c r="O57" i="2"/>
  <c r="T57" i="2"/>
  <c r="U57" i="2"/>
  <c r="V57" i="2"/>
  <c r="W57" i="2"/>
  <c r="O58" i="2"/>
  <c r="T58" i="2"/>
  <c r="U58" i="2"/>
  <c r="V58" i="2"/>
  <c r="W58" i="2"/>
  <c r="O59" i="2"/>
  <c r="T59" i="2"/>
  <c r="U59" i="2"/>
  <c r="V59" i="2"/>
  <c r="W59" i="2"/>
  <c r="O60" i="2"/>
  <c r="T60" i="2"/>
  <c r="U60" i="2"/>
  <c r="V60" i="2"/>
  <c r="W60" i="2"/>
  <c r="O61" i="2"/>
  <c r="T61" i="2"/>
  <c r="U61" i="2"/>
  <c r="V61" i="2"/>
  <c r="W61" i="2"/>
  <c r="O62" i="2"/>
  <c r="T62" i="2"/>
  <c r="U62" i="2"/>
  <c r="V62" i="2"/>
  <c r="W62" i="2"/>
  <c r="O63" i="2"/>
  <c r="T63" i="2"/>
  <c r="U63" i="2"/>
  <c r="V63" i="2"/>
  <c r="W63" i="2"/>
  <c r="O64" i="2"/>
  <c r="T64" i="2"/>
  <c r="U64" i="2"/>
  <c r="V64" i="2"/>
  <c r="W64" i="2"/>
  <c r="O65" i="2"/>
  <c r="T65" i="2"/>
  <c r="U65" i="2"/>
  <c r="V65" i="2"/>
  <c r="W65" i="2"/>
  <c r="O66" i="2"/>
  <c r="T66" i="2"/>
  <c r="U66" i="2"/>
  <c r="V66" i="2"/>
  <c r="W66" i="2"/>
  <c r="O67" i="2"/>
  <c r="T67" i="2"/>
  <c r="U67" i="2"/>
  <c r="V67" i="2"/>
  <c r="W67" i="2"/>
  <c r="O68" i="2"/>
  <c r="T68" i="2"/>
  <c r="U68" i="2"/>
  <c r="V68" i="2"/>
  <c r="W68" i="2"/>
  <c r="O69" i="2"/>
  <c r="T69" i="2"/>
  <c r="U69" i="2"/>
  <c r="V69" i="2"/>
  <c r="W69" i="2"/>
  <c r="O70" i="2"/>
  <c r="T70" i="2"/>
  <c r="U70" i="2"/>
  <c r="V70" i="2"/>
  <c r="W70" i="2"/>
  <c r="O71" i="2"/>
  <c r="T71" i="2"/>
  <c r="U71" i="2"/>
  <c r="V71" i="2"/>
  <c r="W71" i="2"/>
  <c r="O72" i="2"/>
  <c r="T72" i="2"/>
  <c r="U72" i="2"/>
  <c r="V72" i="2"/>
  <c r="W72" i="2"/>
  <c r="O73" i="2"/>
  <c r="T73" i="2"/>
  <c r="U73" i="2"/>
  <c r="V73" i="2"/>
  <c r="W73" i="2"/>
  <c r="O74" i="2"/>
  <c r="T74" i="2"/>
  <c r="U74" i="2"/>
  <c r="V74" i="2"/>
  <c r="W74" i="2"/>
  <c r="O75" i="2"/>
  <c r="T75" i="2"/>
  <c r="U75" i="2"/>
  <c r="V75" i="2"/>
  <c r="W75" i="2"/>
  <c r="O76" i="2"/>
  <c r="T76" i="2"/>
  <c r="U76" i="2"/>
  <c r="V76" i="2"/>
  <c r="W76" i="2"/>
  <c r="O77" i="2"/>
  <c r="T77" i="2"/>
  <c r="U77" i="2"/>
  <c r="V77" i="2"/>
  <c r="W77" i="2"/>
  <c r="O78" i="2"/>
  <c r="T78" i="2"/>
  <c r="U78" i="2"/>
  <c r="V78" i="2"/>
  <c r="W78" i="2"/>
  <c r="O79" i="2"/>
  <c r="T79" i="2"/>
  <c r="U79" i="2"/>
  <c r="V79" i="2"/>
  <c r="W79" i="2"/>
  <c r="O80" i="2"/>
  <c r="T80" i="2"/>
  <c r="U80" i="2"/>
  <c r="V80" i="2"/>
  <c r="W80" i="2"/>
  <c r="O81" i="2"/>
  <c r="T81" i="2"/>
  <c r="U81" i="2"/>
  <c r="V81" i="2"/>
  <c r="W81" i="2"/>
  <c r="O82" i="2"/>
  <c r="T82" i="2"/>
  <c r="U82" i="2"/>
  <c r="V82" i="2"/>
  <c r="W82" i="2"/>
  <c r="O83" i="2"/>
  <c r="T83" i="2"/>
  <c r="U83" i="2"/>
  <c r="V83" i="2"/>
  <c r="W83" i="2"/>
  <c r="O84" i="2"/>
  <c r="T84" i="2"/>
  <c r="U84" i="2"/>
  <c r="V84" i="2"/>
  <c r="W84" i="2"/>
  <c r="O85" i="2"/>
  <c r="T85" i="2"/>
  <c r="U85" i="2"/>
  <c r="V85" i="2"/>
  <c r="W85" i="2"/>
  <c r="O86" i="2"/>
  <c r="T86" i="2"/>
  <c r="U86" i="2"/>
  <c r="V86" i="2"/>
  <c r="W86" i="2"/>
  <c r="O87" i="2"/>
  <c r="T87" i="2"/>
  <c r="U87" i="2"/>
  <c r="V87" i="2"/>
  <c r="W87" i="2"/>
  <c r="O88" i="2"/>
  <c r="T88" i="2"/>
  <c r="U88" i="2"/>
  <c r="V88" i="2"/>
  <c r="W88" i="2"/>
  <c r="O89" i="2"/>
  <c r="T89" i="2"/>
  <c r="U89" i="2"/>
  <c r="V89" i="2"/>
  <c r="W89" i="2"/>
  <c r="O90" i="2"/>
  <c r="T90" i="2"/>
  <c r="U90" i="2"/>
  <c r="V90" i="2"/>
  <c r="W90" i="2"/>
  <c r="O91" i="2"/>
  <c r="T91" i="2"/>
  <c r="U91" i="2"/>
  <c r="V91" i="2"/>
  <c r="W91" i="2"/>
  <c r="O92" i="2"/>
  <c r="T92" i="2"/>
  <c r="U92" i="2"/>
  <c r="V92" i="2"/>
  <c r="W92" i="2"/>
  <c r="O93" i="2"/>
  <c r="T93" i="2"/>
  <c r="U93" i="2"/>
  <c r="V93" i="2"/>
  <c r="W93" i="2"/>
  <c r="O94" i="2"/>
  <c r="T94" i="2"/>
  <c r="U94" i="2"/>
  <c r="V94" i="2"/>
  <c r="W94" i="2"/>
  <c r="O95" i="2"/>
  <c r="T95" i="2"/>
  <c r="U95" i="2"/>
  <c r="V95" i="2"/>
  <c r="W95" i="2"/>
  <c r="O96" i="2"/>
  <c r="T96" i="2"/>
  <c r="U96" i="2"/>
  <c r="V96" i="2"/>
  <c r="W96" i="2"/>
  <c r="O97" i="2"/>
  <c r="T97" i="2"/>
  <c r="U97" i="2"/>
  <c r="V97" i="2"/>
  <c r="W97" i="2"/>
  <c r="O98" i="2"/>
  <c r="T98" i="2"/>
  <c r="U98" i="2"/>
  <c r="V98" i="2"/>
  <c r="W98" i="2"/>
  <c r="O99" i="2"/>
  <c r="T99" i="2"/>
  <c r="U99" i="2"/>
  <c r="V99" i="2"/>
  <c r="W99" i="2"/>
  <c r="O100" i="2"/>
  <c r="T100" i="2"/>
  <c r="U100" i="2"/>
  <c r="V100" i="2"/>
  <c r="W100" i="2"/>
  <c r="O101" i="2"/>
  <c r="T101" i="2"/>
  <c r="U101" i="2"/>
  <c r="V101" i="2"/>
  <c r="W101" i="2"/>
  <c r="O102" i="2"/>
  <c r="T102" i="2"/>
  <c r="U102" i="2"/>
  <c r="V102" i="2"/>
  <c r="W102" i="2"/>
  <c r="O103" i="2"/>
  <c r="T103" i="2"/>
  <c r="U103" i="2"/>
  <c r="V103" i="2"/>
  <c r="W103" i="2"/>
  <c r="O104" i="2"/>
  <c r="T104" i="2"/>
  <c r="U104" i="2"/>
  <c r="V104" i="2"/>
  <c r="W104" i="2"/>
  <c r="O105" i="2"/>
  <c r="T105" i="2"/>
  <c r="U105" i="2"/>
  <c r="V105" i="2"/>
  <c r="W105" i="2"/>
  <c r="O106" i="2"/>
  <c r="T106" i="2"/>
  <c r="U106" i="2"/>
  <c r="V106" i="2"/>
  <c r="W106" i="2"/>
  <c r="O107" i="2"/>
  <c r="T107" i="2"/>
  <c r="U107" i="2"/>
  <c r="V107" i="2"/>
  <c r="W107" i="2"/>
  <c r="O108" i="2"/>
  <c r="T108" i="2"/>
  <c r="U108" i="2"/>
  <c r="V108" i="2"/>
  <c r="W108" i="2"/>
  <c r="O109" i="2"/>
  <c r="T109" i="2"/>
  <c r="U109" i="2"/>
  <c r="V109" i="2"/>
  <c r="W109" i="2"/>
  <c r="O110" i="2"/>
  <c r="T110" i="2"/>
  <c r="U110" i="2"/>
  <c r="V110" i="2"/>
  <c r="W110" i="2"/>
  <c r="O111" i="2"/>
  <c r="T111" i="2"/>
  <c r="U111" i="2"/>
  <c r="V111" i="2"/>
  <c r="W111" i="2"/>
  <c r="O112" i="2"/>
  <c r="T112" i="2"/>
  <c r="U112" i="2"/>
  <c r="V112" i="2"/>
  <c r="W112" i="2"/>
  <c r="O113" i="2"/>
  <c r="T113" i="2"/>
  <c r="U113" i="2"/>
  <c r="V113" i="2"/>
  <c r="W113" i="2"/>
  <c r="O114" i="2"/>
  <c r="T114" i="2"/>
  <c r="U114" i="2"/>
  <c r="V114" i="2"/>
  <c r="W114" i="2"/>
  <c r="O115" i="2"/>
  <c r="T115" i="2"/>
  <c r="U115" i="2"/>
  <c r="V115" i="2"/>
  <c r="W115" i="2"/>
  <c r="O116" i="2"/>
  <c r="T116" i="2"/>
  <c r="U116" i="2"/>
  <c r="V116" i="2"/>
  <c r="W116" i="2"/>
  <c r="O117" i="2"/>
  <c r="T117" i="2"/>
  <c r="U117" i="2"/>
  <c r="W117" i="2"/>
  <c r="O118" i="2"/>
  <c r="T118" i="2"/>
  <c r="U118" i="2"/>
  <c r="V118" i="2"/>
  <c r="W118" i="2"/>
  <c r="O119" i="2"/>
  <c r="T119" i="2"/>
  <c r="U119" i="2"/>
  <c r="V119" i="2"/>
  <c r="W119" i="2"/>
  <c r="O120" i="2"/>
  <c r="T120" i="2"/>
  <c r="U120" i="2"/>
  <c r="V120" i="2"/>
  <c r="W120" i="2"/>
  <c r="O121" i="2"/>
  <c r="T121" i="2"/>
  <c r="U121" i="2"/>
  <c r="V121" i="2"/>
  <c r="W121" i="2"/>
  <c r="O122" i="2"/>
  <c r="T122" i="2"/>
  <c r="U122" i="2"/>
  <c r="V122" i="2"/>
  <c r="W122" i="2"/>
  <c r="O123" i="2"/>
  <c r="T123" i="2"/>
  <c r="U123" i="2"/>
  <c r="V123" i="2"/>
  <c r="W123" i="2"/>
  <c r="O124" i="2"/>
  <c r="T124" i="2"/>
  <c r="U124" i="2"/>
  <c r="V124" i="2"/>
  <c r="W124" i="2"/>
  <c r="O125" i="2"/>
  <c r="T125" i="2"/>
  <c r="U125" i="2"/>
  <c r="V125" i="2"/>
  <c r="W125" i="2"/>
  <c r="O126" i="2"/>
  <c r="T126" i="2"/>
  <c r="U126" i="2"/>
  <c r="V126" i="2"/>
  <c r="W126" i="2"/>
  <c r="O127" i="2"/>
  <c r="T127" i="2"/>
  <c r="U127" i="2"/>
  <c r="V127" i="2"/>
  <c r="W127" i="2"/>
  <c r="O128" i="2"/>
  <c r="T128" i="2"/>
  <c r="U128" i="2"/>
  <c r="V128" i="2"/>
  <c r="W128" i="2"/>
  <c r="O129" i="2"/>
  <c r="T129" i="2"/>
  <c r="U129" i="2"/>
  <c r="V129" i="2"/>
  <c r="W129" i="2"/>
  <c r="O130" i="2"/>
  <c r="T130" i="2"/>
  <c r="U130" i="2"/>
  <c r="V130" i="2"/>
  <c r="W130" i="2"/>
  <c r="O131" i="2"/>
  <c r="T131" i="2"/>
  <c r="U131" i="2"/>
  <c r="V131" i="2"/>
  <c r="W131" i="2"/>
  <c r="O132" i="2"/>
  <c r="T132" i="2"/>
  <c r="U132" i="2"/>
  <c r="V132" i="2"/>
  <c r="W132" i="2"/>
  <c r="O133" i="2"/>
  <c r="T133" i="2"/>
  <c r="U133" i="2"/>
  <c r="V133" i="2"/>
  <c r="W133" i="2"/>
  <c r="O134" i="2"/>
  <c r="T134" i="2"/>
  <c r="U134" i="2"/>
  <c r="V134" i="2"/>
  <c r="W134" i="2"/>
  <c r="O135" i="2"/>
  <c r="T135" i="2"/>
  <c r="U135" i="2"/>
  <c r="V135" i="2"/>
  <c r="W135" i="2"/>
  <c r="O136" i="2"/>
  <c r="T136" i="2"/>
  <c r="U136" i="2"/>
  <c r="V136" i="2"/>
  <c r="W136" i="2"/>
  <c r="O137" i="2"/>
  <c r="T137" i="2"/>
  <c r="U137" i="2"/>
  <c r="V137" i="2"/>
  <c r="W137" i="2"/>
  <c r="O138" i="2"/>
  <c r="T138" i="2"/>
  <c r="U138" i="2"/>
  <c r="V138" i="2"/>
  <c r="W138" i="2"/>
  <c r="O139" i="2"/>
  <c r="T139" i="2"/>
  <c r="U139" i="2"/>
  <c r="V139" i="2"/>
  <c r="W139" i="2"/>
  <c r="O140" i="2"/>
  <c r="T140" i="2"/>
  <c r="U140" i="2"/>
  <c r="V140" i="2"/>
  <c r="W140" i="2"/>
  <c r="O141" i="2"/>
  <c r="T141" i="2"/>
  <c r="U141" i="2"/>
  <c r="V141" i="2"/>
  <c r="W141" i="2"/>
  <c r="O142" i="2"/>
  <c r="T142" i="2"/>
  <c r="U142" i="2"/>
  <c r="V142" i="2"/>
  <c r="W142" i="2"/>
  <c r="O143" i="2"/>
  <c r="T143" i="2"/>
  <c r="U143" i="2"/>
  <c r="V143" i="2"/>
  <c r="W143" i="2"/>
  <c r="O144" i="2"/>
  <c r="T144" i="2"/>
  <c r="U144" i="2"/>
  <c r="V144" i="2"/>
  <c r="W144" i="2"/>
  <c r="O145" i="2"/>
  <c r="T145" i="2"/>
  <c r="U145" i="2"/>
  <c r="V145" i="2"/>
  <c r="W145" i="2"/>
  <c r="O146" i="2"/>
  <c r="T146" i="2"/>
  <c r="U146" i="2"/>
  <c r="V146" i="2"/>
  <c r="W146" i="2"/>
  <c r="O147" i="2"/>
  <c r="T147" i="2"/>
  <c r="U147" i="2"/>
  <c r="V147" i="2"/>
  <c r="W147" i="2"/>
  <c r="O148" i="2"/>
  <c r="T148" i="2"/>
  <c r="U148" i="2"/>
  <c r="V148" i="2"/>
  <c r="W148" i="2"/>
  <c r="O149" i="2"/>
  <c r="T149" i="2"/>
  <c r="U149" i="2"/>
  <c r="V149" i="2"/>
  <c r="W149" i="2"/>
  <c r="O150" i="2"/>
  <c r="T150" i="2"/>
  <c r="U150" i="2"/>
  <c r="V150" i="2"/>
  <c r="W150" i="2"/>
  <c r="O151" i="2"/>
  <c r="T151" i="2"/>
  <c r="U151" i="2"/>
  <c r="V151" i="2"/>
  <c r="W151" i="2"/>
  <c r="O152" i="2"/>
  <c r="T152" i="2"/>
  <c r="U152" i="2"/>
  <c r="V152" i="2"/>
  <c r="W152" i="2"/>
  <c r="O153" i="2"/>
  <c r="T153" i="2"/>
  <c r="U153" i="2"/>
  <c r="V153" i="2"/>
  <c r="W153" i="2"/>
  <c r="O154" i="2"/>
  <c r="T154" i="2"/>
  <c r="U154" i="2"/>
  <c r="V154" i="2"/>
  <c r="W154" i="2"/>
  <c r="O155" i="2"/>
  <c r="T155" i="2"/>
  <c r="U155" i="2"/>
  <c r="V155" i="2"/>
  <c r="W155" i="2"/>
  <c r="O156" i="2"/>
  <c r="T156" i="2"/>
  <c r="U156" i="2"/>
  <c r="V156" i="2"/>
  <c r="W156" i="2"/>
  <c r="O157" i="2"/>
  <c r="T157" i="2"/>
  <c r="U157" i="2"/>
  <c r="V157" i="2"/>
  <c r="W157" i="2"/>
  <c r="O158" i="2"/>
  <c r="T158" i="2"/>
  <c r="U158" i="2"/>
  <c r="V158" i="2"/>
  <c r="W158" i="2"/>
  <c r="O159" i="2"/>
  <c r="T159" i="2"/>
  <c r="U159" i="2"/>
  <c r="V159" i="2"/>
  <c r="W159" i="2"/>
  <c r="O160" i="2"/>
  <c r="T160" i="2"/>
  <c r="U160" i="2"/>
  <c r="V160" i="2"/>
  <c r="W160" i="2"/>
  <c r="O161" i="2"/>
  <c r="T161" i="2"/>
  <c r="U161" i="2"/>
  <c r="V161" i="2"/>
  <c r="W161" i="2"/>
  <c r="O162" i="2"/>
  <c r="T162" i="2"/>
  <c r="U162" i="2"/>
  <c r="V162" i="2"/>
  <c r="W162" i="2"/>
  <c r="O163" i="2"/>
  <c r="T163" i="2"/>
  <c r="U163" i="2"/>
  <c r="V163" i="2"/>
  <c r="W163" i="2"/>
  <c r="O164" i="2"/>
  <c r="T164" i="2"/>
  <c r="U164" i="2"/>
  <c r="V164" i="2"/>
  <c r="W164" i="2"/>
  <c r="O165" i="2"/>
  <c r="T165" i="2"/>
  <c r="U165" i="2"/>
  <c r="V165" i="2"/>
  <c r="W165" i="2"/>
  <c r="O166" i="2"/>
  <c r="T166" i="2"/>
  <c r="U166" i="2"/>
  <c r="V166" i="2"/>
  <c r="W166" i="2"/>
  <c r="O167" i="2"/>
  <c r="T167" i="2"/>
  <c r="U167" i="2"/>
  <c r="V167" i="2"/>
  <c r="W167" i="2"/>
  <c r="O168" i="2"/>
  <c r="T168" i="2"/>
  <c r="U168" i="2"/>
  <c r="V168" i="2"/>
  <c r="W168" i="2"/>
  <c r="O169" i="2"/>
  <c r="T169" i="2"/>
  <c r="U169" i="2"/>
  <c r="V169" i="2"/>
  <c r="W169" i="2"/>
  <c r="O170" i="2"/>
  <c r="T170" i="2"/>
  <c r="U170" i="2"/>
  <c r="V170" i="2"/>
  <c r="W170" i="2"/>
  <c r="O171" i="2"/>
  <c r="T171" i="2"/>
  <c r="U171" i="2"/>
  <c r="V171" i="2"/>
  <c r="W171" i="2"/>
  <c r="O172" i="2"/>
  <c r="T172" i="2"/>
  <c r="U172" i="2"/>
  <c r="V172" i="2"/>
  <c r="W172" i="2"/>
  <c r="O173" i="2"/>
  <c r="T173" i="2"/>
  <c r="U173" i="2"/>
  <c r="V173" i="2"/>
  <c r="W173" i="2"/>
  <c r="O174" i="2"/>
  <c r="T174" i="2"/>
  <c r="U174" i="2"/>
  <c r="V174" i="2"/>
  <c r="W174" i="2"/>
  <c r="O175" i="2"/>
  <c r="T175" i="2"/>
  <c r="U175" i="2"/>
  <c r="V175" i="2"/>
  <c r="W175" i="2"/>
  <c r="O176" i="2"/>
  <c r="T176" i="2"/>
  <c r="U176" i="2"/>
  <c r="V176" i="2"/>
  <c r="W176" i="2"/>
  <c r="O177" i="2"/>
  <c r="T177" i="2"/>
  <c r="U177" i="2"/>
  <c r="V177" i="2"/>
  <c r="W177" i="2"/>
  <c r="O178" i="2"/>
  <c r="T178" i="2"/>
  <c r="U178" i="2"/>
  <c r="V178" i="2"/>
  <c r="W178" i="2"/>
  <c r="O179" i="2"/>
  <c r="T179" i="2"/>
  <c r="U179" i="2"/>
  <c r="V179" i="2"/>
  <c r="W179" i="2"/>
  <c r="O180" i="2"/>
  <c r="T180" i="2"/>
  <c r="U180" i="2"/>
  <c r="V180" i="2"/>
  <c r="W180" i="2"/>
  <c r="O181" i="2"/>
  <c r="T181" i="2"/>
  <c r="U181" i="2"/>
  <c r="V181" i="2"/>
  <c r="W181" i="2"/>
  <c r="O182" i="2"/>
  <c r="T182" i="2"/>
  <c r="U182" i="2"/>
  <c r="V182" i="2"/>
  <c r="W182" i="2"/>
  <c r="O183" i="2"/>
  <c r="T183" i="2"/>
  <c r="U183" i="2"/>
  <c r="V183" i="2"/>
  <c r="W183" i="2"/>
  <c r="O184" i="2"/>
  <c r="T184" i="2"/>
  <c r="U184" i="2"/>
  <c r="V184" i="2"/>
  <c r="W184" i="2"/>
  <c r="O185" i="2"/>
  <c r="T185" i="2"/>
  <c r="U185" i="2"/>
  <c r="V185" i="2"/>
  <c r="W185" i="2"/>
  <c r="O186" i="2"/>
  <c r="T186" i="2"/>
  <c r="U186" i="2"/>
  <c r="V186" i="2"/>
  <c r="W186" i="2"/>
  <c r="O187" i="2"/>
  <c r="T187" i="2"/>
  <c r="U187" i="2"/>
  <c r="V187" i="2"/>
  <c r="W187" i="2"/>
  <c r="O188" i="2"/>
  <c r="T188" i="2"/>
  <c r="U188" i="2"/>
  <c r="V188" i="2"/>
  <c r="W188" i="2"/>
  <c r="O189" i="2"/>
  <c r="T189" i="2"/>
  <c r="U189" i="2"/>
  <c r="V189" i="2"/>
  <c r="W189" i="2"/>
  <c r="O190" i="2"/>
  <c r="T190" i="2"/>
  <c r="U190" i="2"/>
  <c r="V190" i="2"/>
  <c r="W190" i="2"/>
  <c r="O191" i="2"/>
  <c r="T191" i="2"/>
  <c r="U191" i="2"/>
  <c r="V191" i="2"/>
  <c r="W191" i="2"/>
  <c r="O192" i="2"/>
  <c r="T192" i="2"/>
  <c r="U192" i="2"/>
  <c r="V192" i="2"/>
  <c r="W192" i="2"/>
  <c r="O193" i="2"/>
  <c r="T193" i="2"/>
  <c r="U193" i="2"/>
  <c r="V193" i="2"/>
  <c r="W193" i="2"/>
  <c r="O194" i="2"/>
  <c r="T194" i="2"/>
  <c r="U194" i="2"/>
  <c r="V194" i="2"/>
  <c r="W194" i="2"/>
  <c r="O195" i="2"/>
  <c r="T195" i="2"/>
  <c r="U195" i="2"/>
  <c r="V195" i="2"/>
  <c r="W195" i="2"/>
  <c r="O196" i="2"/>
  <c r="T196" i="2"/>
  <c r="U196" i="2"/>
  <c r="V196" i="2"/>
  <c r="W196" i="2"/>
  <c r="O197" i="2"/>
  <c r="T197" i="2"/>
  <c r="U197" i="2"/>
  <c r="V197" i="2"/>
  <c r="W197" i="2"/>
  <c r="O198" i="2"/>
  <c r="T198" i="2"/>
  <c r="U198" i="2"/>
  <c r="V198" i="2"/>
  <c r="W198" i="2"/>
  <c r="O199" i="2"/>
  <c r="T199" i="2"/>
  <c r="U199" i="2"/>
  <c r="V199" i="2"/>
  <c r="W199" i="2"/>
  <c r="O200" i="2"/>
  <c r="T200" i="2"/>
  <c r="U200" i="2"/>
  <c r="V200" i="2"/>
  <c r="W200" i="2"/>
  <c r="O201" i="2"/>
  <c r="T201" i="2"/>
  <c r="U201" i="2"/>
  <c r="V201" i="2"/>
  <c r="W201" i="2"/>
  <c r="O202" i="2"/>
  <c r="T202" i="2"/>
  <c r="U202" i="2"/>
  <c r="V202" i="2"/>
  <c r="W202" i="2"/>
  <c r="O203" i="2"/>
  <c r="T203" i="2"/>
  <c r="U203" i="2"/>
  <c r="V203" i="2"/>
  <c r="W203" i="2"/>
  <c r="O204" i="2"/>
  <c r="T204" i="2"/>
  <c r="U204" i="2"/>
  <c r="V204" i="2"/>
  <c r="W204" i="2"/>
  <c r="O205" i="2"/>
  <c r="T205" i="2"/>
  <c r="U205" i="2"/>
  <c r="V205" i="2"/>
  <c r="W205" i="2"/>
  <c r="O206" i="2"/>
  <c r="T206" i="2"/>
  <c r="U206" i="2"/>
  <c r="V206" i="2"/>
  <c r="W206" i="2"/>
  <c r="O207" i="2"/>
  <c r="T207" i="2"/>
  <c r="U207" i="2"/>
  <c r="V207" i="2"/>
  <c r="W207" i="2"/>
  <c r="O208" i="2"/>
  <c r="T208" i="2"/>
  <c r="U208" i="2"/>
  <c r="V208" i="2"/>
  <c r="W208" i="2"/>
  <c r="O209" i="2"/>
  <c r="T209" i="2"/>
  <c r="U209" i="2"/>
  <c r="V209" i="2"/>
  <c r="W209" i="2"/>
  <c r="O210" i="2"/>
  <c r="T210" i="2"/>
  <c r="U210" i="2"/>
  <c r="V210" i="2"/>
  <c r="W210" i="2"/>
  <c r="O211" i="2"/>
  <c r="T211" i="2"/>
  <c r="U211" i="2"/>
  <c r="V211" i="2"/>
  <c r="W211" i="2"/>
  <c r="O212" i="2"/>
  <c r="T212" i="2"/>
  <c r="U212" i="2"/>
  <c r="V212" i="2"/>
  <c r="W212" i="2"/>
  <c r="O213" i="2"/>
  <c r="T213" i="2"/>
  <c r="U213" i="2"/>
  <c r="V213" i="2"/>
  <c r="W213" i="2"/>
  <c r="O214" i="2"/>
  <c r="T214" i="2"/>
  <c r="U214" i="2"/>
  <c r="V214" i="2"/>
  <c r="W214" i="2"/>
  <c r="O215" i="2"/>
  <c r="T215" i="2"/>
  <c r="U215" i="2"/>
  <c r="V215" i="2"/>
  <c r="W215" i="2"/>
  <c r="O216" i="2"/>
  <c r="T216" i="2"/>
  <c r="U216" i="2"/>
  <c r="V216" i="2"/>
  <c r="W216" i="2"/>
  <c r="O217" i="2"/>
  <c r="T217" i="2"/>
  <c r="U217" i="2"/>
  <c r="V217" i="2"/>
  <c r="W217" i="2"/>
  <c r="AJ117" i="2"/>
  <c r="AQ117" i="2"/>
  <c r="B68" i="1"/>
  <c r="G12" i="14"/>
  <c r="B4" i="36"/>
  <c r="B6" i="36"/>
  <c r="AJ17" i="2"/>
  <c r="AQ17" i="2"/>
  <c r="AJ217" i="2"/>
  <c r="AQ217" i="2"/>
  <c r="AJ216" i="2"/>
  <c r="AQ216" i="2"/>
  <c r="AJ215" i="2"/>
  <c r="AQ215" i="2"/>
  <c r="AJ214" i="2"/>
  <c r="AQ214" i="2"/>
  <c r="AJ213" i="2"/>
  <c r="AQ213" i="2"/>
  <c r="AJ212" i="2"/>
  <c r="AQ212" i="2"/>
  <c r="AJ211" i="2"/>
  <c r="AQ211" i="2"/>
  <c r="AJ210" i="2"/>
  <c r="AQ210" i="2"/>
  <c r="AJ209" i="2"/>
  <c r="AQ209" i="2"/>
  <c r="AJ208" i="2"/>
  <c r="AQ208" i="2"/>
  <c r="AJ207" i="2"/>
  <c r="AQ207" i="2"/>
  <c r="AJ206" i="2"/>
  <c r="AQ206" i="2"/>
  <c r="AJ205" i="2"/>
  <c r="AQ205" i="2"/>
  <c r="AJ204" i="2"/>
  <c r="AQ204" i="2"/>
  <c r="AJ203" i="2"/>
  <c r="AQ203" i="2"/>
  <c r="AJ202" i="2"/>
  <c r="AQ202" i="2"/>
  <c r="AJ201" i="2"/>
  <c r="AQ201" i="2"/>
  <c r="AJ200" i="2"/>
  <c r="AQ200" i="2"/>
  <c r="AJ199" i="2"/>
  <c r="AQ199" i="2"/>
  <c r="AJ198" i="2"/>
  <c r="AQ198" i="2"/>
  <c r="AJ197" i="2"/>
  <c r="AQ197" i="2"/>
  <c r="AJ196" i="2"/>
  <c r="AQ196" i="2"/>
  <c r="AJ195" i="2"/>
  <c r="AQ195" i="2"/>
  <c r="AJ194" i="2"/>
  <c r="AQ194" i="2"/>
  <c r="AJ193" i="2"/>
  <c r="AQ193" i="2"/>
  <c r="AJ192" i="2"/>
  <c r="AQ192" i="2"/>
  <c r="AJ191" i="2"/>
  <c r="AQ191" i="2"/>
  <c r="AJ190" i="2"/>
  <c r="AQ190" i="2"/>
  <c r="AJ189" i="2"/>
  <c r="AQ189" i="2"/>
  <c r="AJ188" i="2"/>
  <c r="AQ188" i="2"/>
  <c r="AJ187" i="2"/>
  <c r="AQ187" i="2"/>
  <c r="AJ186" i="2"/>
  <c r="AQ186" i="2"/>
  <c r="AJ185" i="2"/>
  <c r="AQ185" i="2"/>
  <c r="AJ184" i="2"/>
  <c r="AQ184" i="2"/>
  <c r="AJ183" i="2"/>
  <c r="AQ183" i="2"/>
  <c r="AJ182" i="2"/>
  <c r="AQ182" i="2"/>
  <c r="AJ181" i="2"/>
  <c r="AQ181" i="2"/>
  <c r="AJ180" i="2"/>
  <c r="AQ180" i="2"/>
  <c r="AJ179" i="2"/>
  <c r="AQ179" i="2"/>
  <c r="AJ178" i="2"/>
  <c r="AQ178" i="2"/>
  <c r="AJ177" i="2"/>
  <c r="AQ177" i="2"/>
  <c r="AJ176" i="2"/>
  <c r="AQ176" i="2"/>
  <c r="AJ175" i="2"/>
  <c r="AQ175" i="2"/>
  <c r="AJ174" i="2"/>
  <c r="AQ174" i="2"/>
  <c r="AJ173" i="2"/>
  <c r="AQ173" i="2"/>
  <c r="AJ172" i="2"/>
  <c r="AQ172" i="2"/>
  <c r="AJ171" i="2"/>
  <c r="AQ171" i="2"/>
  <c r="AJ170" i="2"/>
  <c r="AQ170" i="2"/>
  <c r="AJ169" i="2"/>
  <c r="AQ169" i="2"/>
  <c r="AJ168" i="2"/>
  <c r="AQ168" i="2"/>
  <c r="AJ167" i="2"/>
  <c r="AQ167" i="2"/>
  <c r="AJ166" i="2"/>
  <c r="AQ166" i="2"/>
  <c r="AJ165" i="2"/>
  <c r="AQ165" i="2"/>
  <c r="AJ164" i="2"/>
  <c r="AQ164" i="2"/>
  <c r="AJ163" i="2"/>
  <c r="AQ163" i="2"/>
  <c r="AJ162" i="2"/>
  <c r="AQ162" i="2"/>
  <c r="AJ161" i="2"/>
  <c r="AQ161" i="2"/>
  <c r="AJ160" i="2"/>
  <c r="AQ160" i="2"/>
  <c r="AJ159" i="2"/>
  <c r="AQ159" i="2"/>
  <c r="AJ158" i="2"/>
  <c r="AQ158" i="2"/>
  <c r="AJ157" i="2"/>
  <c r="AQ157" i="2"/>
  <c r="AJ156" i="2"/>
  <c r="AQ156" i="2"/>
  <c r="AJ155" i="2"/>
  <c r="AQ155" i="2"/>
  <c r="AJ154" i="2"/>
  <c r="AQ154" i="2"/>
  <c r="AJ153" i="2"/>
  <c r="AQ153" i="2"/>
  <c r="AJ152" i="2"/>
  <c r="AQ152" i="2"/>
  <c r="AJ151" i="2"/>
  <c r="AQ151" i="2"/>
  <c r="AJ150" i="2"/>
  <c r="AQ150" i="2"/>
  <c r="AJ149" i="2"/>
  <c r="AQ149" i="2"/>
  <c r="AJ148" i="2"/>
  <c r="AQ148" i="2"/>
  <c r="AJ147" i="2"/>
  <c r="AQ147" i="2"/>
  <c r="AJ146" i="2"/>
  <c r="AQ146" i="2"/>
  <c r="AJ145" i="2"/>
  <c r="AQ145" i="2"/>
  <c r="AJ144" i="2"/>
  <c r="AQ144" i="2"/>
  <c r="AJ143" i="2"/>
  <c r="AQ143" i="2"/>
  <c r="AJ142" i="2"/>
  <c r="AQ142" i="2"/>
  <c r="AJ141" i="2"/>
  <c r="AQ141" i="2"/>
  <c r="AJ140" i="2"/>
  <c r="AQ140" i="2"/>
  <c r="AJ139" i="2"/>
  <c r="AQ139" i="2"/>
  <c r="AJ138" i="2"/>
  <c r="AQ138" i="2"/>
  <c r="AJ137" i="2"/>
  <c r="AQ137" i="2"/>
  <c r="AJ136" i="2"/>
  <c r="AQ136" i="2"/>
  <c r="AJ135" i="2"/>
  <c r="AQ135" i="2"/>
  <c r="AJ134" i="2"/>
  <c r="AQ134" i="2"/>
  <c r="AJ133" i="2"/>
  <c r="AQ133" i="2"/>
  <c r="AJ132" i="2"/>
  <c r="AQ132" i="2"/>
  <c r="AJ131" i="2"/>
  <c r="AQ131" i="2"/>
  <c r="AJ130" i="2"/>
  <c r="AQ130" i="2"/>
  <c r="AJ129" i="2"/>
  <c r="AQ129" i="2"/>
  <c r="AJ128" i="2"/>
  <c r="AQ128" i="2"/>
  <c r="AJ127" i="2"/>
  <c r="AQ127" i="2"/>
  <c r="AJ126" i="2"/>
  <c r="AQ126" i="2"/>
  <c r="AJ125" i="2"/>
  <c r="AQ125" i="2"/>
  <c r="AJ124" i="2"/>
  <c r="AQ124" i="2"/>
  <c r="AJ123" i="2"/>
  <c r="AQ123" i="2"/>
  <c r="AJ122" i="2"/>
  <c r="AQ122" i="2"/>
  <c r="AJ121" i="2"/>
  <c r="AQ121" i="2"/>
  <c r="AJ120" i="2"/>
  <c r="AQ120" i="2"/>
  <c r="AJ119" i="2"/>
  <c r="AQ119" i="2"/>
  <c r="AJ118" i="2"/>
  <c r="AQ118" i="2"/>
  <c r="AJ116" i="2"/>
  <c r="AQ116" i="2"/>
  <c r="AJ115" i="2"/>
  <c r="AQ115" i="2"/>
  <c r="AJ114" i="2"/>
  <c r="AQ114" i="2"/>
  <c r="AJ113" i="2"/>
  <c r="AQ113" i="2"/>
  <c r="AJ112" i="2"/>
  <c r="AQ112" i="2"/>
  <c r="AJ111" i="2"/>
  <c r="AQ111" i="2"/>
  <c r="AJ110" i="2"/>
  <c r="AQ110" i="2"/>
  <c r="AJ109" i="2"/>
  <c r="AQ109" i="2"/>
  <c r="AJ108" i="2"/>
  <c r="AQ108" i="2"/>
  <c r="AJ107" i="2"/>
  <c r="AQ107" i="2"/>
  <c r="AJ106" i="2"/>
  <c r="AQ106" i="2"/>
  <c r="AJ105" i="2"/>
  <c r="AQ105" i="2"/>
  <c r="AJ104" i="2"/>
  <c r="AQ104" i="2"/>
  <c r="AJ103" i="2"/>
  <c r="AQ103" i="2"/>
  <c r="AJ102" i="2"/>
  <c r="AQ102" i="2"/>
  <c r="AJ101" i="2"/>
  <c r="AQ101" i="2"/>
  <c r="AJ100" i="2"/>
  <c r="AQ100" i="2"/>
  <c r="AJ99" i="2"/>
  <c r="AQ99" i="2"/>
  <c r="AJ98" i="2"/>
  <c r="AQ98" i="2"/>
  <c r="AJ97" i="2"/>
  <c r="AQ97" i="2"/>
  <c r="AJ96" i="2"/>
  <c r="AQ96" i="2"/>
  <c r="AJ95" i="2"/>
  <c r="AQ95" i="2"/>
  <c r="AJ94" i="2"/>
  <c r="AQ94" i="2"/>
  <c r="AJ93" i="2"/>
  <c r="AQ93" i="2"/>
  <c r="AJ92" i="2"/>
  <c r="AQ92" i="2"/>
  <c r="AJ91" i="2"/>
  <c r="AQ91" i="2"/>
  <c r="AJ90" i="2"/>
  <c r="AQ90" i="2"/>
  <c r="AJ89" i="2"/>
  <c r="AQ89" i="2"/>
  <c r="AJ88" i="2"/>
  <c r="AQ88" i="2"/>
  <c r="AJ87" i="2"/>
  <c r="AQ87" i="2"/>
  <c r="AJ86" i="2"/>
  <c r="AQ86" i="2"/>
  <c r="AJ85" i="2"/>
  <c r="AQ85" i="2"/>
  <c r="AJ84" i="2"/>
  <c r="AQ84" i="2"/>
  <c r="AJ83" i="2"/>
  <c r="AQ83" i="2"/>
  <c r="AJ82" i="2"/>
  <c r="AQ82" i="2"/>
  <c r="AJ81" i="2"/>
  <c r="AQ81" i="2"/>
  <c r="AJ80" i="2"/>
  <c r="AQ80" i="2"/>
  <c r="AJ79" i="2"/>
  <c r="AQ79" i="2"/>
  <c r="AJ78" i="2"/>
  <c r="AQ78" i="2"/>
  <c r="AJ77" i="2"/>
  <c r="AQ77" i="2"/>
  <c r="AJ76" i="2"/>
  <c r="AQ76" i="2"/>
  <c r="AJ75" i="2"/>
  <c r="AQ75" i="2"/>
  <c r="AJ74" i="2"/>
  <c r="AQ74" i="2"/>
  <c r="AJ73" i="2"/>
  <c r="AQ73" i="2"/>
  <c r="AJ72" i="2"/>
  <c r="AQ72" i="2"/>
  <c r="AJ71" i="2"/>
  <c r="AQ71" i="2"/>
  <c r="AJ70" i="2"/>
  <c r="AQ70" i="2"/>
  <c r="AJ69" i="2"/>
  <c r="AQ69" i="2"/>
  <c r="AJ68" i="2"/>
  <c r="AQ68" i="2"/>
  <c r="AJ67" i="2"/>
  <c r="AQ67" i="2"/>
  <c r="AJ66" i="2"/>
  <c r="AQ66" i="2"/>
  <c r="AJ65" i="2"/>
  <c r="AQ65" i="2"/>
  <c r="AJ64" i="2"/>
  <c r="AQ64" i="2"/>
  <c r="AJ63" i="2"/>
  <c r="AQ63" i="2"/>
  <c r="AJ62" i="2"/>
  <c r="AQ62" i="2"/>
  <c r="AJ61" i="2"/>
  <c r="AQ61" i="2"/>
  <c r="AJ60" i="2"/>
  <c r="AQ60" i="2"/>
  <c r="AJ59" i="2"/>
  <c r="AQ59" i="2"/>
  <c r="AJ58" i="2"/>
  <c r="AQ58" i="2"/>
  <c r="AJ57" i="2"/>
  <c r="AQ57" i="2"/>
  <c r="AJ56" i="2"/>
  <c r="AQ56" i="2"/>
  <c r="AJ55" i="2"/>
  <c r="AQ55" i="2"/>
  <c r="AJ54" i="2"/>
  <c r="AQ54" i="2"/>
  <c r="AJ53" i="2"/>
  <c r="AQ53" i="2"/>
  <c r="AJ52" i="2"/>
  <c r="AQ52" i="2"/>
  <c r="AJ51" i="2"/>
  <c r="AQ51" i="2"/>
  <c r="AJ50" i="2"/>
  <c r="AQ50" i="2"/>
  <c r="AJ49" i="2"/>
  <c r="AQ49" i="2"/>
  <c r="AJ48" i="2"/>
  <c r="AQ48" i="2"/>
  <c r="AJ47" i="2"/>
  <c r="AQ47" i="2"/>
  <c r="AJ46" i="2"/>
  <c r="AQ46" i="2"/>
  <c r="AJ45" i="2"/>
  <c r="AQ45" i="2"/>
  <c r="AJ44" i="2"/>
  <c r="AQ44" i="2"/>
  <c r="AJ43" i="2"/>
  <c r="AQ43" i="2"/>
  <c r="AJ42" i="2"/>
  <c r="AQ42" i="2"/>
  <c r="AJ41" i="2"/>
  <c r="AQ41" i="2"/>
  <c r="AJ40" i="2"/>
  <c r="AQ40" i="2"/>
  <c r="AJ39" i="2"/>
  <c r="AQ39" i="2"/>
  <c r="AJ38" i="2"/>
  <c r="AQ38" i="2"/>
  <c r="AJ37" i="2"/>
  <c r="AQ37" i="2"/>
  <c r="AJ36" i="2"/>
  <c r="AQ36" i="2"/>
  <c r="AJ35" i="2"/>
  <c r="AQ35" i="2"/>
  <c r="AJ34" i="2"/>
  <c r="AQ34" i="2"/>
  <c r="AJ33" i="2"/>
  <c r="AQ33" i="2"/>
  <c r="AJ32" i="2"/>
  <c r="AQ32" i="2"/>
  <c r="AJ31" i="2"/>
  <c r="AQ31" i="2"/>
  <c r="AJ30" i="2"/>
  <c r="AQ30" i="2"/>
  <c r="AJ29" i="2"/>
  <c r="AQ29" i="2"/>
  <c r="AJ28" i="2"/>
  <c r="AQ28" i="2"/>
  <c r="AJ27" i="2"/>
  <c r="AQ27" i="2"/>
  <c r="AJ26" i="2"/>
  <c r="AQ26" i="2"/>
  <c r="AJ25" i="2"/>
  <c r="AQ25" i="2"/>
  <c r="AJ24" i="2"/>
  <c r="AQ24" i="2"/>
  <c r="AJ23" i="2"/>
  <c r="AQ23" i="2"/>
  <c r="AJ22" i="2"/>
  <c r="AQ22" i="2"/>
  <c r="AJ21" i="2"/>
  <c r="AQ21" i="2"/>
  <c r="AJ20" i="2"/>
  <c r="AQ20" i="2"/>
  <c r="AJ19" i="2"/>
  <c r="AQ19" i="2"/>
  <c r="AJ18" i="2"/>
  <c r="AQ18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15" i="2"/>
  <c r="CF5" i="2"/>
  <c r="CF6" i="2"/>
  <c r="CE4" i="2"/>
  <c r="DD10" i="2"/>
  <c r="Z4" i="2"/>
  <c r="DD4" i="2"/>
  <c r="D23" i="11"/>
  <c r="F50" i="11"/>
  <c r="BK4" i="2"/>
  <c r="E50" i="11"/>
  <c r="AT4" i="2"/>
  <c r="D50" i="11"/>
  <c r="C50" i="11"/>
  <c r="D51" i="11"/>
  <c r="DD8" i="2"/>
  <c r="B20" i="11"/>
  <c r="C20" i="11"/>
  <c r="D20" i="11"/>
  <c r="E20" i="11"/>
  <c r="F20" i="11"/>
  <c r="B21" i="11"/>
  <c r="C21" i="11"/>
  <c r="D21" i="11"/>
  <c r="E21" i="11"/>
  <c r="F21" i="11"/>
  <c r="B22" i="11"/>
  <c r="C22" i="11"/>
  <c r="D22" i="11"/>
  <c r="E22" i="11"/>
  <c r="F22" i="11"/>
  <c r="B23" i="11"/>
  <c r="C23" i="11"/>
  <c r="E23" i="11"/>
  <c r="F23" i="11"/>
  <c r="B24" i="11"/>
  <c r="C24" i="11"/>
  <c r="D24" i="11"/>
  <c r="E24" i="11"/>
  <c r="F24" i="11"/>
  <c r="D26" i="11"/>
  <c r="D28" i="11"/>
  <c r="D27" i="11"/>
  <c r="E26" i="11"/>
  <c r="F26" i="11"/>
  <c r="F28" i="11"/>
  <c r="F27" i="11"/>
  <c r="C31" i="11"/>
  <c r="C29" i="11"/>
  <c r="C30" i="11"/>
  <c r="D31" i="11"/>
  <c r="D29" i="11"/>
  <c r="D30" i="11"/>
  <c r="E31" i="11"/>
  <c r="E29" i="11"/>
  <c r="E30" i="11"/>
  <c r="F31" i="11"/>
  <c r="F29" i="11"/>
  <c r="F30" i="11"/>
  <c r="S13" i="2"/>
  <c r="B34" i="11"/>
  <c r="BV17" i="2"/>
  <c r="BV18" i="2"/>
  <c r="BX18" i="2"/>
  <c r="BY18" i="2"/>
  <c r="BV19" i="2"/>
  <c r="BX19" i="2"/>
  <c r="BY19" i="2"/>
  <c r="BV20" i="2"/>
  <c r="BX20" i="2"/>
  <c r="BY20" i="2"/>
  <c r="BV21" i="2"/>
  <c r="BX21" i="2"/>
  <c r="BY21" i="2"/>
  <c r="BV22" i="2"/>
  <c r="BX22" i="2"/>
  <c r="BY22" i="2"/>
  <c r="BV23" i="2"/>
  <c r="BX23" i="2"/>
  <c r="BY23" i="2"/>
  <c r="BV24" i="2"/>
  <c r="BX24" i="2"/>
  <c r="BY24" i="2"/>
  <c r="BV25" i="2"/>
  <c r="BX25" i="2"/>
  <c r="BY25" i="2"/>
  <c r="BV26" i="2"/>
  <c r="BX26" i="2"/>
  <c r="BY26" i="2"/>
  <c r="BV27" i="2"/>
  <c r="BX27" i="2"/>
  <c r="BY27" i="2"/>
  <c r="BV28" i="2"/>
  <c r="BX28" i="2"/>
  <c r="BY28" i="2"/>
  <c r="BV29" i="2"/>
  <c r="BX29" i="2"/>
  <c r="BY29" i="2"/>
  <c r="BV30" i="2"/>
  <c r="BX30" i="2"/>
  <c r="BY30" i="2"/>
  <c r="BV31" i="2"/>
  <c r="BX31" i="2"/>
  <c r="BY31" i="2"/>
  <c r="BV32" i="2"/>
  <c r="BX32" i="2"/>
  <c r="BY32" i="2"/>
  <c r="BV33" i="2"/>
  <c r="BX33" i="2"/>
  <c r="BY33" i="2"/>
  <c r="BV34" i="2"/>
  <c r="BX34" i="2"/>
  <c r="BY34" i="2"/>
  <c r="BV35" i="2"/>
  <c r="BX35" i="2"/>
  <c r="BY35" i="2"/>
  <c r="BV36" i="2"/>
  <c r="BX36" i="2"/>
  <c r="BY36" i="2"/>
  <c r="BV37" i="2"/>
  <c r="BX37" i="2"/>
  <c r="BY37" i="2"/>
  <c r="BV38" i="2"/>
  <c r="BX38" i="2"/>
  <c r="BY38" i="2"/>
  <c r="BV39" i="2"/>
  <c r="BX39" i="2"/>
  <c r="BY39" i="2"/>
  <c r="BV40" i="2"/>
  <c r="BX40" i="2"/>
  <c r="BY40" i="2"/>
  <c r="BV41" i="2"/>
  <c r="BX41" i="2"/>
  <c r="BY41" i="2"/>
  <c r="BV42" i="2"/>
  <c r="BX42" i="2"/>
  <c r="BY42" i="2"/>
  <c r="BV43" i="2"/>
  <c r="BX43" i="2"/>
  <c r="BY43" i="2"/>
  <c r="BV44" i="2"/>
  <c r="BX44" i="2"/>
  <c r="BY44" i="2"/>
  <c r="BV45" i="2"/>
  <c r="BX45" i="2"/>
  <c r="BY45" i="2"/>
  <c r="BV46" i="2"/>
  <c r="BX46" i="2"/>
  <c r="BY46" i="2"/>
  <c r="BV47" i="2"/>
  <c r="BX47" i="2"/>
  <c r="BY47" i="2"/>
  <c r="BV48" i="2"/>
  <c r="BX48" i="2"/>
  <c r="BY48" i="2"/>
  <c r="BV49" i="2"/>
  <c r="BX49" i="2"/>
  <c r="BY49" i="2"/>
  <c r="BV50" i="2"/>
  <c r="BX50" i="2"/>
  <c r="BY50" i="2"/>
  <c r="BV51" i="2"/>
  <c r="BX51" i="2"/>
  <c r="BY51" i="2"/>
  <c r="BV52" i="2"/>
  <c r="BX52" i="2"/>
  <c r="BY52" i="2"/>
  <c r="BV53" i="2"/>
  <c r="BX53" i="2"/>
  <c r="BY53" i="2"/>
  <c r="BV54" i="2"/>
  <c r="BX54" i="2"/>
  <c r="BY54" i="2"/>
  <c r="BV55" i="2"/>
  <c r="BX55" i="2"/>
  <c r="BY55" i="2"/>
  <c r="BV56" i="2"/>
  <c r="BX56" i="2"/>
  <c r="BY56" i="2"/>
  <c r="BV57" i="2"/>
  <c r="BX57" i="2"/>
  <c r="BY57" i="2"/>
  <c r="BV58" i="2"/>
  <c r="BX58" i="2"/>
  <c r="BY58" i="2"/>
  <c r="BV59" i="2"/>
  <c r="BX59" i="2"/>
  <c r="BY59" i="2"/>
  <c r="BV60" i="2"/>
  <c r="BX60" i="2"/>
  <c r="BY60" i="2"/>
  <c r="BV61" i="2"/>
  <c r="BX61" i="2"/>
  <c r="BY61" i="2"/>
  <c r="BV62" i="2"/>
  <c r="BX62" i="2"/>
  <c r="BY62" i="2"/>
  <c r="BV63" i="2"/>
  <c r="BX63" i="2"/>
  <c r="BY63" i="2"/>
  <c r="BV64" i="2"/>
  <c r="BX64" i="2"/>
  <c r="BY64" i="2"/>
  <c r="BV65" i="2"/>
  <c r="BX65" i="2"/>
  <c r="BY65" i="2"/>
  <c r="BV66" i="2"/>
  <c r="BX66" i="2"/>
  <c r="BY66" i="2"/>
  <c r="BV67" i="2"/>
  <c r="BX67" i="2"/>
  <c r="BY67" i="2"/>
  <c r="BV68" i="2"/>
  <c r="BX68" i="2"/>
  <c r="BY68" i="2"/>
  <c r="BV69" i="2"/>
  <c r="BX69" i="2"/>
  <c r="BY69" i="2"/>
  <c r="BV70" i="2"/>
  <c r="BX70" i="2"/>
  <c r="BY70" i="2"/>
  <c r="BV71" i="2"/>
  <c r="BX71" i="2"/>
  <c r="BY71" i="2"/>
  <c r="BV72" i="2"/>
  <c r="BX72" i="2"/>
  <c r="BY72" i="2"/>
  <c r="BV73" i="2"/>
  <c r="BX73" i="2"/>
  <c r="BY73" i="2"/>
  <c r="BV74" i="2"/>
  <c r="BX74" i="2"/>
  <c r="BY74" i="2"/>
  <c r="BV75" i="2"/>
  <c r="BX75" i="2"/>
  <c r="BY75" i="2"/>
  <c r="BV76" i="2"/>
  <c r="BX76" i="2"/>
  <c r="BY76" i="2"/>
  <c r="BV77" i="2"/>
  <c r="BX77" i="2"/>
  <c r="BY77" i="2"/>
  <c r="BV78" i="2"/>
  <c r="BX78" i="2"/>
  <c r="BY78" i="2"/>
  <c r="BV79" i="2"/>
  <c r="BX79" i="2"/>
  <c r="BY79" i="2"/>
  <c r="BV80" i="2"/>
  <c r="BX80" i="2"/>
  <c r="BY80" i="2"/>
  <c r="BV81" i="2"/>
  <c r="BX81" i="2"/>
  <c r="BY81" i="2"/>
  <c r="BV82" i="2"/>
  <c r="BX82" i="2"/>
  <c r="BY82" i="2"/>
  <c r="BV83" i="2"/>
  <c r="BX83" i="2"/>
  <c r="BY83" i="2"/>
  <c r="BV84" i="2"/>
  <c r="BX84" i="2"/>
  <c r="BY84" i="2"/>
  <c r="BV85" i="2"/>
  <c r="BX85" i="2"/>
  <c r="BY85" i="2"/>
  <c r="BV86" i="2"/>
  <c r="BX86" i="2"/>
  <c r="BY86" i="2"/>
  <c r="BV87" i="2"/>
  <c r="BX87" i="2"/>
  <c r="BY87" i="2"/>
  <c r="BV88" i="2"/>
  <c r="BX88" i="2"/>
  <c r="BY88" i="2"/>
  <c r="BV89" i="2"/>
  <c r="BX89" i="2"/>
  <c r="BY89" i="2"/>
  <c r="BV90" i="2"/>
  <c r="BX90" i="2"/>
  <c r="BY90" i="2"/>
  <c r="BV91" i="2"/>
  <c r="BX91" i="2"/>
  <c r="BY91" i="2"/>
  <c r="BV92" i="2"/>
  <c r="BX92" i="2"/>
  <c r="BY92" i="2"/>
  <c r="BV93" i="2"/>
  <c r="BX93" i="2"/>
  <c r="BY93" i="2"/>
  <c r="BV94" i="2"/>
  <c r="BX94" i="2"/>
  <c r="BY94" i="2"/>
  <c r="BV95" i="2"/>
  <c r="BX95" i="2"/>
  <c r="BY95" i="2"/>
  <c r="BV96" i="2"/>
  <c r="BX96" i="2"/>
  <c r="BY96" i="2"/>
  <c r="BV97" i="2"/>
  <c r="BX97" i="2"/>
  <c r="BY97" i="2"/>
  <c r="BV98" i="2"/>
  <c r="BX98" i="2"/>
  <c r="BY98" i="2"/>
  <c r="BV99" i="2"/>
  <c r="BX99" i="2"/>
  <c r="BY99" i="2"/>
  <c r="BV100" i="2"/>
  <c r="BX100" i="2"/>
  <c r="BY100" i="2"/>
  <c r="BV101" i="2"/>
  <c r="BX101" i="2"/>
  <c r="BY101" i="2"/>
  <c r="BV102" i="2"/>
  <c r="BX102" i="2"/>
  <c r="BY102" i="2"/>
  <c r="BV103" i="2"/>
  <c r="BX103" i="2"/>
  <c r="BY103" i="2"/>
  <c r="BV104" i="2"/>
  <c r="BX104" i="2"/>
  <c r="BY104" i="2"/>
  <c r="BV105" i="2"/>
  <c r="BX105" i="2"/>
  <c r="BY105" i="2"/>
  <c r="BV106" i="2"/>
  <c r="BX106" i="2"/>
  <c r="BY106" i="2"/>
  <c r="BV107" i="2"/>
  <c r="BX107" i="2"/>
  <c r="BY107" i="2"/>
  <c r="BV108" i="2"/>
  <c r="BX108" i="2"/>
  <c r="BY108" i="2"/>
  <c r="BV109" i="2"/>
  <c r="BX109" i="2"/>
  <c r="BY109" i="2"/>
  <c r="BV110" i="2"/>
  <c r="BX110" i="2"/>
  <c r="BY110" i="2"/>
  <c r="BV111" i="2"/>
  <c r="BX111" i="2"/>
  <c r="BY111" i="2"/>
  <c r="BV112" i="2"/>
  <c r="BX112" i="2"/>
  <c r="BY112" i="2"/>
  <c r="BV113" i="2"/>
  <c r="BX113" i="2"/>
  <c r="BY113" i="2"/>
  <c r="BV114" i="2"/>
  <c r="BX114" i="2"/>
  <c r="BY114" i="2"/>
  <c r="BV115" i="2"/>
  <c r="BX115" i="2"/>
  <c r="BY115" i="2"/>
  <c r="BV116" i="2"/>
  <c r="BX116" i="2"/>
  <c r="BY116" i="2"/>
  <c r="BV117" i="2"/>
  <c r="BX117" i="2"/>
  <c r="BY117" i="2"/>
  <c r="BV118" i="2"/>
  <c r="BX118" i="2"/>
  <c r="BY118" i="2"/>
  <c r="BV119" i="2"/>
  <c r="BX119" i="2"/>
  <c r="BY119" i="2"/>
  <c r="BV120" i="2"/>
  <c r="BX120" i="2"/>
  <c r="BY120" i="2"/>
  <c r="BV121" i="2"/>
  <c r="BX121" i="2"/>
  <c r="BY121" i="2"/>
  <c r="BV122" i="2"/>
  <c r="BX122" i="2"/>
  <c r="BY122" i="2"/>
  <c r="BV123" i="2"/>
  <c r="BX123" i="2"/>
  <c r="BY123" i="2"/>
  <c r="BV124" i="2"/>
  <c r="BX124" i="2"/>
  <c r="BY124" i="2"/>
  <c r="BV125" i="2"/>
  <c r="BX125" i="2"/>
  <c r="BY125" i="2"/>
  <c r="BV126" i="2"/>
  <c r="BX126" i="2"/>
  <c r="BY126" i="2"/>
  <c r="BV127" i="2"/>
  <c r="BX127" i="2"/>
  <c r="BY127" i="2"/>
  <c r="BV128" i="2"/>
  <c r="BX128" i="2"/>
  <c r="BY128" i="2"/>
  <c r="BV129" i="2"/>
  <c r="BX129" i="2"/>
  <c r="BY129" i="2"/>
  <c r="BV130" i="2"/>
  <c r="BX130" i="2"/>
  <c r="BY130" i="2"/>
  <c r="BV131" i="2"/>
  <c r="BX131" i="2"/>
  <c r="BY131" i="2"/>
  <c r="BV132" i="2"/>
  <c r="BX132" i="2"/>
  <c r="BY132" i="2"/>
  <c r="BV133" i="2"/>
  <c r="BX133" i="2"/>
  <c r="BY133" i="2"/>
  <c r="BV134" i="2"/>
  <c r="BX134" i="2"/>
  <c r="BY134" i="2"/>
  <c r="BV135" i="2"/>
  <c r="BX135" i="2"/>
  <c r="BY135" i="2"/>
  <c r="BV136" i="2"/>
  <c r="BX136" i="2"/>
  <c r="BY136" i="2"/>
  <c r="BV137" i="2"/>
  <c r="BX137" i="2"/>
  <c r="BY137" i="2"/>
  <c r="BV138" i="2"/>
  <c r="BX138" i="2"/>
  <c r="BY138" i="2"/>
  <c r="BV139" i="2"/>
  <c r="BX139" i="2"/>
  <c r="BY139" i="2"/>
  <c r="BV140" i="2"/>
  <c r="BX140" i="2"/>
  <c r="BY140" i="2"/>
  <c r="BV141" i="2"/>
  <c r="BX141" i="2"/>
  <c r="BY141" i="2"/>
  <c r="BV142" i="2"/>
  <c r="BX142" i="2"/>
  <c r="BY142" i="2"/>
  <c r="BV143" i="2"/>
  <c r="BX143" i="2"/>
  <c r="BY143" i="2"/>
  <c r="BV144" i="2"/>
  <c r="BX144" i="2"/>
  <c r="BY144" i="2"/>
  <c r="BV145" i="2"/>
  <c r="BX145" i="2"/>
  <c r="BY145" i="2"/>
  <c r="BV146" i="2"/>
  <c r="BX146" i="2"/>
  <c r="BY146" i="2"/>
  <c r="BV147" i="2"/>
  <c r="BX147" i="2"/>
  <c r="BY147" i="2"/>
  <c r="BV148" i="2"/>
  <c r="BX148" i="2"/>
  <c r="BY148" i="2"/>
  <c r="BV149" i="2"/>
  <c r="BX149" i="2"/>
  <c r="BY149" i="2"/>
  <c r="BV150" i="2"/>
  <c r="BX150" i="2"/>
  <c r="BY150" i="2"/>
  <c r="BV151" i="2"/>
  <c r="BX151" i="2"/>
  <c r="BY151" i="2"/>
  <c r="BV152" i="2"/>
  <c r="BX152" i="2"/>
  <c r="BY152" i="2"/>
  <c r="BV153" i="2"/>
  <c r="BX153" i="2"/>
  <c r="BY153" i="2"/>
  <c r="BV154" i="2"/>
  <c r="BX154" i="2"/>
  <c r="BY154" i="2"/>
  <c r="BV155" i="2"/>
  <c r="BX155" i="2"/>
  <c r="BY155" i="2"/>
  <c r="BV156" i="2"/>
  <c r="BX156" i="2"/>
  <c r="BY156" i="2"/>
  <c r="BV157" i="2"/>
  <c r="BX157" i="2"/>
  <c r="BY157" i="2"/>
  <c r="BV158" i="2"/>
  <c r="BX158" i="2"/>
  <c r="BY158" i="2"/>
  <c r="BV159" i="2"/>
  <c r="BX159" i="2"/>
  <c r="BY159" i="2"/>
  <c r="BV160" i="2"/>
  <c r="BX160" i="2"/>
  <c r="BY160" i="2"/>
  <c r="BV161" i="2"/>
  <c r="BX161" i="2"/>
  <c r="BY161" i="2"/>
  <c r="BV162" i="2"/>
  <c r="BX162" i="2"/>
  <c r="BY162" i="2"/>
  <c r="BV163" i="2"/>
  <c r="BX163" i="2"/>
  <c r="BY163" i="2"/>
  <c r="BV164" i="2"/>
  <c r="BX164" i="2"/>
  <c r="BY164" i="2"/>
  <c r="BV165" i="2"/>
  <c r="BX165" i="2"/>
  <c r="BY165" i="2"/>
  <c r="BV166" i="2"/>
  <c r="BX166" i="2"/>
  <c r="BY166" i="2"/>
  <c r="BV167" i="2"/>
  <c r="BX167" i="2"/>
  <c r="BY167" i="2"/>
  <c r="BV168" i="2"/>
  <c r="BX168" i="2"/>
  <c r="BY168" i="2"/>
  <c r="BV169" i="2"/>
  <c r="BX169" i="2"/>
  <c r="BY169" i="2"/>
  <c r="BV170" i="2"/>
  <c r="BX170" i="2"/>
  <c r="BY170" i="2"/>
  <c r="BV171" i="2"/>
  <c r="BX171" i="2"/>
  <c r="BY171" i="2"/>
  <c r="BV172" i="2"/>
  <c r="BX172" i="2"/>
  <c r="BY172" i="2"/>
  <c r="BV173" i="2"/>
  <c r="BX173" i="2"/>
  <c r="BY173" i="2"/>
  <c r="BV174" i="2"/>
  <c r="BX174" i="2"/>
  <c r="BY174" i="2"/>
  <c r="BV175" i="2"/>
  <c r="BX175" i="2"/>
  <c r="BY175" i="2"/>
  <c r="BV176" i="2"/>
  <c r="BX176" i="2"/>
  <c r="BY176" i="2"/>
  <c r="BV177" i="2"/>
  <c r="BX177" i="2"/>
  <c r="BY177" i="2"/>
  <c r="BV178" i="2"/>
  <c r="BX178" i="2"/>
  <c r="BY178" i="2"/>
  <c r="BV179" i="2"/>
  <c r="BX179" i="2"/>
  <c r="BY179" i="2"/>
  <c r="BV180" i="2"/>
  <c r="BX180" i="2"/>
  <c r="BY180" i="2"/>
  <c r="BV181" i="2"/>
  <c r="BX181" i="2"/>
  <c r="BY181" i="2"/>
  <c r="BV182" i="2"/>
  <c r="BX182" i="2"/>
  <c r="BY182" i="2"/>
  <c r="BV183" i="2"/>
  <c r="BX183" i="2"/>
  <c r="BY183" i="2"/>
  <c r="BV184" i="2"/>
  <c r="BX184" i="2"/>
  <c r="BY184" i="2"/>
  <c r="BV185" i="2"/>
  <c r="BX185" i="2"/>
  <c r="BY185" i="2"/>
  <c r="BV186" i="2"/>
  <c r="BX186" i="2"/>
  <c r="BY186" i="2"/>
  <c r="BV187" i="2"/>
  <c r="BX187" i="2"/>
  <c r="BY187" i="2"/>
  <c r="BV188" i="2"/>
  <c r="BX188" i="2"/>
  <c r="BY188" i="2"/>
  <c r="BV189" i="2"/>
  <c r="BX189" i="2"/>
  <c r="BY189" i="2"/>
  <c r="BV190" i="2"/>
  <c r="BX190" i="2"/>
  <c r="BY190" i="2"/>
  <c r="BV191" i="2"/>
  <c r="BX191" i="2"/>
  <c r="BY191" i="2"/>
  <c r="BV192" i="2"/>
  <c r="BX192" i="2"/>
  <c r="BY192" i="2"/>
  <c r="BV193" i="2"/>
  <c r="BX193" i="2"/>
  <c r="BY193" i="2"/>
  <c r="BV194" i="2"/>
  <c r="BX194" i="2"/>
  <c r="BY194" i="2"/>
  <c r="BV195" i="2"/>
  <c r="BX195" i="2"/>
  <c r="BY195" i="2"/>
  <c r="BV196" i="2"/>
  <c r="BX196" i="2"/>
  <c r="BY196" i="2"/>
  <c r="BV197" i="2"/>
  <c r="BX197" i="2"/>
  <c r="BY197" i="2"/>
  <c r="BV198" i="2"/>
  <c r="BX198" i="2"/>
  <c r="BY198" i="2"/>
  <c r="BV199" i="2"/>
  <c r="BX199" i="2"/>
  <c r="BY199" i="2"/>
  <c r="BV200" i="2"/>
  <c r="BX200" i="2"/>
  <c r="BY200" i="2"/>
  <c r="BV201" i="2"/>
  <c r="BX201" i="2"/>
  <c r="BY201" i="2"/>
  <c r="BV202" i="2"/>
  <c r="BX202" i="2"/>
  <c r="BY202" i="2"/>
  <c r="BV203" i="2"/>
  <c r="BX203" i="2"/>
  <c r="BY203" i="2"/>
  <c r="BV204" i="2"/>
  <c r="BX204" i="2"/>
  <c r="BY204" i="2"/>
  <c r="BV205" i="2"/>
  <c r="BX205" i="2"/>
  <c r="BY205" i="2"/>
  <c r="BV206" i="2"/>
  <c r="BX206" i="2"/>
  <c r="BY206" i="2"/>
  <c r="BV207" i="2"/>
  <c r="BX207" i="2"/>
  <c r="BY207" i="2"/>
  <c r="BV208" i="2"/>
  <c r="BX208" i="2"/>
  <c r="BY208" i="2"/>
  <c r="BV209" i="2"/>
  <c r="BX209" i="2"/>
  <c r="BY209" i="2"/>
  <c r="BV210" i="2"/>
  <c r="BX210" i="2"/>
  <c r="BY210" i="2"/>
  <c r="BV211" i="2"/>
  <c r="BX211" i="2"/>
  <c r="BY211" i="2"/>
  <c r="BV212" i="2"/>
  <c r="BX212" i="2"/>
  <c r="BY212" i="2"/>
  <c r="BV213" i="2"/>
  <c r="BX213" i="2"/>
  <c r="BY213" i="2"/>
  <c r="BV214" i="2"/>
  <c r="BX214" i="2"/>
  <c r="BY214" i="2"/>
  <c r="BV215" i="2"/>
  <c r="BX215" i="2"/>
  <c r="BY215" i="2"/>
  <c r="BV216" i="2"/>
  <c r="BX216" i="2"/>
  <c r="BY216" i="2"/>
  <c r="BV217" i="2"/>
  <c r="BX217" i="2"/>
  <c r="BY217" i="2"/>
  <c r="CP17" i="2"/>
  <c r="CP18" i="2"/>
  <c r="CR18" i="2"/>
  <c r="CS18" i="2"/>
  <c r="CP19" i="2"/>
  <c r="CR19" i="2"/>
  <c r="CS19" i="2"/>
  <c r="CP20" i="2"/>
  <c r="CR20" i="2"/>
  <c r="CS20" i="2"/>
  <c r="CP21" i="2"/>
  <c r="CR21" i="2"/>
  <c r="CS21" i="2"/>
  <c r="CP22" i="2"/>
  <c r="CR22" i="2"/>
  <c r="CS22" i="2"/>
  <c r="CP23" i="2"/>
  <c r="CR23" i="2"/>
  <c r="CS23" i="2"/>
  <c r="CP24" i="2"/>
  <c r="CR24" i="2"/>
  <c r="CS24" i="2"/>
  <c r="CP25" i="2"/>
  <c r="CR25" i="2"/>
  <c r="CS25" i="2"/>
  <c r="CP26" i="2"/>
  <c r="CR26" i="2"/>
  <c r="CS26" i="2"/>
  <c r="CP27" i="2"/>
  <c r="CR27" i="2"/>
  <c r="CS27" i="2"/>
  <c r="CP28" i="2"/>
  <c r="CR28" i="2"/>
  <c r="CS28" i="2"/>
  <c r="CP29" i="2"/>
  <c r="CR29" i="2"/>
  <c r="CS29" i="2"/>
  <c r="CP30" i="2"/>
  <c r="CR30" i="2"/>
  <c r="CS30" i="2"/>
  <c r="CP31" i="2"/>
  <c r="CR31" i="2"/>
  <c r="CS31" i="2"/>
  <c r="CP32" i="2"/>
  <c r="CR32" i="2"/>
  <c r="CS32" i="2"/>
  <c r="CP33" i="2"/>
  <c r="CR33" i="2"/>
  <c r="CS33" i="2"/>
  <c r="CP34" i="2"/>
  <c r="CR34" i="2"/>
  <c r="CS34" i="2"/>
  <c r="CP35" i="2"/>
  <c r="CR35" i="2"/>
  <c r="CS35" i="2"/>
  <c r="CP36" i="2"/>
  <c r="CR36" i="2"/>
  <c r="CS36" i="2"/>
  <c r="CP37" i="2"/>
  <c r="CR37" i="2"/>
  <c r="CS37" i="2"/>
  <c r="CP38" i="2"/>
  <c r="CR38" i="2"/>
  <c r="CS38" i="2"/>
  <c r="CP39" i="2"/>
  <c r="CR39" i="2"/>
  <c r="CS39" i="2"/>
  <c r="CP40" i="2"/>
  <c r="CR40" i="2"/>
  <c r="CS40" i="2"/>
  <c r="CP41" i="2"/>
  <c r="CR41" i="2"/>
  <c r="CS41" i="2"/>
  <c r="CP42" i="2"/>
  <c r="CR42" i="2"/>
  <c r="CS42" i="2"/>
  <c r="CP43" i="2"/>
  <c r="CR43" i="2"/>
  <c r="CS43" i="2"/>
  <c r="CP44" i="2"/>
  <c r="CR44" i="2"/>
  <c r="CS44" i="2"/>
  <c r="CP45" i="2"/>
  <c r="CR45" i="2"/>
  <c r="CS45" i="2"/>
  <c r="CP46" i="2"/>
  <c r="CR46" i="2"/>
  <c r="CS46" i="2"/>
  <c r="CP47" i="2"/>
  <c r="CR47" i="2"/>
  <c r="CS47" i="2"/>
  <c r="CP48" i="2"/>
  <c r="CR48" i="2"/>
  <c r="CS48" i="2"/>
  <c r="CP49" i="2"/>
  <c r="CR49" i="2"/>
  <c r="CS49" i="2"/>
  <c r="CP50" i="2"/>
  <c r="CR50" i="2"/>
  <c r="CS50" i="2"/>
  <c r="CP51" i="2"/>
  <c r="CR51" i="2"/>
  <c r="CS51" i="2"/>
  <c r="CP52" i="2"/>
  <c r="CR52" i="2"/>
  <c r="CS52" i="2"/>
  <c r="CP53" i="2"/>
  <c r="CR53" i="2"/>
  <c r="CS53" i="2"/>
  <c r="CP54" i="2"/>
  <c r="CR54" i="2"/>
  <c r="CS54" i="2"/>
  <c r="CP55" i="2"/>
  <c r="CR55" i="2"/>
  <c r="CS55" i="2"/>
  <c r="CP56" i="2"/>
  <c r="CR56" i="2"/>
  <c r="CS56" i="2"/>
  <c r="CP57" i="2"/>
  <c r="CR57" i="2"/>
  <c r="CS57" i="2"/>
  <c r="CP58" i="2"/>
  <c r="CR58" i="2"/>
  <c r="CS58" i="2"/>
  <c r="CP59" i="2"/>
  <c r="CR59" i="2"/>
  <c r="CS59" i="2"/>
  <c r="CP60" i="2"/>
  <c r="CR60" i="2"/>
  <c r="CS60" i="2"/>
  <c r="CP61" i="2"/>
  <c r="CR61" i="2"/>
  <c r="CS61" i="2"/>
  <c r="CP62" i="2"/>
  <c r="CR62" i="2"/>
  <c r="CS62" i="2"/>
  <c r="CP63" i="2"/>
  <c r="CR63" i="2"/>
  <c r="CS63" i="2"/>
  <c r="CP64" i="2"/>
  <c r="CR64" i="2"/>
  <c r="CS64" i="2"/>
  <c r="CP65" i="2"/>
  <c r="CR65" i="2"/>
  <c r="CS65" i="2"/>
  <c r="CP66" i="2"/>
  <c r="CR66" i="2"/>
  <c r="CS66" i="2"/>
  <c r="CP67" i="2"/>
  <c r="CR67" i="2"/>
  <c r="CS67" i="2"/>
  <c r="CP68" i="2"/>
  <c r="CR68" i="2"/>
  <c r="CS68" i="2"/>
  <c r="CP69" i="2"/>
  <c r="CR69" i="2"/>
  <c r="CS69" i="2"/>
  <c r="CP70" i="2"/>
  <c r="CR70" i="2"/>
  <c r="CS70" i="2"/>
  <c r="CP71" i="2"/>
  <c r="CR71" i="2"/>
  <c r="CS71" i="2"/>
  <c r="CP72" i="2"/>
  <c r="CR72" i="2"/>
  <c r="CS72" i="2"/>
  <c r="CP73" i="2"/>
  <c r="CR73" i="2"/>
  <c r="CS73" i="2"/>
  <c r="CP74" i="2"/>
  <c r="CR74" i="2"/>
  <c r="CS74" i="2"/>
  <c r="CP75" i="2"/>
  <c r="CR75" i="2"/>
  <c r="CS75" i="2"/>
  <c r="CP76" i="2"/>
  <c r="CR76" i="2"/>
  <c r="CS76" i="2"/>
  <c r="CP77" i="2"/>
  <c r="CR77" i="2"/>
  <c r="CS77" i="2"/>
  <c r="CP78" i="2"/>
  <c r="CR78" i="2"/>
  <c r="CS78" i="2"/>
  <c r="CP79" i="2"/>
  <c r="CR79" i="2"/>
  <c r="CS79" i="2"/>
  <c r="CP80" i="2"/>
  <c r="CR80" i="2"/>
  <c r="CS80" i="2"/>
  <c r="CP81" i="2"/>
  <c r="CR81" i="2"/>
  <c r="CS81" i="2"/>
  <c r="CP82" i="2"/>
  <c r="CR82" i="2"/>
  <c r="CS82" i="2"/>
  <c r="CP83" i="2"/>
  <c r="CR83" i="2"/>
  <c r="CS83" i="2"/>
  <c r="CP84" i="2"/>
  <c r="CR84" i="2"/>
  <c r="CS84" i="2"/>
  <c r="CP85" i="2"/>
  <c r="CR85" i="2"/>
  <c r="CS85" i="2"/>
  <c r="CP86" i="2"/>
  <c r="CR86" i="2"/>
  <c r="CS86" i="2"/>
  <c r="CP87" i="2"/>
  <c r="CR87" i="2"/>
  <c r="CS87" i="2"/>
  <c r="CP88" i="2"/>
  <c r="CR88" i="2"/>
  <c r="CS88" i="2"/>
  <c r="CP89" i="2"/>
  <c r="CR89" i="2"/>
  <c r="CS89" i="2"/>
  <c r="CP90" i="2"/>
  <c r="CR90" i="2"/>
  <c r="CS90" i="2"/>
  <c r="CP91" i="2"/>
  <c r="CR91" i="2"/>
  <c r="CS91" i="2"/>
  <c r="CP92" i="2"/>
  <c r="CR92" i="2"/>
  <c r="CS92" i="2"/>
  <c r="CP93" i="2"/>
  <c r="CR93" i="2"/>
  <c r="CS93" i="2"/>
  <c r="CP94" i="2"/>
  <c r="CR94" i="2"/>
  <c r="CS94" i="2"/>
  <c r="CP95" i="2"/>
  <c r="CR95" i="2"/>
  <c r="CS95" i="2"/>
  <c r="CP96" i="2"/>
  <c r="CR96" i="2"/>
  <c r="CS96" i="2"/>
  <c r="CP97" i="2"/>
  <c r="CR97" i="2"/>
  <c r="CS97" i="2"/>
  <c r="CP98" i="2"/>
  <c r="CR98" i="2"/>
  <c r="CS98" i="2"/>
  <c r="CP99" i="2"/>
  <c r="CR99" i="2"/>
  <c r="CS99" i="2"/>
  <c r="CP100" i="2"/>
  <c r="CR100" i="2"/>
  <c r="CS100" i="2"/>
  <c r="CP101" i="2"/>
  <c r="CR101" i="2"/>
  <c r="CS101" i="2"/>
  <c r="CP102" i="2"/>
  <c r="CR102" i="2"/>
  <c r="CS102" i="2"/>
  <c r="CP103" i="2"/>
  <c r="CR103" i="2"/>
  <c r="CS103" i="2"/>
  <c r="CP104" i="2"/>
  <c r="CR104" i="2"/>
  <c r="CS104" i="2"/>
  <c r="CP105" i="2"/>
  <c r="CR105" i="2"/>
  <c r="CS105" i="2"/>
  <c r="CP106" i="2"/>
  <c r="CR106" i="2"/>
  <c r="CS106" i="2"/>
  <c r="CP107" i="2"/>
  <c r="CR107" i="2"/>
  <c r="CS107" i="2"/>
  <c r="CP108" i="2"/>
  <c r="CR108" i="2"/>
  <c r="CS108" i="2"/>
  <c r="CP109" i="2"/>
  <c r="CR109" i="2"/>
  <c r="CS109" i="2"/>
  <c r="CP110" i="2"/>
  <c r="CR110" i="2"/>
  <c r="CS110" i="2"/>
  <c r="CP111" i="2"/>
  <c r="CR111" i="2"/>
  <c r="CS111" i="2"/>
  <c r="CP112" i="2"/>
  <c r="CR112" i="2"/>
  <c r="CS112" i="2"/>
  <c r="CP113" i="2"/>
  <c r="CR113" i="2"/>
  <c r="CS113" i="2"/>
  <c r="CP114" i="2"/>
  <c r="CR114" i="2"/>
  <c r="CS114" i="2"/>
  <c r="CP115" i="2"/>
  <c r="CR115" i="2"/>
  <c r="CS115" i="2"/>
  <c r="CP116" i="2"/>
  <c r="CR116" i="2"/>
  <c r="CS116" i="2"/>
  <c r="CP117" i="2"/>
  <c r="CR117" i="2"/>
  <c r="CS117" i="2"/>
  <c r="CP118" i="2"/>
  <c r="CR118" i="2"/>
  <c r="CS118" i="2"/>
  <c r="CP119" i="2"/>
  <c r="CR119" i="2"/>
  <c r="CS119" i="2"/>
  <c r="CP120" i="2"/>
  <c r="CR120" i="2"/>
  <c r="CS120" i="2"/>
  <c r="CP121" i="2"/>
  <c r="CR121" i="2"/>
  <c r="CS121" i="2"/>
  <c r="CP122" i="2"/>
  <c r="CR122" i="2"/>
  <c r="CS122" i="2"/>
  <c r="CP123" i="2"/>
  <c r="CR123" i="2"/>
  <c r="CS123" i="2"/>
  <c r="CP124" i="2"/>
  <c r="CR124" i="2"/>
  <c r="CS124" i="2"/>
  <c r="CP125" i="2"/>
  <c r="CR125" i="2"/>
  <c r="CS125" i="2"/>
  <c r="CP126" i="2"/>
  <c r="CR126" i="2"/>
  <c r="CS126" i="2"/>
  <c r="CP127" i="2"/>
  <c r="CR127" i="2"/>
  <c r="CS127" i="2"/>
  <c r="CP128" i="2"/>
  <c r="CR128" i="2"/>
  <c r="CS128" i="2"/>
  <c r="CP129" i="2"/>
  <c r="CR129" i="2"/>
  <c r="CS129" i="2"/>
  <c r="CP130" i="2"/>
  <c r="CR130" i="2"/>
  <c r="CS130" i="2"/>
  <c r="CP131" i="2"/>
  <c r="CR131" i="2"/>
  <c r="CS131" i="2"/>
  <c r="CP132" i="2"/>
  <c r="CR132" i="2"/>
  <c r="CS132" i="2"/>
  <c r="CP133" i="2"/>
  <c r="CR133" i="2"/>
  <c r="CS133" i="2"/>
  <c r="CP134" i="2"/>
  <c r="CR134" i="2"/>
  <c r="CS134" i="2"/>
  <c r="CP135" i="2"/>
  <c r="CR135" i="2"/>
  <c r="CS135" i="2"/>
  <c r="CP136" i="2"/>
  <c r="CR136" i="2"/>
  <c r="CS136" i="2"/>
  <c r="CP137" i="2"/>
  <c r="CR137" i="2"/>
  <c r="CS137" i="2"/>
  <c r="CP138" i="2"/>
  <c r="CR138" i="2"/>
  <c r="CS138" i="2"/>
  <c r="CP139" i="2"/>
  <c r="CR139" i="2"/>
  <c r="CS139" i="2"/>
  <c r="CP140" i="2"/>
  <c r="CR140" i="2"/>
  <c r="CS140" i="2"/>
  <c r="CP141" i="2"/>
  <c r="CR141" i="2"/>
  <c r="CS141" i="2"/>
  <c r="CP142" i="2"/>
  <c r="CR142" i="2"/>
  <c r="CS142" i="2"/>
  <c r="CP143" i="2"/>
  <c r="CR143" i="2"/>
  <c r="CS143" i="2"/>
  <c r="CP144" i="2"/>
  <c r="CR144" i="2"/>
  <c r="CS144" i="2"/>
  <c r="CP145" i="2"/>
  <c r="CR145" i="2"/>
  <c r="CS145" i="2"/>
  <c r="CP146" i="2"/>
  <c r="CR146" i="2"/>
  <c r="CS146" i="2"/>
  <c r="CP147" i="2"/>
  <c r="CR147" i="2"/>
  <c r="CS147" i="2"/>
  <c r="CP148" i="2"/>
  <c r="CR148" i="2"/>
  <c r="CS148" i="2"/>
  <c r="CP149" i="2"/>
  <c r="CR149" i="2"/>
  <c r="CS149" i="2"/>
  <c r="CP150" i="2"/>
  <c r="CR150" i="2"/>
  <c r="CS150" i="2"/>
  <c r="CP151" i="2"/>
  <c r="CR151" i="2"/>
  <c r="CS151" i="2"/>
  <c r="CP152" i="2"/>
  <c r="CR152" i="2"/>
  <c r="CS152" i="2"/>
  <c r="CP153" i="2"/>
  <c r="CR153" i="2"/>
  <c r="CS153" i="2"/>
  <c r="CP154" i="2"/>
  <c r="CR154" i="2"/>
  <c r="CS154" i="2"/>
  <c r="CP155" i="2"/>
  <c r="CR155" i="2"/>
  <c r="CS155" i="2"/>
  <c r="CP156" i="2"/>
  <c r="CR156" i="2"/>
  <c r="CS156" i="2"/>
  <c r="CP157" i="2"/>
  <c r="CR157" i="2"/>
  <c r="CS157" i="2"/>
  <c r="CP158" i="2"/>
  <c r="CR158" i="2"/>
  <c r="CS158" i="2"/>
  <c r="CP159" i="2"/>
  <c r="CR159" i="2"/>
  <c r="CS159" i="2"/>
  <c r="CP160" i="2"/>
  <c r="CR160" i="2"/>
  <c r="CS160" i="2"/>
  <c r="CP161" i="2"/>
  <c r="CR161" i="2"/>
  <c r="CS161" i="2"/>
  <c r="CP162" i="2"/>
  <c r="CR162" i="2"/>
  <c r="CS162" i="2"/>
  <c r="CP163" i="2"/>
  <c r="CR163" i="2"/>
  <c r="CS163" i="2"/>
  <c r="CP164" i="2"/>
  <c r="CR164" i="2"/>
  <c r="CS164" i="2"/>
  <c r="CP165" i="2"/>
  <c r="CR165" i="2"/>
  <c r="CS165" i="2"/>
  <c r="CP166" i="2"/>
  <c r="CR166" i="2"/>
  <c r="CS166" i="2"/>
  <c r="CP167" i="2"/>
  <c r="CR167" i="2"/>
  <c r="CS167" i="2"/>
  <c r="CP168" i="2"/>
  <c r="CR168" i="2"/>
  <c r="CS168" i="2"/>
  <c r="CP169" i="2"/>
  <c r="CR169" i="2"/>
  <c r="CS169" i="2"/>
  <c r="CP170" i="2"/>
  <c r="CR170" i="2"/>
  <c r="CS170" i="2"/>
  <c r="CP171" i="2"/>
  <c r="CR171" i="2"/>
  <c r="CS171" i="2"/>
  <c r="CP172" i="2"/>
  <c r="CR172" i="2"/>
  <c r="CS172" i="2"/>
  <c r="CP173" i="2"/>
  <c r="CR173" i="2"/>
  <c r="CS173" i="2"/>
  <c r="CP174" i="2"/>
  <c r="CR174" i="2"/>
  <c r="CS174" i="2"/>
  <c r="CP175" i="2"/>
  <c r="CR175" i="2"/>
  <c r="CS175" i="2"/>
  <c r="CP176" i="2"/>
  <c r="CR176" i="2"/>
  <c r="CS176" i="2"/>
  <c r="CP177" i="2"/>
  <c r="CR177" i="2"/>
  <c r="CS177" i="2"/>
  <c r="CP178" i="2"/>
  <c r="CR178" i="2"/>
  <c r="CS178" i="2"/>
  <c r="CP179" i="2"/>
  <c r="CR179" i="2"/>
  <c r="CS179" i="2"/>
  <c r="CP180" i="2"/>
  <c r="CR180" i="2"/>
  <c r="CS180" i="2"/>
  <c r="CP181" i="2"/>
  <c r="CR181" i="2"/>
  <c r="CS181" i="2"/>
  <c r="CP182" i="2"/>
  <c r="CR182" i="2"/>
  <c r="CS182" i="2"/>
  <c r="CP183" i="2"/>
  <c r="CR183" i="2"/>
  <c r="CS183" i="2"/>
  <c r="CP184" i="2"/>
  <c r="CR184" i="2"/>
  <c r="CS184" i="2"/>
  <c r="CP185" i="2"/>
  <c r="CR185" i="2"/>
  <c r="CS185" i="2"/>
  <c r="CP186" i="2"/>
  <c r="CR186" i="2"/>
  <c r="CS186" i="2"/>
  <c r="CP187" i="2"/>
  <c r="CR187" i="2"/>
  <c r="CS187" i="2"/>
  <c r="CP188" i="2"/>
  <c r="CR188" i="2"/>
  <c r="CS188" i="2"/>
  <c r="CP189" i="2"/>
  <c r="CR189" i="2"/>
  <c r="CS189" i="2"/>
  <c r="CP190" i="2"/>
  <c r="CR190" i="2"/>
  <c r="CS190" i="2"/>
  <c r="CP191" i="2"/>
  <c r="CR191" i="2"/>
  <c r="CS191" i="2"/>
  <c r="CP192" i="2"/>
  <c r="CR192" i="2"/>
  <c r="CS192" i="2"/>
  <c r="CP193" i="2"/>
  <c r="CR193" i="2"/>
  <c r="CS193" i="2"/>
  <c r="CP194" i="2"/>
  <c r="CR194" i="2"/>
  <c r="CS194" i="2"/>
  <c r="CP195" i="2"/>
  <c r="CR195" i="2"/>
  <c r="CS195" i="2"/>
  <c r="CP196" i="2"/>
  <c r="CR196" i="2"/>
  <c r="CS196" i="2"/>
  <c r="CP197" i="2"/>
  <c r="CR197" i="2"/>
  <c r="CS197" i="2"/>
  <c r="CP198" i="2"/>
  <c r="CR198" i="2"/>
  <c r="CS198" i="2"/>
  <c r="CP199" i="2"/>
  <c r="CR199" i="2"/>
  <c r="CS199" i="2"/>
  <c r="CP200" i="2"/>
  <c r="CR200" i="2"/>
  <c r="CS200" i="2"/>
  <c r="CP201" i="2"/>
  <c r="CR201" i="2"/>
  <c r="CS201" i="2"/>
  <c r="CP202" i="2"/>
  <c r="CR202" i="2"/>
  <c r="CS202" i="2"/>
  <c r="CP203" i="2"/>
  <c r="CR203" i="2"/>
  <c r="CS203" i="2"/>
  <c r="CP204" i="2"/>
  <c r="CR204" i="2"/>
  <c r="CS204" i="2"/>
  <c r="CP205" i="2"/>
  <c r="CR205" i="2"/>
  <c r="CS205" i="2"/>
  <c r="CP206" i="2"/>
  <c r="CR206" i="2"/>
  <c r="CS206" i="2"/>
  <c r="CP207" i="2"/>
  <c r="CR207" i="2"/>
  <c r="CS207" i="2"/>
  <c r="CP208" i="2"/>
  <c r="CR208" i="2"/>
  <c r="CS208" i="2"/>
  <c r="CP209" i="2"/>
  <c r="CR209" i="2"/>
  <c r="CS209" i="2"/>
  <c r="CP210" i="2"/>
  <c r="CR210" i="2"/>
  <c r="CS210" i="2"/>
  <c r="CP211" i="2"/>
  <c r="CR211" i="2"/>
  <c r="CS211" i="2"/>
  <c r="CP212" i="2"/>
  <c r="CR212" i="2"/>
  <c r="CS212" i="2"/>
  <c r="CP213" i="2"/>
  <c r="CR213" i="2"/>
  <c r="CS213" i="2"/>
  <c r="CP214" i="2"/>
  <c r="CR214" i="2"/>
  <c r="CS214" i="2"/>
  <c r="CP215" i="2"/>
  <c r="CR215" i="2"/>
  <c r="CS215" i="2"/>
  <c r="CP216" i="2"/>
  <c r="CR216" i="2"/>
  <c r="CS216" i="2"/>
  <c r="CP217" i="2"/>
  <c r="CR217" i="2"/>
  <c r="CS217" i="2"/>
  <c r="B24" i="20"/>
  <c r="B23" i="20"/>
  <c r="DD6" i="2"/>
  <c r="C12" i="14"/>
  <c r="C13" i="14"/>
  <c r="CR17" i="2"/>
  <c r="CS17" i="2"/>
  <c r="CS15" i="2"/>
  <c r="CS14" i="2"/>
  <c r="F35" i="11"/>
  <c r="F53" i="11"/>
  <c r="F55" i="11"/>
  <c r="F56" i="11"/>
  <c r="BX17" i="2"/>
  <c r="BY17" i="2"/>
  <c r="BY15" i="2"/>
  <c r="BY14" i="2"/>
  <c r="D35" i="11"/>
  <c r="D53" i="11"/>
  <c r="D55" i="11"/>
  <c r="D56" i="11"/>
  <c r="F54" i="11"/>
  <c r="D54" i="11"/>
  <c r="C54" i="11"/>
  <c r="B27" i="20"/>
  <c r="CA217" i="2"/>
  <c r="CB217" i="2"/>
  <c r="CA216" i="2"/>
  <c r="CB216" i="2"/>
  <c r="CA215" i="2"/>
  <c r="CB215" i="2"/>
  <c r="CA214" i="2"/>
  <c r="CB214" i="2"/>
  <c r="CA213" i="2"/>
  <c r="CB213" i="2"/>
  <c r="CA212" i="2"/>
  <c r="CB212" i="2"/>
  <c r="CA211" i="2"/>
  <c r="CB211" i="2"/>
  <c r="CA210" i="2"/>
  <c r="CB210" i="2"/>
  <c r="CA209" i="2"/>
  <c r="CB209" i="2"/>
  <c r="CA208" i="2"/>
  <c r="CB208" i="2"/>
  <c r="CA207" i="2"/>
  <c r="CB207" i="2"/>
  <c r="CA206" i="2"/>
  <c r="CB206" i="2"/>
  <c r="CA205" i="2"/>
  <c r="CB205" i="2"/>
  <c r="CA204" i="2"/>
  <c r="CB204" i="2"/>
  <c r="CA203" i="2"/>
  <c r="CB203" i="2"/>
  <c r="CA202" i="2"/>
  <c r="CB202" i="2"/>
  <c r="CA201" i="2"/>
  <c r="CB201" i="2"/>
  <c r="CA200" i="2"/>
  <c r="CB200" i="2"/>
  <c r="CA199" i="2"/>
  <c r="CB199" i="2"/>
  <c r="CA198" i="2"/>
  <c r="CB198" i="2"/>
  <c r="CA197" i="2"/>
  <c r="CB197" i="2"/>
  <c r="CA196" i="2"/>
  <c r="CB196" i="2"/>
  <c r="CA195" i="2"/>
  <c r="CB195" i="2"/>
  <c r="CA194" i="2"/>
  <c r="CB194" i="2"/>
  <c r="CA193" i="2"/>
  <c r="CB193" i="2"/>
  <c r="CA192" i="2"/>
  <c r="CB192" i="2"/>
  <c r="CA191" i="2"/>
  <c r="CB191" i="2"/>
  <c r="CA190" i="2"/>
  <c r="CB190" i="2"/>
  <c r="CA189" i="2"/>
  <c r="CB189" i="2"/>
  <c r="CA188" i="2"/>
  <c r="CB188" i="2"/>
  <c r="CA187" i="2"/>
  <c r="CB187" i="2"/>
  <c r="CA186" i="2"/>
  <c r="CB186" i="2"/>
  <c r="CA185" i="2"/>
  <c r="CB185" i="2"/>
  <c r="CA184" i="2"/>
  <c r="CB184" i="2"/>
  <c r="CA183" i="2"/>
  <c r="CB183" i="2"/>
  <c r="CA182" i="2"/>
  <c r="CB182" i="2"/>
  <c r="CA181" i="2"/>
  <c r="CB181" i="2"/>
  <c r="CA180" i="2"/>
  <c r="CB180" i="2"/>
  <c r="CA179" i="2"/>
  <c r="CB179" i="2"/>
  <c r="CA178" i="2"/>
  <c r="CB178" i="2"/>
  <c r="CA177" i="2"/>
  <c r="CB177" i="2"/>
  <c r="CA176" i="2"/>
  <c r="CB176" i="2"/>
  <c r="CA175" i="2"/>
  <c r="CB175" i="2"/>
  <c r="CA174" i="2"/>
  <c r="CB174" i="2"/>
  <c r="CA173" i="2"/>
  <c r="CB173" i="2"/>
  <c r="CA172" i="2"/>
  <c r="CB172" i="2"/>
  <c r="CA171" i="2"/>
  <c r="CB171" i="2"/>
  <c r="CA170" i="2"/>
  <c r="CB170" i="2"/>
  <c r="CA169" i="2"/>
  <c r="CB169" i="2"/>
  <c r="CA168" i="2"/>
  <c r="CB168" i="2"/>
  <c r="CA167" i="2"/>
  <c r="CB167" i="2"/>
  <c r="CA166" i="2"/>
  <c r="CB166" i="2"/>
  <c r="CA165" i="2"/>
  <c r="CB165" i="2"/>
  <c r="CA164" i="2"/>
  <c r="CB164" i="2"/>
  <c r="CA163" i="2"/>
  <c r="CB163" i="2"/>
  <c r="CA162" i="2"/>
  <c r="CB162" i="2"/>
  <c r="CA161" i="2"/>
  <c r="CB161" i="2"/>
  <c r="CA160" i="2"/>
  <c r="CB160" i="2"/>
  <c r="CA159" i="2"/>
  <c r="CB159" i="2"/>
  <c r="CA158" i="2"/>
  <c r="CB158" i="2"/>
  <c r="CA157" i="2"/>
  <c r="CB157" i="2"/>
  <c r="CA156" i="2"/>
  <c r="CB156" i="2"/>
  <c r="CA155" i="2"/>
  <c r="CB155" i="2"/>
  <c r="CA154" i="2"/>
  <c r="CB154" i="2"/>
  <c r="CA153" i="2"/>
  <c r="CB153" i="2"/>
  <c r="CA152" i="2"/>
  <c r="CB152" i="2"/>
  <c r="CA151" i="2"/>
  <c r="CB151" i="2"/>
  <c r="CA150" i="2"/>
  <c r="CB150" i="2"/>
  <c r="CA149" i="2"/>
  <c r="CB149" i="2"/>
  <c r="CA148" i="2"/>
  <c r="CB148" i="2"/>
  <c r="CA147" i="2"/>
  <c r="CB147" i="2"/>
  <c r="CA146" i="2"/>
  <c r="CB146" i="2"/>
  <c r="CA145" i="2"/>
  <c r="CB145" i="2"/>
  <c r="CA144" i="2"/>
  <c r="CB144" i="2"/>
  <c r="CA143" i="2"/>
  <c r="CB143" i="2"/>
  <c r="CA142" i="2"/>
  <c r="CB142" i="2"/>
  <c r="CA141" i="2"/>
  <c r="CB141" i="2"/>
  <c r="CA140" i="2"/>
  <c r="CB140" i="2"/>
  <c r="CA139" i="2"/>
  <c r="CB139" i="2"/>
  <c r="CA138" i="2"/>
  <c r="CB138" i="2"/>
  <c r="CA137" i="2"/>
  <c r="CB137" i="2"/>
  <c r="CA136" i="2"/>
  <c r="CB136" i="2"/>
  <c r="CA135" i="2"/>
  <c r="CB135" i="2"/>
  <c r="CA134" i="2"/>
  <c r="CB134" i="2"/>
  <c r="CA133" i="2"/>
  <c r="CB133" i="2"/>
  <c r="CA132" i="2"/>
  <c r="CB132" i="2"/>
  <c r="CA131" i="2"/>
  <c r="CB131" i="2"/>
  <c r="CA130" i="2"/>
  <c r="CB130" i="2"/>
  <c r="CA129" i="2"/>
  <c r="CB129" i="2"/>
  <c r="CA128" i="2"/>
  <c r="CB128" i="2"/>
  <c r="CA127" i="2"/>
  <c r="CB127" i="2"/>
  <c r="CA126" i="2"/>
  <c r="CB126" i="2"/>
  <c r="CA125" i="2"/>
  <c r="CB125" i="2"/>
  <c r="CA124" i="2"/>
  <c r="CB124" i="2"/>
  <c r="CA123" i="2"/>
  <c r="CB123" i="2"/>
  <c r="CA122" i="2"/>
  <c r="CB122" i="2"/>
  <c r="CA121" i="2"/>
  <c r="CB121" i="2"/>
  <c r="CA120" i="2"/>
  <c r="CB120" i="2"/>
  <c r="CA119" i="2"/>
  <c r="CB119" i="2"/>
  <c r="CA118" i="2"/>
  <c r="CB118" i="2"/>
  <c r="CA117" i="2"/>
  <c r="CB117" i="2"/>
  <c r="CA116" i="2"/>
  <c r="CB116" i="2"/>
  <c r="CA115" i="2"/>
  <c r="CB115" i="2"/>
  <c r="CA114" i="2"/>
  <c r="CB114" i="2"/>
  <c r="CA113" i="2"/>
  <c r="CB113" i="2"/>
  <c r="CA112" i="2"/>
  <c r="CB112" i="2"/>
  <c r="CA111" i="2"/>
  <c r="CB111" i="2"/>
  <c r="CA110" i="2"/>
  <c r="CB110" i="2"/>
  <c r="CA109" i="2"/>
  <c r="CB109" i="2"/>
  <c r="CA108" i="2"/>
  <c r="CB108" i="2"/>
  <c r="CA107" i="2"/>
  <c r="CB107" i="2"/>
  <c r="CA106" i="2"/>
  <c r="CB106" i="2"/>
  <c r="CA105" i="2"/>
  <c r="CB105" i="2"/>
  <c r="CA104" i="2"/>
  <c r="CB104" i="2"/>
  <c r="CA103" i="2"/>
  <c r="CB103" i="2"/>
  <c r="CA102" i="2"/>
  <c r="CB102" i="2"/>
  <c r="CA101" i="2"/>
  <c r="CB101" i="2"/>
  <c r="CA100" i="2"/>
  <c r="CB100" i="2"/>
  <c r="CA99" i="2"/>
  <c r="CB99" i="2"/>
  <c r="CA98" i="2"/>
  <c r="CB98" i="2"/>
  <c r="CA97" i="2"/>
  <c r="CB97" i="2"/>
  <c r="CA96" i="2"/>
  <c r="CB96" i="2"/>
  <c r="CA95" i="2"/>
  <c r="CB95" i="2"/>
  <c r="CA94" i="2"/>
  <c r="CB94" i="2"/>
  <c r="CA93" i="2"/>
  <c r="CB93" i="2"/>
  <c r="CA92" i="2"/>
  <c r="CB92" i="2"/>
  <c r="CA91" i="2"/>
  <c r="CB91" i="2"/>
  <c r="CA90" i="2"/>
  <c r="CB90" i="2"/>
  <c r="CA89" i="2"/>
  <c r="CB89" i="2"/>
  <c r="CA88" i="2"/>
  <c r="CB88" i="2"/>
  <c r="CA87" i="2"/>
  <c r="CB87" i="2"/>
  <c r="CA86" i="2"/>
  <c r="CB86" i="2"/>
  <c r="CA85" i="2"/>
  <c r="CB85" i="2"/>
  <c r="CA84" i="2"/>
  <c r="CB84" i="2"/>
  <c r="CA83" i="2"/>
  <c r="CB83" i="2"/>
  <c r="CA82" i="2"/>
  <c r="CB82" i="2"/>
  <c r="CA81" i="2"/>
  <c r="CB81" i="2"/>
  <c r="CA80" i="2"/>
  <c r="CB80" i="2"/>
  <c r="CA79" i="2"/>
  <c r="CB79" i="2"/>
  <c r="CA78" i="2"/>
  <c r="CB78" i="2"/>
  <c r="CA77" i="2"/>
  <c r="CB77" i="2"/>
  <c r="CA76" i="2"/>
  <c r="CB76" i="2"/>
  <c r="CA75" i="2"/>
  <c r="CB75" i="2"/>
  <c r="CA74" i="2"/>
  <c r="CB74" i="2"/>
  <c r="CA73" i="2"/>
  <c r="CB73" i="2"/>
  <c r="CA72" i="2"/>
  <c r="CB72" i="2"/>
  <c r="CA71" i="2"/>
  <c r="CB71" i="2"/>
  <c r="CA70" i="2"/>
  <c r="CB70" i="2"/>
  <c r="CA69" i="2"/>
  <c r="CB69" i="2"/>
  <c r="CA68" i="2"/>
  <c r="CB68" i="2"/>
  <c r="CA67" i="2"/>
  <c r="CB67" i="2"/>
  <c r="CA66" i="2"/>
  <c r="CB66" i="2"/>
  <c r="CA65" i="2"/>
  <c r="CB65" i="2"/>
  <c r="CA64" i="2"/>
  <c r="CB64" i="2"/>
  <c r="CA63" i="2"/>
  <c r="CB63" i="2"/>
  <c r="CA62" i="2"/>
  <c r="CB62" i="2"/>
  <c r="CA61" i="2"/>
  <c r="CB61" i="2"/>
  <c r="CA60" i="2"/>
  <c r="CB60" i="2"/>
  <c r="CA59" i="2"/>
  <c r="CB59" i="2"/>
  <c r="CA58" i="2"/>
  <c r="CB58" i="2"/>
  <c r="CA57" i="2"/>
  <c r="CB57" i="2"/>
  <c r="CA56" i="2"/>
  <c r="CB56" i="2"/>
  <c r="CA55" i="2"/>
  <c r="CB55" i="2"/>
  <c r="CA54" i="2"/>
  <c r="CB54" i="2"/>
  <c r="CA53" i="2"/>
  <c r="CB53" i="2"/>
  <c r="CA52" i="2"/>
  <c r="CB52" i="2"/>
  <c r="CA51" i="2"/>
  <c r="CB51" i="2"/>
  <c r="CA50" i="2"/>
  <c r="CB50" i="2"/>
  <c r="CA49" i="2"/>
  <c r="CB49" i="2"/>
  <c r="CA48" i="2"/>
  <c r="CB48" i="2"/>
  <c r="CA47" i="2"/>
  <c r="CB47" i="2"/>
  <c r="CA46" i="2"/>
  <c r="CB46" i="2"/>
  <c r="CA45" i="2"/>
  <c r="CB45" i="2"/>
  <c r="CA44" i="2"/>
  <c r="CB44" i="2"/>
  <c r="CA43" i="2"/>
  <c r="CB43" i="2"/>
  <c r="CA42" i="2"/>
  <c r="CB42" i="2"/>
  <c r="CA41" i="2"/>
  <c r="CB41" i="2"/>
  <c r="CA40" i="2"/>
  <c r="CB40" i="2"/>
  <c r="CA39" i="2"/>
  <c r="CB39" i="2"/>
  <c r="CA38" i="2"/>
  <c r="CB38" i="2"/>
  <c r="CA37" i="2"/>
  <c r="CB37" i="2"/>
  <c r="CA36" i="2"/>
  <c r="CB36" i="2"/>
  <c r="CA35" i="2"/>
  <c r="CB35" i="2"/>
  <c r="CA34" i="2"/>
  <c r="CB34" i="2"/>
  <c r="CA33" i="2"/>
  <c r="CB33" i="2"/>
  <c r="CA32" i="2"/>
  <c r="CB32" i="2"/>
  <c r="CA31" i="2"/>
  <c r="CB31" i="2"/>
  <c r="CA30" i="2"/>
  <c r="CB30" i="2"/>
  <c r="CA29" i="2"/>
  <c r="CB29" i="2"/>
  <c r="CA28" i="2"/>
  <c r="CB28" i="2"/>
  <c r="CA27" i="2"/>
  <c r="CB27" i="2"/>
  <c r="CA26" i="2"/>
  <c r="CB26" i="2"/>
  <c r="CA25" i="2"/>
  <c r="CB25" i="2"/>
  <c r="CA24" i="2"/>
  <c r="CB24" i="2"/>
  <c r="CA23" i="2"/>
  <c r="CB23" i="2"/>
  <c r="CA22" i="2"/>
  <c r="CB22" i="2"/>
  <c r="CA21" i="2"/>
  <c r="CB21" i="2"/>
  <c r="CA20" i="2"/>
  <c r="CB20" i="2"/>
  <c r="CA19" i="2"/>
  <c r="CB19" i="2"/>
  <c r="CA18" i="2"/>
  <c r="CB18" i="2"/>
  <c r="CA17" i="2"/>
  <c r="CB17" i="2"/>
  <c r="BT217" i="2"/>
  <c r="BZ217" i="2"/>
  <c r="BT216" i="2"/>
  <c r="BZ216" i="2"/>
  <c r="BT215" i="2"/>
  <c r="BZ215" i="2"/>
  <c r="BT214" i="2"/>
  <c r="BZ214" i="2"/>
  <c r="BT213" i="2"/>
  <c r="BZ213" i="2"/>
  <c r="BT212" i="2"/>
  <c r="BZ212" i="2"/>
  <c r="BT211" i="2"/>
  <c r="BZ211" i="2"/>
  <c r="BT210" i="2"/>
  <c r="BZ210" i="2"/>
  <c r="BT209" i="2"/>
  <c r="BZ209" i="2"/>
  <c r="BT208" i="2"/>
  <c r="BZ208" i="2"/>
  <c r="BT207" i="2"/>
  <c r="BZ207" i="2"/>
  <c r="BT206" i="2"/>
  <c r="BZ206" i="2"/>
  <c r="BT205" i="2"/>
  <c r="BZ205" i="2"/>
  <c r="BT204" i="2"/>
  <c r="BZ204" i="2"/>
  <c r="BT203" i="2"/>
  <c r="BZ203" i="2"/>
  <c r="BT202" i="2"/>
  <c r="BZ202" i="2"/>
  <c r="BT201" i="2"/>
  <c r="BZ201" i="2"/>
  <c r="BT200" i="2"/>
  <c r="BZ200" i="2"/>
  <c r="BT199" i="2"/>
  <c r="BZ199" i="2"/>
  <c r="BT198" i="2"/>
  <c r="BZ198" i="2"/>
  <c r="BT197" i="2"/>
  <c r="BZ197" i="2"/>
  <c r="BT196" i="2"/>
  <c r="BZ196" i="2"/>
  <c r="BT195" i="2"/>
  <c r="BZ195" i="2"/>
  <c r="BT194" i="2"/>
  <c r="BZ194" i="2"/>
  <c r="BT193" i="2"/>
  <c r="BZ193" i="2"/>
  <c r="BT192" i="2"/>
  <c r="BZ192" i="2"/>
  <c r="BT191" i="2"/>
  <c r="BZ191" i="2"/>
  <c r="BT190" i="2"/>
  <c r="BZ190" i="2"/>
  <c r="BT189" i="2"/>
  <c r="BZ189" i="2"/>
  <c r="BT188" i="2"/>
  <c r="BZ188" i="2"/>
  <c r="BT187" i="2"/>
  <c r="BZ187" i="2"/>
  <c r="BT186" i="2"/>
  <c r="BZ186" i="2"/>
  <c r="BT185" i="2"/>
  <c r="BZ185" i="2"/>
  <c r="BT184" i="2"/>
  <c r="BZ184" i="2"/>
  <c r="BT183" i="2"/>
  <c r="BZ183" i="2"/>
  <c r="BT182" i="2"/>
  <c r="BZ182" i="2"/>
  <c r="BT181" i="2"/>
  <c r="BZ181" i="2"/>
  <c r="BT180" i="2"/>
  <c r="BZ180" i="2"/>
  <c r="BT179" i="2"/>
  <c r="BZ179" i="2"/>
  <c r="BT178" i="2"/>
  <c r="BZ178" i="2"/>
  <c r="BT177" i="2"/>
  <c r="BZ177" i="2"/>
  <c r="BT176" i="2"/>
  <c r="BZ176" i="2"/>
  <c r="BT175" i="2"/>
  <c r="BZ175" i="2"/>
  <c r="BT174" i="2"/>
  <c r="BZ174" i="2"/>
  <c r="BT173" i="2"/>
  <c r="BZ173" i="2"/>
  <c r="BT172" i="2"/>
  <c r="BZ172" i="2"/>
  <c r="BT171" i="2"/>
  <c r="BZ171" i="2"/>
  <c r="BT170" i="2"/>
  <c r="BZ170" i="2"/>
  <c r="BT169" i="2"/>
  <c r="BZ169" i="2"/>
  <c r="BT168" i="2"/>
  <c r="BZ168" i="2"/>
  <c r="BT167" i="2"/>
  <c r="BZ167" i="2"/>
  <c r="BT166" i="2"/>
  <c r="BZ166" i="2"/>
  <c r="BT165" i="2"/>
  <c r="BZ165" i="2"/>
  <c r="BT164" i="2"/>
  <c r="BZ164" i="2"/>
  <c r="BT163" i="2"/>
  <c r="BZ163" i="2"/>
  <c r="BT162" i="2"/>
  <c r="BZ162" i="2"/>
  <c r="BT161" i="2"/>
  <c r="BZ161" i="2"/>
  <c r="BT160" i="2"/>
  <c r="BZ160" i="2"/>
  <c r="BT159" i="2"/>
  <c r="BZ159" i="2"/>
  <c r="BT158" i="2"/>
  <c r="BZ158" i="2"/>
  <c r="BT157" i="2"/>
  <c r="BZ157" i="2"/>
  <c r="BT156" i="2"/>
  <c r="BZ156" i="2"/>
  <c r="BT155" i="2"/>
  <c r="BZ155" i="2"/>
  <c r="BT154" i="2"/>
  <c r="BZ154" i="2"/>
  <c r="BT153" i="2"/>
  <c r="BZ153" i="2"/>
  <c r="BT152" i="2"/>
  <c r="BZ152" i="2"/>
  <c r="BT151" i="2"/>
  <c r="BZ151" i="2"/>
  <c r="BT150" i="2"/>
  <c r="BZ150" i="2"/>
  <c r="BT149" i="2"/>
  <c r="BZ149" i="2"/>
  <c r="BT148" i="2"/>
  <c r="BZ148" i="2"/>
  <c r="BT147" i="2"/>
  <c r="BZ147" i="2"/>
  <c r="BT146" i="2"/>
  <c r="BZ146" i="2"/>
  <c r="BT145" i="2"/>
  <c r="BZ145" i="2"/>
  <c r="BT144" i="2"/>
  <c r="BZ144" i="2"/>
  <c r="BT143" i="2"/>
  <c r="BZ143" i="2"/>
  <c r="BT142" i="2"/>
  <c r="BZ142" i="2"/>
  <c r="BT141" i="2"/>
  <c r="BZ141" i="2"/>
  <c r="BT140" i="2"/>
  <c r="BZ140" i="2"/>
  <c r="BT139" i="2"/>
  <c r="BZ139" i="2"/>
  <c r="BT138" i="2"/>
  <c r="BZ138" i="2"/>
  <c r="BT137" i="2"/>
  <c r="BZ137" i="2"/>
  <c r="BT136" i="2"/>
  <c r="BZ136" i="2"/>
  <c r="BT135" i="2"/>
  <c r="BZ135" i="2"/>
  <c r="BT134" i="2"/>
  <c r="BZ134" i="2"/>
  <c r="BT133" i="2"/>
  <c r="BZ133" i="2"/>
  <c r="BT132" i="2"/>
  <c r="BZ132" i="2"/>
  <c r="BT131" i="2"/>
  <c r="BZ131" i="2"/>
  <c r="BT130" i="2"/>
  <c r="BZ130" i="2"/>
  <c r="BT129" i="2"/>
  <c r="BZ129" i="2"/>
  <c r="BT128" i="2"/>
  <c r="BZ128" i="2"/>
  <c r="BT127" i="2"/>
  <c r="BZ127" i="2"/>
  <c r="BT126" i="2"/>
  <c r="BZ126" i="2"/>
  <c r="BT125" i="2"/>
  <c r="BZ125" i="2"/>
  <c r="BT124" i="2"/>
  <c r="BZ124" i="2"/>
  <c r="BT123" i="2"/>
  <c r="BZ123" i="2"/>
  <c r="BT122" i="2"/>
  <c r="BZ122" i="2"/>
  <c r="BT121" i="2"/>
  <c r="BZ121" i="2"/>
  <c r="BT120" i="2"/>
  <c r="BZ120" i="2"/>
  <c r="BT119" i="2"/>
  <c r="BZ119" i="2"/>
  <c r="BT118" i="2"/>
  <c r="BZ118" i="2"/>
  <c r="BT117" i="2"/>
  <c r="BZ117" i="2"/>
  <c r="BT116" i="2"/>
  <c r="BZ116" i="2"/>
  <c r="BT115" i="2"/>
  <c r="BZ115" i="2"/>
  <c r="BT114" i="2"/>
  <c r="BZ114" i="2"/>
  <c r="BT113" i="2"/>
  <c r="BZ113" i="2"/>
  <c r="BT112" i="2"/>
  <c r="BZ112" i="2"/>
  <c r="BT111" i="2"/>
  <c r="BZ111" i="2"/>
  <c r="BT110" i="2"/>
  <c r="BZ110" i="2"/>
  <c r="BT109" i="2"/>
  <c r="BZ109" i="2"/>
  <c r="BT108" i="2"/>
  <c r="BZ108" i="2"/>
  <c r="BT107" i="2"/>
  <c r="BZ107" i="2"/>
  <c r="BT106" i="2"/>
  <c r="BZ106" i="2"/>
  <c r="BT105" i="2"/>
  <c r="BZ105" i="2"/>
  <c r="BT104" i="2"/>
  <c r="BZ104" i="2"/>
  <c r="BT103" i="2"/>
  <c r="BZ103" i="2"/>
  <c r="BT102" i="2"/>
  <c r="BZ102" i="2"/>
  <c r="BT101" i="2"/>
  <c r="BZ101" i="2"/>
  <c r="BT100" i="2"/>
  <c r="BZ100" i="2"/>
  <c r="BT99" i="2"/>
  <c r="BZ99" i="2"/>
  <c r="BT98" i="2"/>
  <c r="BZ98" i="2"/>
  <c r="BT97" i="2"/>
  <c r="BZ97" i="2"/>
  <c r="BT96" i="2"/>
  <c r="BZ96" i="2"/>
  <c r="BT95" i="2"/>
  <c r="BZ95" i="2"/>
  <c r="BT94" i="2"/>
  <c r="BZ94" i="2"/>
  <c r="BT93" i="2"/>
  <c r="BZ93" i="2"/>
  <c r="BT92" i="2"/>
  <c r="BZ92" i="2"/>
  <c r="BT91" i="2"/>
  <c r="BZ91" i="2"/>
  <c r="BT90" i="2"/>
  <c r="BZ90" i="2"/>
  <c r="BT89" i="2"/>
  <c r="BZ89" i="2"/>
  <c r="BT88" i="2"/>
  <c r="BZ88" i="2"/>
  <c r="BT87" i="2"/>
  <c r="BZ87" i="2"/>
  <c r="BT86" i="2"/>
  <c r="BZ86" i="2"/>
  <c r="BT85" i="2"/>
  <c r="BZ85" i="2"/>
  <c r="BT84" i="2"/>
  <c r="BZ84" i="2"/>
  <c r="BT83" i="2"/>
  <c r="BZ83" i="2"/>
  <c r="BT82" i="2"/>
  <c r="BZ82" i="2"/>
  <c r="BT81" i="2"/>
  <c r="BZ81" i="2"/>
  <c r="BT80" i="2"/>
  <c r="BZ80" i="2"/>
  <c r="BT79" i="2"/>
  <c r="BZ79" i="2"/>
  <c r="BT78" i="2"/>
  <c r="BZ78" i="2"/>
  <c r="BT77" i="2"/>
  <c r="BZ77" i="2"/>
  <c r="BT76" i="2"/>
  <c r="BZ76" i="2"/>
  <c r="BT75" i="2"/>
  <c r="BZ75" i="2"/>
  <c r="BT74" i="2"/>
  <c r="BZ74" i="2"/>
  <c r="BT73" i="2"/>
  <c r="BZ73" i="2"/>
  <c r="BT72" i="2"/>
  <c r="BZ72" i="2"/>
  <c r="BT71" i="2"/>
  <c r="BZ71" i="2"/>
  <c r="BT70" i="2"/>
  <c r="BZ70" i="2"/>
  <c r="BT69" i="2"/>
  <c r="BZ69" i="2"/>
  <c r="BT68" i="2"/>
  <c r="BZ68" i="2"/>
  <c r="BT67" i="2"/>
  <c r="BZ67" i="2"/>
  <c r="BT66" i="2"/>
  <c r="BZ66" i="2"/>
  <c r="BT65" i="2"/>
  <c r="BZ65" i="2"/>
  <c r="BT64" i="2"/>
  <c r="BZ64" i="2"/>
  <c r="BT63" i="2"/>
  <c r="BZ63" i="2"/>
  <c r="BT62" i="2"/>
  <c r="BZ62" i="2"/>
  <c r="BT61" i="2"/>
  <c r="BZ61" i="2"/>
  <c r="BT60" i="2"/>
  <c r="BZ60" i="2"/>
  <c r="BT59" i="2"/>
  <c r="BZ59" i="2"/>
  <c r="BT58" i="2"/>
  <c r="BZ58" i="2"/>
  <c r="BT57" i="2"/>
  <c r="BZ57" i="2"/>
  <c r="BT56" i="2"/>
  <c r="BZ56" i="2"/>
  <c r="BT55" i="2"/>
  <c r="BZ55" i="2"/>
  <c r="BT54" i="2"/>
  <c r="BZ54" i="2"/>
  <c r="BT53" i="2"/>
  <c r="BZ53" i="2"/>
  <c r="BT52" i="2"/>
  <c r="BZ52" i="2"/>
  <c r="BT51" i="2"/>
  <c r="BZ51" i="2"/>
  <c r="BT50" i="2"/>
  <c r="BZ50" i="2"/>
  <c r="BT49" i="2"/>
  <c r="BZ49" i="2"/>
  <c r="BT48" i="2"/>
  <c r="BZ48" i="2"/>
  <c r="BT47" i="2"/>
  <c r="BZ47" i="2"/>
  <c r="BT46" i="2"/>
  <c r="BZ46" i="2"/>
  <c r="BT45" i="2"/>
  <c r="BZ45" i="2"/>
  <c r="BT44" i="2"/>
  <c r="BZ44" i="2"/>
  <c r="BT43" i="2"/>
  <c r="BZ43" i="2"/>
  <c r="BT42" i="2"/>
  <c r="BZ42" i="2"/>
  <c r="BT41" i="2"/>
  <c r="BZ41" i="2"/>
  <c r="BT40" i="2"/>
  <c r="BZ40" i="2"/>
  <c r="BT39" i="2"/>
  <c r="BZ39" i="2"/>
  <c r="BT38" i="2"/>
  <c r="BZ38" i="2"/>
  <c r="BT37" i="2"/>
  <c r="BZ37" i="2"/>
  <c r="BT36" i="2"/>
  <c r="BZ36" i="2"/>
  <c r="BT35" i="2"/>
  <c r="BZ35" i="2"/>
  <c r="BT34" i="2"/>
  <c r="BZ34" i="2"/>
  <c r="BT33" i="2"/>
  <c r="BZ33" i="2"/>
  <c r="BT32" i="2"/>
  <c r="BZ32" i="2"/>
  <c r="BT31" i="2"/>
  <c r="BZ31" i="2"/>
  <c r="BT30" i="2"/>
  <c r="BZ30" i="2"/>
  <c r="BT29" i="2"/>
  <c r="BZ29" i="2"/>
  <c r="BT28" i="2"/>
  <c r="BZ28" i="2"/>
  <c r="BT27" i="2"/>
  <c r="BZ27" i="2"/>
  <c r="BT26" i="2"/>
  <c r="BZ26" i="2"/>
  <c r="BT25" i="2"/>
  <c r="BZ25" i="2"/>
  <c r="BT24" i="2"/>
  <c r="BZ24" i="2"/>
  <c r="BT23" i="2"/>
  <c r="BZ23" i="2"/>
  <c r="BT22" i="2"/>
  <c r="BZ22" i="2"/>
  <c r="BT21" i="2"/>
  <c r="BZ21" i="2"/>
  <c r="BT20" i="2"/>
  <c r="BZ20" i="2"/>
  <c r="BT19" i="2"/>
  <c r="BZ19" i="2"/>
  <c r="BT18" i="2"/>
  <c r="BZ18" i="2"/>
  <c r="BT17" i="2"/>
  <c r="BZ17" i="2"/>
  <c r="AP217" i="2"/>
  <c r="AI217" i="2"/>
  <c r="AO217" i="2"/>
  <c r="AP216" i="2"/>
  <c r="AI216" i="2"/>
  <c r="AO216" i="2"/>
  <c r="AP215" i="2"/>
  <c r="AI215" i="2"/>
  <c r="AO215" i="2"/>
  <c r="AP214" i="2"/>
  <c r="AI214" i="2"/>
  <c r="AO214" i="2"/>
  <c r="AP213" i="2"/>
  <c r="AI213" i="2"/>
  <c r="AO213" i="2"/>
  <c r="AP212" i="2"/>
  <c r="AI212" i="2"/>
  <c r="AO212" i="2"/>
  <c r="AP211" i="2"/>
  <c r="AI211" i="2"/>
  <c r="AO211" i="2"/>
  <c r="AP210" i="2"/>
  <c r="AI210" i="2"/>
  <c r="AO210" i="2"/>
  <c r="AP209" i="2"/>
  <c r="AI209" i="2"/>
  <c r="AO209" i="2"/>
  <c r="AP208" i="2"/>
  <c r="AI208" i="2"/>
  <c r="AO208" i="2"/>
  <c r="AP207" i="2"/>
  <c r="AI207" i="2"/>
  <c r="AO207" i="2"/>
  <c r="AP206" i="2"/>
  <c r="AI206" i="2"/>
  <c r="AO206" i="2"/>
  <c r="AP205" i="2"/>
  <c r="AI205" i="2"/>
  <c r="AO205" i="2"/>
  <c r="AP204" i="2"/>
  <c r="AI204" i="2"/>
  <c r="AO204" i="2"/>
  <c r="AP203" i="2"/>
  <c r="AI203" i="2"/>
  <c r="AO203" i="2"/>
  <c r="AP202" i="2"/>
  <c r="AI202" i="2"/>
  <c r="AO202" i="2"/>
  <c r="AP201" i="2"/>
  <c r="AI201" i="2"/>
  <c r="AO201" i="2"/>
  <c r="AP200" i="2"/>
  <c r="AI200" i="2"/>
  <c r="AO200" i="2"/>
  <c r="AP199" i="2"/>
  <c r="AI199" i="2"/>
  <c r="AO199" i="2"/>
  <c r="AP198" i="2"/>
  <c r="AI198" i="2"/>
  <c r="AO198" i="2"/>
  <c r="AP197" i="2"/>
  <c r="AI197" i="2"/>
  <c r="AO197" i="2"/>
  <c r="AP196" i="2"/>
  <c r="AI196" i="2"/>
  <c r="AO196" i="2"/>
  <c r="AP195" i="2"/>
  <c r="AI195" i="2"/>
  <c r="AO195" i="2"/>
  <c r="AP194" i="2"/>
  <c r="AI194" i="2"/>
  <c r="AO194" i="2"/>
  <c r="AP193" i="2"/>
  <c r="AI193" i="2"/>
  <c r="AO193" i="2"/>
  <c r="AP192" i="2"/>
  <c r="AI192" i="2"/>
  <c r="AO192" i="2"/>
  <c r="AP191" i="2"/>
  <c r="AI191" i="2"/>
  <c r="AO191" i="2"/>
  <c r="AP190" i="2"/>
  <c r="AI190" i="2"/>
  <c r="AO190" i="2"/>
  <c r="AP189" i="2"/>
  <c r="AI189" i="2"/>
  <c r="AO189" i="2"/>
  <c r="AP188" i="2"/>
  <c r="AI188" i="2"/>
  <c r="AO188" i="2"/>
  <c r="AP187" i="2"/>
  <c r="AI187" i="2"/>
  <c r="AO187" i="2"/>
  <c r="AP186" i="2"/>
  <c r="AI186" i="2"/>
  <c r="AO186" i="2"/>
  <c r="AP185" i="2"/>
  <c r="AI185" i="2"/>
  <c r="AO185" i="2"/>
  <c r="AP184" i="2"/>
  <c r="AI184" i="2"/>
  <c r="AO184" i="2"/>
  <c r="AP183" i="2"/>
  <c r="AI183" i="2"/>
  <c r="AO183" i="2"/>
  <c r="AP182" i="2"/>
  <c r="AI182" i="2"/>
  <c r="AO182" i="2"/>
  <c r="AP181" i="2"/>
  <c r="AI181" i="2"/>
  <c r="AO181" i="2"/>
  <c r="AP180" i="2"/>
  <c r="AI180" i="2"/>
  <c r="AO180" i="2"/>
  <c r="AP179" i="2"/>
  <c r="AI179" i="2"/>
  <c r="AO179" i="2"/>
  <c r="AP178" i="2"/>
  <c r="AI178" i="2"/>
  <c r="AO178" i="2"/>
  <c r="AP177" i="2"/>
  <c r="AI177" i="2"/>
  <c r="AO177" i="2"/>
  <c r="AP176" i="2"/>
  <c r="AI176" i="2"/>
  <c r="AO176" i="2"/>
  <c r="AP175" i="2"/>
  <c r="AI175" i="2"/>
  <c r="AO175" i="2"/>
  <c r="AP174" i="2"/>
  <c r="AI174" i="2"/>
  <c r="AO174" i="2"/>
  <c r="AP173" i="2"/>
  <c r="AI173" i="2"/>
  <c r="AO173" i="2"/>
  <c r="AP172" i="2"/>
  <c r="AI172" i="2"/>
  <c r="AO172" i="2"/>
  <c r="AP171" i="2"/>
  <c r="AI171" i="2"/>
  <c r="AO171" i="2"/>
  <c r="AP170" i="2"/>
  <c r="AI170" i="2"/>
  <c r="AO170" i="2"/>
  <c r="AP169" i="2"/>
  <c r="AI169" i="2"/>
  <c r="AO169" i="2"/>
  <c r="AP168" i="2"/>
  <c r="AI168" i="2"/>
  <c r="AO168" i="2"/>
  <c r="AP167" i="2"/>
  <c r="AI167" i="2"/>
  <c r="AO167" i="2"/>
  <c r="AP166" i="2"/>
  <c r="AI166" i="2"/>
  <c r="AO166" i="2"/>
  <c r="AP165" i="2"/>
  <c r="AI165" i="2"/>
  <c r="AO165" i="2"/>
  <c r="AP164" i="2"/>
  <c r="AI164" i="2"/>
  <c r="AO164" i="2"/>
  <c r="AP163" i="2"/>
  <c r="AI163" i="2"/>
  <c r="AO163" i="2"/>
  <c r="AP162" i="2"/>
  <c r="AI162" i="2"/>
  <c r="AO162" i="2"/>
  <c r="AP161" i="2"/>
  <c r="AI161" i="2"/>
  <c r="AO161" i="2"/>
  <c r="AP160" i="2"/>
  <c r="AI160" i="2"/>
  <c r="AO160" i="2"/>
  <c r="AP159" i="2"/>
  <c r="AI159" i="2"/>
  <c r="AO159" i="2"/>
  <c r="AP158" i="2"/>
  <c r="AI158" i="2"/>
  <c r="AO158" i="2"/>
  <c r="AP157" i="2"/>
  <c r="AI157" i="2"/>
  <c r="AO157" i="2"/>
  <c r="AP156" i="2"/>
  <c r="AI156" i="2"/>
  <c r="AO156" i="2"/>
  <c r="AP155" i="2"/>
  <c r="AI155" i="2"/>
  <c r="AO155" i="2"/>
  <c r="AP154" i="2"/>
  <c r="AI154" i="2"/>
  <c r="AO154" i="2"/>
  <c r="AP153" i="2"/>
  <c r="AI153" i="2"/>
  <c r="AO153" i="2"/>
  <c r="AP152" i="2"/>
  <c r="AI152" i="2"/>
  <c r="AO152" i="2"/>
  <c r="AP151" i="2"/>
  <c r="AI151" i="2"/>
  <c r="AO151" i="2"/>
  <c r="AP150" i="2"/>
  <c r="AI150" i="2"/>
  <c r="AO150" i="2"/>
  <c r="AP149" i="2"/>
  <c r="AI149" i="2"/>
  <c r="AO149" i="2"/>
  <c r="AP148" i="2"/>
  <c r="AI148" i="2"/>
  <c r="AO148" i="2"/>
  <c r="AP147" i="2"/>
  <c r="AI147" i="2"/>
  <c r="AO147" i="2"/>
  <c r="AP146" i="2"/>
  <c r="AI146" i="2"/>
  <c r="AO146" i="2"/>
  <c r="AP145" i="2"/>
  <c r="AI145" i="2"/>
  <c r="AO145" i="2"/>
  <c r="AP144" i="2"/>
  <c r="AI144" i="2"/>
  <c r="AO144" i="2"/>
  <c r="AP143" i="2"/>
  <c r="AI143" i="2"/>
  <c r="AO143" i="2"/>
  <c r="AP142" i="2"/>
  <c r="AI142" i="2"/>
  <c r="AO142" i="2"/>
  <c r="AP141" i="2"/>
  <c r="AI141" i="2"/>
  <c r="AO141" i="2"/>
  <c r="AP140" i="2"/>
  <c r="AI140" i="2"/>
  <c r="AO140" i="2"/>
  <c r="AP139" i="2"/>
  <c r="AI139" i="2"/>
  <c r="AO139" i="2"/>
  <c r="AP138" i="2"/>
  <c r="AI138" i="2"/>
  <c r="AO138" i="2"/>
  <c r="AP137" i="2"/>
  <c r="AI137" i="2"/>
  <c r="AO137" i="2"/>
  <c r="AP136" i="2"/>
  <c r="AI136" i="2"/>
  <c r="AO136" i="2"/>
  <c r="AP135" i="2"/>
  <c r="AI135" i="2"/>
  <c r="AO135" i="2"/>
  <c r="AP134" i="2"/>
  <c r="AI134" i="2"/>
  <c r="AO134" i="2"/>
  <c r="AP133" i="2"/>
  <c r="AI133" i="2"/>
  <c r="AO133" i="2"/>
  <c r="AP132" i="2"/>
  <c r="AI132" i="2"/>
  <c r="AO132" i="2"/>
  <c r="AP131" i="2"/>
  <c r="AI131" i="2"/>
  <c r="AO131" i="2"/>
  <c r="AP130" i="2"/>
  <c r="AI130" i="2"/>
  <c r="AO130" i="2"/>
  <c r="AP129" i="2"/>
  <c r="AI129" i="2"/>
  <c r="AO129" i="2"/>
  <c r="AP128" i="2"/>
  <c r="AI128" i="2"/>
  <c r="AO128" i="2"/>
  <c r="AP127" i="2"/>
  <c r="AI127" i="2"/>
  <c r="AO127" i="2"/>
  <c r="AP126" i="2"/>
  <c r="AI126" i="2"/>
  <c r="AO126" i="2"/>
  <c r="AP125" i="2"/>
  <c r="AI125" i="2"/>
  <c r="AO125" i="2"/>
  <c r="AP124" i="2"/>
  <c r="AI124" i="2"/>
  <c r="AO124" i="2"/>
  <c r="AP123" i="2"/>
  <c r="AI123" i="2"/>
  <c r="AO123" i="2"/>
  <c r="AP122" i="2"/>
  <c r="AI122" i="2"/>
  <c r="AO122" i="2"/>
  <c r="AP121" i="2"/>
  <c r="AI121" i="2"/>
  <c r="AO121" i="2"/>
  <c r="AP120" i="2"/>
  <c r="AI120" i="2"/>
  <c r="AO120" i="2"/>
  <c r="AP119" i="2"/>
  <c r="AI119" i="2"/>
  <c r="AO119" i="2"/>
  <c r="AP118" i="2"/>
  <c r="AI118" i="2"/>
  <c r="AO118" i="2"/>
  <c r="AP117" i="2"/>
  <c r="AI117" i="2"/>
  <c r="AO117" i="2"/>
  <c r="AP116" i="2"/>
  <c r="AI116" i="2"/>
  <c r="AO116" i="2"/>
  <c r="AP115" i="2"/>
  <c r="AI115" i="2"/>
  <c r="AO115" i="2"/>
  <c r="AP114" i="2"/>
  <c r="AI114" i="2"/>
  <c r="AO114" i="2"/>
  <c r="AP113" i="2"/>
  <c r="AI113" i="2"/>
  <c r="AO113" i="2"/>
  <c r="AP112" i="2"/>
  <c r="AI112" i="2"/>
  <c r="AO112" i="2"/>
  <c r="AP111" i="2"/>
  <c r="AI111" i="2"/>
  <c r="AO111" i="2"/>
  <c r="AP110" i="2"/>
  <c r="AI110" i="2"/>
  <c r="AO110" i="2"/>
  <c r="AP109" i="2"/>
  <c r="AI109" i="2"/>
  <c r="AO109" i="2"/>
  <c r="AP108" i="2"/>
  <c r="AI108" i="2"/>
  <c r="AO108" i="2"/>
  <c r="AP107" i="2"/>
  <c r="AI107" i="2"/>
  <c r="AO107" i="2"/>
  <c r="AP106" i="2"/>
  <c r="AI106" i="2"/>
  <c r="AO106" i="2"/>
  <c r="AP105" i="2"/>
  <c r="AI105" i="2"/>
  <c r="AO105" i="2"/>
  <c r="AP104" i="2"/>
  <c r="AI104" i="2"/>
  <c r="AO104" i="2"/>
  <c r="AP103" i="2"/>
  <c r="AI103" i="2"/>
  <c r="AO103" i="2"/>
  <c r="AP102" i="2"/>
  <c r="AI102" i="2"/>
  <c r="AO102" i="2"/>
  <c r="AP101" i="2"/>
  <c r="AI101" i="2"/>
  <c r="AO101" i="2"/>
  <c r="AP100" i="2"/>
  <c r="AI100" i="2"/>
  <c r="AO100" i="2"/>
  <c r="AP99" i="2"/>
  <c r="AI99" i="2"/>
  <c r="AO99" i="2"/>
  <c r="AP98" i="2"/>
  <c r="AI98" i="2"/>
  <c r="AO98" i="2"/>
  <c r="AP97" i="2"/>
  <c r="AI97" i="2"/>
  <c r="AO97" i="2"/>
  <c r="AP96" i="2"/>
  <c r="AI96" i="2"/>
  <c r="AO96" i="2"/>
  <c r="AP95" i="2"/>
  <c r="AI95" i="2"/>
  <c r="AO95" i="2"/>
  <c r="AP94" i="2"/>
  <c r="AI94" i="2"/>
  <c r="AO94" i="2"/>
  <c r="AP93" i="2"/>
  <c r="AI93" i="2"/>
  <c r="AO93" i="2"/>
  <c r="AP92" i="2"/>
  <c r="AI92" i="2"/>
  <c r="AO92" i="2"/>
  <c r="AP91" i="2"/>
  <c r="AI91" i="2"/>
  <c r="AO91" i="2"/>
  <c r="AP90" i="2"/>
  <c r="AI90" i="2"/>
  <c r="AO90" i="2"/>
  <c r="AP89" i="2"/>
  <c r="AI89" i="2"/>
  <c r="AO89" i="2"/>
  <c r="AP88" i="2"/>
  <c r="AI88" i="2"/>
  <c r="AO88" i="2"/>
  <c r="AP87" i="2"/>
  <c r="AI87" i="2"/>
  <c r="AO87" i="2"/>
  <c r="AP86" i="2"/>
  <c r="AI86" i="2"/>
  <c r="AO86" i="2"/>
  <c r="AP85" i="2"/>
  <c r="AI85" i="2"/>
  <c r="AO85" i="2"/>
  <c r="AP84" i="2"/>
  <c r="AI84" i="2"/>
  <c r="AO84" i="2"/>
  <c r="AP83" i="2"/>
  <c r="AI83" i="2"/>
  <c r="AO83" i="2"/>
  <c r="AP82" i="2"/>
  <c r="AI82" i="2"/>
  <c r="AO82" i="2"/>
  <c r="AP81" i="2"/>
  <c r="AI81" i="2"/>
  <c r="AO81" i="2"/>
  <c r="AP80" i="2"/>
  <c r="AI80" i="2"/>
  <c r="AO80" i="2"/>
  <c r="AP79" i="2"/>
  <c r="AI79" i="2"/>
  <c r="AO79" i="2"/>
  <c r="AP78" i="2"/>
  <c r="AI78" i="2"/>
  <c r="AO78" i="2"/>
  <c r="AP77" i="2"/>
  <c r="AI77" i="2"/>
  <c r="AO77" i="2"/>
  <c r="AP76" i="2"/>
  <c r="AI76" i="2"/>
  <c r="AO76" i="2"/>
  <c r="AP75" i="2"/>
  <c r="AI75" i="2"/>
  <c r="AO75" i="2"/>
  <c r="AP74" i="2"/>
  <c r="AI74" i="2"/>
  <c r="AO74" i="2"/>
  <c r="AP73" i="2"/>
  <c r="AI73" i="2"/>
  <c r="AO73" i="2"/>
  <c r="AP72" i="2"/>
  <c r="AI72" i="2"/>
  <c r="AO72" i="2"/>
  <c r="AP71" i="2"/>
  <c r="AI71" i="2"/>
  <c r="AO71" i="2"/>
  <c r="AP70" i="2"/>
  <c r="AI70" i="2"/>
  <c r="AO70" i="2"/>
  <c r="AP69" i="2"/>
  <c r="AI69" i="2"/>
  <c r="AO69" i="2"/>
  <c r="AP68" i="2"/>
  <c r="AI68" i="2"/>
  <c r="AO68" i="2"/>
  <c r="AP67" i="2"/>
  <c r="AI67" i="2"/>
  <c r="AO67" i="2"/>
  <c r="AP66" i="2"/>
  <c r="AI66" i="2"/>
  <c r="AO66" i="2"/>
  <c r="AP65" i="2"/>
  <c r="AI65" i="2"/>
  <c r="AO65" i="2"/>
  <c r="AP64" i="2"/>
  <c r="AI64" i="2"/>
  <c r="AO64" i="2"/>
  <c r="AP63" i="2"/>
  <c r="AI63" i="2"/>
  <c r="AO63" i="2"/>
  <c r="AP62" i="2"/>
  <c r="AI62" i="2"/>
  <c r="AO62" i="2"/>
  <c r="AP61" i="2"/>
  <c r="AI61" i="2"/>
  <c r="AO61" i="2"/>
  <c r="AP60" i="2"/>
  <c r="AI60" i="2"/>
  <c r="AO60" i="2"/>
  <c r="AP59" i="2"/>
  <c r="AI59" i="2"/>
  <c r="AO59" i="2"/>
  <c r="AP58" i="2"/>
  <c r="AI58" i="2"/>
  <c r="AO58" i="2"/>
  <c r="AP57" i="2"/>
  <c r="AI57" i="2"/>
  <c r="AO57" i="2"/>
  <c r="AP56" i="2"/>
  <c r="AI56" i="2"/>
  <c r="AO56" i="2"/>
  <c r="AP55" i="2"/>
  <c r="AI55" i="2"/>
  <c r="AO55" i="2"/>
  <c r="AP54" i="2"/>
  <c r="AI54" i="2"/>
  <c r="AO54" i="2"/>
  <c r="AP53" i="2"/>
  <c r="AI53" i="2"/>
  <c r="AO53" i="2"/>
  <c r="AP52" i="2"/>
  <c r="AI52" i="2"/>
  <c r="AO52" i="2"/>
  <c r="AP51" i="2"/>
  <c r="AI51" i="2"/>
  <c r="AO51" i="2"/>
  <c r="AP50" i="2"/>
  <c r="AI50" i="2"/>
  <c r="AO50" i="2"/>
  <c r="AP49" i="2"/>
  <c r="AI49" i="2"/>
  <c r="AO49" i="2"/>
  <c r="AP48" i="2"/>
  <c r="AI48" i="2"/>
  <c r="AO48" i="2"/>
  <c r="AP47" i="2"/>
  <c r="AI47" i="2"/>
  <c r="AO47" i="2"/>
  <c r="AP46" i="2"/>
  <c r="AI46" i="2"/>
  <c r="AO46" i="2"/>
  <c r="AP45" i="2"/>
  <c r="AI45" i="2"/>
  <c r="AO45" i="2"/>
  <c r="AP44" i="2"/>
  <c r="AI44" i="2"/>
  <c r="AO44" i="2"/>
  <c r="AP43" i="2"/>
  <c r="AI43" i="2"/>
  <c r="AO43" i="2"/>
  <c r="AP42" i="2"/>
  <c r="AI42" i="2"/>
  <c r="AO42" i="2"/>
  <c r="AP41" i="2"/>
  <c r="AI41" i="2"/>
  <c r="AO41" i="2"/>
  <c r="AP40" i="2"/>
  <c r="AI40" i="2"/>
  <c r="AO40" i="2"/>
  <c r="AP39" i="2"/>
  <c r="AI39" i="2"/>
  <c r="AO39" i="2"/>
  <c r="AP38" i="2"/>
  <c r="AI38" i="2"/>
  <c r="AO38" i="2"/>
  <c r="AP37" i="2"/>
  <c r="AI37" i="2"/>
  <c r="AO37" i="2"/>
  <c r="AP36" i="2"/>
  <c r="AI36" i="2"/>
  <c r="AO36" i="2"/>
  <c r="AP35" i="2"/>
  <c r="AI35" i="2"/>
  <c r="AO35" i="2"/>
  <c r="AP34" i="2"/>
  <c r="AI34" i="2"/>
  <c r="AO34" i="2"/>
  <c r="AP33" i="2"/>
  <c r="AI33" i="2"/>
  <c r="AO33" i="2"/>
  <c r="AP32" i="2"/>
  <c r="AI32" i="2"/>
  <c r="AO32" i="2"/>
  <c r="AP31" i="2"/>
  <c r="AI31" i="2"/>
  <c r="AO31" i="2"/>
  <c r="AP30" i="2"/>
  <c r="AI30" i="2"/>
  <c r="AO30" i="2"/>
  <c r="AP29" i="2"/>
  <c r="AI29" i="2"/>
  <c r="AO29" i="2"/>
  <c r="AP28" i="2"/>
  <c r="AI28" i="2"/>
  <c r="AO28" i="2"/>
  <c r="AP27" i="2"/>
  <c r="AI27" i="2"/>
  <c r="AO27" i="2"/>
  <c r="AP26" i="2"/>
  <c r="AI26" i="2"/>
  <c r="AO26" i="2"/>
  <c r="AP25" i="2"/>
  <c r="AI25" i="2"/>
  <c r="AO25" i="2"/>
  <c r="AP24" i="2"/>
  <c r="AI24" i="2"/>
  <c r="AO24" i="2"/>
  <c r="AP23" i="2"/>
  <c r="AI23" i="2"/>
  <c r="AO23" i="2"/>
  <c r="AP22" i="2"/>
  <c r="AI22" i="2"/>
  <c r="AO22" i="2"/>
  <c r="AP21" i="2"/>
  <c r="AI21" i="2"/>
  <c r="AO21" i="2"/>
  <c r="AP20" i="2"/>
  <c r="AI20" i="2"/>
  <c r="AO20" i="2"/>
  <c r="AP19" i="2"/>
  <c r="AI19" i="2"/>
  <c r="AO19" i="2"/>
  <c r="AP18" i="2"/>
  <c r="AI18" i="2"/>
  <c r="AO18" i="2"/>
  <c r="AP17" i="2"/>
  <c r="AI17" i="2"/>
  <c r="AO17" i="2"/>
  <c r="F36" i="11"/>
  <c r="F47" i="11"/>
  <c r="E36" i="11"/>
  <c r="E47" i="11"/>
  <c r="D36" i="11"/>
  <c r="D47" i="11"/>
  <c r="F46" i="11"/>
  <c r="E46" i="11"/>
  <c r="D46" i="11"/>
  <c r="C46" i="11"/>
  <c r="CS13" i="2"/>
  <c r="F34" i="11"/>
  <c r="F45" i="11"/>
  <c r="BH13" i="2"/>
  <c r="E34" i="11"/>
  <c r="E45" i="11"/>
  <c r="BY13" i="2"/>
  <c r="D34" i="11"/>
  <c r="D45" i="11"/>
  <c r="AN13" i="2"/>
  <c r="C34" i="11"/>
  <c r="C45" i="11"/>
  <c r="F51" i="11"/>
  <c r="DC3" i="2"/>
  <c r="F33" i="11"/>
  <c r="F44" i="11"/>
  <c r="F32" i="11"/>
  <c r="F43" i="11"/>
  <c r="C51" i="11"/>
  <c r="E51" i="11"/>
  <c r="CO217" i="2"/>
  <c r="CN217" i="2"/>
  <c r="CO216" i="2"/>
  <c r="CN216" i="2"/>
  <c r="CO215" i="2"/>
  <c r="CN215" i="2"/>
  <c r="CO214" i="2"/>
  <c r="CN214" i="2"/>
  <c r="CO213" i="2"/>
  <c r="CN213" i="2"/>
  <c r="CO212" i="2"/>
  <c r="CN212" i="2"/>
  <c r="CO211" i="2"/>
  <c r="CN211" i="2"/>
  <c r="CO210" i="2"/>
  <c r="CN210" i="2"/>
  <c r="CO209" i="2"/>
  <c r="CN209" i="2"/>
  <c r="CO208" i="2"/>
  <c r="CN208" i="2"/>
  <c r="CO207" i="2"/>
  <c r="CN207" i="2"/>
  <c r="CO206" i="2"/>
  <c r="CN206" i="2"/>
  <c r="CO205" i="2"/>
  <c r="CN205" i="2"/>
  <c r="CO204" i="2"/>
  <c r="CN204" i="2"/>
  <c r="CO203" i="2"/>
  <c r="CN203" i="2"/>
  <c r="CO202" i="2"/>
  <c r="CN202" i="2"/>
  <c r="CO201" i="2"/>
  <c r="CN201" i="2"/>
  <c r="CO200" i="2"/>
  <c r="CN200" i="2"/>
  <c r="CO199" i="2"/>
  <c r="CN199" i="2"/>
  <c r="CO198" i="2"/>
  <c r="CN198" i="2"/>
  <c r="CO197" i="2"/>
  <c r="CN197" i="2"/>
  <c r="CO196" i="2"/>
  <c r="CN196" i="2"/>
  <c r="CO195" i="2"/>
  <c r="CN195" i="2"/>
  <c r="CO194" i="2"/>
  <c r="CN194" i="2"/>
  <c r="CO193" i="2"/>
  <c r="CN193" i="2"/>
  <c r="CO192" i="2"/>
  <c r="CN192" i="2"/>
  <c r="CO191" i="2"/>
  <c r="CN191" i="2"/>
  <c r="CO190" i="2"/>
  <c r="CN190" i="2"/>
  <c r="CO189" i="2"/>
  <c r="CN189" i="2"/>
  <c r="CO188" i="2"/>
  <c r="CN188" i="2"/>
  <c r="CO187" i="2"/>
  <c r="CN187" i="2"/>
  <c r="CO186" i="2"/>
  <c r="CN186" i="2"/>
  <c r="CO185" i="2"/>
  <c r="CN185" i="2"/>
  <c r="CO184" i="2"/>
  <c r="CN184" i="2"/>
  <c r="CO183" i="2"/>
  <c r="CN183" i="2"/>
  <c r="CO182" i="2"/>
  <c r="CN182" i="2"/>
  <c r="CO181" i="2"/>
  <c r="CN181" i="2"/>
  <c r="CO180" i="2"/>
  <c r="CN180" i="2"/>
  <c r="CO179" i="2"/>
  <c r="CN179" i="2"/>
  <c r="CO178" i="2"/>
  <c r="CN178" i="2"/>
  <c r="CO177" i="2"/>
  <c r="CN177" i="2"/>
  <c r="CO176" i="2"/>
  <c r="CN176" i="2"/>
  <c r="CO175" i="2"/>
  <c r="CN175" i="2"/>
  <c r="CO174" i="2"/>
  <c r="CN174" i="2"/>
  <c r="CO173" i="2"/>
  <c r="CN173" i="2"/>
  <c r="CO172" i="2"/>
  <c r="CN172" i="2"/>
  <c r="CO171" i="2"/>
  <c r="CN171" i="2"/>
  <c r="CO170" i="2"/>
  <c r="CN170" i="2"/>
  <c r="CO169" i="2"/>
  <c r="CN169" i="2"/>
  <c r="CO168" i="2"/>
  <c r="CN168" i="2"/>
  <c r="CO167" i="2"/>
  <c r="CN167" i="2"/>
  <c r="CO166" i="2"/>
  <c r="CN166" i="2"/>
  <c r="CO165" i="2"/>
  <c r="CN165" i="2"/>
  <c r="CO164" i="2"/>
  <c r="CN164" i="2"/>
  <c r="CO163" i="2"/>
  <c r="CN163" i="2"/>
  <c r="CO162" i="2"/>
  <c r="CN162" i="2"/>
  <c r="CO161" i="2"/>
  <c r="CN161" i="2"/>
  <c r="CO160" i="2"/>
  <c r="CN160" i="2"/>
  <c r="CO159" i="2"/>
  <c r="CN159" i="2"/>
  <c r="CO158" i="2"/>
  <c r="CN158" i="2"/>
  <c r="CO157" i="2"/>
  <c r="CN157" i="2"/>
  <c r="CO156" i="2"/>
  <c r="CN156" i="2"/>
  <c r="CO155" i="2"/>
  <c r="CN155" i="2"/>
  <c r="CO154" i="2"/>
  <c r="CN154" i="2"/>
  <c r="CO153" i="2"/>
  <c r="CN153" i="2"/>
  <c r="CO152" i="2"/>
  <c r="CN152" i="2"/>
  <c r="CO151" i="2"/>
  <c r="CN151" i="2"/>
  <c r="CO150" i="2"/>
  <c r="CN150" i="2"/>
  <c r="CO149" i="2"/>
  <c r="CN149" i="2"/>
  <c r="CO148" i="2"/>
  <c r="CN148" i="2"/>
  <c r="CO147" i="2"/>
  <c r="CN147" i="2"/>
  <c r="CO146" i="2"/>
  <c r="CN146" i="2"/>
  <c r="CO145" i="2"/>
  <c r="CN145" i="2"/>
  <c r="CO144" i="2"/>
  <c r="CN144" i="2"/>
  <c r="CO143" i="2"/>
  <c r="CN143" i="2"/>
  <c r="CO142" i="2"/>
  <c r="CN142" i="2"/>
  <c r="CO141" i="2"/>
  <c r="CN141" i="2"/>
  <c r="CO140" i="2"/>
  <c r="CN140" i="2"/>
  <c r="CO139" i="2"/>
  <c r="CN139" i="2"/>
  <c r="CO138" i="2"/>
  <c r="CN138" i="2"/>
  <c r="CO137" i="2"/>
  <c r="CN137" i="2"/>
  <c r="CO136" i="2"/>
  <c r="CN136" i="2"/>
  <c r="CO135" i="2"/>
  <c r="CN135" i="2"/>
  <c r="CO134" i="2"/>
  <c r="CN134" i="2"/>
  <c r="CO133" i="2"/>
  <c r="CN133" i="2"/>
  <c r="CO132" i="2"/>
  <c r="CN132" i="2"/>
  <c r="CO131" i="2"/>
  <c r="CN131" i="2"/>
  <c r="CO130" i="2"/>
  <c r="CN130" i="2"/>
  <c r="CO129" i="2"/>
  <c r="CN129" i="2"/>
  <c r="CO128" i="2"/>
  <c r="CN128" i="2"/>
  <c r="CO127" i="2"/>
  <c r="CN127" i="2"/>
  <c r="CO126" i="2"/>
  <c r="CN126" i="2"/>
  <c r="CO125" i="2"/>
  <c r="CN125" i="2"/>
  <c r="CO124" i="2"/>
  <c r="CN124" i="2"/>
  <c r="CO123" i="2"/>
  <c r="CN123" i="2"/>
  <c r="CO122" i="2"/>
  <c r="CN122" i="2"/>
  <c r="CO121" i="2"/>
  <c r="CN121" i="2"/>
  <c r="CO120" i="2"/>
  <c r="CN120" i="2"/>
  <c r="CO119" i="2"/>
  <c r="CN119" i="2"/>
  <c r="CO118" i="2"/>
  <c r="CN118" i="2"/>
  <c r="CO117" i="2"/>
  <c r="CN117" i="2"/>
  <c r="CO116" i="2"/>
  <c r="CN116" i="2"/>
  <c r="CO115" i="2"/>
  <c r="CN115" i="2"/>
  <c r="CO114" i="2"/>
  <c r="CN114" i="2"/>
  <c r="CO113" i="2"/>
  <c r="CN113" i="2"/>
  <c r="CO112" i="2"/>
  <c r="CN112" i="2"/>
  <c r="CO111" i="2"/>
  <c r="CN111" i="2"/>
  <c r="CO110" i="2"/>
  <c r="CN110" i="2"/>
  <c r="CO109" i="2"/>
  <c r="CN109" i="2"/>
  <c r="CO108" i="2"/>
  <c r="CN108" i="2"/>
  <c r="CO107" i="2"/>
  <c r="CN107" i="2"/>
  <c r="CO106" i="2"/>
  <c r="CN106" i="2"/>
  <c r="CO105" i="2"/>
  <c r="CN105" i="2"/>
  <c r="CO104" i="2"/>
  <c r="CN104" i="2"/>
  <c r="CO103" i="2"/>
  <c r="CN103" i="2"/>
  <c r="CO102" i="2"/>
  <c r="CN102" i="2"/>
  <c r="CO101" i="2"/>
  <c r="CN101" i="2"/>
  <c r="CO100" i="2"/>
  <c r="CN100" i="2"/>
  <c r="CO99" i="2"/>
  <c r="CN99" i="2"/>
  <c r="CO98" i="2"/>
  <c r="CN98" i="2"/>
  <c r="CO97" i="2"/>
  <c r="CN97" i="2"/>
  <c r="CO96" i="2"/>
  <c r="CN96" i="2"/>
  <c r="CO95" i="2"/>
  <c r="CN95" i="2"/>
  <c r="CO94" i="2"/>
  <c r="CN94" i="2"/>
  <c r="CO93" i="2"/>
  <c r="CN93" i="2"/>
  <c r="CO92" i="2"/>
  <c r="CN92" i="2"/>
  <c r="CO91" i="2"/>
  <c r="CN91" i="2"/>
  <c r="CO90" i="2"/>
  <c r="CN90" i="2"/>
  <c r="CO89" i="2"/>
  <c r="CN89" i="2"/>
  <c r="CO88" i="2"/>
  <c r="CN88" i="2"/>
  <c r="CO87" i="2"/>
  <c r="CN87" i="2"/>
  <c r="CO86" i="2"/>
  <c r="CN86" i="2"/>
  <c r="CO85" i="2"/>
  <c r="CN85" i="2"/>
  <c r="CO84" i="2"/>
  <c r="CN84" i="2"/>
  <c r="CO83" i="2"/>
  <c r="CN83" i="2"/>
  <c r="CO82" i="2"/>
  <c r="CN82" i="2"/>
  <c r="CO81" i="2"/>
  <c r="CN81" i="2"/>
  <c r="CO80" i="2"/>
  <c r="CN80" i="2"/>
  <c r="CO79" i="2"/>
  <c r="CN79" i="2"/>
  <c r="CO78" i="2"/>
  <c r="CN78" i="2"/>
  <c r="CO77" i="2"/>
  <c r="CN77" i="2"/>
  <c r="CO76" i="2"/>
  <c r="CN76" i="2"/>
  <c r="CO75" i="2"/>
  <c r="CN75" i="2"/>
  <c r="CO74" i="2"/>
  <c r="CN74" i="2"/>
  <c r="CO73" i="2"/>
  <c r="CN73" i="2"/>
  <c r="CO72" i="2"/>
  <c r="CN72" i="2"/>
  <c r="CO71" i="2"/>
  <c r="CN71" i="2"/>
  <c r="CO70" i="2"/>
  <c r="CN70" i="2"/>
  <c r="CO69" i="2"/>
  <c r="CN69" i="2"/>
  <c r="CO68" i="2"/>
  <c r="CN68" i="2"/>
  <c r="CO67" i="2"/>
  <c r="CN67" i="2"/>
  <c r="CO66" i="2"/>
  <c r="CN66" i="2"/>
  <c r="CO65" i="2"/>
  <c r="CN65" i="2"/>
  <c r="CO64" i="2"/>
  <c r="CN64" i="2"/>
  <c r="CO63" i="2"/>
  <c r="CN63" i="2"/>
  <c r="CO62" i="2"/>
  <c r="CN62" i="2"/>
  <c r="CO61" i="2"/>
  <c r="CN61" i="2"/>
  <c r="CO60" i="2"/>
  <c r="CN60" i="2"/>
  <c r="CO59" i="2"/>
  <c r="CN59" i="2"/>
  <c r="CO58" i="2"/>
  <c r="CN58" i="2"/>
  <c r="CO57" i="2"/>
  <c r="CN57" i="2"/>
  <c r="CO56" i="2"/>
  <c r="CN56" i="2"/>
  <c r="CO55" i="2"/>
  <c r="CN55" i="2"/>
  <c r="CO54" i="2"/>
  <c r="CN54" i="2"/>
  <c r="CO53" i="2"/>
  <c r="CN53" i="2"/>
  <c r="CO52" i="2"/>
  <c r="CN52" i="2"/>
  <c r="CO51" i="2"/>
  <c r="CN51" i="2"/>
  <c r="CO50" i="2"/>
  <c r="CN50" i="2"/>
  <c r="CO49" i="2"/>
  <c r="CN49" i="2"/>
  <c r="CO48" i="2"/>
  <c r="CN48" i="2"/>
  <c r="CO47" i="2"/>
  <c r="CN47" i="2"/>
  <c r="CO46" i="2"/>
  <c r="CN46" i="2"/>
  <c r="CO45" i="2"/>
  <c r="CN45" i="2"/>
  <c r="CO44" i="2"/>
  <c r="CN44" i="2"/>
  <c r="CO43" i="2"/>
  <c r="CN43" i="2"/>
  <c r="CO42" i="2"/>
  <c r="CN42" i="2"/>
  <c r="CO41" i="2"/>
  <c r="CN41" i="2"/>
  <c r="CO40" i="2"/>
  <c r="CN40" i="2"/>
  <c r="CO39" i="2"/>
  <c r="CN39" i="2"/>
  <c r="CO38" i="2"/>
  <c r="CN38" i="2"/>
  <c r="CO37" i="2"/>
  <c r="CN37" i="2"/>
  <c r="CO36" i="2"/>
  <c r="CN36" i="2"/>
  <c r="CO35" i="2"/>
  <c r="CN35" i="2"/>
  <c r="CO34" i="2"/>
  <c r="CN34" i="2"/>
  <c r="CO33" i="2"/>
  <c r="CN33" i="2"/>
  <c r="CO32" i="2"/>
  <c r="CN32" i="2"/>
  <c r="CO31" i="2"/>
  <c r="CN31" i="2"/>
  <c r="CO30" i="2"/>
  <c r="CN30" i="2"/>
  <c r="CO29" i="2"/>
  <c r="CN29" i="2"/>
  <c r="CO28" i="2"/>
  <c r="CN28" i="2"/>
  <c r="CO27" i="2"/>
  <c r="CN27" i="2"/>
  <c r="CO26" i="2"/>
  <c r="CN26" i="2"/>
  <c r="CO25" i="2"/>
  <c r="CN25" i="2"/>
  <c r="CO24" i="2"/>
  <c r="CN24" i="2"/>
  <c r="CO23" i="2"/>
  <c r="CN23" i="2"/>
  <c r="CO22" i="2"/>
  <c r="CN22" i="2"/>
  <c r="CO21" i="2"/>
  <c r="CN21" i="2"/>
  <c r="CO20" i="2"/>
  <c r="CN20" i="2"/>
  <c r="CO19" i="2"/>
  <c r="CN19" i="2"/>
  <c r="CO18" i="2"/>
  <c r="CN18" i="2"/>
  <c r="CO17" i="2"/>
  <c r="CG12" i="2"/>
  <c r="CN17" i="2"/>
  <c r="CN15" i="2"/>
  <c r="CE11" i="2"/>
  <c r="CG11" i="2"/>
  <c r="L15" i="2"/>
  <c r="CG9" i="2"/>
  <c r="CG6" i="2"/>
  <c r="CG5" i="2"/>
  <c r="CH15" i="2"/>
  <c r="D33" i="11"/>
  <c r="D44" i="11"/>
  <c r="D32" i="11"/>
  <c r="D43" i="11"/>
  <c r="BU217" i="2"/>
  <c r="BU216" i="2"/>
  <c r="BU215" i="2"/>
  <c r="BU214" i="2"/>
  <c r="BU213" i="2"/>
  <c r="BU212" i="2"/>
  <c r="BU211" i="2"/>
  <c r="BU210" i="2"/>
  <c r="BU209" i="2"/>
  <c r="BU208" i="2"/>
  <c r="BU207" i="2"/>
  <c r="BU206" i="2"/>
  <c r="BU205" i="2"/>
  <c r="BU204" i="2"/>
  <c r="BU203" i="2"/>
  <c r="BU202" i="2"/>
  <c r="BU201" i="2"/>
  <c r="BU200" i="2"/>
  <c r="BU199" i="2"/>
  <c r="BU198" i="2"/>
  <c r="BU197" i="2"/>
  <c r="BU196" i="2"/>
  <c r="BU195" i="2"/>
  <c r="BU194" i="2"/>
  <c r="BU193" i="2"/>
  <c r="BU192" i="2"/>
  <c r="BU191" i="2"/>
  <c r="BU190" i="2"/>
  <c r="BU189" i="2"/>
  <c r="BU188" i="2"/>
  <c r="BU187" i="2"/>
  <c r="BU186" i="2"/>
  <c r="BU185" i="2"/>
  <c r="BU184" i="2"/>
  <c r="BU183" i="2"/>
  <c r="BU182" i="2"/>
  <c r="BU181" i="2"/>
  <c r="BU180" i="2"/>
  <c r="BU179" i="2"/>
  <c r="BU178" i="2"/>
  <c r="BU177" i="2"/>
  <c r="BU176" i="2"/>
  <c r="BU175" i="2"/>
  <c r="BU174" i="2"/>
  <c r="BU173" i="2"/>
  <c r="BU172" i="2"/>
  <c r="BU171" i="2"/>
  <c r="BU170" i="2"/>
  <c r="BU169" i="2"/>
  <c r="BU168" i="2"/>
  <c r="BU167" i="2"/>
  <c r="BU166" i="2"/>
  <c r="BU165" i="2"/>
  <c r="BU164" i="2"/>
  <c r="BU163" i="2"/>
  <c r="BU162" i="2"/>
  <c r="BU161" i="2"/>
  <c r="BU160" i="2"/>
  <c r="BU159" i="2"/>
  <c r="BU158" i="2"/>
  <c r="BU157" i="2"/>
  <c r="BU156" i="2"/>
  <c r="BU155" i="2"/>
  <c r="BU154" i="2"/>
  <c r="BU153" i="2"/>
  <c r="BU152" i="2"/>
  <c r="BU151" i="2"/>
  <c r="BU150" i="2"/>
  <c r="BU149" i="2"/>
  <c r="BU148" i="2"/>
  <c r="BU147" i="2"/>
  <c r="BU146" i="2"/>
  <c r="BU145" i="2"/>
  <c r="BU144" i="2"/>
  <c r="BU143" i="2"/>
  <c r="BU142" i="2"/>
  <c r="BU141" i="2"/>
  <c r="BU140" i="2"/>
  <c r="BU139" i="2"/>
  <c r="BU138" i="2"/>
  <c r="BU137" i="2"/>
  <c r="BU136" i="2"/>
  <c r="BU135" i="2"/>
  <c r="BU134" i="2"/>
  <c r="BU133" i="2"/>
  <c r="BU132" i="2"/>
  <c r="BU131" i="2"/>
  <c r="BU130" i="2"/>
  <c r="BU129" i="2"/>
  <c r="BU128" i="2"/>
  <c r="BU127" i="2"/>
  <c r="BU126" i="2"/>
  <c r="BU125" i="2"/>
  <c r="BU124" i="2"/>
  <c r="BU123" i="2"/>
  <c r="BU122" i="2"/>
  <c r="BU121" i="2"/>
  <c r="BU120" i="2"/>
  <c r="BU119" i="2"/>
  <c r="BU118" i="2"/>
  <c r="BU117" i="2"/>
  <c r="BU116" i="2"/>
  <c r="BU115" i="2"/>
  <c r="BU114" i="2"/>
  <c r="BU113" i="2"/>
  <c r="BU112" i="2"/>
  <c r="BU111" i="2"/>
  <c r="BU110" i="2"/>
  <c r="BU109" i="2"/>
  <c r="BU108" i="2"/>
  <c r="BU107" i="2"/>
  <c r="BU106" i="2"/>
  <c r="BU105" i="2"/>
  <c r="BU104" i="2"/>
  <c r="BU103" i="2"/>
  <c r="BU102" i="2"/>
  <c r="BU101" i="2"/>
  <c r="BU100" i="2"/>
  <c r="BU99" i="2"/>
  <c r="BU98" i="2"/>
  <c r="BU97" i="2"/>
  <c r="BU96" i="2"/>
  <c r="BU95" i="2"/>
  <c r="BU94" i="2"/>
  <c r="BU93" i="2"/>
  <c r="BU92" i="2"/>
  <c r="BU91" i="2"/>
  <c r="BU90" i="2"/>
  <c r="BU89" i="2"/>
  <c r="BU88" i="2"/>
  <c r="BU87" i="2"/>
  <c r="BU86" i="2"/>
  <c r="BU85" i="2"/>
  <c r="BU84" i="2"/>
  <c r="BU83" i="2"/>
  <c r="BU82" i="2"/>
  <c r="BU81" i="2"/>
  <c r="BU80" i="2"/>
  <c r="BU79" i="2"/>
  <c r="BU78" i="2"/>
  <c r="BU77" i="2"/>
  <c r="BU76" i="2"/>
  <c r="BU75" i="2"/>
  <c r="BU74" i="2"/>
  <c r="BU73" i="2"/>
  <c r="BU72" i="2"/>
  <c r="BU71" i="2"/>
  <c r="BU70" i="2"/>
  <c r="BU69" i="2"/>
  <c r="BU68" i="2"/>
  <c r="BU67" i="2"/>
  <c r="BU66" i="2"/>
  <c r="BU65" i="2"/>
  <c r="BU64" i="2"/>
  <c r="BU63" i="2"/>
  <c r="BU62" i="2"/>
  <c r="BU61" i="2"/>
  <c r="BU60" i="2"/>
  <c r="BU59" i="2"/>
  <c r="BU58" i="2"/>
  <c r="BU57" i="2"/>
  <c r="BU56" i="2"/>
  <c r="BU55" i="2"/>
  <c r="BU5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N15" i="2"/>
  <c r="BM12" i="2"/>
  <c r="BT15" i="2"/>
  <c r="BK11" i="2"/>
  <c r="BM11" i="2"/>
  <c r="BM9" i="2"/>
  <c r="BM6" i="2"/>
  <c r="BM5" i="2"/>
  <c r="V117" i="2"/>
  <c r="C69" i="1"/>
  <c r="B10" i="14"/>
  <c r="B11" i="14"/>
  <c r="AV6" i="2"/>
  <c r="AV5" i="2"/>
  <c r="B4" i="7"/>
  <c r="C11" i="7"/>
  <c r="C10" i="7"/>
  <c r="C22" i="7"/>
  <c r="C16" i="7"/>
  <c r="C17" i="7"/>
  <c r="C18" i="7"/>
  <c r="C19" i="7"/>
  <c r="C20" i="7"/>
  <c r="C21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15" i="7"/>
  <c r="C13" i="7"/>
  <c r="C12" i="7"/>
  <c r="AB5" i="2"/>
  <c r="AB6" i="2"/>
  <c r="K6" i="2"/>
  <c r="K8" i="2"/>
  <c r="B3" i="15"/>
  <c r="B4" i="15"/>
  <c r="L9" i="15"/>
  <c r="D69" i="1"/>
  <c r="AV9" i="2"/>
  <c r="C32" i="11"/>
  <c r="C43" i="11"/>
  <c r="AB9" i="2"/>
  <c r="AB12" i="2"/>
  <c r="E32" i="11"/>
  <c r="E43" i="11"/>
  <c r="AV12" i="2"/>
  <c r="K9" i="15"/>
  <c r="B10" i="15"/>
  <c r="F10" i="15"/>
  <c r="J10" i="15"/>
  <c r="O10" i="15"/>
  <c r="D10" i="15"/>
  <c r="H10" i="15"/>
  <c r="L10" i="15"/>
  <c r="C33" i="11"/>
  <c r="C44" i="11"/>
  <c r="K10" i="15"/>
  <c r="B11" i="15"/>
  <c r="F11" i="15"/>
  <c r="J11" i="15"/>
  <c r="O11" i="15"/>
  <c r="D11" i="15"/>
  <c r="H11" i="15"/>
  <c r="E33" i="11"/>
  <c r="E44" i="11"/>
  <c r="AC15" i="2"/>
  <c r="L11" i="15"/>
  <c r="AW15" i="2"/>
  <c r="K11" i="15"/>
  <c r="B12" i="15"/>
  <c r="F12" i="15"/>
  <c r="J12" i="15"/>
  <c r="O12" i="15"/>
  <c r="D12" i="15"/>
  <c r="L12" i="15"/>
  <c r="H12" i="15"/>
  <c r="K12" i="15"/>
  <c r="B13" i="15"/>
  <c r="O13" i="15"/>
  <c r="F13" i="15"/>
  <c r="J13" i="15"/>
  <c r="D13" i="15"/>
  <c r="H13" i="15"/>
  <c r="BD130" i="2"/>
  <c r="BD210" i="2"/>
  <c r="BD202" i="2"/>
  <c r="BD63" i="2"/>
  <c r="BD151" i="2"/>
  <c r="BD193" i="2"/>
  <c r="BD44" i="2"/>
  <c r="BD122" i="2"/>
  <c r="BD40" i="2"/>
  <c r="BD194" i="2"/>
  <c r="BD105" i="2"/>
  <c r="BD47" i="2"/>
  <c r="BD212" i="2"/>
  <c r="BD72" i="2"/>
  <c r="BD196" i="2"/>
  <c r="BD120" i="2"/>
  <c r="BD162" i="2"/>
  <c r="BD60" i="2"/>
  <c r="BD22" i="2"/>
  <c r="BD90" i="2"/>
  <c r="BD73" i="2"/>
  <c r="BD70" i="2"/>
  <c r="BD188" i="2"/>
  <c r="BD125" i="2"/>
  <c r="BD93" i="2"/>
  <c r="BD152" i="2"/>
  <c r="BD75" i="2"/>
  <c r="BD29" i="2"/>
  <c r="BD87" i="2"/>
  <c r="BD66" i="2"/>
  <c r="BD214" i="2"/>
  <c r="BD59" i="2"/>
  <c r="BD124" i="2"/>
  <c r="BD107" i="2"/>
  <c r="BD119" i="2"/>
  <c r="BD146" i="2"/>
  <c r="BD181" i="2"/>
  <c r="BD43" i="2"/>
  <c r="BD129" i="2"/>
  <c r="BD54" i="2"/>
  <c r="BD208" i="2"/>
  <c r="BD21" i="2"/>
  <c r="BD55" i="2"/>
  <c r="BD69" i="2"/>
  <c r="BD78" i="2"/>
  <c r="BD142" i="2"/>
  <c r="BD172" i="2"/>
  <c r="BD132" i="2"/>
  <c r="BD39" i="2"/>
  <c r="BD102" i="2"/>
  <c r="BD48" i="2"/>
  <c r="BD95" i="2"/>
  <c r="BD197" i="2"/>
  <c r="BD158" i="2"/>
  <c r="BD82" i="2"/>
  <c r="BD135" i="2"/>
  <c r="BD144" i="2"/>
  <c r="BD211" i="2"/>
  <c r="BD150" i="2"/>
  <c r="BD36" i="2"/>
  <c r="BD178" i="2"/>
  <c r="BD51" i="2"/>
  <c r="BD147" i="2"/>
  <c r="BD112" i="2"/>
  <c r="BD205" i="2"/>
  <c r="BD103" i="2"/>
  <c r="BD115" i="2"/>
  <c r="BD104" i="2"/>
  <c r="BD45" i="2"/>
  <c r="BD139" i="2"/>
  <c r="BD160" i="2"/>
  <c r="BD33" i="2"/>
  <c r="BD153" i="2"/>
  <c r="BD26" i="2"/>
  <c r="BD159" i="2"/>
  <c r="BD42" i="2"/>
  <c r="BD207" i="2"/>
  <c r="BD157" i="2"/>
  <c r="BD84" i="2"/>
  <c r="BD171" i="2"/>
  <c r="BD192" i="2"/>
  <c r="BD79" i="2"/>
  <c r="BD176" i="2"/>
  <c r="BD138" i="2"/>
  <c r="BD83" i="2"/>
  <c r="BD114" i="2"/>
  <c r="BD200" i="2"/>
  <c r="BD35" i="2"/>
  <c r="BD155" i="2"/>
  <c r="BD161" i="2"/>
  <c r="BD134" i="2"/>
  <c r="BD31" i="2"/>
  <c r="BD213" i="2"/>
  <c r="BD163" i="2"/>
  <c r="BD204" i="2"/>
  <c r="BD137" i="2"/>
  <c r="BD101" i="2"/>
  <c r="BD81" i="2"/>
  <c r="BD121" i="2"/>
  <c r="BD206" i="2"/>
  <c r="BD140" i="2"/>
  <c r="BD24" i="2"/>
  <c r="BD110" i="2"/>
  <c r="BD52" i="2"/>
  <c r="BD23" i="2"/>
  <c r="BD20" i="2"/>
  <c r="BD37" i="2"/>
  <c r="BD86" i="2"/>
  <c r="BD30" i="2"/>
  <c r="BD123" i="2"/>
  <c r="BD85" i="2"/>
  <c r="BD89" i="2"/>
  <c r="BD92" i="2"/>
  <c r="BD190" i="2"/>
  <c r="BD49" i="2"/>
  <c r="BD141" i="2"/>
  <c r="BD136" i="2"/>
  <c r="BD148" i="2"/>
  <c r="BD154" i="2"/>
  <c r="BD111" i="2"/>
  <c r="BD167" i="2"/>
  <c r="BD113" i="2"/>
  <c r="BD57" i="2"/>
  <c r="BD173" i="2"/>
  <c r="BD38" i="2"/>
  <c r="BD189" i="2"/>
  <c r="BD96" i="2"/>
  <c r="BD18" i="2"/>
  <c r="BD182" i="2"/>
  <c r="BD198" i="2"/>
  <c r="BD62" i="2"/>
  <c r="BD71" i="2"/>
  <c r="BD183" i="2"/>
  <c r="BD94" i="2"/>
  <c r="BD116" i="2"/>
  <c r="BD58" i="2"/>
  <c r="BD164" i="2"/>
  <c r="BD195" i="2"/>
  <c r="BD99" i="2"/>
  <c r="BD50" i="2"/>
  <c r="BD203" i="2"/>
  <c r="BD215" i="2"/>
  <c r="BD168" i="2"/>
  <c r="BD61" i="2"/>
  <c r="BD174" i="2"/>
  <c r="BD166" i="2"/>
  <c r="BD56" i="2"/>
  <c r="BD185" i="2"/>
  <c r="BD186" i="2"/>
  <c r="BD133" i="2"/>
  <c r="BD170" i="2"/>
  <c r="BD88" i="2"/>
  <c r="BD41" i="2"/>
  <c r="BD67" i="2"/>
  <c r="BD91" i="2"/>
  <c r="BD149" i="2"/>
  <c r="BD97" i="2"/>
  <c r="BD68" i="2"/>
  <c r="BD201" i="2"/>
  <c r="BD25" i="2"/>
  <c r="BD117" i="2"/>
  <c r="BD184" i="2"/>
  <c r="BD143" i="2"/>
  <c r="BD77" i="2"/>
  <c r="BD169" i="2"/>
  <c r="BD156" i="2"/>
  <c r="BD109" i="2"/>
  <c r="BD126" i="2"/>
  <c r="BD131" i="2"/>
  <c r="BD179" i="2"/>
  <c r="BD100" i="2"/>
  <c r="BD32" i="2"/>
  <c r="BD187" i="2"/>
  <c r="BD165" i="2"/>
  <c r="BD65" i="2"/>
  <c r="BD180" i="2"/>
  <c r="BD28" i="2"/>
  <c r="BD108" i="2"/>
  <c r="BD98" i="2"/>
  <c r="BD34" i="2"/>
  <c r="BD53" i="2"/>
  <c r="BD216" i="2"/>
  <c r="BD199" i="2"/>
  <c r="BD106" i="2"/>
  <c r="BD128" i="2"/>
  <c r="BD46" i="2"/>
  <c r="BD118" i="2"/>
  <c r="BD209" i="2"/>
  <c r="BD127" i="2"/>
  <c r="BD80" i="2"/>
  <c r="BD27" i="2"/>
  <c r="BD76" i="2"/>
  <c r="BD175" i="2"/>
  <c r="BD217" i="2"/>
  <c r="BD64" i="2"/>
  <c r="BD145" i="2"/>
  <c r="BD74" i="2"/>
  <c r="BD191" i="2"/>
  <c r="BD177" i="2"/>
  <c r="L13" i="15"/>
  <c r="BD19" i="2"/>
  <c r="BC183" i="2"/>
  <c r="BC122" i="2"/>
  <c r="BC24" i="2"/>
  <c r="BC186" i="2"/>
  <c r="BC34" i="2"/>
  <c r="BC159" i="2"/>
  <c r="BC194" i="2"/>
  <c r="BC65" i="2"/>
  <c r="BC105" i="2"/>
  <c r="BC48" i="2"/>
  <c r="BC178" i="2"/>
  <c r="BC200" i="2"/>
  <c r="BC93" i="2"/>
  <c r="BC67" i="2"/>
  <c r="BC41" i="2"/>
  <c r="BC132" i="2"/>
  <c r="BC163" i="2"/>
  <c r="BC182" i="2"/>
  <c r="BC209" i="2"/>
  <c r="BC85" i="2"/>
  <c r="BC73" i="2"/>
  <c r="BC66" i="2"/>
  <c r="BC91" i="2"/>
  <c r="BC90" i="2"/>
  <c r="BC160" i="2"/>
  <c r="BC100" i="2"/>
  <c r="BC63" i="2"/>
  <c r="BC106" i="2"/>
  <c r="BC68" i="2"/>
  <c r="BC181" i="2"/>
  <c r="BC107" i="2"/>
  <c r="BC115" i="2"/>
  <c r="BC109" i="2"/>
  <c r="BC99" i="2"/>
  <c r="BC111" i="2"/>
  <c r="BC22" i="2"/>
  <c r="BC191" i="2"/>
  <c r="BC64" i="2"/>
  <c r="BC170" i="2"/>
  <c r="BC147" i="2"/>
  <c r="BC40" i="2"/>
  <c r="BC81" i="2"/>
  <c r="BC161" i="2"/>
  <c r="BC174" i="2"/>
  <c r="BC172" i="2"/>
  <c r="BC59" i="2"/>
  <c r="BC29" i="2"/>
  <c r="BC164" i="2"/>
  <c r="BC141" i="2"/>
  <c r="BC193" i="2"/>
  <c r="BC130" i="2"/>
  <c r="BC210" i="2"/>
  <c r="BC202" i="2"/>
  <c r="BC177" i="2"/>
  <c r="BC120" i="2"/>
  <c r="BC133" i="2"/>
  <c r="BC166" i="2"/>
  <c r="BC215" i="2"/>
  <c r="BC37" i="2"/>
  <c r="BC52" i="2"/>
  <c r="BC211" i="2"/>
  <c r="BC135" i="2"/>
  <c r="BC158" i="2"/>
  <c r="BC188" i="2"/>
  <c r="BC203" i="2"/>
  <c r="BC50" i="2"/>
  <c r="BC117" i="2"/>
  <c r="BC58" i="2"/>
  <c r="BC71" i="2"/>
  <c r="BC18" i="2"/>
  <c r="BC154" i="2"/>
  <c r="BC49" i="2"/>
  <c r="BC69" i="2"/>
  <c r="BC21" i="2"/>
  <c r="BC54" i="2"/>
  <c r="BC60" i="2"/>
  <c r="BC217" i="2"/>
  <c r="BC35" i="2"/>
  <c r="BC102" i="2"/>
  <c r="BC43" i="2"/>
  <c r="BC123" i="2"/>
  <c r="BC146" i="2"/>
  <c r="BC36" i="2"/>
  <c r="BC140" i="2"/>
  <c r="BC101" i="2"/>
  <c r="BC213" i="2"/>
  <c r="BC155" i="2"/>
  <c r="BC27" i="2"/>
  <c r="BC118" i="2"/>
  <c r="BC199" i="2"/>
  <c r="BC98" i="2"/>
  <c r="BC97" i="2"/>
  <c r="BC173" i="2"/>
  <c r="BC138" i="2"/>
  <c r="BC192" i="2"/>
  <c r="BC157" i="2"/>
  <c r="BC26" i="2"/>
  <c r="BC139" i="2"/>
  <c r="BC103" i="2"/>
  <c r="BC165" i="2"/>
  <c r="BC179" i="2"/>
  <c r="BC156" i="2"/>
  <c r="BC19" i="2"/>
  <c r="BC76" i="2"/>
  <c r="BC112" i="2"/>
  <c r="BC121" i="2"/>
  <c r="BC134" i="2"/>
  <c r="BC201" i="2"/>
  <c r="BC74" i="2"/>
  <c r="BC175" i="2"/>
  <c r="BC88" i="2"/>
  <c r="BC189" i="2"/>
  <c r="BC152" i="2"/>
  <c r="BC83" i="2"/>
  <c r="BC79" i="2"/>
  <c r="BC84" i="2"/>
  <c r="BC206" i="2"/>
  <c r="BC137" i="2"/>
  <c r="BC31" i="2"/>
  <c r="BC47" i="2"/>
  <c r="BC151" i="2"/>
  <c r="BC80" i="2"/>
  <c r="BC46" i="2"/>
  <c r="BC216" i="2"/>
  <c r="BC108" i="2"/>
  <c r="BC149" i="2"/>
  <c r="BC39" i="2"/>
  <c r="BC86" i="2"/>
  <c r="BC23" i="2"/>
  <c r="BC207" i="2"/>
  <c r="BC153" i="2"/>
  <c r="BC45" i="2"/>
  <c r="BC205" i="2"/>
  <c r="BC28" i="2"/>
  <c r="BC187" i="2"/>
  <c r="BC131" i="2"/>
  <c r="BC169" i="2"/>
  <c r="BC185" i="2"/>
  <c r="BC61" i="2"/>
  <c r="BC51" i="2"/>
  <c r="BC119" i="2"/>
  <c r="BC150" i="2"/>
  <c r="BC144" i="2"/>
  <c r="BC82" i="2"/>
  <c r="BC197" i="2"/>
  <c r="BC162" i="2"/>
  <c r="BC143" i="2"/>
  <c r="BC184" i="2"/>
  <c r="BC25" i="2"/>
  <c r="BC94" i="2"/>
  <c r="BC198" i="2"/>
  <c r="BC167" i="2"/>
  <c r="BC136" i="2"/>
  <c r="BC78" i="2"/>
  <c r="BC55" i="2"/>
  <c r="BC208" i="2"/>
  <c r="BC129" i="2"/>
  <c r="BC44" i="2"/>
  <c r="BC92" i="2"/>
  <c r="BC96" i="2"/>
  <c r="BC195" i="2"/>
  <c r="BC116" i="2"/>
  <c r="BC62" i="2"/>
  <c r="BC113" i="2"/>
  <c r="BC148" i="2"/>
  <c r="BC190" i="2"/>
  <c r="BC72" i="2"/>
  <c r="BC125" i="2"/>
  <c r="BC212" i="2"/>
  <c r="K13" i="15"/>
  <c r="B14" i="15"/>
  <c r="F14" i="15"/>
  <c r="J14" i="15"/>
  <c r="D14" i="15"/>
  <c r="H14" i="15"/>
  <c r="O14" i="15"/>
  <c r="BD17" i="2"/>
  <c r="BC145" i="2"/>
  <c r="BC89" i="2"/>
  <c r="BC114" i="2"/>
  <c r="BC30" i="2"/>
  <c r="BC20" i="2"/>
  <c r="BC110" i="2"/>
  <c r="BC204" i="2"/>
  <c r="BC127" i="2"/>
  <c r="BC128" i="2"/>
  <c r="BC53" i="2"/>
  <c r="BC38" i="2"/>
  <c r="BC57" i="2"/>
  <c r="BC196" i="2"/>
  <c r="BC142" i="2"/>
  <c r="BC42" i="2"/>
  <c r="BC33" i="2"/>
  <c r="BC104" i="2"/>
  <c r="BC95" i="2"/>
  <c r="BC70" i="2"/>
  <c r="BC180" i="2"/>
  <c r="BC32" i="2"/>
  <c r="BC126" i="2"/>
  <c r="BC77" i="2"/>
  <c r="BC56" i="2"/>
  <c r="BC168" i="2"/>
  <c r="BC176" i="2"/>
  <c r="BC171" i="2"/>
  <c r="BC124" i="2"/>
  <c r="BC214" i="2"/>
  <c r="BC87" i="2"/>
  <c r="BC75" i="2"/>
  <c r="AI15" i="2"/>
  <c r="Z11" i="2"/>
  <c r="AB11" i="2"/>
  <c r="BC17" i="2"/>
  <c r="BC15" i="2"/>
  <c r="AT11" i="2"/>
  <c r="AV11" i="2"/>
  <c r="L14" i="15"/>
  <c r="AT10" i="2"/>
  <c r="AV10" i="2"/>
  <c r="BC10" i="2"/>
  <c r="BD10" i="2"/>
  <c r="Z10" i="2"/>
  <c r="AB10" i="2"/>
  <c r="AC10" i="2"/>
  <c r="AI10" i="2"/>
  <c r="AJ10" i="2"/>
  <c r="AW10" i="2"/>
  <c r="K14" i="15"/>
  <c r="B15" i="15"/>
  <c r="F15" i="15"/>
  <c r="J15" i="15"/>
  <c r="O15" i="15"/>
  <c r="D15" i="15"/>
  <c r="H15" i="15"/>
  <c r="L15" i="15"/>
  <c r="K15" i="15"/>
  <c r="B16" i="15"/>
  <c r="F16" i="15"/>
  <c r="J16" i="15"/>
  <c r="O16" i="15"/>
  <c r="D16" i="15"/>
  <c r="H16" i="15"/>
  <c r="L16" i="15"/>
  <c r="K16" i="15"/>
  <c r="B17" i="15"/>
  <c r="F17" i="15"/>
  <c r="J17" i="15"/>
  <c r="O17" i="15"/>
  <c r="D17" i="15"/>
  <c r="H17" i="15"/>
  <c r="L17" i="15"/>
  <c r="K17" i="15"/>
  <c r="B18" i="15"/>
  <c r="F18" i="15"/>
  <c r="J18" i="15"/>
  <c r="O18" i="15"/>
  <c r="D18" i="15"/>
  <c r="H18" i="15"/>
  <c r="L18" i="15"/>
  <c r="K18" i="15"/>
  <c r="B19" i="15"/>
  <c r="O19" i="15"/>
  <c r="D19" i="15"/>
  <c r="H19" i="15"/>
  <c r="F19" i="15"/>
  <c r="J19" i="15"/>
  <c r="L19" i="15"/>
  <c r="K19" i="15"/>
  <c r="B20" i="15"/>
  <c r="O20" i="15"/>
  <c r="F20" i="15"/>
  <c r="J20" i="15"/>
  <c r="D20" i="15"/>
  <c r="H20" i="15"/>
  <c r="L20" i="15"/>
  <c r="K20" i="15"/>
  <c r="B21" i="15"/>
  <c r="F21" i="15"/>
  <c r="J21" i="15"/>
  <c r="O21" i="15"/>
  <c r="D21" i="15"/>
  <c r="H21" i="15"/>
  <c r="L21" i="15"/>
  <c r="K21" i="15"/>
  <c r="B22" i="15"/>
  <c r="F22" i="15"/>
  <c r="J22" i="15"/>
  <c r="O22" i="15"/>
  <c r="D22" i="15"/>
  <c r="L22" i="15"/>
  <c r="H22" i="15"/>
  <c r="K22" i="15"/>
  <c r="B23" i="15"/>
  <c r="F23" i="15"/>
  <c r="O23" i="15"/>
  <c r="D23" i="15"/>
  <c r="H23" i="15"/>
  <c r="J23" i="15"/>
  <c r="L23" i="15"/>
  <c r="K23" i="15"/>
  <c r="B24" i="15"/>
  <c r="F24" i="15"/>
  <c r="J24" i="15"/>
  <c r="O24" i="15"/>
  <c r="D24" i="15"/>
  <c r="L24" i="15"/>
  <c r="H24" i="15"/>
  <c r="K24" i="15"/>
  <c r="B25" i="15"/>
  <c r="O25" i="15"/>
  <c r="F25" i="15"/>
  <c r="J25" i="15"/>
  <c r="D25" i="15"/>
  <c r="L25" i="15"/>
  <c r="H25" i="15"/>
  <c r="K25" i="15"/>
  <c r="B26" i="15"/>
  <c r="O26" i="15"/>
  <c r="F26" i="15"/>
  <c r="J26" i="15"/>
  <c r="D26" i="15"/>
  <c r="L26" i="15"/>
  <c r="H26" i="15"/>
  <c r="K26" i="15"/>
  <c r="B27" i="15"/>
  <c r="F27" i="15"/>
  <c r="J27" i="15"/>
  <c r="O27" i="15"/>
  <c r="D27" i="15"/>
  <c r="H27" i="15"/>
  <c r="L27" i="15"/>
  <c r="K27" i="15"/>
  <c r="B28" i="15"/>
  <c r="F28" i="15"/>
  <c r="J28" i="15"/>
  <c r="O28" i="15"/>
  <c r="D28" i="15"/>
  <c r="L28" i="15"/>
  <c r="H28" i="15"/>
  <c r="K28" i="15"/>
  <c r="B29" i="15"/>
  <c r="F29" i="15"/>
  <c r="O29" i="15"/>
  <c r="D29" i="15"/>
  <c r="H29" i="15"/>
  <c r="J29" i="15"/>
  <c r="L29" i="15"/>
  <c r="K29" i="15"/>
  <c r="B30" i="15"/>
  <c r="F30" i="15"/>
  <c r="J30" i="15"/>
  <c r="O30" i="15"/>
  <c r="D30" i="15"/>
  <c r="L30" i="15"/>
  <c r="H30" i="15"/>
  <c r="K30" i="15"/>
  <c r="B31" i="15"/>
  <c r="O31" i="15"/>
  <c r="D31" i="15"/>
  <c r="H31" i="15"/>
  <c r="F31" i="15"/>
  <c r="J31" i="15"/>
  <c r="L31" i="15"/>
  <c r="K31" i="15"/>
  <c r="B32" i="15"/>
  <c r="O32" i="15"/>
  <c r="F32" i="15"/>
  <c r="J32" i="15"/>
  <c r="D32" i="15"/>
  <c r="H32" i="15"/>
  <c r="L32" i="15"/>
  <c r="K32" i="15"/>
  <c r="B33" i="15"/>
  <c r="F33" i="15"/>
  <c r="J33" i="15"/>
  <c r="O33" i="15"/>
  <c r="D33" i="15"/>
  <c r="H33" i="15"/>
  <c r="L33" i="15"/>
  <c r="K33" i="15"/>
  <c r="B34" i="15"/>
  <c r="F34" i="15"/>
  <c r="J34" i="15"/>
  <c r="O34" i="15"/>
  <c r="D34" i="15"/>
  <c r="L34" i="15"/>
  <c r="H34" i="15"/>
  <c r="K34" i="15"/>
  <c r="B35" i="15"/>
  <c r="F35" i="15"/>
  <c r="J35" i="15"/>
  <c r="O35" i="15"/>
  <c r="D35" i="15"/>
  <c r="L35" i="15"/>
  <c r="H35" i="15"/>
  <c r="K35" i="15"/>
  <c r="B36" i="15"/>
  <c r="F36" i="15"/>
  <c r="J36" i="15"/>
  <c r="O36" i="15"/>
  <c r="D36" i="15"/>
  <c r="L36" i="15"/>
  <c r="H36" i="15"/>
  <c r="K36" i="15"/>
  <c r="B37" i="15"/>
  <c r="O37" i="15"/>
  <c r="F37" i="15"/>
  <c r="J37" i="15"/>
  <c r="D37" i="15"/>
  <c r="L37" i="15"/>
  <c r="H37" i="15"/>
  <c r="K37" i="15"/>
  <c r="B38" i="15"/>
  <c r="F38" i="15"/>
  <c r="D38" i="15"/>
  <c r="H38" i="15"/>
  <c r="J38" i="15"/>
  <c r="O38" i="15"/>
  <c r="K38" i="15"/>
  <c r="L38" i="15"/>
  <c r="BK10" i="2"/>
  <c r="BM10" i="2"/>
  <c r="BT10" i="2"/>
  <c r="BU10" i="2"/>
  <c r="BN10" i="2"/>
  <c r="CE10" i="2"/>
  <c r="CG10" i="2"/>
  <c r="CH10" i="2"/>
  <c r="CN10" i="2"/>
  <c r="CO10" i="2"/>
  <c r="F39" i="11"/>
  <c r="D39" i="11"/>
  <c r="D48" i="11"/>
  <c r="F48" i="11"/>
  <c r="F49" i="11"/>
  <c r="E49" i="11"/>
  <c r="D49" i="11"/>
  <c r="C49" i="11"/>
  <c r="D40" i="11"/>
  <c r="D41" i="11"/>
  <c r="C41" i="11"/>
  <c r="D42" i="11"/>
  <c r="F40" i="11"/>
  <c r="F41" i="11"/>
  <c r="F42" i="11"/>
  <c r="E41" i="11"/>
  <c r="AO14" i="2"/>
  <c r="K12" i="36"/>
  <c r="K13" i="36"/>
  <c r="J13" i="36"/>
  <c r="C5" i="36"/>
  <c r="J12" i="36"/>
  <c r="C4" i="36"/>
  <c r="C6" i="36"/>
  <c r="J17" i="36"/>
  <c r="J18" i="36"/>
  <c r="C26" i="11"/>
  <c r="E28" i="11"/>
  <c r="E40" i="11"/>
  <c r="E42" i="11"/>
  <c r="E27" i="11"/>
  <c r="E48" i="11"/>
  <c r="E39" i="11"/>
  <c r="I7" i="2"/>
  <c r="K7" i="2"/>
  <c r="K9" i="2"/>
  <c r="B50" i="11"/>
  <c r="B51" i="11"/>
  <c r="B3" i="14"/>
  <c r="B8" i="14"/>
  <c r="B4" i="14"/>
  <c r="B9" i="14"/>
  <c r="C6" i="49"/>
  <c r="C28" i="11"/>
  <c r="C27" i="11"/>
  <c r="C48" i="11"/>
  <c r="C39" i="11"/>
  <c r="C40" i="11"/>
  <c r="C42" i="11"/>
</calcChain>
</file>

<file path=xl/comments1.xml><?xml version="1.0" encoding="utf-8"?>
<comments xmlns="http://schemas.openxmlformats.org/spreadsheetml/2006/main">
  <authors>
    <author>Casey Mulligan</author>
    <author>Casey B. Mulligan</author>
  </authors>
  <commentList>
    <comment ref="B6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ACA_Calibration_15.CBM</t>
        </r>
      </text>
    </comment>
    <comment ref="B7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ACA_Calibration_15.CBM</t>
        </r>
      </text>
    </comment>
    <comment ref="B8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ACA_Calibration_15.CBM</t>
        </r>
      </text>
    </comment>
    <comment ref="B9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ACA_Calibration_15.CBM</t>
        </r>
      </text>
    </comment>
    <comment ref="B13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fraction of employment that is full-time</t>
        </r>
      </text>
    </comment>
    <comment ref="B14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fraction of employment that is full-time</t>
        </r>
      </text>
    </comment>
    <comment ref="C22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includes illegal immigrant share of the uninsured</t>
        </r>
      </text>
    </comment>
    <comment ref="C25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$63 ACA fee on each ESI insured (NGI pay the fee too, but the aggregate revenue goes to NGI)</t>
        </r>
      </text>
    </comment>
    <comment ref="D25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$63 ACA fee on each ESI insured (NGI pay the fee too, but the aggregate revenue goes to NGI)</t>
        </r>
      </text>
    </comment>
    <comment ref="C28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$63 ACA fee on each ESI insured (NGI pay the fee too, but the aggregate revenue goes to NGI)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includes $63 ACA fee on each ESI insured (NGI pay the fee too, but the aggregate revenue goes to NGI)</t>
        </r>
      </text>
    </comment>
    <comment ref="B34" authorId="1">
      <text>
        <r>
          <rPr>
            <b/>
            <sz val="9"/>
            <color indexed="81"/>
            <rFont val="Tahoma"/>
            <family val="2"/>
          </rPr>
          <t>Casey B. Mulligan:</t>
        </r>
        <r>
          <rPr>
            <sz val="9"/>
            <color indexed="81"/>
            <rFont val="Tahoma"/>
            <family val="2"/>
          </rPr>
          <t xml:space="preserve">
155 from CBO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Casey Mulligan:</t>
        </r>
        <r>
          <rPr>
            <sz val="9"/>
            <color indexed="81"/>
            <rFont val="Tahoma"/>
            <family val="2"/>
          </rPr>
          <t xml:space="preserve">
independent of the CES elasticity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Casey Mulligan:</t>
        </r>
        <r>
          <rPr>
            <sz val="9"/>
            <color indexed="81"/>
            <rFont val="Tahoma"/>
            <family val="2"/>
          </rPr>
          <t xml:space="preserve">
independent of the CES elasticity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Casey Mulligan:</t>
        </r>
        <r>
          <rPr>
            <sz val="9"/>
            <color indexed="81"/>
            <rFont val="Tahoma"/>
            <family val="2"/>
          </rPr>
          <t xml:space="preserve">
independent of the CES elasticity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Casey Mulligan:</t>
        </r>
        <r>
          <rPr>
            <sz val="9"/>
            <color indexed="81"/>
            <rFont val="Tahoma"/>
            <family val="2"/>
          </rPr>
          <t xml:space="preserve">
independent of the CES elasticity</t>
        </r>
      </text>
    </comment>
  </commentList>
</comments>
</file>

<file path=xl/comments2.xml><?xml version="1.0" encoding="utf-8"?>
<comments xmlns="http://schemas.openxmlformats.org/spreadsheetml/2006/main">
  <authors>
    <author>Trevor Gallen</author>
  </authors>
  <commentList>
    <comment ref="C5" authorId="0">
      <text>
        <r>
          <rPr>
            <b/>
            <sz val="9"/>
            <color indexed="81"/>
            <rFont val="Times New Roman"/>
            <family val="2"/>
          </rPr>
          <t>Trevor Gallen:</t>
        </r>
        <r>
          <rPr>
            <sz val="9"/>
            <color indexed="81"/>
            <rFont val="Times New Roman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Casey Mulligan</author>
  </authors>
  <commentList>
    <comment ref="O8" authorId="0">
      <text>
        <r>
          <rPr>
            <b/>
            <sz val="9"/>
            <color indexed="81"/>
            <rFont val="Times New Roman"/>
            <family val="2"/>
          </rPr>
          <t>Casey Mulligan:</t>
        </r>
        <r>
          <rPr>
            <sz val="9"/>
            <color indexed="81"/>
            <rFont val="Times New Roman"/>
            <family val="2"/>
          </rPr>
          <t xml:space="preserve">
what the low-skill subsidy would be if the subsidy implementation rate were at indifference</t>
        </r>
      </text>
    </comment>
  </commentList>
</comments>
</file>

<file path=xl/sharedStrings.xml><?xml version="1.0" encoding="utf-8"?>
<sst xmlns="http://schemas.openxmlformats.org/spreadsheetml/2006/main" count="499" uniqueCount="314">
  <si>
    <t>Model Parameters</t>
  </si>
  <si>
    <t>Calibrate</t>
  </si>
  <si>
    <t>With-sheet sensitivity analysis</t>
  </si>
  <si>
    <t>ACA-absent</t>
  </si>
  <si>
    <t>sigma</t>
  </si>
  <si>
    <t>implementation rate</t>
  </si>
  <si>
    <t>High-skill K</t>
  </si>
  <si>
    <t>following sheets</t>
  </si>
  <si>
    <t>High-skill K in Uncovered</t>
  </si>
  <si>
    <t>Low-skill L</t>
  </si>
  <si>
    <t>Low-skill L in Uncovered</t>
  </si>
  <si>
    <t>tau_{u,L}</t>
  </si>
  <si>
    <t>tau_{c,L}</t>
  </si>
  <si>
    <t>tau_{u,K}</t>
  </si>
  <si>
    <t>tau_{c,K}</t>
  </si>
  <si>
    <t>A_u</t>
  </si>
  <si>
    <t>A_c</t>
  </si>
  <si>
    <t>Labor Inc if LabInc&lt;2PL &amp; Work</t>
  </si>
  <si>
    <t>Labor Inc if LabInc&gt;2PL &amp; Work</t>
  </si>
  <si>
    <t>ESI coverage per ESI employee</t>
  </si>
  <si>
    <t>low-skill window-dressing rate</t>
  </si>
  <si>
    <t>Nuisance parameters</t>
  </si>
  <si>
    <r>
      <rPr>
        <u/>
        <sz val="11"/>
        <color theme="1"/>
        <rFont val="Times New Roman"/>
        <family val="2"/>
        <scheme val="minor"/>
      </rPr>
      <t>Note</t>
    </r>
    <r>
      <rPr>
        <sz val="11"/>
        <color theme="1"/>
        <rFont val="Times New Roman"/>
        <family val="2"/>
        <scheme val="minor"/>
      </rPr>
      <t>: sector-neutral taxes will result in 0/0.  Keep ACA q's away from 1.</t>
    </r>
  </si>
  <si>
    <t>theta</t>
  </si>
  <si>
    <t>s</t>
  </si>
  <si>
    <t>shat</t>
  </si>
  <si>
    <t>K/L</t>
  </si>
  <si>
    <t>Results</t>
  </si>
  <si>
    <t>covered MRT (w/r direction)</t>
  </si>
  <si>
    <t>uncovered exp sh</t>
  </si>
  <si>
    <r>
      <rPr>
        <u/>
        <sz val="11"/>
        <color theme="1"/>
        <rFont val="Times New Roman"/>
        <family val="2"/>
        <scheme val="minor"/>
      </rPr>
      <t>Note</t>
    </r>
    <r>
      <rPr>
        <sz val="11"/>
        <color theme="1"/>
        <rFont val="Times New Roman"/>
        <family val="2"/>
        <scheme val="minor"/>
      </rPr>
      <t>: unc. exp. sh. formula needs to be modified if ACA-absent tax rates are different from zero.</t>
    </r>
  </si>
  <si>
    <t>factor-neutral equivalent tax on uncovered</t>
  </si>
  <si>
    <t>Quantiles</t>
  </si>
  <si>
    <t>ESI takeup elasticity wrt price</t>
  </si>
  <si>
    <t>alpha</t>
  </si>
  <si>
    <t>must be on (0,1)</t>
  </si>
  <si>
    <t>demand elasticity magnitude</t>
  </si>
  <si>
    <t>term</t>
  </si>
  <si>
    <t>supply elasticity magnitude</t>
  </si>
  <si>
    <t>q*</t>
  </si>
  <si>
    <t>MRT</t>
  </si>
  <si>
    <t>ESI</t>
  </si>
  <si>
    <t>Inputs</t>
  </si>
  <si>
    <t>Outputs</t>
  </si>
  <si>
    <t>skilled labor</t>
  </si>
  <si>
    <t>Model</t>
  </si>
  <si>
    <t>Data</t>
  </si>
  <si>
    <t>coverage rate</t>
  </si>
  <si>
    <t>low skill coverage rt</t>
  </si>
  <si>
    <t>minimize</t>
  </si>
  <si>
    <t>Dev</t>
  </si>
  <si>
    <t>ESI post-tax expenditures per dollar of covered earnings</t>
  </si>
  <si>
    <t>rho slope factor</t>
  </si>
  <si>
    <t>Inputs that match the data for various tastes and technologies</t>
  </si>
  <si>
    <t>factor substitution</t>
  </si>
  <si>
    <t>preference gradient</t>
  </si>
  <si>
    <t>w/r</t>
  </si>
  <si>
    <t>MRT_c</t>
  </si>
  <si>
    <t>delta-chi</t>
  </si>
  <si>
    <t>preference</t>
  </si>
  <si>
    <t>Calibration and Simulation</t>
  </si>
  <si>
    <t>Calibrate to ACA-absent</t>
  </si>
  <si>
    <t>adj Lq/L0</t>
  </si>
  <si>
    <t>adj L</t>
  </si>
  <si>
    <t>adj K</t>
  </si>
  <si>
    <t>adj L+K</t>
  </si>
  <si>
    <t>uninsured compensating difference</t>
  </si>
  <si>
    <t>output</t>
  </si>
  <si>
    <t>Y/w</t>
  </si>
  <si>
    <t>y term</t>
  </si>
  <si>
    <t>avg tau_L</t>
  </si>
  <si>
    <t>avg tau_K</t>
  </si>
  <si>
    <t>covered employment</t>
  </si>
  <si>
    <t>total employment</t>
  </si>
  <si>
    <t>NGI</t>
  </si>
  <si>
    <t>cond'l unit costs/w</t>
  </si>
  <si>
    <t>unins</t>
  </si>
  <si>
    <t>d(insured)</t>
  </si>
  <si>
    <t>Annualized Penalty, Uncovered</t>
  </si>
  <si>
    <t>Fraction of the year penalized, L</t>
  </si>
  <si>
    <t>Fraction of the year penalized, K</t>
  </si>
  <si>
    <t>ACA subsidy, eligible L</t>
  </si>
  <si>
    <t>ACA subsidy, eligible K</t>
  </si>
  <si>
    <t>p_i/r</t>
  </si>
  <si>
    <t>tau_{n,L}</t>
  </si>
  <si>
    <t>tau_{n,K}</t>
  </si>
  <si>
    <t>Factor Allocation</t>
  </si>
  <si>
    <t>Employer tax rates</t>
  </si>
  <si>
    <t>Factor Productivity</t>
  </si>
  <si>
    <t>Substitution Effects</t>
  </si>
  <si>
    <t>Employee Tax Rates</t>
  </si>
  <si>
    <t>low-skill MTR, free care component</t>
  </si>
  <si>
    <t>high-skill MTR, free care component</t>
  </si>
  <si>
    <t>HI sliding scale, low-skill NGI</t>
  </si>
  <si>
    <t>HI sliding scale, high-skill NGI</t>
  </si>
  <si>
    <t>HI sliding scale, low-skill avg</t>
  </si>
  <si>
    <t>HI sliding scale, high-skill avg</t>
  </si>
  <si>
    <t>low-skill MTR</t>
  </si>
  <si>
    <t>high-skill MTR</t>
  </si>
  <si>
    <t>wage elasticity of labor supply</t>
  </si>
  <si>
    <t>Conditional Cost Curves</t>
  </si>
  <si>
    <t>w</t>
  </si>
  <si>
    <t>r</t>
  </si>
  <si>
    <t>Uninsured</t>
  </si>
  <si>
    <t>MPL</t>
  </si>
  <si>
    <t>MPK</t>
  </si>
  <si>
    <t>min K/L</t>
  </si>
  <si>
    <t>exclusion</t>
  </si>
  <si>
    <t>MTR</t>
  </si>
  <si>
    <t>wage equivalent penalty</t>
  </si>
  <si>
    <t>subsidy</t>
  </si>
  <si>
    <t>pre-tax</t>
  </si>
  <si>
    <t>wage equivalent</t>
  </si>
  <si>
    <t>r_c</t>
  </si>
  <si>
    <t>r_u</t>
  </si>
  <si>
    <t>w_u</t>
  </si>
  <si>
    <t>w_c</t>
  </si>
  <si>
    <t>w_c @ zero subsidy</t>
  </si>
  <si>
    <t>critical alpha</t>
  </si>
  <si>
    <t>subsidy cross</t>
  </si>
  <si>
    <t>ESI avg</t>
  </si>
  <si>
    <t>uncovered average</t>
  </si>
  <si>
    <t>overall average</t>
  </si>
  <si>
    <t>break even</t>
  </si>
  <si>
    <t>must be &gt; 1</t>
  </si>
  <si>
    <t>number</t>
  </si>
  <si>
    <t>full penalty</t>
  </si>
  <si>
    <t>factor substitution elasticity</t>
  </si>
  <si>
    <t>q (n vs c)</t>
  </si>
  <si>
    <t>q (u vs c)</t>
  </si>
  <si>
    <t>q (u vs n)</t>
  </si>
  <si>
    <t>cum lbr</t>
  </si>
  <si>
    <t>compr</t>
  </si>
  <si>
    <t>critical log compensation ratio</t>
  </si>
  <si>
    <t>BOE coverage rate</t>
  </si>
  <si>
    <t>log compensation ratio: uncovered</t>
  </si>
  <si>
    <t>log compensation ratio: ESI only</t>
  </si>
  <si>
    <t>quantile</t>
  </si>
  <si>
    <t>log ratio</t>
  </si>
  <si>
    <t>ACA log critical ratio</t>
  </si>
  <si>
    <t>pre-ACA ESI margin</t>
  </si>
  <si>
    <t>measured log ESI average</t>
  </si>
  <si>
    <t>measured log non-ESI avg.</t>
  </si>
  <si>
    <t>ACA ESI margin (prices constant)</t>
  </si>
  <si>
    <t>L_n (adj)</t>
  </si>
  <si>
    <t>L_u (adj)</t>
  </si>
  <si>
    <t>L_c (adj)</t>
  </si>
  <si>
    <t>K_n (adj)</t>
  </si>
  <si>
    <t>K_u (adj)</t>
  </si>
  <si>
    <t>K_c (adj)</t>
  </si>
  <si>
    <t>transformed program drivers</t>
  </si>
  <si>
    <t>NGI indifference condition</t>
  </si>
  <si>
    <t>Penalty</t>
  </si>
  <si>
    <t>Implementation rate pairs on the indifference curve</t>
  </si>
  <si>
    <t>Subsidy</t>
  </si>
  <si>
    <t>(MRT_c)^(-sigma)*K/L</t>
  </si>
  <si>
    <t>sector on ESI margin</t>
  </si>
  <si>
    <t>tau'_{n,L}</t>
  </si>
  <si>
    <t>tau'_{c,L}</t>
  </si>
  <si>
    <t>tau'_{n,K}</t>
  </si>
  <si>
    <t>tau'_{c,K}</t>
  </si>
  <si>
    <t>zero</t>
  </si>
  <si>
    <t>Is'</t>
  </si>
  <si>
    <t>step size</t>
  </si>
  <si>
    <t>Nominal Amounts</t>
  </si>
  <si>
    <t>Low-skill subsidy</t>
  </si>
  <si>
    <t>d(employment)</t>
  </si>
  <si>
    <t>d(ESI)</t>
  </si>
  <si>
    <t>d(private)</t>
  </si>
  <si>
    <t>dln(w/r)</t>
  </si>
  <si>
    <t>dln(MRT_c)</t>
  </si>
  <si>
    <t>wage elasticity tolerance</t>
  </si>
  <si>
    <t>penalty</t>
  </si>
  <si>
    <t>subsidy share in incentives, at 100% implementation</t>
  </si>
  <si>
    <t>implementation rate, subsidies</t>
  </si>
  <si>
    <t>implementation rate, penalties</t>
  </si>
  <si>
    <t>model error</t>
  </si>
  <si>
    <t>left panel</t>
  </si>
  <si>
    <t>right panel</t>
  </si>
  <si>
    <t>2nd panel</t>
  </si>
  <si>
    <t>3rd panel</t>
  </si>
  <si>
    <t>K/L: uncovered</t>
  </si>
  <si>
    <t>K/L: ESI only</t>
  </si>
  <si>
    <t>critical compensation ratio</t>
  </si>
  <si>
    <t>break-even compensation ratio</t>
  </si>
  <si>
    <t>Fraction of the year for subsidy wedge, L</t>
  </si>
  <si>
    <t>Fraction of the year for subsidy wedge, K</t>
  </si>
  <si>
    <r>
      <t xml:space="preserve">ACA </t>
    </r>
    <r>
      <rPr>
        <i/>
        <sz val="11"/>
        <color theme="1"/>
        <rFont val="Times New Roman"/>
        <family val="1"/>
        <scheme val="minor"/>
      </rPr>
      <t>L</t>
    </r>
    <r>
      <rPr>
        <sz val="11"/>
        <color theme="1"/>
        <rFont val="Times New Roman"/>
        <family val="2"/>
        <scheme val="minor"/>
      </rPr>
      <t xml:space="preserve">-subsidy as ratio to </t>
    </r>
    <r>
      <rPr>
        <i/>
        <sz val="11"/>
        <color theme="1"/>
        <rFont val="Times New Roman"/>
        <family val="1"/>
        <scheme val="minor"/>
      </rPr>
      <t>w</t>
    </r>
  </si>
  <si>
    <r>
      <t xml:space="preserve">ACA </t>
    </r>
    <r>
      <rPr>
        <i/>
        <sz val="11"/>
        <color theme="1"/>
        <rFont val="Times New Roman"/>
        <family val="1"/>
        <scheme val="minor"/>
      </rPr>
      <t>K</t>
    </r>
    <r>
      <rPr>
        <sz val="11"/>
        <color theme="1"/>
        <rFont val="Times New Roman"/>
        <family val="2"/>
        <scheme val="minor"/>
      </rPr>
      <t xml:space="preserve">-subsidy as ratio to </t>
    </r>
    <r>
      <rPr>
        <i/>
        <sz val="11"/>
        <color theme="1"/>
        <rFont val="Times New Roman"/>
        <family val="1"/>
        <scheme val="minor"/>
      </rPr>
      <t>r</t>
    </r>
  </si>
  <si>
    <t>exp pref</t>
  </si>
  <si>
    <t>w/p</t>
  </si>
  <si>
    <t>r/p</t>
  </si>
  <si>
    <t>dln(w/p)</t>
  </si>
  <si>
    <t>dln(r/p)</t>
  </si>
  <si>
    <t>dln(y)</t>
  </si>
  <si>
    <t>real output</t>
  </si>
  <si>
    <t>dln(atshareL)</t>
  </si>
  <si>
    <t>dln(atshareK)</t>
  </si>
  <si>
    <t>impact on log</t>
  </si>
  <si>
    <t>emp</t>
  </si>
  <si>
    <t>output sh</t>
  </si>
  <si>
    <t>not used right now because the all of the model taxes are owed by employers</t>
  </si>
  <si>
    <t>Baseline Factor Allocation</t>
  </si>
  <si>
    <t>ESI participants per covered worker</t>
  </si>
  <si>
    <t>Substitution Parameters</t>
  </si>
  <si>
    <t>low-skill employees with ESI</t>
  </si>
  <si>
    <t>total low-skill employees</t>
  </si>
  <si>
    <t>March 2012 CPS</t>
  </si>
  <si>
    <t>high-skill employees with ESI</t>
  </si>
  <si>
    <t>total high-skill employees</t>
  </si>
  <si>
    <t>ratio of total ESI plan participants (CBO) to ESI employees</t>
  </si>
  <si>
    <t>Other Technology Parameters</t>
  </si>
  <si>
    <t>Employer Tax Rates</t>
  </si>
  <si>
    <t>See Table 2 for full-implementation tax rates by sector and skill level</t>
  </si>
  <si>
    <t>low-skill</t>
  </si>
  <si>
    <t>Additional Employee Tax Rates (uniform by sector, and unaffected by the ACA)</t>
  </si>
  <si>
    <t>high-skill</t>
  </si>
  <si>
    <r>
      <t xml:space="preserve">Productivity parameters </t>
    </r>
    <r>
      <rPr>
        <i/>
        <sz val="12"/>
        <color theme="1"/>
        <rFont val="Times New Roman"/>
        <family val="1"/>
        <scheme val="minor"/>
      </rPr>
      <t>A</t>
    </r>
    <r>
      <rPr>
        <sz val="12"/>
        <color theme="1"/>
        <rFont val="Times New Roman"/>
        <family val="2"/>
        <scheme val="minor"/>
      </rPr>
      <t xml:space="preserve"> and </t>
    </r>
    <r>
      <rPr>
        <i/>
        <sz val="12"/>
        <color theme="1"/>
        <rFont val="Times New Roman"/>
        <family val="1"/>
        <scheme val="minor"/>
      </rPr>
      <t>z</t>
    </r>
  </si>
  <si>
    <t>elasticity of factor substitution in production</t>
  </si>
  <si>
    <t>elasticity of sectoral substitution in utility</t>
  </si>
  <si>
    <t>fits baseline factor allocation and productivity</t>
  </si>
  <si>
    <t>baseline marginal revenue product of high-skill labor</t>
  </si>
  <si>
    <t>baseline marginal revenue product of low-skill labor</t>
  </si>
  <si>
    <t>March 2012 CPS annual compensation, including fringes</t>
  </si>
  <si>
    <t>Other Taste Parameters</t>
  </si>
  <si>
    <t>sectoral gradient of consumer preferences</t>
  </si>
  <si>
    <r>
      <t xml:space="preserve">fits baseline factor allocation and </t>
    </r>
    <r>
      <rPr>
        <sz val="12"/>
        <color theme="1"/>
        <rFont val="Times New Roman"/>
        <family val="2"/>
        <scheme val="minor"/>
      </rPr>
      <t xml:space="preserve">skill-specific </t>
    </r>
    <r>
      <rPr>
        <sz val="12"/>
        <color theme="1"/>
        <rFont val="Times New Roman"/>
        <family val="2"/>
        <scheme val="minor"/>
      </rPr>
      <t>productivity</t>
    </r>
  </si>
  <si>
    <t>Mulligan (2013)</t>
  </si>
  <si>
    <r>
      <t>ESI offer</t>
    </r>
    <r>
      <rPr>
        <sz val="12"/>
        <color theme="1"/>
        <rFont val="Times New Roman"/>
        <family val="2"/>
        <scheme val="minor"/>
      </rPr>
      <t xml:space="preserve"> elasticity </t>
    </r>
    <r>
      <rPr>
        <sz val="12"/>
        <color theme="1"/>
        <rFont val="Times New Roman"/>
        <family val="2"/>
        <scheme val="minor"/>
      </rPr>
      <t>with respect to the</t>
    </r>
    <r>
      <rPr>
        <sz val="12"/>
        <color theme="1"/>
        <rFont val="Times New Roman"/>
        <family val="2"/>
        <scheme val="minor"/>
      </rPr>
      <t xml:space="preserve"> price</t>
    </r>
    <r>
      <rPr>
        <sz val="12"/>
        <color theme="1"/>
        <rFont val="Times New Roman"/>
        <family val="2"/>
        <scheme val="minor"/>
      </rPr>
      <t xml:space="preserve"> of ESI</t>
    </r>
  </si>
  <si>
    <t>also Leontief preferences</t>
  </si>
  <si>
    <t>also inelastic labor supply</t>
  </si>
  <si>
    <r>
      <t xml:space="preserve">factor intensity parameter </t>
    </r>
    <r>
      <rPr>
        <sz val="12"/>
        <color theme="1"/>
        <rFont val="Symbol"/>
        <family val="1"/>
        <charset val="2"/>
      </rPr>
      <t>a</t>
    </r>
    <r>
      <rPr>
        <sz val="12"/>
        <color theme="1"/>
        <rFont val="Times New Roman"/>
        <family val="2"/>
        <scheme val="minor"/>
      </rPr>
      <t xml:space="preserve"> for:</t>
    </r>
  </si>
  <si>
    <t>the most skill-intenstive sector</t>
  </si>
  <si>
    <t>the least skill-intenstive sector</t>
  </si>
  <si>
    <r>
      <t xml:space="preserve">ESI post-tax expenditures per </t>
    </r>
    <r>
      <rPr>
        <sz val="12"/>
        <color theme="1"/>
        <rFont val="Times New Roman"/>
        <family val="2"/>
        <scheme val="minor"/>
      </rPr>
      <t>$</t>
    </r>
    <r>
      <rPr>
        <sz val="12"/>
        <color theme="1"/>
        <rFont val="Times New Roman"/>
        <family val="2"/>
        <scheme val="minor"/>
      </rPr>
      <t xml:space="preserve"> of covered earnings</t>
    </r>
  </si>
  <si>
    <t>Employer penalty/yr</t>
  </si>
  <si>
    <t>(Exhange subsidy- ESI exclusion)/yr</t>
  </si>
  <si>
    <t>Uncovered net tax/yr</t>
  </si>
  <si>
    <t>Uncovered clawback/yr</t>
  </si>
  <si>
    <t>fringe MTR, low skill</t>
  </si>
  <si>
    <t>fringe MTR, high skill</t>
  </si>
  <si>
    <t>individual mandate penalty rate, low skill</t>
  </si>
  <si>
    <t>individual mandate penalty rate, high skill</t>
  </si>
  <si>
    <t>ESI offer</t>
  </si>
  <si>
    <t>Source:</t>
  </si>
  <si>
    <t>esidistribution.do</t>
  </si>
  <si>
    <t>CPS propensity to be less than 300% FPL</t>
  </si>
  <si>
    <t>tmptile</t>
  </si>
  <si>
    <t>lowskillcum</t>
  </si>
  <si>
    <t>loglowhigh</t>
  </si>
  <si>
    <t>no-ACA log critical ratio</t>
  </si>
  <si>
    <t>alpha mid sector</t>
  </si>
  <si>
    <t>alpha hetergeneity</t>
  </si>
  <si>
    <t>minimize wrt D7, D8, D9</t>
  </si>
  <si>
    <t>Fig 4</t>
  </si>
  <si>
    <t>Fig 6</t>
  </si>
  <si>
    <t>Fig 9</t>
  </si>
  <si>
    <t>Fig 7</t>
  </si>
  <si>
    <t>Subsidy implementation rate</t>
  </si>
  <si>
    <t xml:space="preserve">Pen 0.5, Elasticity 0 </t>
  </si>
  <si>
    <t>Pen 0.5, Elasticity 0.5</t>
  </si>
  <si>
    <t>Pen 1, elasticity 0.5</t>
  </si>
  <si>
    <t>Pen 0.5, elasticity 0.5</t>
  </si>
  <si>
    <t>window 0</t>
  </si>
  <si>
    <t>window 0.25</t>
  </si>
  <si>
    <t>Dpriv</t>
  </si>
  <si>
    <t>desi</t>
  </si>
  <si>
    <t>2*Desi</t>
  </si>
  <si>
    <t>2*desi</t>
  </si>
  <si>
    <t>2*dpriv</t>
  </si>
  <si>
    <t>rho slope</t>
  </si>
  <si>
    <t>error</t>
  </si>
  <si>
    <t>All numbers from Fig_4_6_7_9_organizer</t>
  </si>
  <si>
    <t>production share parameter midpoint</t>
  </si>
  <si>
    <t>production share parameter heterogeneity</t>
  </si>
  <si>
    <t>alpha mid</t>
  </si>
  <si>
    <t>alpha hetero</t>
  </si>
  <si>
    <t>CPS</t>
  </si>
  <si>
    <t>Percent of labor at the ACA margin</t>
  </si>
  <si>
    <t>Quantile at the No-ACA critical ratio</t>
  </si>
  <si>
    <t>Quantile at the critical ratio</t>
  </si>
  <si>
    <t>Workforce quantiles at pre- and post-ACA margins</t>
  </si>
  <si>
    <t>Intercept</t>
  </si>
  <si>
    <t>Slope</t>
  </si>
  <si>
    <t>CPS Interpolation Parameters</t>
  </si>
  <si>
    <t>Near -0.97</t>
  </si>
  <si>
    <t>Near -1.13</t>
  </si>
  <si>
    <t>Model Interpolation Parameters</t>
  </si>
  <si>
    <t>Percent of ESI workers</t>
  </si>
  <si>
    <t>Percent of All workers</t>
  </si>
  <si>
    <t>Subsidy  80%/50%</t>
  </si>
  <si>
    <t>Elasticity of Substitution</t>
  </si>
  <si>
    <t>Labor Supply Elasticity</t>
  </si>
  <si>
    <t>Subsidy 80%/50%</t>
  </si>
  <si>
    <t>d</t>
  </si>
  <si>
    <t xml:space="preserve"> </t>
  </si>
  <si>
    <t>Appendix Table 1.  Sensitivity Analysis</t>
  </si>
  <si>
    <t>The table entries show the ACA's impact on economic outcomes, with one outcome per column.  Each panel deviates one model parameter from its benchmark value (shown in bold).</t>
  </si>
  <si>
    <t>Elasticity of Takeup</t>
  </si>
  <si>
    <r>
      <rPr>
        <i/>
        <sz val="11"/>
        <color theme="1"/>
        <rFont val="Symbol"/>
        <charset val="2"/>
      </rPr>
      <t>t</t>
    </r>
    <r>
      <rPr>
        <i/>
        <vertAlign val="subscript"/>
        <sz val="11"/>
        <color theme="1"/>
        <rFont val="Times New Roman"/>
        <family val="1"/>
        <scheme val="minor"/>
      </rPr>
      <t xml:space="preserve">uL </t>
    </r>
    <r>
      <rPr>
        <i/>
        <sz val="11"/>
        <color theme="1"/>
        <rFont val="Times New Roman"/>
        <family val="1"/>
        <scheme val="minor"/>
      </rPr>
      <t>− 0.0765</t>
    </r>
  </si>
  <si>
    <t>Low-skill wage/high-skill wage, log</t>
  </si>
  <si>
    <t>ESI,</t>
  </si>
  <si>
    <t>millions</t>
  </si>
  <si>
    <t>Private coverage,</t>
  </si>
  <si>
    <t>Table 4.  Model and CPS Compensation Ratios</t>
  </si>
  <si>
    <t>Table 5.  Model Parameters</t>
  </si>
  <si>
    <t>Table 6.  Moments in Model and Data</t>
  </si>
  <si>
    <t>Description</t>
  </si>
  <si>
    <t>Skilled Labor</t>
  </si>
  <si>
    <t>Coverage Rate</t>
  </si>
  <si>
    <t>Low skill coverage rate</t>
  </si>
  <si>
    <t>No Penalty</t>
  </si>
  <si>
    <t>Half Penalty</t>
  </si>
  <si>
    <t>Full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</si>
</sst>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  <numFmt numFmtId="170" formatCode="0.0%"/>
    <numFmt numFmtId="171" formatCode="0.0000"/>
    <numFmt numFmtId="172" formatCode="0.000000"/>
    <numFmt numFmtId="173" formatCode="0.00000"/>
    <numFmt numFmtId="174" formatCode="#,##0.000"/>
  </numFmts>
  <fonts count="33" x14ac:knownFonts="1">
    <font>
      <sz val="11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u/>
      <sz val="11"/>
      <color theme="1"/>
      <name val="Times New Roman"/>
      <family val="2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sz val="9"/>
      <color indexed="81"/>
      <name val="Times New Roman"/>
      <family val="2"/>
    </font>
    <font>
      <sz val="9"/>
      <color indexed="81"/>
      <name val="Times New Rom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Times New Roman"/>
      <family val="2"/>
      <scheme val="minor"/>
    </font>
    <font>
      <u/>
      <sz val="11"/>
      <color theme="1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sz val="11"/>
      <color rgb="FF0000FF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u/>
      <sz val="12"/>
      <color theme="1"/>
      <name val="Times New Roman"/>
      <family val="1"/>
      <scheme val="minor"/>
    </font>
    <font>
      <i/>
      <sz val="12"/>
      <color theme="1"/>
      <name val="Times New Roman"/>
      <family val="1"/>
      <scheme val="minor"/>
    </font>
    <font>
      <sz val="12"/>
      <color theme="1"/>
      <name val="Symbol"/>
      <family val="1"/>
      <charset val="2"/>
    </font>
    <font>
      <sz val="8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sz val="11"/>
      <color rgb="FF000000"/>
      <name val="Times New Roman"/>
      <family val="2"/>
      <scheme val="minor"/>
    </font>
    <font>
      <u/>
      <sz val="11"/>
      <color rgb="FF000000"/>
      <name val="Times New Roman"/>
      <family val="2"/>
      <scheme val="minor"/>
    </font>
    <font>
      <i/>
      <sz val="11"/>
      <color theme="1"/>
      <name val="Symbol"/>
      <charset val="2"/>
    </font>
    <font>
      <i/>
      <vertAlign val="subscript"/>
      <sz val="11"/>
      <color theme="1"/>
      <name val="Times New Roman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22">
    <xf numFmtId="0" fontId="0" fillId="0" borderId="0"/>
    <xf numFmtId="0" fontId="9" fillId="2" borderId="1" applyNumberFormat="0" applyAlignment="0" applyProtection="0"/>
    <xf numFmtId="0" fontId="10" fillId="3" borderId="2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5">
    <xf numFmtId="0" fontId="0" fillId="0" borderId="0" xfId="0"/>
    <xf numFmtId="0" fontId="11" fillId="0" borderId="0" xfId="0" applyFont="1"/>
    <xf numFmtId="0" fontId="12" fillId="0" borderId="0" xfId="0" applyFont="1"/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0" fillId="0" borderId="3" xfId="0" applyBorder="1"/>
    <xf numFmtId="3" fontId="9" fillId="2" borderId="1" xfId="1" applyNumberFormat="1"/>
    <xf numFmtId="3" fontId="0" fillId="0" borderId="0" xfId="0" applyNumberFormat="1"/>
    <xf numFmtId="2" fontId="9" fillId="2" borderId="1" xfId="1" applyNumberFormat="1"/>
    <xf numFmtId="9" fontId="9" fillId="2" borderId="1" xfId="1" applyNumberFormat="1"/>
    <xf numFmtId="0" fontId="0" fillId="0" borderId="3" xfId="0" applyFont="1" applyBorder="1"/>
    <xf numFmtId="0" fontId="9" fillId="2" borderId="1" xfId="1"/>
    <xf numFmtId="0" fontId="0" fillId="0" borderId="3" xfId="0" quotePrefix="1" applyBorder="1"/>
    <xf numFmtId="165" fontId="9" fillId="2" borderId="1" xfId="1" applyNumberFormat="1"/>
    <xf numFmtId="4" fontId="0" fillId="0" borderId="0" xfId="0" applyNumberFormat="1"/>
    <xf numFmtId="0" fontId="0" fillId="0" borderId="0" xfId="0" applyBorder="1"/>
    <xf numFmtId="166" fontId="9" fillId="2" borderId="1" xfId="1" applyNumberFormat="1"/>
    <xf numFmtId="165" fontId="0" fillId="0" borderId="0" xfId="0" applyNumberFormat="1"/>
    <xf numFmtId="0" fontId="12" fillId="0" borderId="0" xfId="0" applyFont="1" applyBorder="1" applyAlignment="1">
      <alignment horizontal="center" wrapText="1"/>
    </xf>
    <xf numFmtId="2" fontId="0" fillId="0" borderId="0" xfId="0" applyNumberFormat="1" applyBorder="1"/>
    <xf numFmtId="0" fontId="14" fillId="0" borderId="0" xfId="0" applyFont="1"/>
    <xf numFmtId="0" fontId="0" fillId="0" borderId="0" xfId="0" applyFill="1" applyBorder="1"/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/>
    <xf numFmtId="0" fontId="10" fillId="3" borderId="2" xfId="2"/>
    <xf numFmtId="166" fontId="10" fillId="3" borderId="2" xfId="2" applyNumberFormat="1"/>
    <xf numFmtId="2" fontId="10" fillId="3" borderId="2" xfId="2" applyNumberFormat="1"/>
    <xf numFmtId="166" fontId="0" fillId="0" borderId="0" xfId="0" applyNumberFormat="1" applyBorder="1"/>
    <xf numFmtId="167" fontId="0" fillId="0" borderId="0" xfId="0" applyNumberFormat="1"/>
    <xf numFmtId="168" fontId="9" fillId="2" borderId="1" xfId="77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4" fillId="0" borderId="0" xfId="0" applyFont="1" applyFill="1" applyBorder="1"/>
    <xf numFmtId="0" fontId="9" fillId="2" borderId="1" xfId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9" fontId="0" fillId="0" borderId="0" xfId="0" applyNumberFormat="1"/>
    <xf numFmtId="0" fontId="1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70" fontId="0" fillId="0" borderId="0" xfId="0" applyNumberFormat="1"/>
    <xf numFmtId="9" fontId="0" fillId="0" borderId="0" xfId="0" applyNumberFormat="1"/>
    <xf numFmtId="165" fontId="9" fillId="2" borderId="1" xfId="1" applyNumberFormat="1" applyAlignment="1">
      <alignment horizontal="right"/>
    </xf>
    <xf numFmtId="0" fontId="11" fillId="0" borderId="0" xfId="0" applyFont="1" applyAlignment="1">
      <alignment horizontal="right"/>
    </xf>
    <xf numFmtId="9" fontId="0" fillId="0" borderId="0" xfId="146" applyFont="1"/>
    <xf numFmtId="2" fontId="22" fillId="0" borderId="0" xfId="0" applyNumberFormat="1" applyFont="1"/>
    <xf numFmtId="165" fontId="22" fillId="0" borderId="0" xfId="0" applyNumberFormat="1" applyFont="1" applyAlignment="1">
      <alignment horizontal="right"/>
    </xf>
    <xf numFmtId="0" fontId="0" fillId="0" borderId="0" xfId="0" applyFont="1"/>
    <xf numFmtId="3" fontId="13" fillId="0" borderId="0" xfId="0" applyNumberFormat="1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5" borderId="0" xfId="0" applyFill="1" applyAlignment="1">
      <alignment horizontal="center"/>
    </xf>
    <xf numFmtId="0" fontId="8" fillId="0" borderId="0" xfId="0" applyFont="1"/>
    <xf numFmtId="0" fontId="24" fillId="0" borderId="0" xfId="0" applyFont="1"/>
    <xf numFmtId="0" fontId="23" fillId="0" borderId="0" xfId="0" applyFont="1"/>
    <xf numFmtId="3" fontId="8" fillId="0" borderId="0" xfId="0" applyNumberFormat="1" applyFont="1"/>
    <xf numFmtId="167" fontId="8" fillId="0" borderId="0" xfId="0" applyNumberFormat="1" applyFont="1"/>
    <xf numFmtId="2" fontId="8" fillId="0" borderId="0" xfId="0" applyNumberFormat="1" applyFont="1"/>
    <xf numFmtId="166" fontId="8" fillId="0" borderId="0" xfId="0" applyNumberFormat="1" applyFont="1"/>
    <xf numFmtId="9" fontId="8" fillId="0" borderId="0" xfId="146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left" indent="1"/>
    </xf>
    <xf numFmtId="167" fontId="9" fillId="2" borderId="1" xfId="1" applyNumberFormat="1"/>
    <xf numFmtId="0" fontId="3" fillId="0" borderId="0" xfId="0" applyFont="1"/>
    <xf numFmtId="0" fontId="12" fillId="0" borderId="0" xfId="0" applyFont="1" applyAlignment="1">
      <alignment horizontal="center"/>
    </xf>
    <xf numFmtId="1" fontId="9" fillId="2" borderId="1" xfId="1" applyNumberFormat="1"/>
    <xf numFmtId="0" fontId="0" fillId="0" borderId="0" xfId="0" applyNumberFormat="1"/>
    <xf numFmtId="0" fontId="28" fillId="0" borderId="0" xfId="0" applyFont="1"/>
    <xf numFmtId="171" fontId="0" fillId="0" borderId="0" xfId="0" applyNumberFormat="1"/>
    <xf numFmtId="0" fontId="10" fillId="3" borderId="2" xfId="2" applyFont="1"/>
    <xf numFmtId="2" fontId="0" fillId="0" borderId="0" xfId="0" applyNumberFormat="1" applyFont="1"/>
    <xf numFmtId="0" fontId="0" fillId="0" borderId="0" xfId="0" applyAlignment="1">
      <alignment wrapText="1"/>
    </xf>
    <xf numFmtId="17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0" fontId="0" fillId="0" borderId="0" xfId="0" applyNumberFormat="1"/>
    <xf numFmtId="173" fontId="0" fillId="0" borderId="0" xfId="0" applyNumberFormat="1"/>
    <xf numFmtId="0" fontId="30" fillId="0" borderId="0" xfId="0" applyFont="1" applyAlignment="1">
      <alignment horizontal="center"/>
    </xf>
    <xf numFmtId="170" fontId="0" fillId="0" borderId="0" xfId="0" applyNumberFormat="1" applyFont="1"/>
    <xf numFmtId="43" fontId="0" fillId="0" borderId="0" xfId="0" applyNumberFormat="1"/>
    <xf numFmtId="174" fontId="0" fillId="0" borderId="0" xfId="0" applyNumberFormat="1"/>
    <xf numFmtId="0" fontId="29" fillId="0" borderId="0" xfId="0" applyFont="1" applyAlignment="1">
      <alignment horizontal="center" wrapText="1"/>
    </xf>
    <xf numFmtId="2" fontId="11" fillId="0" borderId="0" xfId="0" applyNumberFormat="1" applyFont="1"/>
    <xf numFmtId="165" fontId="11" fillId="0" borderId="0" xfId="0" applyNumberFormat="1" applyFont="1"/>
    <xf numFmtId="165" fontId="0" fillId="0" borderId="0" xfId="0" applyNumberFormat="1" applyFont="1"/>
    <xf numFmtId="0" fontId="0" fillId="0" borderId="7" xfId="0" applyBorder="1"/>
    <xf numFmtId="2" fontId="0" fillId="0" borderId="7" xfId="0" applyNumberFormat="1" applyBorder="1"/>
    <xf numFmtId="0" fontId="0" fillId="0" borderId="7" xfId="0" applyFont="1" applyBorder="1"/>
    <xf numFmtId="2" fontId="0" fillId="0" borderId="7" xfId="0" applyNumberFormat="1" applyFont="1" applyBorder="1"/>
    <xf numFmtId="0" fontId="0" fillId="0" borderId="8" xfId="0" applyFont="1" applyBorder="1"/>
    <xf numFmtId="165" fontId="0" fillId="0" borderId="8" xfId="0" applyNumberFormat="1" applyFont="1" applyBorder="1"/>
    <xf numFmtId="0" fontId="29" fillId="0" borderId="9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166" fontId="11" fillId="0" borderId="0" xfId="0" applyNumberFormat="1" applyFont="1"/>
    <xf numFmtId="166" fontId="0" fillId="0" borderId="7" xfId="0" applyNumberFormat="1" applyBorder="1"/>
    <xf numFmtId="166" fontId="0" fillId="0" borderId="0" xfId="0" applyNumberFormat="1" applyFont="1"/>
    <xf numFmtId="166" fontId="0" fillId="0" borderId="7" xfId="0" applyNumberFormat="1" applyFont="1" applyBorder="1"/>
    <xf numFmtId="166" fontId="0" fillId="0" borderId="8" xfId="0" applyNumberFormat="1" applyFont="1" applyBorder="1"/>
    <xf numFmtId="2" fontId="0" fillId="0" borderId="9" xfId="0" applyNumberFormat="1" applyBorder="1" applyAlignment="1">
      <alignment horizontal="right" wrapText="1"/>
    </xf>
    <xf numFmtId="43" fontId="9" fillId="2" borderId="1" xfId="77" applyNumberFormat="1" applyFont="1" applyFill="1" applyBorder="1"/>
    <xf numFmtId="0" fontId="12" fillId="0" borderId="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3" fontId="13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3" fontId="13" fillId="0" borderId="4" xfId="0" applyNumberFormat="1" applyFont="1" applyBorder="1" applyAlignment="1">
      <alignment horizontal="center"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13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9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 wrapText="1"/>
    </xf>
    <xf numFmtId="2" fontId="13" fillId="0" borderId="0" xfId="0" applyNumberFormat="1" applyFont="1" applyBorder="1" applyAlignment="1">
      <alignment horizontal="center" vertical="center" wrapText="1"/>
    </xf>
    <xf numFmtId="2" fontId="13" fillId="0" borderId="7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right" wrapText="1"/>
    </xf>
    <xf numFmtId="0" fontId="0" fillId="0" borderId="7" xfId="0" applyBorder="1" applyAlignment="1">
      <alignment horizontal="right" wrapText="1"/>
    </xf>
  </cellXfs>
  <cellStyles count="1722">
    <cellStyle name="Comma" xfId="77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Input" xfId="1" builtinId="20"/>
    <cellStyle name="Normal" xfId="0" builtinId="0"/>
    <cellStyle name="Output" xfId="2" builtinId="21"/>
    <cellStyle name="Percent" xfId="146" builtinId="5"/>
    <cellStyle name="Percent 2" xfId="747"/>
  </cellStyles>
  <dxfs count="0"/>
  <tableStyles count="0" defaultTableStyle="TableStyleMedium2" defaultPivotStyle="PivotStyleLight16"/>
  <colors>
    <mruColors>
      <color rgb="FF008000"/>
      <color rgb="FF00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2.xml"/><Relationship Id="rId20" Type="http://schemas.openxmlformats.org/officeDocument/2006/relationships/worksheet" Target="worksheets/sheet10.xml"/><Relationship Id="rId21" Type="http://schemas.openxmlformats.org/officeDocument/2006/relationships/worksheet" Target="worksheets/sheet11.xml"/><Relationship Id="rId22" Type="http://schemas.openxmlformats.org/officeDocument/2006/relationships/chartsheet" Target="chartsheets/sheet11.xml"/><Relationship Id="rId23" Type="http://schemas.openxmlformats.org/officeDocument/2006/relationships/chartsheet" Target="chartsheets/sheet12.xml"/><Relationship Id="rId24" Type="http://schemas.openxmlformats.org/officeDocument/2006/relationships/chartsheet" Target="chartsheets/sheet13.xml"/><Relationship Id="rId25" Type="http://schemas.openxmlformats.org/officeDocument/2006/relationships/chartsheet" Target="chartsheets/sheet14.xml"/><Relationship Id="rId26" Type="http://schemas.openxmlformats.org/officeDocument/2006/relationships/worksheet" Target="worksheets/sheet12.xml"/><Relationship Id="rId27" Type="http://schemas.openxmlformats.org/officeDocument/2006/relationships/chartsheet" Target="chartsheets/sheet15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chartsheet" Target="chartsheets/sheet3.xml"/><Relationship Id="rId11" Type="http://schemas.openxmlformats.org/officeDocument/2006/relationships/chartsheet" Target="chartsheets/sheet4.xml"/><Relationship Id="rId12" Type="http://schemas.openxmlformats.org/officeDocument/2006/relationships/chartsheet" Target="chartsheets/sheet5.xml"/><Relationship Id="rId13" Type="http://schemas.openxmlformats.org/officeDocument/2006/relationships/chartsheet" Target="chartsheets/sheet6.xml"/><Relationship Id="rId14" Type="http://schemas.openxmlformats.org/officeDocument/2006/relationships/chartsheet" Target="chartsheets/sheet7.xml"/><Relationship Id="rId15" Type="http://schemas.openxmlformats.org/officeDocument/2006/relationships/chartsheet" Target="chartsheets/sheet8.xml"/><Relationship Id="rId16" Type="http://schemas.openxmlformats.org/officeDocument/2006/relationships/chartsheet" Target="chartsheets/sheet9.xml"/><Relationship Id="rId17" Type="http://schemas.openxmlformats.org/officeDocument/2006/relationships/worksheet" Target="worksheets/sheet8.xml"/><Relationship Id="rId18" Type="http://schemas.openxmlformats.org/officeDocument/2006/relationships/chartsheet" Target="chartsheets/sheet10.xml"/><Relationship Id="rId19" Type="http://schemas.openxmlformats.org/officeDocument/2006/relationships/worksheet" Target="worksheets/sheet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Figure_4_6_7_9!$B$117:$V$117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837920"/>
        <c:axId val="-1426835600"/>
      </c:scatterChart>
      <c:valAx>
        <c:axId val="-14268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426835600"/>
        <c:crosses val="autoZero"/>
        <c:crossBetween val="midCat"/>
      </c:valAx>
      <c:valAx>
        <c:axId val="-142683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42683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Production Technologies and the ESI Decision</a:t>
            </a:r>
          </a:p>
          <a:p>
            <a:pPr>
              <a:defRPr/>
            </a:pPr>
            <a:r>
              <a:rPr lang="en-US" sz="1400" b="0"/>
              <a:t>assumes no tax credit for skilled employees</a:t>
            </a:r>
            <a:endParaRPr lang="en-US" b="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863235276980342"/>
          <c:y val="0.0923865966399381"/>
          <c:w val="0.828416400879518"/>
          <c:h val="0.810038878062927"/>
        </c:manualLayout>
      </c:layout>
      <c:scatterChart>
        <c:scatterStyle val="lineMarker"/>
        <c:varyColors val="0"/>
        <c:ser>
          <c:idx val="1"/>
          <c:order val="0"/>
          <c:tx>
            <c:strRef>
              <c:f>Criticalalpha!$D$19</c:f>
              <c:strCache>
                <c:ptCount val="1"/>
                <c:pt idx="0">
                  <c:v>factor subs. = 2.0</c:v>
                </c:pt>
              </c:strCache>
            </c:strRef>
          </c:tx>
          <c:spPr>
            <a:ln w="38100">
              <a:solidFill>
                <a:srgbClr val="FF3300"/>
              </a:solidFill>
            </a:ln>
          </c:spPr>
          <c:marker>
            <c:symbol val="none"/>
          </c:marker>
          <c:xVal>
            <c:numRef>
              <c:f>Criticalalpha!$A$20:$A$38</c:f>
              <c:numCache>
                <c:formatCode>#,##0</c:formatCode>
                <c:ptCount val="19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  <c:pt idx="8">
                  <c:v>8000.0</c:v>
                </c:pt>
                <c:pt idx="9">
                  <c:v>8500.0</c:v>
                </c:pt>
                <c:pt idx="10">
                  <c:v>9000.0</c:v>
                </c:pt>
                <c:pt idx="11">
                  <c:v>9500.0</c:v>
                </c:pt>
                <c:pt idx="12">
                  <c:v>10000.0</c:v>
                </c:pt>
                <c:pt idx="13">
                  <c:v>10500.0</c:v>
                </c:pt>
                <c:pt idx="14">
                  <c:v>11000.0</c:v>
                </c:pt>
                <c:pt idx="15">
                  <c:v>11500.0</c:v>
                </c:pt>
                <c:pt idx="16">
                  <c:v>12000.0</c:v>
                </c:pt>
                <c:pt idx="17">
                  <c:v>12500.0</c:v>
                </c:pt>
                <c:pt idx="18">
                  <c:v>13000.0</c:v>
                </c:pt>
              </c:numCache>
            </c:numRef>
          </c:xVal>
          <c:yVal>
            <c:numRef>
              <c:f>Criticalalpha!$D$20:$D$38</c:f>
              <c:numCache>
                <c:formatCode>General</c:formatCode>
                <c:ptCount val="19"/>
                <c:pt idx="0">
                  <c:v>0.834852412828811</c:v>
                </c:pt>
                <c:pt idx="1">
                  <c:v>0.541195905021835</c:v>
                </c:pt>
                <c:pt idx="2">
                  <c:v>0.460400236002504</c:v>
                </c:pt>
                <c:pt idx="3">
                  <c:v>0.413894254548487</c:v>
                </c:pt>
                <c:pt idx="4">
                  <c:v>0.38211109860276</c:v>
                </c:pt>
                <c:pt idx="5">
                  <c:v>0.358447449398023</c:v>
                </c:pt>
                <c:pt idx="6">
                  <c:v>0.339882048667645</c:v>
                </c:pt>
                <c:pt idx="7">
                  <c:v>0.324788219055605</c:v>
                </c:pt>
                <c:pt idx="8">
                  <c:v>0.31219431302037</c:v>
                </c:pt>
                <c:pt idx="9">
                  <c:v>0.301476178258569</c:v>
                </c:pt>
                <c:pt idx="10">
                  <c:v>0.292210629750012</c:v>
                </c:pt>
                <c:pt idx="11">
                  <c:v>0.284098484592908</c:v>
                </c:pt>
                <c:pt idx="12">
                  <c:v>0.276921039991307</c:v>
                </c:pt>
                <c:pt idx="13">
                  <c:v>0.270513993219105</c:v>
                </c:pt>
                <c:pt idx="14">
                  <c:v>0.264751063189986</c:v>
                </c:pt>
                <c:pt idx="15">
                  <c:v>0.259533298149167</c:v>
                </c:pt>
                <c:pt idx="16">
                  <c:v>0.254781863990329</c:v>
                </c:pt>
                <c:pt idx="17">
                  <c:v>0.250433042795749</c:v>
                </c:pt>
                <c:pt idx="18">
                  <c:v>0.246434679709584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Criticalalpha!$E$19</c:f>
              <c:strCache>
                <c:ptCount val="1"/>
                <c:pt idx="0">
                  <c:v>factor subs. = 1.0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Criticalalpha!$A$20:$A$38</c:f>
              <c:numCache>
                <c:formatCode>#,##0</c:formatCode>
                <c:ptCount val="19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  <c:pt idx="8">
                  <c:v>8000.0</c:v>
                </c:pt>
                <c:pt idx="9">
                  <c:v>8500.0</c:v>
                </c:pt>
                <c:pt idx="10">
                  <c:v>9000.0</c:v>
                </c:pt>
                <c:pt idx="11">
                  <c:v>9500.0</c:v>
                </c:pt>
                <c:pt idx="12">
                  <c:v>10000.0</c:v>
                </c:pt>
                <c:pt idx="13">
                  <c:v>10500.0</c:v>
                </c:pt>
                <c:pt idx="14">
                  <c:v>11000.0</c:v>
                </c:pt>
                <c:pt idx="15">
                  <c:v>11500.0</c:v>
                </c:pt>
                <c:pt idx="16">
                  <c:v>12000.0</c:v>
                </c:pt>
                <c:pt idx="17">
                  <c:v>12500.0</c:v>
                </c:pt>
                <c:pt idx="18">
                  <c:v>13000.0</c:v>
                </c:pt>
              </c:numCache>
            </c:numRef>
          </c:xVal>
          <c:yVal>
            <c:numRef>
              <c:f>Criticalalpha!$E$20:$E$38</c:f>
              <c:numCache>
                <c:formatCode>General</c:formatCode>
                <c:ptCount val="19"/>
                <c:pt idx="0">
                  <c:v>0.983673180008876</c:v>
                </c:pt>
                <c:pt idx="1">
                  <c:v>0.76418134033471</c:v>
                </c:pt>
                <c:pt idx="2">
                  <c:v>0.62672645371588</c:v>
                </c:pt>
                <c:pt idx="3">
                  <c:v>0.532598308165339</c:v>
                </c:pt>
                <c:pt idx="4">
                  <c:v>0.464100923458254</c:v>
                </c:pt>
                <c:pt idx="5">
                  <c:v>0.412016556719707</c:v>
                </c:pt>
                <c:pt idx="6">
                  <c:v>0.371073345691444</c:v>
                </c:pt>
                <c:pt idx="7">
                  <c:v>0.338038508780165</c:v>
                </c:pt>
                <c:pt idx="8">
                  <c:v>0.310819577887078</c:v>
                </c:pt>
                <c:pt idx="9">
                  <c:v>0.288002425161568</c:v>
                </c:pt>
                <c:pt idx="10">
                  <c:v>0.268597018625015</c:v>
                </c:pt>
                <c:pt idx="11">
                  <c:v>0.251889542137182</c:v>
                </c:pt>
                <c:pt idx="12">
                  <c:v>0.23735235395167</c:v>
                </c:pt>
                <c:pt idx="13">
                  <c:v>0.224587009029285</c:v>
                </c:pt>
                <c:pt idx="14">
                  <c:v>0.21328699824734</c:v>
                </c:pt>
                <c:pt idx="15">
                  <c:v>0.203212678945308</c:v>
                </c:pt>
                <c:pt idx="16">
                  <c:v>0.194173984033164</c:v>
                </c:pt>
                <c:pt idx="17">
                  <c:v>0.186018232466361</c:v>
                </c:pt>
                <c:pt idx="18">
                  <c:v>0.178621367558503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Criticalalpha!$F$19</c:f>
              <c:strCache>
                <c:ptCount val="1"/>
                <c:pt idx="0">
                  <c:v>factor subs. = 0.5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Criticalalpha!$A$20:$A$38</c:f>
              <c:numCache>
                <c:formatCode>#,##0</c:formatCode>
                <c:ptCount val="19"/>
                <c:pt idx="0">
                  <c:v>4000.0</c:v>
                </c:pt>
                <c:pt idx="1">
                  <c:v>4500.0</c:v>
                </c:pt>
                <c:pt idx="2">
                  <c:v>5000.0</c:v>
                </c:pt>
                <c:pt idx="3">
                  <c:v>5500.0</c:v>
                </c:pt>
                <c:pt idx="4">
                  <c:v>6000.0</c:v>
                </c:pt>
                <c:pt idx="5">
                  <c:v>6500.0</c:v>
                </c:pt>
                <c:pt idx="6">
                  <c:v>7000.0</c:v>
                </c:pt>
                <c:pt idx="7">
                  <c:v>7500.0</c:v>
                </c:pt>
                <c:pt idx="8">
                  <c:v>8000.0</c:v>
                </c:pt>
                <c:pt idx="9">
                  <c:v>8500.0</c:v>
                </c:pt>
                <c:pt idx="10">
                  <c:v>9000.0</c:v>
                </c:pt>
                <c:pt idx="11">
                  <c:v>9500.0</c:v>
                </c:pt>
                <c:pt idx="12">
                  <c:v>10000.0</c:v>
                </c:pt>
                <c:pt idx="13">
                  <c:v>10500.0</c:v>
                </c:pt>
                <c:pt idx="14">
                  <c:v>11000.0</c:v>
                </c:pt>
                <c:pt idx="15">
                  <c:v>11500.0</c:v>
                </c:pt>
                <c:pt idx="16">
                  <c:v>12000.0</c:v>
                </c:pt>
                <c:pt idx="17">
                  <c:v>12500.0</c:v>
                </c:pt>
                <c:pt idx="18">
                  <c:v>13000.0</c:v>
                </c:pt>
              </c:numCache>
            </c:numRef>
          </c:xVal>
          <c:yVal>
            <c:numRef>
              <c:f>Criticalalpha!$F$20:$F$38</c:f>
              <c:numCache>
                <c:formatCode>General</c:formatCode>
                <c:ptCount val="19"/>
                <c:pt idx="0">
                  <c:v>0.999881445828465</c:v>
                </c:pt>
                <c:pt idx="1">
                  <c:v>0.960497261800209</c:v>
                </c:pt>
                <c:pt idx="2">
                  <c:v>0.866245728388302</c:v>
                </c:pt>
                <c:pt idx="3">
                  <c:v>0.747383246950972</c:v>
                </c:pt>
                <c:pt idx="4">
                  <c:v>0.628913809873891</c:v>
                </c:pt>
                <c:pt idx="5">
                  <c:v>0.523904841313951</c:v>
                </c:pt>
                <c:pt idx="6">
                  <c:v>0.436225484486497</c:v>
                </c:pt>
                <c:pt idx="7">
                  <c:v>0.365050021819574</c:v>
                </c:pt>
                <c:pt idx="8">
                  <c:v>0.307877324382109</c:v>
                </c:pt>
                <c:pt idx="9">
                  <c:v>0.261987625504527</c:v>
                </c:pt>
                <c:pt idx="10">
                  <c:v>0.224987800765705</c:v>
                </c:pt>
                <c:pt idx="11">
                  <c:v>0.19493972205575</c:v>
                </c:pt>
                <c:pt idx="12">
                  <c:v>0.170330056160699</c:v>
                </c:pt>
                <c:pt idx="13">
                  <c:v>0.14999494514782</c:v>
                </c:pt>
                <c:pt idx="14">
                  <c:v>0.13304303438589</c:v>
                </c:pt>
                <c:pt idx="15">
                  <c:v>0.118790458165042</c:v>
                </c:pt>
                <c:pt idx="16">
                  <c:v>0.106709886448075</c:v>
                </c:pt>
                <c:pt idx="17">
                  <c:v>0.0963919144088062</c:v>
                </c:pt>
                <c:pt idx="18">
                  <c:v>0.0875162337032924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05856"/>
        <c:axId val="-1400788160"/>
      </c:scatterChart>
      <c:valAx>
        <c:axId val="-1400105856"/>
        <c:scaling>
          <c:orientation val="minMax"/>
          <c:max val="13000.0"/>
          <c:min val="4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Low-skill HI Tax Credit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1400788160"/>
        <c:crosses val="autoZero"/>
        <c:crossBetween val="midCat"/>
      </c:valAx>
      <c:valAx>
        <c:axId val="-140078816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Technology</a:t>
                </a:r>
                <a:r>
                  <a:rPr lang="en-US" baseline="0"/>
                  <a:t> for which ESI and NGI achieve the same min. cost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00105856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494558166050788"/>
          <c:y val="0.407063431089222"/>
          <c:w val="0.186001121723111"/>
          <c:h val="0.1293336352165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332775163974989"/>
          <c:y val="0.0235144547785737"/>
          <c:w val="0.881345301610484"/>
          <c:h val="0.922126852002605"/>
        </c:manualLayout>
      </c:layout>
      <c:scatterChart>
        <c:scatterStyle val="lineMarker"/>
        <c:varyColors val="0"/>
        <c:ser>
          <c:idx val="1"/>
          <c:order val="0"/>
          <c:tx>
            <c:strRef>
              <c:f>Sectors!$B$16</c:f>
              <c:strCache>
                <c:ptCount val="1"/>
                <c:pt idx="0">
                  <c:v>alpha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Sectors!$B$17:$B$217</c:f>
              <c:numCache>
                <c:formatCode>General</c:formatCode>
                <c:ptCount val="201"/>
                <c:pt idx="0">
                  <c:v>0.0915090903772278</c:v>
                </c:pt>
                <c:pt idx="1">
                  <c:v>0.092470800586183</c:v>
                </c:pt>
                <c:pt idx="2">
                  <c:v>0.0934415782942884</c:v>
                </c:pt>
                <c:pt idx="3">
                  <c:v>0.0944214870886583</c:v>
                </c:pt>
                <c:pt idx="4">
                  <c:v>0.0954105905363664</c:v>
                </c:pt>
                <c:pt idx="5">
                  <c:v>0.0964089521726658</c:v>
                </c:pt>
                <c:pt idx="6">
                  <c:v>0.0974166354889669</c:v>
                </c:pt>
                <c:pt idx="7">
                  <c:v>0.0984337039205725</c:v>
                </c:pt>
                <c:pt idx="8">
                  <c:v>0.0994602208341668</c:v>
                </c:pt>
                <c:pt idx="9">
                  <c:v>0.10049624951506</c:v>
                </c:pt>
                <c:pt idx="10">
                  <c:v>0.101541853154182</c:v>
                </c:pt>
                <c:pt idx="11">
                  <c:v>0.102597094834836</c:v>
                </c:pt>
                <c:pt idx="12">
                  <c:v>0.103662037519191</c:v>
                </c:pt>
                <c:pt idx="13">
                  <c:v>0.104736744034531</c:v>
                </c:pt>
                <c:pt idx="14">
                  <c:v>0.105821277059257</c:v>
                </c:pt>
                <c:pt idx="15">
                  <c:v>0.106915699108627</c:v>
                </c:pt>
                <c:pt idx="16">
                  <c:v>0.108020072520254</c:v>
                </c:pt>
                <c:pt idx="17">
                  <c:v>0.109134459439344</c:v>
                </c:pt>
                <c:pt idx="18">
                  <c:v>0.110258921803682</c:v>
                </c:pt>
                <c:pt idx="19">
                  <c:v>0.111393521328371</c:v>
                </c:pt>
                <c:pt idx="20">
                  <c:v>0.112999108096352</c:v>
                </c:pt>
                <c:pt idx="21">
                  <c:v>0.113693377512428</c:v>
                </c:pt>
                <c:pt idx="22">
                  <c:v>0.114858756347645</c:v>
                </c:pt>
                <c:pt idx="23">
                  <c:v>0.116034516662611</c:v>
                </c:pt>
                <c:pt idx="24">
                  <c:v>0.117220718821166</c:v>
                </c:pt>
                <c:pt idx="25">
                  <c:v>0.118417422867561</c:v>
                </c:pt>
                <c:pt idx="26">
                  <c:v>0.119624688509428</c:v>
                </c:pt>
                <c:pt idx="27">
                  <c:v>0.120842575100495</c:v>
                </c:pt>
                <c:pt idx="28">
                  <c:v>0.122071141623058</c:v>
                </c:pt>
                <c:pt idx="29">
                  <c:v>0.123310446670199</c:v>
                </c:pt>
                <c:pt idx="30">
                  <c:v>0.124560548427768</c:v>
                </c:pt>
                <c:pt idx="31">
                  <c:v>0.125821504656108</c:v>
                </c:pt>
                <c:pt idx="32">
                  <c:v>0.127093372671548</c:v>
                </c:pt>
                <c:pt idx="33">
                  <c:v>0.128376209327648</c:v>
                </c:pt>
                <c:pt idx="34">
                  <c:v>0.129670070996211</c:v>
                </c:pt>
                <c:pt idx="35">
                  <c:v>0.130975013548056</c:v>
                </c:pt>
                <c:pt idx="36">
                  <c:v>0.132291092333555</c:v>
                </c:pt>
                <c:pt idx="37">
                  <c:v>0.133618362162946</c:v>
                </c:pt>
                <c:pt idx="38">
                  <c:v>0.13495687728641</c:v>
                </c:pt>
                <c:pt idx="39">
                  <c:v>0.136306691373927</c:v>
                </c:pt>
                <c:pt idx="40">
                  <c:v>0.137667857494914</c:v>
                </c:pt>
                <c:pt idx="41">
                  <c:v>0.139040428097637</c:v>
                </c:pt>
                <c:pt idx="42">
                  <c:v>0.140424454988412</c:v>
                </c:pt>
                <c:pt idx="43">
                  <c:v>0.141819989310604</c:v>
                </c:pt>
                <c:pt idx="44">
                  <c:v>0.143227081523404</c:v>
                </c:pt>
                <c:pt idx="45">
                  <c:v>0.144645781380418</c:v>
                </c:pt>
                <c:pt idx="46">
                  <c:v>0.146076137908053</c:v>
                </c:pt>
                <c:pt idx="47">
                  <c:v>0.147518199383712</c:v>
                </c:pt>
                <c:pt idx="48">
                  <c:v>0.148972013313803</c:v>
                </c:pt>
                <c:pt idx="49">
                  <c:v>0.150437626411563</c:v>
                </c:pt>
                <c:pt idx="50">
                  <c:v>0.151915084574711</c:v>
                </c:pt>
                <c:pt idx="51">
                  <c:v>0.15340443286293</c:v>
                </c:pt>
                <c:pt idx="52">
                  <c:v>0.154905715475181</c:v>
                </c:pt>
                <c:pt idx="53">
                  <c:v>0.15641897572686</c:v>
                </c:pt>
                <c:pt idx="54">
                  <c:v>0.157944256026812</c:v>
                </c:pt>
                <c:pt idx="55">
                  <c:v>0.159481597854192</c:v>
                </c:pt>
                <c:pt idx="56">
                  <c:v>0.161031041735189</c:v>
                </c:pt>
                <c:pt idx="57">
                  <c:v>0.162592627219628</c:v>
                </c:pt>
                <c:pt idx="58">
                  <c:v>0.164166392857441</c:v>
                </c:pt>
                <c:pt idx="59">
                  <c:v>0.165752376175031</c:v>
                </c:pt>
                <c:pt idx="60">
                  <c:v>0.167350613651526</c:v>
                </c:pt>
                <c:pt idx="61">
                  <c:v>0.168961140694935</c:v>
                </c:pt>
                <c:pt idx="62">
                  <c:v>0.170583991618219</c:v>
                </c:pt>
                <c:pt idx="63">
                  <c:v>0.172219199615278</c:v>
                </c:pt>
                <c:pt idx="64">
                  <c:v>0.173866796736868</c:v>
                </c:pt>
                <c:pt idx="65">
                  <c:v>0.175526813866459</c:v>
                </c:pt>
                <c:pt idx="66">
                  <c:v>0.177199280696039</c:v>
                </c:pt>
                <c:pt idx="67">
                  <c:v>0.178884225701879</c:v>
                </c:pt>
                <c:pt idx="68">
                  <c:v>0.18058167612026</c:v>
                </c:pt>
                <c:pt idx="69">
                  <c:v>0.18229165792319</c:v>
                </c:pt>
                <c:pt idx="70">
                  <c:v>0.184014195794103</c:v>
                </c:pt>
                <c:pt idx="71">
                  <c:v>0.185749313103558</c:v>
                </c:pt>
                <c:pt idx="72">
                  <c:v>0.187497031884959</c:v>
                </c:pt>
                <c:pt idx="73">
                  <c:v>0.189257372810287</c:v>
                </c:pt>
                <c:pt idx="74">
                  <c:v>0.191030355165878</c:v>
                </c:pt>
                <c:pt idx="75">
                  <c:v>0.192815996828242</c:v>
                </c:pt>
                <c:pt idx="76">
                  <c:v>0.194614314239947</c:v>
                </c:pt>
                <c:pt idx="77">
                  <c:v>0.196425322385567</c:v>
                </c:pt>
                <c:pt idx="78">
                  <c:v>0.198249034767728</c:v>
                </c:pt>
                <c:pt idx="79">
                  <c:v>0.200085463383238</c:v>
                </c:pt>
                <c:pt idx="80">
                  <c:v>0.20193461869934</c:v>
                </c:pt>
                <c:pt idx="81">
                  <c:v>0.203796509630085</c:v>
                </c:pt>
                <c:pt idx="82">
                  <c:v>0.205671143512838</c:v>
                </c:pt>
                <c:pt idx="83">
                  <c:v>0.20755852608495</c:v>
                </c:pt>
                <c:pt idx="84">
                  <c:v>0.209458661460581</c:v>
                </c:pt>
                <c:pt idx="85">
                  <c:v>0.211371552107717</c:v>
                </c:pt>
                <c:pt idx="86">
                  <c:v>0.21329719882537</c:v>
                </c:pt>
                <c:pt idx="87">
                  <c:v>0.215235600721001</c:v>
                </c:pt>
                <c:pt idx="88">
                  <c:v>0.217186755188151</c:v>
                </c:pt>
                <c:pt idx="89">
                  <c:v>0.21915065788433</c:v>
                </c:pt>
                <c:pt idx="90">
                  <c:v>0.221127302709148</c:v>
                </c:pt>
                <c:pt idx="91">
                  <c:v>0.223116681782717</c:v>
                </c:pt>
                <c:pt idx="92">
                  <c:v>0.225118785424345</c:v>
                </c:pt>
                <c:pt idx="93">
                  <c:v>0.227133602131527</c:v>
                </c:pt>
                <c:pt idx="94">
                  <c:v>0.229161118559251</c:v>
                </c:pt>
                <c:pt idx="95">
                  <c:v>0.231201319499636</c:v>
                </c:pt>
                <c:pt idx="96">
                  <c:v>0.233254187861929</c:v>
                </c:pt>
                <c:pt idx="97">
                  <c:v>0.235319704652849</c:v>
                </c:pt>
                <c:pt idx="98">
                  <c:v>0.237397848957327</c:v>
                </c:pt>
                <c:pt idx="99">
                  <c:v>0.239488597919631</c:v>
                </c:pt>
                <c:pt idx="100">
                  <c:v>0.241591926724915</c:v>
                </c:pt>
                <c:pt idx="101">
                  <c:v>0.243707808581188</c:v>
                </c:pt>
                <c:pt idx="102">
                  <c:v>0.245836214701728</c:v>
                </c:pt>
                <c:pt idx="103">
                  <c:v>0.247977114287969</c:v>
                </c:pt>
                <c:pt idx="104">
                  <c:v>0.250130474512851</c:v>
                </c:pt>
                <c:pt idx="105">
                  <c:v>0.252296260504672</c:v>
                </c:pt>
                <c:pt idx="106">
                  <c:v>0.254474435331454</c:v>
                </c:pt>
                <c:pt idx="107">
                  <c:v>0.256664959985824</c:v>
                </c:pt>
                <c:pt idx="108">
                  <c:v>0.258867793370448</c:v>
                </c:pt>
                <c:pt idx="109">
                  <c:v>0.261082892284021</c:v>
                </c:pt>
                <c:pt idx="110">
                  <c:v>0.263310211407829</c:v>
                </c:pt>
                <c:pt idx="111">
                  <c:v>0.265549703292901</c:v>
                </c:pt>
                <c:pt idx="112">
                  <c:v>0.267801318347777</c:v>
                </c:pt>
                <c:pt idx="113">
                  <c:v>0.270065004826881</c:v>
                </c:pt>
                <c:pt idx="114">
                  <c:v>0.272340708819548</c:v>
                </c:pt>
                <c:pt idx="115">
                  <c:v>0.274628374239693</c:v>
                </c:pt>
                <c:pt idx="116">
                  <c:v>0.276927942816152</c:v>
                </c:pt>
                <c:pt idx="117">
                  <c:v>0.279239354083704</c:v>
                </c:pt>
                <c:pt idx="118">
                  <c:v>0.281562545374794</c:v>
                </c:pt>
                <c:pt idx="119">
                  <c:v>0.28389745181196</c:v>
                </c:pt>
                <c:pt idx="120">
                  <c:v>0.286244006300994</c:v>
                </c:pt>
                <c:pt idx="121">
                  <c:v>0.288602139524841</c:v>
                </c:pt>
                <c:pt idx="122">
                  <c:v>0.290971779938244</c:v>
                </c:pt>
                <c:pt idx="123">
                  <c:v>0.29335285376317</c:v>
                </c:pt>
                <c:pt idx="124">
                  <c:v>0.295745284984999</c:v>
                </c:pt>
                <c:pt idx="125">
                  <c:v>0.298148995349523</c:v>
                </c:pt>
                <c:pt idx="126">
                  <c:v>0.300563904360731</c:v>
                </c:pt>
                <c:pt idx="127">
                  <c:v>0.30298992927943</c:v>
                </c:pt>
                <c:pt idx="128">
                  <c:v>0.305426985122676</c:v>
                </c:pt>
                <c:pt idx="129">
                  <c:v>0.307874984664059</c:v>
                </c:pt>
                <c:pt idx="130">
                  <c:v>0.310333838434826</c:v>
                </c:pt>
                <c:pt idx="131">
                  <c:v>0.312803454725877</c:v>
                </c:pt>
                <c:pt idx="132">
                  <c:v>0.315283739590614</c:v>
                </c:pt>
                <c:pt idx="133">
                  <c:v>0.31777459684869</c:v>
                </c:pt>
                <c:pt idx="134">
                  <c:v>0.320275928090624</c:v>
                </c:pt>
                <c:pt idx="135">
                  <c:v>0.322787632683332</c:v>
                </c:pt>
                <c:pt idx="136">
                  <c:v>0.325309607776547</c:v>
                </c:pt>
                <c:pt idx="137">
                  <c:v>0.32784174831016</c:v>
                </c:pt>
                <c:pt idx="138">
                  <c:v>0.330383947022475</c:v>
                </c:pt>
                <c:pt idx="139">
                  <c:v>0.332936094459388</c:v>
                </c:pt>
                <c:pt idx="140">
                  <c:v>0.335498078984496</c:v>
                </c:pt>
                <c:pt idx="141">
                  <c:v>0.33806978679014</c:v>
                </c:pt>
                <c:pt idx="142">
                  <c:v>0.340651101909389</c:v>
                </c:pt>
                <c:pt idx="143">
                  <c:v>0.343241906228965</c:v>
                </c:pt>
                <c:pt idx="144">
                  <c:v>0.345842079503109</c:v>
                </c:pt>
                <c:pt idx="145">
                  <c:v>0.348451499368407</c:v>
                </c:pt>
                <c:pt idx="146">
                  <c:v>0.35107004135955</c:v>
                </c:pt>
                <c:pt idx="147">
                  <c:v>0.353697578926057</c:v>
                </c:pt>
                <c:pt idx="148">
                  <c:v>0.356333983449945</c:v>
                </c:pt>
                <c:pt idx="149">
                  <c:v>0.358979124264347</c:v>
                </c:pt>
                <c:pt idx="150">
                  <c:v>0.361632868673082</c:v>
                </c:pt>
                <c:pt idx="151">
                  <c:v>0.36429508197118</c:v>
                </c:pt>
                <c:pt idx="152">
                  <c:v>0.366965627466337</c:v>
                </c:pt>
                <c:pt idx="153">
                  <c:v>0.369644366501326</c:v>
                </c:pt>
                <c:pt idx="154">
                  <c:v>0.372331158477347</c:v>
                </c:pt>
                <c:pt idx="155">
                  <c:v>0.375025860878298</c:v>
                </c:pt>
                <c:pt idx="156">
                  <c:v>0.37772832929599</c:v>
                </c:pt>
                <c:pt idx="157">
                  <c:v>0.380438417456278</c:v>
                </c:pt>
                <c:pt idx="158">
                  <c:v>0.383155977246105</c:v>
                </c:pt>
                <c:pt idx="159">
                  <c:v>0.385880858741461</c:v>
                </c:pt>
                <c:pt idx="160">
                  <c:v>0.388612910236242</c:v>
                </c:pt>
                <c:pt idx="161">
                  <c:v>0.391351978271993</c:v>
                </c:pt>
                <c:pt idx="162">
                  <c:v>0.394097907668539</c:v>
                </c:pt>
                <c:pt idx="163">
                  <c:v>0.396850541555488</c:v>
                </c:pt>
                <c:pt idx="164">
                  <c:v>0.39960972140459</c:v>
                </c:pt>
                <c:pt idx="165">
                  <c:v>0.402375287062946</c:v>
                </c:pt>
                <c:pt idx="166">
                  <c:v>0.405147076787055</c:v>
                </c:pt>
                <c:pt idx="167">
                  <c:v>0.407924927277674</c:v>
                </c:pt>
                <c:pt idx="168">
                  <c:v>0.410708673715501</c:v>
                </c:pt>
                <c:pt idx="169">
                  <c:v>0.413498149797637</c:v>
                </c:pt>
                <c:pt idx="170">
                  <c:v>0.416293187774832</c:v>
                </c:pt>
                <c:pt idx="171">
                  <c:v>0.419093618489495</c:v>
                </c:pt>
                <c:pt idx="172">
                  <c:v>0.421899271414447</c:v>
                </c:pt>
                <c:pt idx="173">
                  <c:v>0.424709974692396</c:v>
                </c:pt>
                <c:pt idx="174">
                  <c:v>0.427525555176128</c:v>
                </c:pt>
                <c:pt idx="175">
                  <c:v>0.430345838469391</c:v>
                </c:pt>
                <c:pt idx="176">
                  <c:v>0.433170648968439</c:v>
                </c:pt>
                <c:pt idx="177">
                  <c:v>0.435999809904235</c:v>
                </c:pt>
                <c:pt idx="178">
                  <c:v>0.438833143385288</c:v>
                </c:pt>
                <c:pt idx="179">
                  <c:v>0.441670470441088</c:v>
                </c:pt>
                <c:pt idx="180">
                  <c:v>0.444511611066138</c:v>
                </c:pt>
                <c:pt idx="181">
                  <c:v>0.447356384264549</c:v>
                </c:pt>
                <c:pt idx="182">
                  <c:v>0.450204608095176</c:v>
                </c:pt>
                <c:pt idx="183">
                  <c:v>0.453056099717272</c:v>
                </c:pt>
                <c:pt idx="184">
                  <c:v>0.455910675436642</c:v>
                </c:pt>
                <c:pt idx="185">
                  <c:v>0.458768150752265</c:v>
                </c:pt>
                <c:pt idx="186">
                  <c:v>0.461628340403358</c:v>
                </c:pt>
                <c:pt idx="187">
                  <c:v>0.464491058416874</c:v>
                </c:pt>
                <c:pt idx="188">
                  <c:v>0.467356118155381</c:v>
                </c:pt>
                <c:pt idx="189">
                  <c:v>0.47022333236532</c:v>
                </c:pt>
                <c:pt idx="190">
                  <c:v>0.473092513225602</c:v>
                </c:pt>
                <c:pt idx="191">
                  <c:v>0.475963472396527</c:v>
                </c:pt>
                <c:pt idx="192">
                  <c:v>0.478836021068988</c:v>
                </c:pt>
                <c:pt idx="193">
                  <c:v>0.481709970013938</c:v>
                </c:pt>
                <c:pt idx="194">
                  <c:v>0.484585129632098</c:v>
                </c:pt>
                <c:pt idx="195">
                  <c:v>0.487461310003865</c:v>
                </c:pt>
                <c:pt idx="196">
                  <c:v>0.490338320939409</c:v>
                </c:pt>
                <c:pt idx="197">
                  <c:v>0.493215972028909</c:v>
                </c:pt>
                <c:pt idx="198">
                  <c:v>0.496094072692929</c:v>
                </c:pt>
                <c:pt idx="199">
                  <c:v>0.498972432232878</c:v>
                </c:pt>
                <c:pt idx="200">
                  <c:v>0.501850859881536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978576"/>
        <c:axId val="-1428976256"/>
      </c:scatterChart>
      <c:valAx>
        <c:axId val="-142897857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976256"/>
        <c:crosses val="autoZero"/>
        <c:crossBetween val="midCat"/>
      </c:valAx>
      <c:valAx>
        <c:axId val="-1428976256"/>
        <c:scaling>
          <c:orientation val="minMax"/>
          <c:max val="1.0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97857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1162536756249"/>
          <c:y val="0.233528974428118"/>
          <c:w val="0.117297531590888"/>
          <c:h val="0.20353329673160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6.  Compensation</a:t>
            </a:r>
            <a:r>
              <a:rPr lang="en-US" baseline="0"/>
              <a:t> Ratios: Model vs. CPS Industries/States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9478155956429"/>
          <c:y val="0.177089799230707"/>
          <c:w val="0.861435292835176"/>
          <c:h val="0.751195820019945"/>
        </c:manualLayout>
      </c:layout>
      <c:scatterChart>
        <c:scatterStyle val="lineMarker"/>
        <c:varyColors val="0"/>
        <c:ser>
          <c:idx val="4"/>
          <c:order val="0"/>
          <c:tx>
            <c:strRef>
              <c:f>chartcomponents!$A$12</c:f>
              <c:strCache>
                <c:ptCount val="1"/>
                <c:pt idx="0">
                  <c:v>no-ACA log critical ratio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chartcomponents!$B$12:$B$13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chartcomponents!$C$12:$C$13</c:f>
              <c:numCache>
                <c:formatCode>0.00</c:formatCode>
                <c:ptCount val="2"/>
                <c:pt idx="0">
                  <c:v>-0.965940134081817</c:v>
                </c:pt>
                <c:pt idx="1">
                  <c:v>-0.965940134081817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chartcomponents!$A$6</c:f>
              <c:strCache>
                <c:ptCount val="1"/>
                <c:pt idx="0">
                  <c:v>ACA log critical ratio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chartcomponents!$B$6:$B$7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chartcomponents!$C$6:$C$7</c:f>
              <c:numCache>
                <c:formatCode>0.00</c:formatCode>
                <c:ptCount val="2"/>
                <c:pt idx="0">
                  <c:v>-1.13011291612841</c:v>
                </c:pt>
                <c:pt idx="1">
                  <c:v>-1.13011291612841</c:v>
                </c:pt>
              </c:numCache>
            </c:numRef>
          </c:yVal>
          <c:smooth val="0"/>
        </c:ser>
        <c:ser>
          <c:idx val="0"/>
          <c:order val="2"/>
          <c:tx>
            <c:v>model distribution w/o ACA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Sectors!$W$17:$W$217</c:f>
              <c:numCache>
                <c:formatCode>#,##0.00</c:formatCode>
                <c:ptCount val="201"/>
                <c:pt idx="0">
                  <c:v>0.0116526788261996</c:v>
                </c:pt>
                <c:pt idx="1">
                  <c:v>0.0231754232372907</c:v>
                </c:pt>
                <c:pt idx="2">
                  <c:v>0.0345698890808175</c:v>
                </c:pt>
                <c:pt idx="3">
                  <c:v>0.0458377113813324</c:v>
                </c:pt>
                <c:pt idx="4">
                  <c:v>0.056980504588615</c:v>
                </c:pt>
                <c:pt idx="5">
                  <c:v>0.0679998628226589</c:v>
                </c:pt>
                <c:pt idx="6">
                  <c:v>0.0788973601154644</c:v>
                </c:pt>
                <c:pt idx="7">
                  <c:v>0.0896745506496773</c:v>
                </c:pt>
                <c:pt idx="8">
                  <c:v>0.100332968994113</c:v>
                </c:pt>
                <c:pt idx="9">
                  <c:v>0.110874130336206</c:v>
                </c:pt>
                <c:pt idx="10">
                  <c:v>0.121299530711414</c:v>
                </c:pt>
                <c:pt idx="11">
                  <c:v>0.131610647229634</c:v>
                </c:pt>
                <c:pt idx="12">
                  <c:v>0.141808938298642</c:v>
                </c:pt>
                <c:pt idx="13">
                  <c:v>0.151895843844617</c:v>
                </c:pt>
                <c:pt idx="14">
                  <c:v>0.161872785529767</c:v>
                </c:pt>
                <c:pt idx="15">
                  <c:v>0.171741166967113</c:v>
                </c:pt>
                <c:pt idx="16">
                  <c:v>0.181502373932447</c:v>
                </c:pt>
                <c:pt idx="17">
                  <c:v>0.191157774573509</c:v>
                </c:pt>
                <c:pt idx="18">
                  <c:v>0.200708719616429</c:v>
                </c:pt>
                <c:pt idx="19">
                  <c:v>0.210156542569443</c:v>
                </c:pt>
                <c:pt idx="20">
                  <c:v>0.2194622025282</c:v>
                </c:pt>
                <c:pt idx="21">
                  <c:v>0.228707713957158</c:v>
                </c:pt>
                <c:pt idx="22">
                  <c:v>0.237854002510898</c:v>
                </c:pt>
                <c:pt idx="23">
                  <c:v>0.246902334810341</c:v>
                </c:pt>
                <c:pt idx="24">
                  <c:v>0.255853961237693</c:v>
                </c:pt>
                <c:pt idx="25">
                  <c:v>0.264710116124623</c:v>
                </c:pt>
                <c:pt idx="26">
                  <c:v>0.273472017937977</c:v>
                </c:pt>
                <c:pt idx="27">
                  <c:v>0.282140869463048</c:v>
                </c:pt>
                <c:pt idx="28">
                  <c:v>0.29071785798444</c:v>
                </c:pt>
                <c:pt idx="29">
                  <c:v>0.299204155464556</c:v>
                </c:pt>
                <c:pt idx="30">
                  <c:v>0.30760091871975</c:v>
                </c:pt>
                <c:pt idx="31">
                  <c:v>0.315909289594161</c:v>
                </c:pt>
                <c:pt idx="32">
                  <c:v>0.324130395131274</c:v>
                </c:pt>
                <c:pt idx="33">
                  <c:v>0.332265347743236</c:v>
                </c:pt>
                <c:pt idx="34">
                  <c:v>0.340315245377954</c:v>
                </c:pt>
                <c:pt idx="35">
                  <c:v>0.348281171684008</c:v>
                </c:pt>
                <c:pt idx="36">
                  <c:v>0.356164196173416</c:v>
                </c:pt>
                <c:pt idx="37">
                  <c:v>0.363965374382279</c:v>
                </c:pt>
                <c:pt idx="38">
                  <c:v>0.371685748029324</c:v>
                </c:pt>
                <c:pt idx="39">
                  <c:v>0.379326345172404</c:v>
                </c:pt>
                <c:pt idx="40">
                  <c:v>0.386888180362956</c:v>
                </c:pt>
                <c:pt idx="41">
                  <c:v>0.394372254798461</c:v>
                </c:pt>
                <c:pt idx="42">
                  <c:v>0.401779556472944</c:v>
                </c:pt>
                <c:pt idx="43">
                  <c:v>0.409111060325524</c:v>
                </c:pt>
                <c:pt idx="44">
                  <c:v>0.416367728387066</c:v>
                </c:pt>
                <c:pt idx="45">
                  <c:v>0.423550509924942</c:v>
                </c:pt>
                <c:pt idx="46">
                  <c:v>0.430660341585954</c:v>
                </c:pt>
                <c:pt idx="47">
                  <c:v>0.437698147537433</c:v>
                </c:pt>
                <c:pt idx="48">
                  <c:v>0.444664839606546</c:v>
                </c:pt>
                <c:pt idx="49">
                  <c:v>0.451561317417845</c:v>
                </c:pt>
                <c:pt idx="50">
                  <c:v>0.458388468529083</c:v>
                </c:pt>
                <c:pt idx="51">
                  <c:v>0.46514716856533</c:v>
                </c:pt>
                <c:pt idx="52">
                  <c:v>0.471838281351413</c:v>
                </c:pt>
                <c:pt idx="53">
                  <c:v>0.478462659042715</c:v>
                </c:pt>
                <c:pt idx="54">
                  <c:v>0.485021142254358</c:v>
                </c:pt>
                <c:pt idx="55">
                  <c:v>0.491514560188795</c:v>
                </c:pt>
                <c:pt idx="56">
                  <c:v>0.497943730761855</c:v>
                </c:pt>
                <c:pt idx="57">
                  <c:v>0.504309460727248</c:v>
                </c:pt>
                <c:pt idx="58">
                  <c:v>0.510612545799575</c:v>
                </c:pt>
                <c:pt idx="59">
                  <c:v>0.516853770775868</c:v>
                </c:pt>
                <c:pt idx="60">
                  <c:v>0.523033909655681</c:v>
                </c:pt>
                <c:pt idx="61">
                  <c:v>0.529153725759774</c:v>
                </c:pt>
                <c:pt idx="62">
                  <c:v>0.5352139718474</c:v>
                </c:pt>
                <c:pt idx="63">
                  <c:v>0.541215390232242</c:v>
                </c:pt>
                <c:pt idx="64">
                  <c:v>0.547158712897015</c:v>
                </c:pt>
                <c:pt idx="65">
                  <c:v>0.553044661606768</c:v>
                </c:pt>
                <c:pt idx="66">
                  <c:v>0.558873948020909</c:v>
                </c:pt>
                <c:pt idx="67">
                  <c:v>0.564647273803981</c:v>
                </c:pt>
                <c:pt idx="68">
                  <c:v>0.570365330735226</c:v>
                </c:pt>
                <c:pt idx="69">
                  <c:v>0.576028800816948</c:v>
                </c:pt>
                <c:pt idx="70">
                  <c:v>0.581638356381721</c:v>
                </c:pt>
                <c:pt idx="71">
                  <c:v>0.58719466019845</c:v>
                </c:pt>
                <c:pt idx="72">
                  <c:v>0.592698365577332</c:v>
                </c:pt>
                <c:pt idx="73">
                  <c:v>0.598150116473725</c:v>
                </c:pt>
                <c:pt idx="74">
                  <c:v>0.603550547590972</c:v>
                </c:pt>
                <c:pt idx="75">
                  <c:v>0.608900284482182</c:v>
                </c:pt>
                <c:pt idx="76">
                  <c:v>0.614199943651023</c:v>
                </c:pt>
                <c:pt idx="77">
                  <c:v>0.619450132651525</c:v>
                </c:pt>
                <c:pt idx="78">
                  <c:v>0.624651450186948</c:v>
                </c:pt>
                <c:pt idx="79">
                  <c:v>0.629804486207713</c:v>
                </c:pt>
                <c:pt idx="80">
                  <c:v>0.634909822008445</c:v>
                </c:pt>
                <c:pt idx="81">
                  <c:v>0.639968030324134</c:v>
                </c:pt>
                <c:pt idx="82">
                  <c:v>0.644979675425461</c:v>
                </c:pt>
                <c:pt idx="83">
                  <c:v>0.649945313213293</c:v>
                </c:pt>
                <c:pt idx="84">
                  <c:v>0.654865491312385</c:v>
                </c:pt>
                <c:pt idx="85">
                  <c:v>0.659740749164311</c:v>
                </c:pt>
                <c:pt idx="86">
                  <c:v>0.664571618119648</c:v>
                </c:pt>
                <c:pt idx="87">
                  <c:v>0.669358621529432</c:v>
                </c:pt>
                <c:pt idx="88">
                  <c:v>0.674102274835919</c:v>
                </c:pt>
                <c:pt idx="89">
                  <c:v>0.678803085662669</c:v>
                </c:pt>
                <c:pt idx="90">
                  <c:v>0.683461553903978</c:v>
                </c:pt>
                <c:pt idx="91">
                  <c:v>0.688078171813675</c:v>
                </c:pt>
                <c:pt idx="92">
                  <c:v>0.692653424093321</c:v>
                </c:pt>
                <c:pt idx="93">
                  <c:v>0.697187787979809</c:v>
                </c:pt>
                <c:pt idx="94">
                  <c:v>0.701681733332411</c:v>
                </c:pt>
                <c:pt idx="95">
                  <c:v>0.706135722719281</c:v>
                </c:pt>
                <c:pt idx="96">
                  <c:v>0.710550211503426</c:v>
                </c:pt>
                <c:pt idx="97">
                  <c:v>0.714925647928188</c:v>
                </c:pt>
                <c:pt idx="98">
                  <c:v>0.719262473202234</c:v>
                </c:pt>
                <c:pt idx="99">
                  <c:v>0.723561121584089</c:v>
                </c:pt>
                <c:pt idx="100">
                  <c:v>0.727822020466222</c:v>
                </c:pt>
                <c:pt idx="101">
                  <c:v>0.732045590458705</c:v>
                </c:pt>
                <c:pt idx="102">
                  <c:v>0.736232245472468</c:v>
                </c:pt>
                <c:pt idx="103">
                  <c:v>0.740382392802155</c:v>
                </c:pt>
                <c:pt idx="104">
                  <c:v>0.744496433208614</c:v>
                </c:pt>
                <c:pt idx="105">
                  <c:v>0.748574761001022</c:v>
                </c:pt>
                <c:pt idx="106">
                  <c:v>0.752617764118665</c:v>
                </c:pt>
                <c:pt idx="107">
                  <c:v>0.756625824212394</c:v>
                </c:pt>
                <c:pt idx="108">
                  <c:v>0.760599316725762</c:v>
                </c:pt>
                <c:pt idx="109">
                  <c:v>0.764538610975852</c:v>
                </c:pt>
                <c:pt idx="110">
                  <c:v>0.768444070233833</c:v>
                </c:pt>
                <c:pt idx="111">
                  <c:v>0.772316051805212</c:v>
                </c:pt>
                <c:pt idx="112">
                  <c:v>0.776154907109844</c:v>
                </c:pt>
                <c:pt idx="113">
                  <c:v>0.779960981761663</c:v>
                </c:pt>
                <c:pt idx="114">
                  <c:v>0.783734615648181</c:v>
                </c:pt>
                <c:pt idx="115">
                  <c:v>0.787476143009737</c:v>
                </c:pt>
                <c:pt idx="116">
                  <c:v>0.790986261656983</c:v>
                </c:pt>
                <c:pt idx="117">
                  <c:v>0.794465901648288</c:v>
                </c:pt>
                <c:pt idx="118">
                  <c:v>0.797915378045953</c:v>
                </c:pt>
                <c:pt idx="119">
                  <c:v>0.801335000750672</c:v>
                </c:pt>
                <c:pt idx="120">
                  <c:v>0.804725074575448</c:v>
                </c:pt>
                <c:pt idx="121">
                  <c:v>0.808085899319275</c:v>
                </c:pt>
                <c:pt idx="122">
                  <c:v>0.81141776984059</c:v>
                </c:pt>
                <c:pt idx="123">
                  <c:v>0.81472097613049</c:v>
                </c:pt>
                <c:pt idx="124">
                  <c:v>0.817995803385728</c:v>
                </c:pt>
                <c:pt idx="125">
                  <c:v>0.821242532081479</c:v>
                </c:pt>
                <c:pt idx="126">
                  <c:v>0.824461438043879</c:v>
                </c:pt>
                <c:pt idx="127">
                  <c:v>0.827652792522346</c:v>
                </c:pt>
                <c:pt idx="128">
                  <c:v>0.830816862261671</c:v>
                </c:pt>
                <c:pt idx="129">
                  <c:v>0.83395390957388</c:v>
                </c:pt>
                <c:pt idx="130">
                  <c:v>0.837064192409868</c:v>
                </c:pt>
                <c:pt idx="131">
                  <c:v>0.840147964430804</c:v>
                </c:pt>
                <c:pt idx="132">
                  <c:v>0.843205475079294</c:v>
                </c:pt>
                <c:pt idx="133">
                  <c:v>0.846236969650299</c:v>
                </c:pt>
                <c:pt idx="134">
                  <c:v>0.849242689361821</c:v>
                </c:pt>
                <c:pt idx="135">
                  <c:v>0.852222871425317</c:v>
                </c:pt>
                <c:pt idx="136">
                  <c:v>0.855177749115864</c:v>
                </c:pt>
                <c:pt idx="137">
                  <c:v>0.858107551842054</c:v>
                </c:pt>
                <c:pt idx="138">
                  <c:v>0.861012505215612</c:v>
                </c:pt>
                <c:pt idx="139">
                  <c:v>0.863892831120726</c:v>
                </c:pt>
                <c:pt idx="140">
                  <c:v>0.866748747783083</c:v>
                </c:pt>
                <c:pt idx="141">
                  <c:v>0.8695804698386</c:v>
                </c:pt>
                <c:pt idx="142">
                  <c:v>0.872388208401838</c:v>
                </c:pt>
                <c:pt idx="143">
                  <c:v>0.875172171134083</c:v>
                </c:pt>
                <c:pt idx="144">
                  <c:v>0.877932562311088</c:v>
                </c:pt>
                <c:pt idx="145">
                  <c:v>0.880669582890463</c:v>
                </c:pt>
                <c:pt idx="146">
                  <c:v>0.88338343057869</c:v>
                </c:pt>
                <c:pt idx="147">
                  <c:v>0.886074299897766</c:v>
                </c:pt>
                <c:pt idx="148">
                  <c:v>0.888742382251439</c:v>
                </c:pt>
                <c:pt idx="149">
                  <c:v>0.891387865991038</c:v>
                </c:pt>
                <c:pt idx="150">
                  <c:v>0.894010936480876</c:v>
                </c:pt>
                <c:pt idx="151">
                  <c:v>0.896611776163206</c:v>
                </c:pt>
                <c:pt idx="152">
                  <c:v>0.899190564622725</c:v>
                </c:pt>
                <c:pt idx="153">
                  <c:v>0.901747478650595</c:v>
                </c:pt>
                <c:pt idx="154">
                  <c:v>0.904282692307976</c:v>
                </c:pt>
                <c:pt idx="155">
                  <c:v>0.906796376989047</c:v>
                </c:pt>
                <c:pt idx="156">
                  <c:v>0.909288701483502</c:v>
                </c:pt>
                <c:pt idx="157">
                  <c:v>0.911759832038502</c:v>
                </c:pt>
                <c:pt idx="158">
                  <c:v>0.914209932420064</c:v>
                </c:pt>
                <c:pt idx="159">
                  <c:v>0.916639163973869</c:v>
                </c:pt>
                <c:pt idx="160">
                  <c:v>0.919047685685478</c:v>
                </c:pt>
                <c:pt idx="161">
                  <c:v>0.921435654239926</c:v>
                </c:pt>
                <c:pt idx="162">
                  <c:v>0.92380322408069</c:v>
                </c:pt>
                <c:pt idx="163">
                  <c:v>0.926150547468</c:v>
                </c:pt>
                <c:pt idx="164">
                  <c:v>0.928477774536488</c:v>
                </c:pt>
                <c:pt idx="165">
                  <c:v>0.93078505335215</c:v>
                </c:pt>
                <c:pt idx="166">
                  <c:v>0.933072529968597</c:v>
                </c:pt>
                <c:pt idx="167">
                  <c:v>0.935340348482605</c:v>
                </c:pt>
                <c:pt idx="168">
                  <c:v>0.937588651088905</c:v>
                </c:pt>
                <c:pt idx="169">
                  <c:v>0.939817578134242</c:v>
                </c:pt>
                <c:pt idx="170">
                  <c:v>0.942027268170647</c:v>
                </c:pt>
                <c:pt idx="171">
                  <c:v>0.944217858007939</c:v>
                </c:pt>
                <c:pt idx="172">
                  <c:v>0.946389482765415</c:v>
                </c:pt>
                <c:pt idx="173">
                  <c:v>0.948542275922733</c:v>
                </c:pt>
                <c:pt idx="174">
                  <c:v>0.95067636936996</c:v>
                </c:pt>
                <c:pt idx="175">
                  <c:v>0.952791893456783</c:v>
                </c:pt>
                <c:pt idx="176">
                  <c:v>0.954888977040857</c:v>
                </c:pt>
                <c:pt idx="177">
                  <c:v>0.956967747535288</c:v>
                </c:pt>
                <c:pt idx="178">
                  <c:v>0.959028330955232</c:v>
                </c:pt>
                <c:pt idx="179">
                  <c:v>0.961070851963603</c:v>
                </c:pt>
                <c:pt idx="180">
                  <c:v>0.963095433915877</c:v>
                </c:pt>
                <c:pt idx="181">
                  <c:v>0.965102198903979</c:v>
                </c:pt>
                <c:pt idx="182">
                  <c:v>0.96709126779925</c:v>
                </c:pt>
                <c:pt idx="183">
                  <c:v>0.969062760294486</c:v>
                </c:pt>
                <c:pt idx="184">
                  <c:v>0.971016794945022</c:v>
                </c:pt>
                <c:pt idx="185">
                  <c:v>0.972953489208888</c:v>
                </c:pt>
                <c:pt idx="186">
                  <c:v>0.974872959485998</c:v>
                </c:pt>
                <c:pt idx="187">
                  <c:v>0.976775321156385</c:v>
                </c:pt>
                <c:pt idx="188">
                  <c:v>0.978660688617472</c:v>
                </c:pt>
                <c:pt idx="189">
                  <c:v>0.980529175320373</c:v>
                </c:pt>
                <c:pt idx="190">
                  <c:v>0.982380893805223</c:v>
                </c:pt>
                <c:pt idx="191">
                  <c:v>0.98421595573554</c:v>
                </c:pt>
                <c:pt idx="192">
                  <c:v>0.986034471931605</c:v>
                </c:pt>
                <c:pt idx="193">
                  <c:v>0.987836552402871</c:v>
                </c:pt>
                <c:pt idx="194">
                  <c:v>0.989622306379395</c:v>
                </c:pt>
                <c:pt idx="195">
                  <c:v>0.991391842342297</c:v>
                </c:pt>
                <c:pt idx="196">
                  <c:v>0.993145268053244</c:v>
                </c:pt>
                <c:pt idx="197">
                  <c:v>0.994882690582971</c:v>
                </c:pt>
                <c:pt idx="198">
                  <c:v>0.996604216338829</c:v>
                </c:pt>
                <c:pt idx="199">
                  <c:v>0.998309951091374</c:v>
                </c:pt>
                <c:pt idx="200">
                  <c:v>1.0</c:v>
                </c:pt>
              </c:numCache>
            </c:numRef>
          </c:xVal>
          <c:yVal>
            <c:numRef>
              <c:f>Sectors!$V$17:$V$217</c:f>
              <c:numCache>
                <c:formatCode>#,##0.00</c:formatCode>
                <c:ptCount val="201"/>
                <c:pt idx="0">
                  <c:v>-2.952062043131429</c:v>
                </c:pt>
                <c:pt idx="1">
                  <c:v>-2.934791417835344</c:v>
                </c:pt>
                <c:pt idx="2">
                  <c:v>-2.917520792539261</c:v>
                </c:pt>
                <c:pt idx="3">
                  <c:v>-2.900250167243177</c:v>
                </c:pt>
                <c:pt idx="4">
                  <c:v>-2.882979541947094</c:v>
                </c:pt>
                <c:pt idx="5">
                  <c:v>-2.86570891665101</c:v>
                </c:pt>
                <c:pt idx="6">
                  <c:v>-2.848438291354927</c:v>
                </c:pt>
                <c:pt idx="7">
                  <c:v>-2.831167666058842</c:v>
                </c:pt>
                <c:pt idx="8">
                  <c:v>-2.81389704076276</c:v>
                </c:pt>
                <c:pt idx="9">
                  <c:v>-2.796626415466675</c:v>
                </c:pt>
                <c:pt idx="10">
                  <c:v>-2.779355790170593</c:v>
                </c:pt>
                <c:pt idx="11">
                  <c:v>-2.762085164874509</c:v>
                </c:pt>
                <c:pt idx="12">
                  <c:v>-2.744814539578425</c:v>
                </c:pt>
                <c:pt idx="13">
                  <c:v>-2.727543914282342</c:v>
                </c:pt>
                <c:pt idx="14">
                  <c:v>-2.710273288986258</c:v>
                </c:pt>
                <c:pt idx="15">
                  <c:v>-2.693002663690175</c:v>
                </c:pt>
                <c:pt idx="16">
                  <c:v>-2.67573203839409</c:v>
                </c:pt>
                <c:pt idx="17">
                  <c:v>-2.658461413098007</c:v>
                </c:pt>
                <c:pt idx="18">
                  <c:v>-2.641190787801923</c:v>
                </c:pt>
                <c:pt idx="19">
                  <c:v>-2.623920162505841</c:v>
                </c:pt>
                <c:pt idx="20">
                  <c:v>-2.599741287091323</c:v>
                </c:pt>
                <c:pt idx="21">
                  <c:v>-2.589378911913673</c:v>
                </c:pt>
                <c:pt idx="22">
                  <c:v>-2.572108286617589</c:v>
                </c:pt>
                <c:pt idx="23">
                  <c:v>-2.554837661321506</c:v>
                </c:pt>
                <c:pt idx="24">
                  <c:v>-2.537567036025422</c:v>
                </c:pt>
                <c:pt idx="25">
                  <c:v>-2.52029641072934</c:v>
                </c:pt>
                <c:pt idx="26">
                  <c:v>-2.503025785433256</c:v>
                </c:pt>
                <c:pt idx="27">
                  <c:v>-2.485755160137172</c:v>
                </c:pt>
                <c:pt idx="28">
                  <c:v>-2.468484534841088</c:v>
                </c:pt>
                <c:pt idx="29">
                  <c:v>-2.451213909545005</c:v>
                </c:pt>
                <c:pt idx="30">
                  <c:v>-2.433943284248921</c:v>
                </c:pt>
                <c:pt idx="31">
                  <c:v>-2.416672658952838</c:v>
                </c:pt>
                <c:pt idx="32">
                  <c:v>-2.399402033656754</c:v>
                </c:pt>
                <c:pt idx="33">
                  <c:v>-2.38213140836067</c:v>
                </c:pt>
                <c:pt idx="34">
                  <c:v>-2.364860783064587</c:v>
                </c:pt>
                <c:pt idx="35">
                  <c:v>-2.347590157768503</c:v>
                </c:pt>
                <c:pt idx="36">
                  <c:v>-2.33031953247242</c:v>
                </c:pt>
                <c:pt idx="37">
                  <c:v>-2.313048907176336</c:v>
                </c:pt>
                <c:pt idx="38">
                  <c:v>-2.295778281880253</c:v>
                </c:pt>
                <c:pt idx="39">
                  <c:v>-2.278507656584169</c:v>
                </c:pt>
                <c:pt idx="40">
                  <c:v>-2.261237031288086</c:v>
                </c:pt>
                <c:pt idx="41">
                  <c:v>-2.243966405992001</c:v>
                </c:pt>
                <c:pt idx="42">
                  <c:v>-2.226695780695918</c:v>
                </c:pt>
                <c:pt idx="43">
                  <c:v>-2.209425155399835</c:v>
                </c:pt>
                <c:pt idx="44">
                  <c:v>-2.192154530103751</c:v>
                </c:pt>
                <c:pt idx="45">
                  <c:v>-2.174883904807668</c:v>
                </c:pt>
                <c:pt idx="46">
                  <c:v>-2.157613279511584</c:v>
                </c:pt>
                <c:pt idx="47">
                  <c:v>-2.1403426542155</c:v>
                </c:pt>
                <c:pt idx="48">
                  <c:v>-2.123072028919416</c:v>
                </c:pt>
                <c:pt idx="49">
                  <c:v>-2.105801403623333</c:v>
                </c:pt>
                <c:pt idx="50">
                  <c:v>-2.08853077832725</c:v>
                </c:pt>
                <c:pt idx="51">
                  <c:v>-2.071260153031166</c:v>
                </c:pt>
                <c:pt idx="52">
                  <c:v>-2.053989527735083</c:v>
                </c:pt>
                <c:pt idx="53">
                  <c:v>-2.036718902438999</c:v>
                </c:pt>
                <c:pt idx="54">
                  <c:v>-2.019448277142915</c:v>
                </c:pt>
                <c:pt idx="55">
                  <c:v>-2.002177651846832</c:v>
                </c:pt>
                <c:pt idx="56">
                  <c:v>-1.984907026550748</c:v>
                </c:pt>
                <c:pt idx="57">
                  <c:v>-1.967636401254664</c:v>
                </c:pt>
                <c:pt idx="58">
                  <c:v>-1.950365775958581</c:v>
                </c:pt>
                <c:pt idx="59">
                  <c:v>-1.933095150662498</c:v>
                </c:pt>
                <c:pt idx="60">
                  <c:v>-1.915824525366414</c:v>
                </c:pt>
                <c:pt idx="61">
                  <c:v>-1.89855390007033</c:v>
                </c:pt>
                <c:pt idx="62">
                  <c:v>-1.881283274774246</c:v>
                </c:pt>
                <c:pt idx="63">
                  <c:v>-1.864012649478163</c:v>
                </c:pt>
                <c:pt idx="64">
                  <c:v>-1.84674202418208</c:v>
                </c:pt>
                <c:pt idx="65">
                  <c:v>-1.829471398885996</c:v>
                </c:pt>
                <c:pt idx="66">
                  <c:v>-1.812200773589912</c:v>
                </c:pt>
                <c:pt idx="67">
                  <c:v>-1.79493014829383</c:v>
                </c:pt>
                <c:pt idx="68">
                  <c:v>-1.777659522997745</c:v>
                </c:pt>
                <c:pt idx="69">
                  <c:v>-1.760388897701662</c:v>
                </c:pt>
                <c:pt idx="70">
                  <c:v>-1.743118272405578</c:v>
                </c:pt>
                <c:pt idx="71">
                  <c:v>-1.725847647109494</c:v>
                </c:pt>
                <c:pt idx="72">
                  <c:v>-1.708577021813411</c:v>
                </c:pt>
                <c:pt idx="73">
                  <c:v>-1.691306396517327</c:v>
                </c:pt>
                <c:pt idx="74">
                  <c:v>-1.674035771221243</c:v>
                </c:pt>
                <c:pt idx="75">
                  <c:v>-1.65676514592516</c:v>
                </c:pt>
                <c:pt idx="76">
                  <c:v>-1.639494520629077</c:v>
                </c:pt>
                <c:pt idx="77">
                  <c:v>-1.622223895332993</c:v>
                </c:pt>
                <c:pt idx="78">
                  <c:v>-1.604953270036909</c:v>
                </c:pt>
                <c:pt idx="79">
                  <c:v>-1.587682644740826</c:v>
                </c:pt>
                <c:pt idx="80">
                  <c:v>-1.570412019444742</c:v>
                </c:pt>
                <c:pt idx="81">
                  <c:v>-1.553141394148659</c:v>
                </c:pt>
                <c:pt idx="82">
                  <c:v>-1.535870768852575</c:v>
                </c:pt>
                <c:pt idx="83">
                  <c:v>-1.518600143556491</c:v>
                </c:pt>
                <c:pt idx="84">
                  <c:v>-1.501329518260408</c:v>
                </c:pt>
                <c:pt idx="85">
                  <c:v>-1.484058892964324</c:v>
                </c:pt>
                <c:pt idx="86">
                  <c:v>-1.466788267668241</c:v>
                </c:pt>
                <c:pt idx="87">
                  <c:v>-1.449517642372157</c:v>
                </c:pt>
                <c:pt idx="88">
                  <c:v>-1.432247017076074</c:v>
                </c:pt>
                <c:pt idx="89">
                  <c:v>-1.41497639177999</c:v>
                </c:pt>
                <c:pt idx="90">
                  <c:v>-1.397705766483906</c:v>
                </c:pt>
                <c:pt idx="91">
                  <c:v>-1.380435141187823</c:v>
                </c:pt>
                <c:pt idx="92">
                  <c:v>-1.36316451589174</c:v>
                </c:pt>
                <c:pt idx="93">
                  <c:v>-1.345893890595656</c:v>
                </c:pt>
                <c:pt idx="94">
                  <c:v>-1.328623265299572</c:v>
                </c:pt>
                <c:pt idx="95">
                  <c:v>-1.311352640003488</c:v>
                </c:pt>
                <c:pt idx="96">
                  <c:v>-1.294082014707405</c:v>
                </c:pt>
                <c:pt idx="97">
                  <c:v>-1.276811389411322</c:v>
                </c:pt>
                <c:pt idx="98">
                  <c:v>-1.259540764115238</c:v>
                </c:pt>
                <c:pt idx="99">
                  <c:v>-1.242270138819154</c:v>
                </c:pt>
                <c:pt idx="100">
                  <c:v>-1.224999513523071</c:v>
                </c:pt>
                <c:pt idx="101">
                  <c:v>-1.207728888226987</c:v>
                </c:pt>
                <c:pt idx="102">
                  <c:v>-1.190458262930904</c:v>
                </c:pt>
                <c:pt idx="103">
                  <c:v>-1.17318763763482</c:v>
                </c:pt>
                <c:pt idx="104">
                  <c:v>-1.155917012338736</c:v>
                </c:pt>
                <c:pt idx="105">
                  <c:v>-1.138646387042653</c:v>
                </c:pt>
                <c:pt idx="106">
                  <c:v>-1.12137576174657</c:v>
                </c:pt>
                <c:pt idx="107">
                  <c:v>-1.104105136450485</c:v>
                </c:pt>
                <c:pt idx="108">
                  <c:v>-1.086834511154402</c:v>
                </c:pt>
                <c:pt idx="109">
                  <c:v>-1.069563885858319</c:v>
                </c:pt>
                <c:pt idx="110">
                  <c:v>-1.052293260562235</c:v>
                </c:pt>
                <c:pt idx="111">
                  <c:v>-1.035022635266151</c:v>
                </c:pt>
                <c:pt idx="112">
                  <c:v>-1.017752009970068</c:v>
                </c:pt>
                <c:pt idx="113">
                  <c:v>-1.000481384673984</c:v>
                </c:pt>
                <c:pt idx="114">
                  <c:v>-0.983210759377901</c:v>
                </c:pt>
                <c:pt idx="115">
                  <c:v>-0.965940134081817</c:v>
                </c:pt>
                <c:pt idx="116">
                  <c:v>-0.970122711798941</c:v>
                </c:pt>
                <c:pt idx="117">
                  <c:v>-0.952852086502858</c:v>
                </c:pt>
                <c:pt idx="118">
                  <c:v>-0.935581461206774</c:v>
                </c:pt>
                <c:pt idx="119">
                  <c:v>-0.91831083591069</c:v>
                </c:pt>
                <c:pt idx="120">
                  <c:v>-0.901040210614607</c:v>
                </c:pt>
                <c:pt idx="121">
                  <c:v>-0.883769585318523</c:v>
                </c:pt>
                <c:pt idx="122">
                  <c:v>-0.866498960022439</c:v>
                </c:pt>
                <c:pt idx="123">
                  <c:v>-0.849228334726355</c:v>
                </c:pt>
                <c:pt idx="124">
                  <c:v>-0.831957709430272</c:v>
                </c:pt>
                <c:pt idx="125">
                  <c:v>-0.814687084134189</c:v>
                </c:pt>
                <c:pt idx="126">
                  <c:v>-0.797416458838105</c:v>
                </c:pt>
                <c:pt idx="127">
                  <c:v>-0.780145833542021</c:v>
                </c:pt>
                <c:pt idx="128">
                  <c:v>-0.762875208245937</c:v>
                </c:pt>
                <c:pt idx="129">
                  <c:v>-0.745604582949854</c:v>
                </c:pt>
                <c:pt idx="130">
                  <c:v>-0.728333957653771</c:v>
                </c:pt>
                <c:pt idx="131">
                  <c:v>-0.711063332357687</c:v>
                </c:pt>
                <c:pt idx="132">
                  <c:v>-0.693792707061603</c:v>
                </c:pt>
                <c:pt idx="133">
                  <c:v>-0.67652208176552</c:v>
                </c:pt>
                <c:pt idx="134">
                  <c:v>-0.659251456469436</c:v>
                </c:pt>
                <c:pt idx="135">
                  <c:v>-0.641980831173353</c:v>
                </c:pt>
                <c:pt idx="136">
                  <c:v>-0.624710205877269</c:v>
                </c:pt>
                <c:pt idx="137">
                  <c:v>-0.607439580581185</c:v>
                </c:pt>
                <c:pt idx="138">
                  <c:v>-0.590168955285102</c:v>
                </c:pt>
                <c:pt idx="139">
                  <c:v>-0.572898329989019</c:v>
                </c:pt>
                <c:pt idx="140">
                  <c:v>-0.555627704692935</c:v>
                </c:pt>
                <c:pt idx="141">
                  <c:v>-0.538357079396852</c:v>
                </c:pt>
                <c:pt idx="142">
                  <c:v>-0.521086454100768</c:v>
                </c:pt>
                <c:pt idx="143">
                  <c:v>-0.503815828804684</c:v>
                </c:pt>
                <c:pt idx="144">
                  <c:v>-0.486545203508601</c:v>
                </c:pt>
                <c:pt idx="145">
                  <c:v>-0.469274578212517</c:v>
                </c:pt>
                <c:pt idx="146">
                  <c:v>-0.452003952916433</c:v>
                </c:pt>
                <c:pt idx="147">
                  <c:v>-0.43473332762035</c:v>
                </c:pt>
                <c:pt idx="148">
                  <c:v>-0.417462702324266</c:v>
                </c:pt>
                <c:pt idx="149">
                  <c:v>-0.400192077028183</c:v>
                </c:pt>
                <c:pt idx="150">
                  <c:v>-0.382921451732099</c:v>
                </c:pt>
                <c:pt idx="151">
                  <c:v>-0.365650826436016</c:v>
                </c:pt>
                <c:pt idx="152">
                  <c:v>-0.348380201139932</c:v>
                </c:pt>
                <c:pt idx="153">
                  <c:v>-0.331109575843848</c:v>
                </c:pt>
                <c:pt idx="154">
                  <c:v>-0.313838950547765</c:v>
                </c:pt>
                <c:pt idx="155">
                  <c:v>-0.296568325251681</c:v>
                </c:pt>
                <c:pt idx="156">
                  <c:v>-0.279297699955598</c:v>
                </c:pt>
                <c:pt idx="157">
                  <c:v>-0.262027074659514</c:v>
                </c:pt>
                <c:pt idx="158">
                  <c:v>-0.24475644936343</c:v>
                </c:pt>
                <c:pt idx="159">
                  <c:v>-0.227485824067347</c:v>
                </c:pt>
                <c:pt idx="160">
                  <c:v>-0.210215198771263</c:v>
                </c:pt>
                <c:pt idx="161">
                  <c:v>-0.19294457347518</c:v>
                </c:pt>
                <c:pt idx="162">
                  <c:v>-0.175673948179096</c:v>
                </c:pt>
                <c:pt idx="163">
                  <c:v>-0.158403322883012</c:v>
                </c:pt>
                <c:pt idx="164">
                  <c:v>-0.14113269758693</c:v>
                </c:pt>
                <c:pt idx="165">
                  <c:v>-0.123862072290846</c:v>
                </c:pt>
                <c:pt idx="166">
                  <c:v>-0.106591446994762</c:v>
                </c:pt>
                <c:pt idx="167">
                  <c:v>-0.0893208216986786</c:v>
                </c:pt>
                <c:pt idx="168">
                  <c:v>-0.0720501964025955</c:v>
                </c:pt>
                <c:pt idx="169">
                  <c:v>-0.0547795711065114</c:v>
                </c:pt>
                <c:pt idx="170">
                  <c:v>-0.037508945810428</c:v>
                </c:pt>
                <c:pt idx="171">
                  <c:v>-0.020238320514344</c:v>
                </c:pt>
                <c:pt idx="172">
                  <c:v>-0.00296769521826068</c:v>
                </c:pt>
                <c:pt idx="173">
                  <c:v>0.0143029300778228</c:v>
                </c:pt>
                <c:pt idx="174">
                  <c:v>0.0315735553739064</c:v>
                </c:pt>
                <c:pt idx="175">
                  <c:v>0.0488441806699902</c:v>
                </c:pt>
                <c:pt idx="176">
                  <c:v>0.0661148059660734</c:v>
                </c:pt>
                <c:pt idx="177">
                  <c:v>0.0833854312621575</c:v>
                </c:pt>
                <c:pt idx="178">
                  <c:v>0.100656056558241</c:v>
                </c:pt>
                <c:pt idx="179">
                  <c:v>0.117926681854324</c:v>
                </c:pt>
                <c:pt idx="180">
                  <c:v>0.135197307150408</c:v>
                </c:pt>
                <c:pt idx="181">
                  <c:v>0.152467932446492</c:v>
                </c:pt>
                <c:pt idx="182">
                  <c:v>0.169738557742575</c:v>
                </c:pt>
                <c:pt idx="183">
                  <c:v>0.187009183038659</c:v>
                </c:pt>
                <c:pt idx="184">
                  <c:v>0.204279808334743</c:v>
                </c:pt>
                <c:pt idx="185">
                  <c:v>0.221550433630826</c:v>
                </c:pt>
                <c:pt idx="186">
                  <c:v>0.23882105892691</c:v>
                </c:pt>
                <c:pt idx="187">
                  <c:v>0.256091684222993</c:v>
                </c:pt>
                <c:pt idx="188">
                  <c:v>0.273362309519077</c:v>
                </c:pt>
                <c:pt idx="189">
                  <c:v>0.29063293481516</c:v>
                </c:pt>
                <c:pt idx="190">
                  <c:v>0.307903560111244</c:v>
                </c:pt>
                <c:pt idx="191">
                  <c:v>0.325174185407327</c:v>
                </c:pt>
                <c:pt idx="192">
                  <c:v>0.342444810703411</c:v>
                </c:pt>
                <c:pt idx="193">
                  <c:v>0.359715435999494</c:v>
                </c:pt>
                <c:pt idx="194">
                  <c:v>0.376986061295578</c:v>
                </c:pt>
                <c:pt idx="195">
                  <c:v>0.394256686591661</c:v>
                </c:pt>
                <c:pt idx="196">
                  <c:v>0.411527311887745</c:v>
                </c:pt>
                <c:pt idx="197">
                  <c:v>0.428797937183829</c:v>
                </c:pt>
                <c:pt idx="198">
                  <c:v>0.446068562479912</c:v>
                </c:pt>
                <c:pt idx="199">
                  <c:v>0.463339187775996</c:v>
                </c:pt>
                <c:pt idx="200">
                  <c:v>0.48060981307208</c:v>
                </c:pt>
              </c:numCache>
            </c:numRef>
          </c:yVal>
          <c:smooth val="0"/>
        </c:ser>
        <c:ser>
          <c:idx val="1"/>
          <c:order val="3"/>
          <c:tx>
            <c:v>CPS industry-by-state data</c:v>
          </c:tx>
          <c:spPr>
            <a:ln>
              <a:noFill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chartcomponents!$B$19:$B$218</c:f>
              <c:numCache>
                <c:formatCode>General</c:formatCode>
                <c:ptCount val="200"/>
                <c:pt idx="0">
                  <c:v>0.0015475</c:v>
                </c:pt>
                <c:pt idx="1">
                  <c:v>0.0057331</c:v>
                </c:pt>
                <c:pt idx="2">
                  <c:v>0.0093913</c:v>
                </c:pt>
                <c:pt idx="3">
                  <c:v>0.0130417</c:v>
                </c:pt>
                <c:pt idx="4">
                  <c:v>0.016987</c:v>
                </c:pt>
                <c:pt idx="5">
                  <c:v>0.0205535</c:v>
                </c:pt>
                <c:pt idx="6">
                  <c:v>0.0241498</c:v>
                </c:pt>
                <c:pt idx="7">
                  <c:v>0.0281324</c:v>
                </c:pt>
                <c:pt idx="8">
                  <c:v>0.0327246</c:v>
                </c:pt>
                <c:pt idx="9">
                  <c:v>0.0364978</c:v>
                </c:pt>
                <c:pt idx="10">
                  <c:v>0.0411414</c:v>
                </c:pt>
                <c:pt idx="11">
                  <c:v>0.0459818</c:v>
                </c:pt>
                <c:pt idx="12">
                  <c:v>0.0499676</c:v>
                </c:pt>
                <c:pt idx="13">
                  <c:v>0.0549702</c:v>
                </c:pt>
                <c:pt idx="14">
                  <c:v>0.0589805</c:v>
                </c:pt>
                <c:pt idx="15">
                  <c:v>0.0633835</c:v>
                </c:pt>
                <c:pt idx="16">
                  <c:v>0.0678247</c:v>
                </c:pt>
                <c:pt idx="17">
                  <c:v>0.072905</c:v>
                </c:pt>
                <c:pt idx="18">
                  <c:v>0.0770191</c:v>
                </c:pt>
                <c:pt idx="19">
                  <c:v>0.0823043</c:v>
                </c:pt>
                <c:pt idx="20">
                  <c:v>0.0874655</c:v>
                </c:pt>
                <c:pt idx="21">
                  <c:v>0.0930315</c:v>
                </c:pt>
                <c:pt idx="22">
                  <c:v>0.0979408</c:v>
                </c:pt>
                <c:pt idx="23">
                  <c:v>0.1015289</c:v>
                </c:pt>
                <c:pt idx="24">
                  <c:v>0.1056543</c:v>
                </c:pt>
                <c:pt idx="25">
                  <c:v>0.1096347</c:v>
                </c:pt>
                <c:pt idx="26">
                  <c:v>0.1147659</c:v>
                </c:pt>
                <c:pt idx="27">
                  <c:v>0.1198588</c:v>
                </c:pt>
                <c:pt idx="28">
                  <c:v>0.1247372</c:v>
                </c:pt>
                <c:pt idx="29">
                  <c:v>0.1296762</c:v>
                </c:pt>
                <c:pt idx="30">
                  <c:v>0.134444</c:v>
                </c:pt>
                <c:pt idx="31">
                  <c:v>0.1385795</c:v>
                </c:pt>
                <c:pt idx="32">
                  <c:v>0.1433021</c:v>
                </c:pt>
                <c:pt idx="33">
                  <c:v>0.1477296</c:v>
                </c:pt>
                <c:pt idx="34">
                  <c:v>0.1520633</c:v>
                </c:pt>
                <c:pt idx="35">
                  <c:v>0.1563797</c:v>
                </c:pt>
                <c:pt idx="36">
                  <c:v>0.1618152</c:v>
                </c:pt>
                <c:pt idx="37">
                  <c:v>0.1666618</c:v>
                </c:pt>
                <c:pt idx="38">
                  <c:v>0.1719558</c:v>
                </c:pt>
                <c:pt idx="39">
                  <c:v>0.1768191</c:v>
                </c:pt>
                <c:pt idx="40">
                  <c:v>0.1814723</c:v>
                </c:pt>
                <c:pt idx="41">
                  <c:v>0.186122</c:v>
                </c:pt>
                <c:pt idx="42">
                  <c:v>0.1906605</c:v>
                </c:pt>
                <c:pt idx="43">
                  <c:v>0.1951918</c:v>
                </c:pt>
                <c:pt idx="44">
                  <c:v>0.1998623</c:v>
                </c:pt>
                <c:pt idx="45">
                  <c:v>0.2042037</c:v>
                </c:pt>
                <c:pt idx="46">
                  <c:v>0.2094308</c:v>
                </c:pt>
                <c:pt idx="47">
                  <c:v>0.2138045</c:v>
                </c:pt>
                <c:pt idx="48">
                  <c:v>0.219185</c:v>
                </c:pt>
                <c:pt idx="49">
                  <c:v>0.2239631</c:v>
                </c:pt>
                <c:pt idx="50">
                  <c:v>0.2302143</c:v>
                </c:pt>
                <c:pt idx="51">
                  <c:v>0.2368025</c:v>
                </c:pt>
                <c:pt idx="52">
                  <c:v>0.241906</c:v>
                </c:pt>
                <c:pt idx="53">
                  <c:v>0.245914</c:v>
                </c:pt>
                <c:pt idx="54">
                  <c:v>0.2521001</c:v>
                </c:pt>
                <c:pt idx="55">
                  <c:v>0.2577811</c:v>
                </c:pt>
                <c:pt idx="56">
                  <c:v>0.2625308</c:v>
                </c:pt>
                <c:pt idx="57">
                  <c:v>0.2666797</c:v>
                </c:pt>
                <c:pt idx="58">
                  <c:v>0.2724469</c:v>
                </c:pt>
                <c:pt idx="59">
                  <c:v>0.2774323</c:v>
                </c:pt>
                <c:pt idx="60">
                  <c:v>0.2821056</c:v>
                </c:pt>
                <c:pt idx="61">
                  <c:v>0.2879147</c:v>
                </c:pt>
                <c:pt idx="62">
                  <c:v>0.292233</c:v>
                </c:pt>
                <c:pt idx="63">
                  <c:v>0.2971242</c:v>
                </c:pt>
                <c:pt idx="64">
                  <c:v>0.3025827</c:v>
                </c:pt>
                <c:pt idx="65">
                  <c:v>0.3072225</c:v>
                </c:pt>
                <c:pt idx="66">
                  <c:v>0.313663</c:v>
                </c:pt>
                <c:pt idx="67">
                  <c:v>0.3192022</c:v>
                </c:pt>
                <c:pt idx="68">
                  <c:v>0.3243158</c:v>
                </c:pt>
                <c:pt idx="69">
                  <c:v>0.3298286</c:v>
                </c:pt>
                <c:pt idx="70">
                  <c:v>0.3357328</c:v>
                </c:pt>
                <c:pt idx="71">
                  <c:v>0.3407088</c:v>
                </c:pt>
                <c:pt idx="72">
                  <c:v>0.346958</c:v>
                </c:pt>
                <c:pt idx="73">
                  <c:v>0.3521597</c:v>
                </c:pt>
                <c:pt idx="74">
                  <c:v>0.3580748</c:v>
                </c:pt>
                <c:pt idx="75">
                  <c:v>0.3640514</c:v>
                </c:pt>
                <c:pt idx="76">
                  <c:v>0.369226</c:v>
                </c:pt>
                <c:pt idx="77">
                  <c:v>0.3745904</c:v>
                </c:pt>
                <c:pt idx="78">
                  <c:v>0.3790276</c:v>
                </c:pt>
                <c:pt idx="79">
                  <c:v>0.3835734</c:v>
                </c:pt>
                <c:pt idx="80">
                  <c:v>0.3894471</c:v>
                </c:pt>
                <c:pt idx="81">
                  <c:v>0.3944349</c:v>
                </c:pt>
                <c:pt idx="82">
                  <c:v>0.3992697</c:v>
                </c:pt>
                <c:pt idx="83">
                  <c:v>0.4044059</c:v>
                </c:pt>
                <c:pt idx="84">
                  <c:v>0.4100462</c:v>
                </c:pt>
                <c:pt idx="85">
                  <c:v>0.4157224</c:v>
                </c:pt>
                <c:pt idx="86">
                  <c:v>0.4214376</c:v>
                </c:pt>
                <c:pt idx="87">
                  <c:v>0.4267868</c:v>
                </c:pt>
                <c:pt idx="88">
                  <c:v>0.4325009</c:v>
                </c:pt>
                <c:pt idx="89">
                  <c:v>0.4375295</c:v>
                </c:pt>
                <c:pt idx="90">
                  <c:v>0.4428745</c:v>
                </c:pt>
                <c:pt idx="91">
                  <c:v>0.4478319</c:v>
                </c:pt>
                <c:pt idx="92">
                  <c:v>0.452296</c:v>
                </c:pt>
                <c:pt idx="93">
                  <c:v>0.4574553</c:v>
                </c:pt>
                <c:pt idx="94">
                  <c:v>0.4626635</c:v>
                </c:pt>
                <c:pt idx="95">
                  <c:v>0.4686464</c:v>
                </c:pt>
                <c:pt idx="96">
                  <c:v>0.4749435</c:v>
                </c:pt>
                <c:pt idx="97">
                  <c:v>0.4807407</c:v>
                </c:pt>
                <c:pt idx="98">
                  <c:v>0.4853628</c:v>
                </c:pt>
                <c:pt idx="99">
                  <c:v>0.4902446</c:v>
                </c:pt>
                <c:pt idx="100">
                  <c:v>0.495822</c:v>
                </c:pt>
                <c:pt idx="101">
                  <c:v>0.5021555</c:v>
                </c:pt>
                <c:pt idx="102">
                  <c:v>0.5072256</c:v>
                </c:pt>
                <c:pt idx="103">
                  <c:v>0.5111979</c:v>
                </c:pt>
                <c:pt idx="104">
                  <c:v>0.5158631</c:v>
                </c:pt>
                <c:pt idx="105">
                  <c:v>0.5215985</c:v>
                </c:pt>
                <c:pt idx="106">
                  <c:v>0.5266119</c:v>
                </c:pt>
                <c:pt idx="107">
                  <c:v>0.5316459</c:v>
                </c:pt>
                <c:pt idx="108">
                  <c:v>0.5374814</c:v>
                </c:pt>
                <c:pt idx="109">
                  <c:v>0.5431611</c:v>
                </c:pt>
                <c:pt idx="110">
                  <c:v>0.5483691</c:v>
                </c:pt>
                <c:pt idx="111">
                  <c:v>0.5532668</c:v>
                </c:pt>
                <c:pt idx="112">
                  <c:v>0.5583645</c:v>
                </c:pt>
                <c:pt idx="113">
                  <c:v>0.5628982</c:v>
                </c:pt>
                <c:pt idx="114">
                  <c:v>0.5673426</c:v>
                </c:pt>
                <c:pt idx="115">
                  <c:v>0.5723708</c:v>
                </c:pt>
                <c:pt idx="116">
                  <c:v>0.5782689</c:v>
                </c:pt>
                <c:pt idx="117">
                  <c:v>0.5829239</c:v>
                </c:pt>
                <c:pt idx="118">
                  <c:v>0.5874318</c:v>
                </c:pt>
                <c:pt idx="119">
                  <c:v>0.5918806</c:v>
                </c:pt>
                <c:pt idx="120">
                  <c:v>0.5964669</c:v>
                </c:pt>
                <c:pt idx="121">
                  <c:v>0.6017821</c:v>
                </c:pt>
                <c:pt idx="122">
                  <c:v>0.606558</c:v>
                </c:pt>
                <c:pt idx="123">
                  <c:v>0.6116648</c:v>
                </c:pt>
                <c:pt idx="124">
                  <c:v>0.6165946</c:v>
                </c:pt>
                <c:pt idx="125">
                  <c:v>0.6211401</c:v>
                </c:pt>
                <c:pt idx="126">
                  <c:v>0.6257152</c:v>
                </c:pt>
                <c:pt idx="127">
                  <c:v>0.629867</c:v>
                </c:pt>
                <c:pt idx="128">
                  <c:v>0.635188</c:v>
                </c:pt>
                <c:pt idx="129">
                  <c:v>0.6404567</c:v>
                </c:pt>
                <c:pt idx="130">
                  <c:v>0.6445814</c:v>
                </c:pt>
                <c:pt idx="131">
                  <c:v>0.649294</c:v>
                </c:pt>
                <c:pt idx="132">
                  <c:v>0.6553246</c:v>
                </c:pt>
                <c:pt idx="133">
                  <c:v>0.6607007</c:v>
                </c:pt>
                <c:pt idx="134">
                  <c:v>0.6653172</c:v>
                </c:pt>
                <c:pt idx="135">
                  <c:v>0.6702918</c:v>
                </c:pt>
                <c:pt idx="136">
                  <c:v>0.6747248</c:v>
                </c:pt>
                <c:pt idx="137">
                  <c:v>0.679602</c:v>
                </c:pt>
                <c:pt idx="138">
                  <c:v>0.6846549</c:v>
                </c:pt>
                <c:pt idx="139">
                  <c:v>0.6896429</c:v>
                </c:pt>
                <c:pt idx="140">
                  <c:v>0.6943337</c:v>
                </c:pt>
                <c:pt idx="141">
                  <c:v>0.6996377</c:v>
                </c:pt>
                <c:pt idx="142">
                  <c:v>0.7056782</c:v>
                </c:pt>
                <c:pt idx="143">
                  <c:v>0.7111413</c:v>
                </c:pt>
                <c:pt idx="144">
                  <c:v>0.7164447</c:v>
                </c:pt>
                <c:pt idx="145">
                  <c:v>0.7220962</c:v>
                </c:pt>
                <c:pt idx="146">
                  <c:v>0.7268078</c:v>
                </c:pt>
                <c:pt idx="147">
                  <c:v>0.7313938</c:v>
                </c:pt>
                <c:pt idx="148">
                  <c:v>0.7371979</c:v>
                </c:pt>
                <c:pt idx="149">
                  <c:v>0.7431367</c:v>
                </c:pt>
                <c:pt idx="150">
                  <c:v>0.7485802</c:v>
                </c:pt>
                <c:pt idx="151">
                  <c:v>0.7530099</c:v>
                </c:pt>
                <c:pt idx="152">
                  <c:v>0.7581924</c:v>
                </c:pt>
                <c:pt idx="153">
                  <c:v>0.7641363</c:v>
                </c:pt>
                <c:pt idx="154">
                  <c:v>0.7680517</c:v>
                </c:pt>
                <c:pt idx="155">
                  <c:v>0.7731932</c:v>
                </c:pt>
                <c:pt idx="156">
                  <c:v>0.7788815</c:v>
                </c:pt>
                <c:pt idx="157">
                  <c:v>0.7843313</c:v>
                </c:pt>
                <c:pt idx="158">
                  <c:v>0.7887301</c:v>
                </c:pt>
                <c:pt idx="159">
                  <c:v>0.7931783</c:v>
                </c:pt>
                <c:pt idx="160">
                  <c:v>0.798654</c:v>
                </c:pt>
                <c:pt idx="161">
                  <c:v>0.8035821</c:v>
                </c:pt>
                <c:pt idx="162">
                  <c:v>0.8081014</c:v>
                </c:pt>
                <c:pt idx="163">
                  <c:v>0.8135464</c:v>
                </c:pt>
                <c:pt idx="164">
                  <c:v>0.8191842</c:v>
                </c:pt>
                <c:pt idx="165">
                  <c:v>0.8242326</c:v>
                </c:pt>
                <c:pt idx="166">
                  <c:v>0.8281928</c:v>
                </c:pt>
                <c:pt idx="167">
                  <c:v>0.8326257</c:v>
                </c:pt>
                <c:pt idx="168">
                  <c:v>0.8384891</c:v>
                </c:pt>
                <c:pt idx="169">
                  <c:v>0.8436621</c:v>
                </c:pt>
                <c:pt idx="170">
                  <c:v>0.848438</c:v>
                </c:pt>
                <c:pt idx="171">
                  <c:v>0.8537226</c:v>
                </c:pt>
                <c:pt idx="172">
                  <c:v>0.8589374</c:v>
                </c:pt>
                <c:pt idx="173">
                  <c:v>0.8637531</c:v>
                </c:pt>
                <c:pt idx="174">
                  <c:v>0.8688478</c:v>
                </c:pt>
                <c:pt idx="175">
                  <c:v>0.8733677</c:v>
                </c:pt>
                <c:pt idx="176">
                  <c:v>0.8783168</c:v>
                </c:pt>
                <c:pt idx="177">
                  <c:v>0.8835545</c:v>
                </c:pt>
                <c:pt idx="178">
                  <c:v>0.8895352</c:v>
                </c:pt>
                <c:pt idx="179">
                  <c:v>0.8945773</c:v>
                </c:pt>
                <c:pt idx="180">
                  <c:v>0.9000542</c:v>
                </c:pt>
                <c:pt idx="181">
                  <c:v>0.9050673</c:v>
                </c:pt>
                <c:pt idx="182">
                  <c:v>0.9094912</c:v>
                </c:pt>
                <c:pt idx="183">
                  <c:v>0.9138781</c:v>
                </c:pt>
                <c:pt idx="184">
                  <c:v>0.9182915</c:v>
                </c:pt>
                <c:pt idx="185">
                  <c:v>0.923042</c:v>
                </c:pt>
                <c:pt idx="186">
                  <c:v>0.9284768</c:v>
                </c:pt>
                <c:pt idx="187">
                  <c:v>0.9340321</c:v>
                </c:pt>
                <c:pt idx="188">
                  <c:v>0.9385351</c:v>
                </c:pt>
                <c:pt idx="189">
                  <c:v>0.9432138</c:v>
                </c:pt>
                <c:pt idx="190">
                  <c:v>0.9481113</c:v>
                </c:pt>
                <c:pt idx="191">
                  <c:v>0.9528152</c:v>
                </c:pt>
                <c:pt idx="192">
                  <c:v>0.9578043</c:v>
                </c:pt>
                <c:pt idx="193">
                  <c:v>0.9635882</c:v>
                </c:pt>
                <c:pt idx="194">
                  <c:v>0.969785</c:v>
                </c:pt>
                <c:pt idx="195">
                  <c:v>0.9755139</c:v>
                </c:pt>
                <c:pt idx="196">
                  <c:v>0.9810865</c:v>
                </c:pt>
                <c:pt idx="197">
                  <c:v>0.9864479</c:v>
                </c:pt>
                <c:pt idx="198">
                  <c:v>0.9921712</c:v>
                </c:pt>
                <c:pt idx="199">
                  <c:v>0.9975584</c:v>
                </c:pt>
              </c:numCache>
            </c:numRef>
          </c:xVal>
          <c:yVal>
            <c:numRef>
              <c:f>chartcomponents!$C$19:$C$218</c:f>
              <c:numCache>
                <c:formatCode>General</c:formatCode>
                <c:ptCount val="200"/>
                <c:pt idx="0">
                  <c:v>-5.064889</c:v>
                </c:pt>
                <c:pt idx="1">
                  <c:v>-4.048601</c:v>
                </c:pt>
                <c:pt idx="2">
                  <c:v>-3.743697</c:v>
                </c:pt>
                <c:pt idx="3">
                  <c:v>-3.512823</c:v>
                </c:pt>
                <c:pt idx="4">
                  <c:v>-3.361382</c:v>
                </c:pt>
                <c:pt idx="5">
                  <c:v>-3.288622</c:v>
                </c:pt>
                <c:pt idx="6">
                  <c:v>-3.22148</c:v>
                </c:pt>
                <c:pt idx="7">
                  <c:v>-3.146557</c:v>
                </c:pt>
                <c:pt idx="8">
                  <c:v>-3.104584</c:v>
                </c:pt>
                <c:pt idx="9">
                  <c:v>-3.062644</c:v>
                </c:pt>
                <c:pt idx="10">
                  <c:v>-3.005245</c:v>
                </c:pt>
                <c:pt idx="11">
                  <c:v>-2.965813</c:v>
                </c:pt>
                <c:pt idx="12">
                  <c:v>-2.936334</c:v>
                </c:pt>
                <c:pt idx="13">
                  <c:v>-2.89864</c:v>
                </c:pt>
                <c:pt idx="14">
                  <c:v>-2.865571</c:v>
                </c:pt>
                <c:pt idx="15">
                  <c:v>-2.838437</c:v>
                </c:pt>
                <c:pt idx="16">
                  <c:v>-2.804758</c:v>
                </c:pt>
                <c:pt idx="17">
                  <c:v>-2.777148</c:v>
                </c:pt>
                <c:pt idx="18">
                  <c:v>-2.742333</c:v>
                </c:pt>
                <c:pt idx="19">
                  <c:v>-2.718118</c:v>
                </c:pt>
                <c:pt idx="20">
                  <c:v>-2.697313</c:v>
                </c:pt>
                <c:pt idx="21">
                  <c:v>-2.675249</c:v>
                </c:pt>
                <c:pt idx="22">
                  <c:v>-2.656959</c:v>
                </c:pt>
                <c:pt idx="23">
                  <c:v>-2.635016</c:v>
                </c:pt>
                <c:pt idx="24">
                  <c:v>-2.615913</c:v>
                </c:pt>
                <c:pt idx="25">
                  <c:v>-2.591282</c:v>
                </c:pt>
                <c:pt idx="26">
                  <c:v>-2.571412</c:v>
                </c:pt>
                <c:pt idx="27">
                  <c:v>-2.549126</c:v>
                </c:pt>
                <c:pt idx="28">
                  <c:v>-2.525884</c:v>
                </c:pt>
                <c:pt idx="29">
                  <c:v>-2.513524</c:v>
                </c:pt>
                <c:pt idx="30">
                  <c:v>-2.501594</c:v>
                </c:pt>
                <c:pt idx="31">
                  <c:v>-2.484963</c:v>
                </c:pt>
                <c:pt idx="32">
                  <c:v>-2.468323</c:v>
                </c:pt>
                <c:pt idx="33">
                  <c:v>-2.453766</c:v>
                </c:pt>
                <c:pt idx="34">
                  <c:v>-2.437809</c:v>
                </c:pt>
                <c:pt idx="35">
                  <c:v>-2.424248</c:v>
                </c:pt>
                <c:pt idx="36">
                  <c:v>-2.412002</c:v>
                </c:pt>
                <c:pt idx="37">
                  <c:v>-2.396244</c:v>
                </c:pt>
                <c:pt idx="38">
                  <c:v>-2.383042</c:v>
                </c:pt>
                <c:pt idx="39">
                  <c:v>-2.373588</c:v>
                </c:pt>
                <c:pt idx="40">
                  <c:v>-2.364104</c:v>
                </c:pt>
                <c:pt idx="41">
                  <c:v>-2.352248</c:v>
                </c:pt>
                <c:pt idx="42">
                  <c:v>-2.344273</c:v>
                </c:pt>
                <c:pt idx="43">
                  <c:v>-2.333994</c:v>
                </c:pt>
                <c:pt idx="44">
                  <c:v>-2.317815</c:v>
                </c:pt>
                <c:pt idx="45">
                  <c:v>-2.310827</c:v>
                </c:pt>
                <c:pt idx="46">
                  <c:v>-2.296256</c:v>
                </c:pt>
                <c:pt idx="47">
                  <c:v>-2.28039</c:v>
                </c:pt>
                <c:pt idx="48">
                  <c:v>-2.271898</c:v>
                </c:pt>
                <c:pt idx="49">
                  <c:v>-2.262117</c:v>
                </c:pt>
                <c:pt idx="50">
                  <c:v>-2.253183</c:v>
                </c:pt>
                <c:pt idx="51">
                  <c:v>-2.244701</c:v>
                </c:pt>
                <c:pt idx="52">
                  <c:v>-2.229537</c:v>
                </c:pt>
                <c:pt idx="53">
                  <c:v>-2.218699</c:v>
                </c:pt>
                <c:pt idx="54">
                  <c:v>-2.215436</c:v>
                </c:pt>
                <c:pt idx="55">
                  <c:v>-2.210114</c:v>
                </c:pt>
                <c:pt idx="56">
                  <c:v>-2.195171</c:v>
                </c:pt>
                <c:pt idx="57">
                  <c:v>-2.187027</c:v>
                </c:pt>
                <c:pt idx="58">
                  <c:v>-2.177125</c:v>
                </c:pt>
                <c:pt idx="59">
                  <c:v>-2.163207</c:v>
                </c:pt>
                <c:pt idx="60">
                  <c:v>-2.152406</c:v>
                </c:pt>
                <c:pt idx="61">
                  <c:v>-2.14656</c:v>
                </c:pt>
                <c:pt idx="62">
                  <c:v>-2.138476</c:v>
                </c:pt>
                <c:pt idx="63">
                  <c:v>-2.123687</c:v>
                </c:pt>
                <c:pt idx="64">
                  <c:v>-2.112851</c:v>
                </c:pt>
                <c:pt idx="65">
                  <c:v>-2.102763</c:v>
                </c:pt>
                <c:pt idx="66">
                  <c:v>-2.0952</c:v>
                </c:pt>
                <c:pt idx="67">
                  <c:v>-2.085261</c:v>
                </c:pt>
                <c:pt idx="68">
                  <c:v>-2.074671</c:v>
                </c:pt>
                <c:pt idx="69">
                  <c:v>-2.068049</c:v>
                </c:pt>
                <c:pt idx="70">
                  <c:v>-2.055263</c:v>
                </c:pt>
                <c:pt idx="71">
                  <c:v>-2.03708</c:v>
                </c:pt>
                <c:pt idx="72">
                  <c:v>-2.027864</c:v>
                </c:pt>
                <c:pt idx="73">
                  <c:v>-2.015651</c:v>
                </c:pt>
                <c:pt idx="74">
                  <c:v>-2.00814</c:v>
                </c:pt>
                <c:pt idx="75">
                  <c:v>-2.001747</c:v>
                </c:pt>
                <c:pt idx="76">
                  <c:v>-1.992335</c:v>
                </c:pt>
                <c:pt idx="77">
                  <c:v>-1.979921</c:v>
                </c:pt>
                <c:pt idx="78">
                  <c:v>-1.969953</c:v>
                </c:pt>
                <c:pt idx="79">
                  <c:v>-1.955727</c:v>
                </c:pt>
                <c:pt idx="80">
                  <c:v>-1.942392</c:v>
                </c:pt>
                <c:pt idx="81">
                  <c:v>-1.928407</c:v>
                </c:pt>
                <c:pt idx="82">
                  <c:v>-1.915575</c:v>
                </c:pt>
                <c:pt idx="83">
                  <c:v>-1.903015</c:v>
                </c:pt>
                <c:pt idx="84">
                  <c:v>-1.894406</c:v>
                </c:pt>
                <c:pt idx="85">
                  <c:v>-1.887477</c:v>
                </c:pt>
                <c:pt idx="86">
                  <c:v>-1.876583</c:v>
                </c:pt>
                <c:pt idx="87">
                  <c:v>-1.867562</c:v>
                </c:pt>
                <c:pt idx="88">
                  <c:v>-1.858417</c:v>
                </c:pt>
                <c:pt idx="89">
                  <c:v>-1.845703</c:v>
                </c:pt>
                <c:pt idx="90">
                  <c:v>-1.832994</c:v>
                </c:pt>
                <c:pt idx="91">
                  <c:v>-1.819036</c:v>
                </c:pt>
                <c:pt idx="92">
                  <c:v>-1.80087</c:v>
                </c:pt>
                <c:pt idx="93">
                  <c:v>-1.786552</c:v>
                </c:pt>
                <c:pt idx="94">
                  <c:v>-1.774437</c:v>
                </c:pt>
                <c:pt idx="95">
                  <c:v>-1.765478</c:v>
                </c:pt>
                <c:pt idx="96">
                  <c:v>-1.759218</c:v>
                </c:pt>
                <c:pt idx="97">
                  <c:v>-1.746826</c:v>
                </c:pt>
                <c:pt idx="98">
                  <c:v>-1.732464</c:v>
                </c:pt>
                <c:pt idx="99">
                  <c:v>-1.717928</c:v>
                </c:pt>
                <c:pt idx="100">
                  <c:v>-1.705808</c:v>
                </c:pt>
                <c:pt idx="101">
                  <c:v>-1.693991</c:v>
                </c:pt>
                <c:pt idx="102">
                  <c:v>-1.678351</c:v>
                </c:pt>
                <c:pt idx="103">
                  <c:v>-1.670358</c:v>
                </c:pt>
                <c:pt idx="104">
                  <c:v>-1.656211</c:v>
                </c:pt>
                <c:pt idx="105">
                  <c:v>-1.640293</c:v>
                </c:pt>
                <c:pt idx="106">
                  <c:v>-1.618915</c:v>
                </c:pt>
                <c:pt idx="107">
                  <c:v>-1.604183</c:v>
                </c:pt>
                <c:pt idx="108">
                  <c:v>-1.59331</c:v>
                </c:pt>
                <c:pt idx="109">
                  <c:v>-1.577832</c:v>
                </c:pt>
                <c:pt idx="110">
                  <c:v>-1.560327</c:v>
                </c:pt>
                <c:pt idx="111">
                  <c:v>-1.54326</c:v>
                </c:pt>
                <c:pt idx="112">
                  <c:v>-1.526871</c:v>
                </c:pt>
                <c:pt idx="113">
                  <c:v>-1.510516</c:v>
                </c:pt>
                <c:pt idx="114">
                  <c:v>-1.495845</c:v>
                </c:pt>
                <c:pt idx="115">
                  <c:v>-1.484563</c:v>
                </c:pt>
                <c:pt idx="116">
                  <c:v>-1.474436</c:v>
                </c:pt>
                <c:pt idx="117">
                  <c:v>-1.459116</c:v>
                </c:pt>
                <c:pt idx="118">
                  <c:v>-1.443559</c:v>
                </c:pt>
                <c:pt idx="119">
                  <c:v>-1.434184</c:v>
                </c:pt>
                <c:pt idx="120">
                  <c:v>-1.41931</c:v>
                </c:pt>
                <c:pt idx="121">
                  <c:v>-1.399437</c:v>
                </c:pt>
                <c:pt idx="122">
                  <c:v>-1.385287</c:v>
                </c:pt>
                <c:pt idx="123">
                  <c:v>-1.369379</c:v>
                </c:pt>
                <c:pt idx="124">
                  <c:v>-1.351948</c:v>
                </c:pt>
                <c:pt idx="125">
                  <c:v>-1.339412</c:v>
                </c:pt>
                <c:pt idx="126">
                  <c:v>-1.329589</c:v>
                </c:pt>
                <c:pt idx="127">
                  <c:v>-1.321018</c:v>
                </c:pt>
                <c:pt idx="128">
                  <c:v>-1.308819</c:v>
                </c:pt>
                <c:pt idx="129">
                  <c:v>-1.29511</c:v>
                </c:pt>
                <c:pt idx="130">
                  <c:v>-1.284229</c:v>
                </c:pt>
                <c:pt idx="131">
                  <c:v>-1.275542</c:v>
                </c:pt>
                <c:pt idx="132">
                  <c:v>-1.266354</c:v>
                </c:pt>
                <c:pt idx="133">
                  <c:v>-1.254485</c:v>
                </c:pt>
                <c:pt idx="134">
                  <c:v>-1.244533</c:v>
                </c:pt>
                <c:pt idx="135">
                  <c:v>-1.238987</c:v>
                </c:pt>
                <c:pt idx="136">
                  <c:v>-1.225855</c:v>
                </c:pt>
                <c:pt idx="137">
                  <c:v>-1.215808</c:v>
                </c:pt>
                <c:pt idx="138">
                  <c:v>-1.204273</c:v>
                </c:pt>
                <c:pt idx="139">
                  <c:v>-1.192767</c:v>
                </c:pt>
                <c:pt idx="140">
                  <c:v>-1.181197</c:v>
                </c:pt>
                <c:pt idx="141">
                  <c:v>-1.166215</c:v>
                </c:pt>
                <c:pt idx="142">
                  <c:v>-1.159853</c:v>
                </c:pt>
                <c:pt idx="143">
                  <c:v>-1.14758</c:v>
                </c:pt>
                <c:pt idx="144">
                  <c:v>-1.140599</c:v>
                </c:pt>
                <c:pt idx="145">
                  <c:v>-1.13052</c:v>
                </c:pt>
                <c:pt idx="146">
                  <c:v>-1.118041</c:v>
                </c:pt>
                <c:pt idx="147">
                  <c:v>-1.107113</c:v>
                </c:pt>
                <c:pt idx="148">
                  <c:v>-1.095206</c:v>
                </c:pt>
                <c:pt idx="149">
                  <c:v>-1.09104</c:v>
                </c:pt>
                <c:pt idx="150">
                  <c:v>-1.075282</c:v>
                </c:pt>
                <c:pt idx="151">
                  <c:v>-1.063177</c:v>
                </c:pt>
                <c:pt idx="152">
                  <c:v>-1.051089</c:v>
                </c:pt>
                <c:pt idx="153">
                  <c:v>-1.038999</c:v>
                </c:pt>
                <c:pt idx="154">
                  <c:v>-1.020559</c:v>
                </c:pt>
                <c:pt idx="155">
                  <c:v>-1.007546</c:v>
                </c:pt>
                <c:pt idx="156">
                  <c:v>-0.9957131</c:v>
                </c:pt>
                <c:pt idx="157">
                  <c:v>-0.9806978</c:v>
                </c:pt>
                <c:pt idx="158">
                  <c:v>-0.9683964</c:v>
                </c:pt>
                <c:pt idx="159">
                  <c:v>-0.9554957</c:v>
                </c:pt>
                <c:pt idx="160">
                  <c:v>-0.9363422</c:v>
                </c:pt>
                <c:pt idx="161">
                  <c:v>-0.9238033</c:v>
                </c:pt>
                <c:pt idx="162">
                  <c:v>-0.9073828</c:v>
                </c:pt>
                <c:pt idx="163">
                  <c:v>-0.8980974</c:v>
                </c:pt>
                <c:pt idx="164">
                  <c:v>-0.8913443</c:v>
                </c:pt>
                <c:pt idx="165">
                  <c:v>-0.880564</c:v>
                </c:pt>
                <c:pt idx="166">
                  <c:v>-0.8667042</c:v>
                </c:pt>
                <c:pt idx="167">
                  <c:v>-0.851173</c:v>
                </c:pt>
                <c:pt idx="168">
                  <c:v>-0.8365089</c:v>
                </c:pt>
                <c:pt idx="169">
                  <c:v>-0.8202369</c:v>
                </c:pt>
                <c:pt idx="170">
                  <c:v>-0.8031831</c:v>
                </c:pt>
                <c:pt idx="171">
                  <c:v>-0.7839211</c:v>
                </c:pt>
                <c:pt idx="172">
                  <c:v>-0.7617014</c:v>
                </c:pt>
                <c:pt idx="173">
                  <c:v>-0.743565</c:v>
                </c:pt>
                <c:pt idx="174">
                  <c:v>-0.7250085</c:v>
                </c:pt>
                <c:pt idx="175">
                  <c:v>-0.7019423</c:v>
                </c:pt>
                <c:pt idx="176">
                  <c:v>-0.677955</c:v>
                </c:pt>
                <c:pt idx="177">
                  <c:v>-0.6469209</c:v>
                </c:pt>
                <c:pt idx="178">
                  <c:v>-0.6202881</c:v>
                </c:pt>
                <c:pt idx="179">
                  <c:v>-0.5943938</c:v>
                </c:pt>
                <c:pt idx="180">
                  <c:v>-0.5626618</c:v>
                </c:pt>
                <c:pt idx="181">
                  <c:v>-0.5426108</c:v>
                </c:pt>
                <c:pt idx="182">
                  <c:v>-0.5194463</c:v>
                </c:pt>
                <c:pt idx="183">
                  <c:v>-0.4918348</c:v>
                </c:pt>
                <c:pt idx="184">
                  <c:v>-0.4639587</c:v>
                </c:pt>
                <c:pt idx="185">
                  <c:v>-0.4190102</c:v>
                </c:pt>
                <c:pt idx="186">
                  <c:v>-0.3731813</c:v>
                </c:pt>
                <c:pt idx="187">
                  <c:v>-0.3499628</c:v>
                </c:pt>
                <c:pt idx="188">
                  <c:v>-0.312106</c:v>
                </c:pt>
                <c:pt idx="189">
                  <c:v>-0.2934173</c:v>
                </c:pt>
                <c:pt idx="190">
                  <c:v>-0.2629696</c:v>
                </c:pt>
                <c:pt idx="191">
                  <c:v>-0.2341779</c:v>
                </c:pt>
                <c:pt idx="192">
                  <c:v>-0.1969304</c:v>
                </c:pt>
                <c:pt idx="193">
                  <c:v>-0.1561149</c:v>
                </c:pt>
                <c:pt idx="194">
                  <c:v>-0.1265222</c:v>
                </c:pt>
                <c:pt idx="195">
                  <c:v>-0.0879102</c:v>
                </c:pt>
                <c:pt idx="196">
                  <c:v>-0.0535335</c:v>
                </c:pt>
                <c:pt idx="197">
                  <c:v>0.0032448</c:v>
                </c:pt>
                <c:pt idx="198">
                  <c:v>0.1222869</c:v>
                </c:pt>
                <c:pt idx="199">
                  <c:v>0.2573537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061808"/>
        <c:axId val="-1432058176"/>
      </c:scatterChart>
      <c:valAx>
        <c:axId val="-14320618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Workforce</a:t>
                </a:r>
                <a:r>
                  <a:rPr lang="en-US" sz="1400" baseline="0"/>
                  <a:t> quantiles according to pre-ACA cost of ESI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265870893300409"/>
              <c:y val="0.100385759677222"/>
            </c:manualLayout>
          </c:layout>
          <c:overlay val="0"/>
        </c:title>
        <c:numFmt formatCode="General" sourceLinked="0"/>
        <c:majorTickMark val="in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1432058176"/>
        <c:crosses val="autoZero"/>
        <c:crossBetween val="midCat"/>
      </c:valAx>
      <c:valAx>
        <c:axId val="-1432058176"/>
        <c:scaling>
          <c:orientation val="minMax"/>
          <c:max val="0.0"/>
          <c:min val="-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Low-skill/high-skill</a:t>
                </a:r>
                <a:r>
                  <a:rPr lang="en-US" sz="1400" baseline="0"/>
                  <a:t> comepsation at employer, log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2061808"/>
        <c:crosses val="autoZero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115379516642047"/>
          <c:y val="0.490646496458808"/>
          <c:w val="0.290546542210447"/>
          <c:h val="0.17244484695538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4.  </a:t>
            </a:r>
            <a:r>
              <a:rPr lang="en-US"/>
              <a:t>The ACA's ESI Impact</a:t>
            </a:r>
          </a:p>
          <a:p>
            <a:pPr>
              <a:defRPr/>
            </a:pPr>
            <a:r>
              <a:rPr lang="en-US" sz="1400" b="0"/>
              <a:t>As</a:t>
            </a:r>
            <a:r>
              <a:rPr lang="en-US" sz="1400" b="0" baseline="0"/>
              <a:t> a function of subsidy and penalty implementation</a:t>
            </a: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23454476926018"/>
          <c:y val="0.0477456701807229"/>
          <c:w val="0.840320455084799"/>
          <c:h val="0.86558734939759"/>
        </c:manualLayout>
      </c:layout>
      <c:scatterChart>
        <c:scatterStyle val="lineMarker"/>
        <c:varyColors val="0"/>
        <c:ser>
          <c:idx val="0"/>
          <c:order val="0"/>
          <c:tx>
            <c:v>Half penalty, fixed labor supply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Figure_4_6_7_9!$A$5:$A$16</c:f>
              <c:numCache>
                <c:formatCode>General</c:formatCode>
                <c:ptCount val="12"/>
                <c:pt idx="0">
                  <c:v>0.1</c:v>
                </c:pt>
                <c:pt idx="1">
                  <c:v>0.30000001</c:v>
                </c:pt>
                <c:pt idx="2">
                  <c:v>0.5</c:v>
                </c:pt>
                <c:pt idx="3">
                  <c:v>0.60000002</c:v>
                </c:pt>
                <c:pt idx="4">
                  <c:v>0.64999998</c:v>
                </c:pt>
                <c:pt idx="5">
                  <c:v>0.69999999</c:v>
                </c:pt>
                <c:pt idx="6">
                  <c:v>0.75</c:v>
                </c:pt>
                <c:pt idx="7">
                  <c:v>0.80000001</c:v>
                </c:pt>
                <c:pt idx="8">
                  <c:v>0.85000002</c:v>
                </c:pt>
                <c:pt idx="9">
                  <c:v>0.89999998</c:v>
                </c:pt>
                <c:pt idx="10">
                  <c:v>0.94999999</c:v>
                </c:pt>
                <c:pt idx="11">
                  <c:v>1.0</c:v>
                </c:pt>
              </c:numCache>
            </c:numRef>
          </c:xVal>
          <c:yVal>
            <c:numRef>
              <c:f>Figure_4_6_7_9!$E$5:$E$16</c:f>
              <c:numCache>
                <c:formatCode>General</c:formatCode>
                <c:ptCount val="12"/>
                <c:pt idx="0">
                  <c:v>10.73224888033481</c:v>
                </c:pt>
                <c:pt idx="1">
                  <c:v>10.72583502699827</c:v>
                </c:pt>
                <c:pt idx="2">
                  <c:v>10.72813268989414</c:v>
                </c:pt>
                <c:pt idx="3">
                  <c:v>10.66322821678985</c:v>
                </c:pt>
                <c:pt idx="4">
                  <c:v>2.512394035927372</c:v>
                </c:pt>
                <c:pt idx="5">
                  <c:v>-5.649289428151292</c:v>
                </c:pt>
                <c:pt idx="6">
                  <c:v>-13.65909164202212</c:v>
                </c:pt>
                <c:pt idx="7">
                  <c:v>-20.3156291102448</c:v>
                </c:pt>
                <c:pt idx="8">
                  <c:v>-27.39259260777159</c:v>
                </c:pt>
                <c:pt idx="9">
                  <c:v>-33.81861091068318</c:v>
                </c:pt>
                <c:pt idx="10">
                  <c:v>-40.5759036622868</c:v>
                </c:pt>
                <c:pt idx="11">
                  <c:v>-47.63133800469619</c:v>
                </c:pt>
              </c:numCache>
            </c:numRef>
          </c:yVal>
          <c:smooth val="0"/>
        </c:ser>
        <c:ser>
          <c:idx val="1"/>
          <c:order val="1"/>
          <c:tx>
            <c:v>Half penalty, 0.5 labor supply elas.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Figure_4_6_7_9!$A$5:$A$16</c:f>
              <c:numCache>
                <c:formatCode>General</c:formatCode>
                <c:ptCount val="12"/>
                <c:pt idx="0">
                  <c:v>0.1</c:v>
                </c:pt>
                <c:pt idx="1">
                  <c:v>0.30000001</c:v>
                </c:pt>
                <c:pt idx="2">
                  <c:v>0.5</c:v>
                </c:pt>
                <c:pt idx="3">
                  <c:v>0.60000002</c:v>
                </c:pt>
                <c:pt idx="4">
                  <c:v>0.64999998</c:v>
                </c:pt>
                <c:pt idx="5">
                  <c:v>0.69999999</c:v>
                </c:pt>
                <c:pt idx="6">
                  <c:v>0.75</c:v>
                </c:pt>
                <c:pt idx="7">
                  <c:v>0.80000001</c:v>
                </c:pt>
                <c:pt idx="8">
                  <c:v>0.85000002</c:v>
                </c:pt>
                <c:pt idx="9">
                  <c:v>0.89999998</c:v>
                </c:pt>
                <c:pt idx="10">
                  <c:v>0.94999999</c:v>
                </c:pt>
                <c:pt idx="11">
                  <c:v>1.0</c:v>
                </c:pt>
              </c:numCache>
            </c:numRef>
          </c:xVal>
          <c:yVal>
            <c:numRef>
              <c:f>Figure_4_6_7_9!$F$5:$F$16</c:f>
              <c:numCache>
                <c:formatCode>General</c:formatCode>
                <c:ptCount val="12"/>
                <c:pt idx="0">
                  <c:v>9.55415546748425</c:v>
                </c:pt>
                <c:pt idx="1">
                  <c:v>8.481056633867623</c:v>
                </c:pt>
                <c:pt idx="2">
                  <c:v>7.423948673010116</c:v>
                </c:pt>
                <c:pt idx="3">
                  <c:v>6.895588072005992</c:v>
                </c:pt>
                <c:pt idx="4">
                  <c:v>-0.434580419220197</c:v>
                </c:pt>
                <c:pt idx="5">
                  <c:v>-8.345206586969538</c:v>
                </c:pt>
                <c:pt idx="6">
                  <c:v>-15.20478116693023</c:v>
                </c:pt>
                <c:pt idx="7">
                  <c:v>-22.91784261829756</c:v>
                </c:pt>
                <c:pt idx="8">
                  <c:v>-29.30364334224664</c:v>
                </c:pt>
                <c:pt idx="9">
                  <c:v>-35.49869936046194</c:v>
                </c:pt>
                <c:pt idx="10">
                  <c:v>-41.99884904687627</c:v>
                </c:pt>
                <c:pt idx="11">
                  <c:v>-47.7062189556995</c:v>
                </c:pt>
              </c:numCache>
            </c:numRef>
          </c:yVal>
          <c:smooth val="0"/>
        </c:ser>
        <c:ser>
          <c:idx val="2"/>
          <c:order val="2"/>
          <c:tx>
            <c:v>Full penalty, 0.5 labor supply elas.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Figure_4_6_7_9!$A$5:$A$16</c:f>
              <c:numCache>
                <c:formatCode>General</c:formatCode>
                <c:ptCount val="12"/>
                <c:pt idx="0">
                  <c:v>0.1</c:v>
                </c:pt>
                <c:pt idx="1">
                  <c:v>0.30000001</c:v>
                </c:pt>
                <c:pt idx="2">
                  <c:v>0.5</c:v>
                </c:pt>
                <c:pt idx="3">
                  <c:v>0.60000002</c:v>
                </c:pt>
                <c:pt idx="4">
                  <c:v>0.64999998</c:v>
                </c:pt>
                <c:pt idx="5">
                  <c:v>0.69999999</c:v>
                </c:pt>
                <c:pt idx="6">
                  <c:v>0.75</c:v>
                </c:pt>
                <c:pt idx="7">
                  <c:v>0.80000001</c:v>
                </c:pt>
                <c:pt idx="8">
                  <c:v>0.85000002</c:v>
                </c:pt>
                <c:pt idx="9">
                  <c:v>0.89999998</c:v>
                </c:pt>
                <c:pt idx="10">
                  <c:v>0.94999999</c:v>
                </c:pt>
                <c:pt idx="11">
                  <c:v>1.0</c:v>
                </c:pt>
              </c:numCache>
            </c:numRef>
          </c:xVal>
          <c:yVal>
            <c:numRef>
              <c:f>Figure_4_6_7_9!$G$5:$G$16</c:f>
              <c:numCache>
                <c:formatCode>General</c:formatCode>
                <c:ptCount val="12"/>
                <c:pt idx="0">
                  <c:v>19.93684663431897</c:v>
                </c:pt>
                <c:pt idx="1">
                  <c:v>18.75049198142197</c:v>
                </c:pt>
                <c:pt idx="2">
                  <c:v>18.10548661617206</c:v>
                </c:pt>
                <c:pt idx="3">
                  <c:v>17.52628525989961</c:v>
                </c:pt>
                <c:pt idx="4">
                  <c:v>17.23661341265829</c:v>
                </c:pt>
                <c:pt idx="5">
                  <c:v>16.94701704557802</c:v>
                </c:pt>
                <c:pt idx="6">
                  <c:v>12.33609914352432</c:v>
                </c:pt>
                <c:pt idx="7">
                  <c:v>6.126320794674157</c:v>
                </c:pt>
                <c:pt idx="8">
                  <c:v>-0.486240570171205</c:v>
                </c:pt>
                <c:pt idx="9">
                  <c:v>-6.82822899242791</c:v>
                </c:pt>
                <c:pt idx="10">
                  <c:v>-12.00249017960657</c:v>
                </c:pt>
                <c:pt idx="11">
                  <c:v>-18.1643737278755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929056"/>
        <c:axId val="-1399925664"/>
      </c:scatterChart>
      <c:valAx>
        <c:axId val="-139992905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Implementation rate, subsidies</a:t>
                </a:r>
              </a:p>
            </c:rich>
          </c:tx>
          <c:layout>
            <c:manualLayout>
              <c:xMode val="edge"/>
              <c:yMode val="edge"/>
              <c:x val="0.243953913825103"/>
              <c:y val="0.950061924630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399925664"/>
        <c:crossesAt val="-60.0"/>
        <c:crossBetween val="midCat"/>
      </c:valAx>
      <c:valAx>
        <c:axId val="-1399925664"/>
        <c:scaling>
          <c:orientation val="minMax"/>
          <c:max val="28.0"/>
          <c:min val="-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u="none" strike="noStrike" baseline="0">
                    <a:effectLst/>
                  </a:rPr>
                  <a:t>ESI Participation change, millions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399929056"/>
        <c:crosses val="autoZero"/>
        <c:crossBetween val="midCat"/>
        <c:majorUnit val="20.0"/>
        <c:min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8102563245105"/>
          <c:y val="0.326308958302811"/>
          <c:w val="0.332500001441418"/>
          <c:h val="0.1413354617905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6.  </a:t>
            </a:r>
            <a:r>
              <a:rPr lang="en-US"/>
              <a:t>Insuring the Uninsured</a:t>
            </a:r>
          </a:p>
          <a:p>
            <a:pPr>
              <a:defRPr/>
            </a:pPr>
            <a:r>
              <a:rPr lang="en-US" sz="1400" b="0"/>
              <a:t>As a function of subsidy and penalty implementation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52815605307061"/>
          <c:y val="0.0981974958740748"/>
          <c:w val="0.831529421754208"/>
          <c:h val="0.815135511177738"/>
        </c:manualLayout>
      </c:layout>
      <c:scatterChart>
        <c:scatterStyle val="lineMarker"/>
        <c:varyColors val="0"/>
        <c:ser>
          <c:idx val="0"/>
          <c:order val="0"/>
          <c:tx>
            <c:v>No penalty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Figure_4_6_7_9!$A$25:$A$36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Figure_4_6_7_9!$E$25:$E$36</c:f>
              <c:numCache>
                <c:formatCode>General</c:formatCode>
                <c:ptCount val="12"/>
                <c:pt idx="0">
                  <c:v>0.0038076171778556</c:v>
                </c:pt>
                <c:pt idx="1">
                  <c:v>0.0113231634451552</c:v>
                </c:pt>
                <c:pt idx="2">
                  <c:v>1.7049497795941</c:v>
                </c:pt>
                <c:pt idx="3">
                  <c:v>5.054029679821159</c:v>
                </c:pt>
                <c:pt idx="4">
                  <c:v>7.39791081815563</c:v>
                </c:pt>
                <c:pt idx="5">
                  <c:v>9.029099332799756</c:v>
                </c:pt>
                <c:pt idx="6">
                  <c:v>11.26727669412347</c:v>
                </c:pt>
                <c:pt idx="7">
                  <c:v>13.44772464421415</c:v>
                </c:pt>
                <c:pt idx="8">
                  <c:v>15.54606478304621</c:v>
                </c:pt>
                <c:pt idx="9">
                  <c:v>17.57657308267195</c:v>
                </c:pt>
                <c:pt idx="10">
                  <c:v>20.07520966308429</c:v>
                </c:pt>
                <c:pt idx="11">
                  <c:v>22.43368836969513</c:v>
                </c:pt>
              </c:numCache>
            </c:numRef>
          </c:yVal>
          <c:smooth val="0"/>
        </c:ser>
        <c:ser>
          <c:idx val="1"/>
          <c:order val="1"/>
          <c:tx>
            <c:v>Half penalty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Figure_4_6_7_9!$A$25:$A$36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Figure_4_6_7_9!$F$25:$F$36</c:f>
              <c:numCache>
                <c:formatCode>General</c:formatCode>
                <c:ptCount val="12"/>
                <c:pt idx="0">
                  <c:v>10.75016455514965</c:v>
                </c:pt>
                <c:pt idx="1">
                  <c:v>10.76602386455848</c:v>
                </c:pt>
                <c:pt idx="2">
                  <c:v>10.78900945843985</c:v>
                </c:pt>
                <c:pt idx="3">
                  <c:v>11.43702804944613</c:v>
                </c:pt>
                <c:pt idx="4">
                  <c:v>12.84259590424294</c:v>
                </c:pt>
                <c:pt idx="5">
                  <c:v>14.85406222421791</c:v>
                </c:pt>
                <c:pt idx="6">
                  <c:v>17.39875272253208</c:v>
                </c:pt>
                <c:pt idx="7">
                  <c:v>19.28156198382388</c:v>
                </c:pt>
                <c:pt idx="8">
                  <c:v>21.64601983248273</c:v>
                </c:pt>
                <c:pt idx="9">
                  <c:v>23.89737728462844</c:v>
                </c:pt>
                <c:pt idx="10">
                  <c:v>26.51772806307292</c:v>
                </c:pt>
                <c:pt idx="11">
                  <c:v>28.97745887768004</c:v>
                </c:pt>
              </c:numCache>
            </c:numRef>
          </c:yVal>
          <c:smooth val="0"/>
        </c:ser>
        <c:ser>
          <c:idx val="2"/>
          <c:order val="2"/>
          <c:tx>
            <c:v>Full penalty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Figure_4_6_7_9!$A$25:$A$36</c:f>
              <c:numCache>
                <c:formatCode>General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1.0</c:v>
                </c:pt>
              </c:numCache>
            </c:numRef>
          </c:xVal>
          <c:yVal>
            <c:numRef>
              <c:f>Figure_4_6_7_9!$G$25:$G$36</c:f>
              <c:numCache>
                <c:formatCode>General</c:formatCode>
                <c:ptCount val="12"/>
                <c:pt idx="0">
                  <c:v>20.95542534173181</c:v>
                </c:pt>
                <c:pt idx="1">
                  <c:v>20.98078679462246</c:v>
                </c:pt>
                <c:pt idx="2">
                  <c:v>21.53720859939394</c:v>
                </c:pt>
                <c:pt idx="3">
                  <c:v>21.56060289800045</c:v>
                </c:pt>
                <c:pt idx="4">
                  <c:v>21.57360743036479</c:v>
                </c:pt>
                <c:pt idx="5">
                  <c:v>21.58754878488595</c:v>
                </c:pt>
                <c:pt idx="6">
                  <c:v>23.21805356576763</c:v>
                </c:pt>
                <c:pt idx="7">
                  <c:v>25.80639377700484</c:v>
                </c:pt>
                <c:pt idx="8">
                  <c:v>27.80871095512036</c:v>
                </c:pt>
                <c:pt idx="9">
                  <c:v>30.56857118790776</c:v>
                </c:pt>
                <c:pt idx="10">
                  <c:v>32.74003497617352</c:v>
                </c:pt>
                <c:pt idx="11">
                  <c:v>35.50158423801788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890912"/>
        <c:axId val="-1426982816"/>
      </c:scatterChart>
      <c:valAx>
        <c:axId val="-142689091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Implementation</a:t>
                </a:r>
                <a:r>
                  <a:rPr lang="en-US" sz="1400" baseline="0"/>
                  <a:t> rate, subsidies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6982816"/>
        <c:crosses val="autoZero"/>
        <c:crossBetween val="midCat"/>
      </c:valAx>
      <c:valAx>
        <c:axId val="-1426982816"/>
        <c:scaling>
          <c:orientation val="minMax"/>
          <c:max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Private HI participation impact, millions,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6890912"/>
        <c:crosses val="autoZero"/>
        <c:crossBetween val="midCat"/>
        <c:majorUnit val="10.0"/>
        <c:min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20962080535325"/>
          <c:y val="0.142664357973968"/>
          <c:w val="0.149377047894866"/>
          <c:h val="0.1413354617905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>
            <a:noAutofit/>
          </a:bodyPr>
          <a:lstStyle/>
          <a:p>
            <a:pPr>
              <a:defRPr/>
            </a:pPr>
            <a:r>
              <a:rPr lang="en-US"/>
              <a:t>Appendix Figure</a:t>
            </a:r>
            <a:r>
              <a:rPr lang="en-US" baseline="0"/>
              <a:t> 2.  </a:t>
            </a:r>
            <a:r>
              <a:rPr lang="en-US"/>
              <a:t>The Window-dressing Margin and ESI Participation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67409643578975"/>
          <c:y val="0.0699444823517185"/>
          <c:w val="0.835924938419504"/>
          <c:h val="0.843388524700094"/>
        </c:manualLayout>
      </c:layout>
      <c:scatterChart>
        <c:scatterStyle val="lineMarker"/>
        <c:varyColors val="0"/>
        <c:ser>
          <c:idx val="0"/>
          <c:order val="0"/>
          <c:tx>
            <c:v>No window dressing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Figure_4_6_7_9!$A$56:$A$67</c:f>
              <c:numCache>
                <c:formatCode>General</c:formatCode>
                <c:ptCount val="12"/>
                <c:pt idx="0">
                  <c:v>0.1</c:v>
                </c:pt>
                <c:pt idx="1">
                  <c:v>0.30000001</c:v>
                </c:pt>
                <c:pt idx="2">
                  <c:v>0.5</c:v>
                </c:pt>
                <c:pt idx="3">
                  <c:v>0.60000002</c:v>
                </c:pt>
                <c:pt idx="4">
                  <c:v>0.64999998</c:v>
                </c:pt>
                <c:pt idx="5">
                  <c:v>0.69999999</c:v>
                </c:pt>
                <c:pt idx="6">
                  <c:v>0.75</c:v>
                </c:pt>
                <c:pt idx="7">
                  <c:v>0.80000001</c:v>
                </c:pt>
                <c:pt idx="8">
                  <c:v>0.85000002</c:v>
                </c:pt>
                <c:pt idx="9">
                  <c:v>0.89999998</c:v>
                </c:pt>
                <c:pt idx="10">
                  <c:v>0.94999999</c:v>
                </c:pt>
                <c:pt idx="11">
                  <c:v>1.0</c:v>
                </c:pt>
              </c:numCache>
            </c:numRef>
          </c:xVal>
          <c:yVal>
            <c:numRef>
              <c:f>Figure_4_6_7_9!$D$56:$D$67</c:f>
              <c:numCache>
                <c:formatCode>General</c:formatCode>
                <c:ptCount val="12"/>
                <c:pt idx="0">
                  <c:v>9.55415546748425</c:v>
                </c:pt>
                <c:pt idx="1">
                  <c:v>8.481056633867623</c:v>
                </c:pt>
                <c:pt idx="2">
                  <c:v>7.423948673010116</c:v>
                </c:pt>
                <c:pt idx="3">
                  <c:v>6.895588072005992</c:v>
                </c:pt>
                <c:pt idx="4">
                  <c:v>-0.434580419220197</c:v>
                </c:pt>
                <c:pt idx="5">
                  <c:v>-8.345206586969538</c:v>
                </c:pt>
                <c:pt idx="6">
                  <c:v>-15.20478116693023</c:v>
                </c:pt>
                <c:pt idx="7">
                  <c:v>-22.91784261829756</c:v>
                </c:pt>
                <c:pt idx="8">
                  <c:v>-29.30364334224664</c:v>
                </c:pt>
                <c:pt idx="9">
                  <c:v>-35.49869936046194</c:v>
                </c:pt>
                <c:pt idx="10">
                  <c:v>-41.99884904687627</c:v>
                </c:pt>
                <c:pt idx="11">
                  <c:v>-47.7062189556995</c:v>
                </c:pt>
              </c:numCache>
            </c:numRef>
          </c:yVal>
          <c:smooth val="0"/>
        </c:ser>
        <c:ser>
          <c:idx val="1"/>
          <c:order val="1"/>
          <c:tx>
            <c:v>25% window dressing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Figure_4_6_7_9!$A$56:$A$67</c:f>
              <c:numCache>
                <c:formatCode>General</c:formatCode>
                <c:ptCount val="12"/>
                <c:pt idx="0">
                  <c:v>0.1</c:v>
                </c:pt>
                <c:pt idx="1">
                  <c:v>0.30000001</c:v>
                </c:pt>
                <c:pt idx="2">
                  <c:v>0.5</c:v>
                </c:pt>
                <c:pt idx="3">
                  <c:v>0.60000002</c:v>
                </c:pt>
                <c:pt idx="4">
                  <c:v>0.64999998</c:v>
                </c:pt>
                <c:pt idx="5">
                  <c:v>0.69999999</c:v>
                </c:pt>
                <c:pt idx="6">
                  <c:v>0.75</c:v>
                </c:pt>
                <c:pt idx="7">
                  <c:v>0.80000001</c:v>
                </c:pt>
                <c:pt idx="8">
                  <c:v>0.85000002</c:v>
                </c:pt>
                <c:pt idx="9">
                  <c:v>0.89999998</c:v>
                </c:pt>
                <c:pt idx="10">
                  <c:v>0.94999999</c:v>
                </c:pt>
                <c:pt idx="11">
                  <c:v>1.0</c:v>
                </c:pt>
              </c:numCache>
            </c:numRef>
          </c:xVal>
          <c:yVal>
            <c:numRef>
              <c:f>Figure_4_6_7_9!$E$56:$E$67</c:f>
              <c:numCache>
                <c:formatCode>General</c:formatCode>
                <c:ptCount val="12"/>
                <c:pt idx="0">
                  <c:v>-1.83922573829328</c:v>
                </c:pt>
                <c:pt idx="1">
                  <c:v>-1.266331017112989</c:v>
                </c:pt>
                <c:pt idx="2">
                  <c:v>-0.731873105104654</c:v>
                </c:pt>
                <c:pt idx="3">
                  <c:v>0.0299785306873446</c:v>
                </c:pt>
                <c:pt idx="4">
                  <c:v>-0.102884501597543</c:v>
                </c:pt>
                <c:pt idx="5">
                  <c:v>0.264304110072359</c:v>
                </c:pt>
                <c:pt idx="6">
                  <c:v>-3.248176972648522</c:v>
                </c:pt>
                <c:pt idx="7">
                  <c:v>-8.812131169125336</c:v>
                </c:pt>
                <c:pt idx="8">
                  <c:v>-14.20870159644923</c:v>
                </c:pt>
                <c:pt idx="9">
                  <c:v>-19.28694501889456</c:v>
                </c:pt>
                <c:pt idx="10">
                  <c:v>-24.71123912325415</c:v>
                </c:pt>
                <c:pt idx="11">
                  <c:v>-29.67013649924739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848096"/>
        <c:axId val="-1428650512"/>
      </c:scatterChart>
      <c:valAx>
        <c:axId val="-142884809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Implementation rate, subsidies</a:t>
                </a:r>
              </a:p>
            </c:rich>
          </c:tx>
          <c:layout>
            <c:manualLayout>
              <c:xMode val="edge"/>
              <c:yMode val="edge"/>
              <c:x val="0.342886053587315"/>
              <c:y val="0.9540980694197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650512"/>
        <c:crossesAt val="-60.0"/>
        <c:crossBetween val="midCat"/>
      </c:valAx>
      <c:valAx>
        <c:axId val="-1428650512"/>
        <c:scaling>
          <c:orientation val="minMax"/>
          <c:max val="20.0"/>
          <c:min val="-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ESI participation impact, millions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848096"/>
        <c:crosses val="autoZero"/>
        <c:crossBetween val="midCat"/>
        <c:majorUnit val="20.0"/>
        <c:min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14008396244406"/>
          <c:y val="0.53295159427191"/>
          <c:w val="0.246065291535239"/>
          <c:h val="0.15731714512875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7.  </a:t>
            </a:r>
            <a:r>
              <a:rPr lang="en-US"/>
              <a:t>The ACA's Coverage Impact</a:t>
            </a:r>
          </a:p>
          <a:p>
            <a:pPr>
              <a:defRPr/>
            </a:pPr>
            <a:r>
              <a:rPr lang="en-US" sz="1400" b="0"/>
              <a:t>by subsidy implementation rate (0.5 penalty implementation)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82061365796627"/>
          <c:y val="0.0477456701807229"/>
          <c:w val="0.834459766197738"/>
          <c:h val="0.86558734939759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Figure_4_6_7_9!$E$44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00585803876031118"/>
                  <c:y val="-0.012108434366724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Figure_4_6_7_9!$D$44</c:f>
              <c:numCache>
                <c:formatCode>General</c:formatCode>
                <c:ptCount val="1"/>
                <c:pt idx="0">
                  <c:v>10.78900945843985</c:v>
                </c:pt>
              </c:numCache>
            </c:numRef>
          </c:xVal>
          <c:yVal>
            <c:numRef>
              <c:f>Figure_4_6_7_9!$C$44</c:f>
              <c:numCache>
                <c:formatCode>General</c:formatCode>
                <c:ptCount val="1"/>
                <c:pt idx="0">
                  <c:v>7.423948673010116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Figure_4_6_7_9!$E$45</c:f>
              <c:strCache>
                <c:ptCount val="1"/>
                <c:pt idx="0">
                  <c:v>0.6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numFmt formatCode="0.0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Figure_4_6_7_9!$D$45</c:f>
              <c:numCache>
                <c:formatCode>General</c:formatCode>
                <c:ptCount val="1"/>
                <c:pt idx="0">
                  <c:v>11.43702804944613</c:v>
                </c:pt>
              </c:numCache>
            </c:numRef>
          </c:xVal>
          <c:yVal>
            <c:numRef>
              <c:f>Figure_4_6_7_9!$C$45</c:f>
              <c:numCache>
                <c:formatCode>General</c:formatCode>
                <c:ptCount val="1"/>
                <c:pt idx="0">
                  <c:v>6.895588072005992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Figure_4_6_7_9!$E$46</c:f>
              <c:strCache>
                <c:ptCount val="1"/>
                <c:pt idx="0">
                  <c:v>0.65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Figure_4_6_7_9!$D$46</c:f>
              <c:numCache>
                <c:formatCode>General</c:formatCode>
                <c:ptCount val="1"/>
                <c:pt idx="0">
                  <c:v>12.84259590424294</c:v>
                </c:pt>
              </c:numCache>
            </c:numRef>
          </c:xVal>
          <c:yVal>
            <c:numRef>
              <c:f>Figure_4_6_7_9!$C$46</c:f>
              <c:numCache>
                <c:formatCode>General</c:formatCode>
                <c:ptCount val="1"/>
                <c:pt idx="0">
                  <c:v>-0.434580419220197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Figure_4_6_7_9!$E$47</c:f>
              <c:strCache>
                <c:ptCount val="1"/>
                <c:pt idx="0">
                  <c:v>0.7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Figure_4_6_7_9!$D$47</c:f>
              <c:numCache>
                <c:formatCode>General</c:formatCode>
                <c:ptCount val="1"/>
                <c:pt idx="0">
                  <c:v>14.85406222421791</c:v>
                </c:pt>
              </c:numCache>
            </c:numRef>
          </c:xVal>
          <c:yVal>
            <c:numRef>
              <c:f>Figure_4_6_7_9!$C$47</c:f>
              <c:numCache>
                <c:formatCode>General</c:formatCode>
                <c:ptCount val="1"/>
                <c:pt idx="0">
                  <c:v>-8.345206586969538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Figure_4_6_7_9!$E$48</c:f>
              <c:strCache>
                <c:ptCount val="1"/>
                <c:pt idx="0">
                  <c:v>0.75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Figure_4_6_7_9!$D$48</c:f>
              <c:numCache>
                <c:formatCode>General</c:formatCode>
                <c:ptCount val="1"/>
                <c:pt idx="0">
                  <c:v>17.39875272253208</c:v>
                </c:pt>
              </c:numCache>
            </c:numRef>
          </c:xVal>
          <c:yVal>
            <c:numRef>
              <c:f>Figure_4_6_7_9!$C$48</c:f>
              <c:numCache>
                <c:formatCode>General</c:formatCode>
                <c:ptCount val="1"/>
                <c:pt idx="0">
                  <c:v>-15.20478116693023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Figure_4_6_7_9!$E$49</c:f>
              <c:strCache>
                <c:ptCount val="1"/>
                <c:pt idx="0">
                  <c:v>0.8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Figure_4_6_7_9!$D$49</c:f>
              <c:numCache>
                <c:formatCode>General</c:formatCode>
                <c:ptCount val="1"/>
                <c:pt idx="0">
                  <c:v>19.28156198382388</c:v>
                </c:pt>
              </c:numCache>
            </c:numRef>
          </c:xVal>
          <c:yVal>
            <c:numRef>
              <c:f>Figure_4_6_7_9!$C$49</c:f>
              <c:numCache>
                <c:formatCode>General</c:formatCode>
                <c:ptCount val="1"/>
                <c:pt idx="0">
                  <c:v>-22.91784261829756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Figure_4_6_7_9!$E$50</c:f>
              <c:strCache>
                <c:ptCount val="1"/>
                <c:pt idx="0">
                  <c:v>0.85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Figure_4_6_7_9!$D$50</c:f>
              <c:numCache>
                <c:formatCode>General</c:formatCode>
                <c:ptCount val="1"/>
                <c:pt idx="0">
                  <c:v>21.64601983248273</c:v>
                </c:pt>
              </c:numCache>
            </c:numRef>
          </c:xVal>
          <c:yVal>
            <c:numRef>
              <c:f>Figure_4_6_7_9!$C$50</c:f>
              <c:numCache>
                <c:formatCode>General</c:formatCode>
                <c:ptCount val="1"/>
                <c:pt idx="0">
                  <c:v>-29.30364334224664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Figure_4_6_7_9!$E$51</c:f>
              <c:strCache>
                <c:ptCount val="1"/>
                <c:pt idx="0">
                  <c:v>0.9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Figure_4_6_7_9!$D$51</c:f>
              <c:numCache>
                <c:formatCode>General</c:formatCode>
                <c:ptCount val="1"/>
                <c:pt idx="0">
                  <c:v>23.89737728462844</c:v>
                </c:pt>
              </c:numCache>
            </c:numRef>
          </c:xVal>
          <c:yVal>
            <c:numRef>
              <c:f>Figure_4_6_7_9!$C$51</c:f>
              <c:numCache>
                <c:formatCode>General</c:formatCode>
                <c:ptCount val="1"/>
                <c:pt idx="0">
                  <c:v>-35.49869936046194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-1428755120"/>
        <c:axId val="-1432049072"/>
      </c:scatterChart>
      <c:valAx>
        <c:axId val="-1428755120"/>
        <c:scaling>
          <c:orientation val="minMax"/>
          <c:max val="26.0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Private HI participation impact, millions</a:t>
                </a:r>
              </a:p>
            </c:rich>
          </c:tx>
          <c:layout>
            <c:manualLayout>
              <c:xMode val="edge"/>
              <c:yMode val="edge"/>
              <c:x val="0.298699091272328"/>
              <c:y val="0.9561161418142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2049072"/>
        <c:crossesAt val="-40.0"/>
        <c:crossBetween val="midCat"/>
      </c:valAx>
      <c:valAx>
        <c:axId val="-1432049072"/>
        <c:scaling>
          <c:orientation val="minMax"/>
          <c:max val="15.0"/>
          <c:min val="-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ESI participation</a:t>
                </a:r>
                <a:r>
                  <a:rPr lang="en-US" sz="1400" baseline="0"/>
                  <a:t> change, millions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755120"/>
        <c:crosses val="autoZero"/>
        <c:crossBetween val="midCat"/>
        <c:majorUnit val="10.0"/>
        <c:minorUnit val="0.2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1.  Equilibrium Allocations by Sector: no ACA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332775163974989"/>
          <c:y val="0.0457264022305438"/>
          <c:w val="0.881345301610484"/>
          <c:h val="0.86558734939759"/>
        </c:manualLayout>
      </c:layout>
      <c:scatterChart>
        <c:scatterStyle val="lineMarker"/>
        <c:varyColors val="0"/>
        <c:ser>
          <c:idx val="1"/>
          <c:order val="0"/>
          <c:tx>
            <c:v>high-skill labor per unit low-skill (K/L)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Sectors!$O$17:$O$217</c:f>
              <c:numCache>
                <c:formatCode>0.00</c:formatCode>
                <c:ptCount val="201"/>
                <c:pt idx="0">
                  <c:v>7.171726574466152</c:v>
                </c:pt>
                <c:pt idx="1">
                  <c:v>7.04892981274887</c:v>
                </c:pt>
                <c:pt idx="2">
                  <c:v>6.928235619294854</c:v>
                </c:pt>
                <c:pt idx="3">
                  <c:v>6.80960799320929</c:v>
                </c:pt>
                <c:pt idx="4">
                  <c:v>6.693011550017029</c:v>
                </c:pt>
                <c:pt idx="5">
                  <c:v>6.578411511108047</c:v>
                </c:pt>
                <c:pt idx="6">
                  <c:v>6.465773693363603</c:v>
                </c:pt>
                <c:pt idx="7">
                  <c:v>6.355064498960032</c:v>
                </c:pt>
                <c:pt idx="8">
                  <c:v>6.246250905347144</c:v>
                </c:pt>
                <c:pt idx="9">
                  <c:v>6.139300455398163</c:v>
                </c:pt>
                <c:pt idx="10">
                  <c:v>6.034181247728373</c:v>
                </c:pt>
                <c:pt idx="11">
                  <c:v>5.930861927179497</c:v>
                </c:pt>
                <c:pt idx="12">
                  <c:v>5.829311675467045</c:v>
                </c:pt>
                <c:pt idx="13">
                  <c:v>5.729500201987754</c:v>
                </c:pt>
                <c:pt idx="14">
                  <c:v>5.631397734784456</c:v>
                </c:pt>
                <c:pt idx="15">
                  <c:v>5.534975011665657</c:v>
                </c:pt>
                <c:pt idx="16">
                  <c:v>5.440203271477107</c:v>
                </c:pt>
                <c:pt idx="17">
                  <c:v>5.347054245522945</c:v>
                </c:pt>
                <c:pt idx="18">
                  <c:v>5.255500149133583</c:v>
                </c:pt>
                <c:pt idx="19">
                  <c:v>5.165513673378088</c:v>
                </c:pt>
                <c:pt idx="20">
                  <c:v>5.042115191763527</c:v>
                </c:pt>
                <c:pt idx="21">
                  <c:v>4.990136678003048</c:v>
                </c:pt>
                <c:pt idx="22">
                  <c:v>4.904693846597975</c:v>
                </c:pt>
                <c:pt idx="23">
                  <c:v>4.820713996652049</c:v>
                </c:pt>
                <c:pt idx="24">
                  <c:v>4.738172078495044</c:v>
                </c:pt>
                <c:pt idx="25">
                  <c:v>4.657043471365776</c:v>
                </c:pt>
                <c:pt idx="26">
                  <c:v>4.577303976068181</c:v>
                </c:pt>
                <c:pt idx="27">
                  <c:v>4.49892980775312</c:v>
                </c:pt>
                <c:pt idx="28">
                  <c:v>4.421897588823814</c:v>
                </c:pt>
                <c:pt idx="29">
                  <c:v>4.346184341962697</c:v>
                </c:pt>
                <c:pt idx="30">
                  <c:v>4.27176748327772</c:v>
                </c:pt>
                <c:pt idx="31">
                  <c:v>4.198624815565978</c:v>
                </c:pt>
                <c:pt idx="32">
                  <c:v>4.12673452169268</c:v>
                </c:pt>
                <c:pt idx="33">
                  <c:v>4.056075158083511</c:v>
                </c:pt>
                <c:pt idx="34">
                  <c:v>3.986625648328378</c:v>
                </c:pt>
                <c:pt idx="35">
                  <c:v>3.918365276894711</c:v>
                </c:pt>
                <c:pt idx="36">
                  <c:v>3.851273682948396</c:v>
                </c:pt>
                <c:pt idx="37">
                  <c:v>3.785330854280498</c:v>
                </c:pt>
                <c:pt idx="38">
                  <c:v>3.720517121337992</c:v>
                </c:pt>
                <c:pt idx="39">
                  <c:v>3.656813151356676</c:v>
                </c:pt>
                <c:pt idx="40">
                  <c:v>3.59419994259458</c:v>
                </c:pt>
                <c:pt idx="41">
                  <c:v>3.532658818664057</c:v>
                </c:pt>
                <c:pt idx="42">
                  <c:v>3.472171422960992</c:v>
                </c:pt>
                <c:pt idx="43">
                  <c:v>3.412719713189332</c:v>
                </c:pt>
                <c:pt idx="44">
                  <c:v>3.354285955979402</c:v>
                </c:pt>
                <c:pt idx="45">
                  <c:v>3.296852721598368</c:v>
                </c:pt>
                <c:pt idx="46">
                  <c:v>3.240402878751256</c:v>
                </c:pt>
                <c:pt idx="47">
                  <c:v>3.184919589471002</c:v>
                </c:pt>
                <c:pt idx="48">
                  <c:v>3.130386304095986</c:v>
                </c:pt>
                <c:pt idx="49">
                  <c:v>3.076786756333568</c:v>
                </c:pt>
                <c:pt idx="50">
                  <c:v>3.024104958408152</c:v>
                </c:pt>
                <c:pt idx="51">
                  <c:v>2.972325196292318</c:v>
                </c:pt>
                <c:pt idx="52">
                  <c:v>2.921432025019607</c:v>
                </c:pt>
                <c:pt idx="53">
                  <c:v>2.871410264077576</c:v>
                </c:pt>
                <c:pt idx="54">
                  <c:v>2.822244992879724</c:v>
                </c:pt>
                <c:pt idx="55">
                  <c:v>2.773921546314944</c:v>
                </c:pt>
                <c:pt idx="56">
                  <c:v>2.726425510373194</c:v>
                </c:pt>
                <c:pt idx="57">
                  <c:v>2.679742717846051</c:v>
                </c:pt>
                <c:pt idx="58">
                  <c:v>2.633859244100897</c:v>
                </c:pt>
                <c:pt idx="59">
                  <c:v>2.588761402927446</c:v>
                </c:pt>
                <c:pt idx="60">
                  <c:v>2.544435742455395</c:v>
                </c:pt>
                <c:pt idx="61">
                  <c:v>2.500869041141986</c:v>
                </c:pt>
                <c:pt idx="62">
                  <c:v>2.45804830382824</c:v>
                </c:pt>
                <c:pt idx="63">
                  <c:v>2.415960757862754</c:v>
                </c:pt>
                <c:pt idx="64">
                  <c:v>2.374593849291835</c:v>
                </c:pt>
                <c:pt idx="65">
                  <c:v>2.3339352391149</c:v>
                </c:pt>
                <c:pt idx="66">
                  <c:v>2.293972799603953</c:v>
                </c:pt>
                <c:pt idx="67">
                  <c:v>2.254694610686129</c:v>
                </c:pt>
                <c:pt idx="68">
                  <c:v>2.216088956388123</c:v>
                </c:pt>
                <c:pt idx="69">
                  <c:v>2.178144321341558</c:v>
                </c:pt>
                <c:pt idx="70">
                  <c:v>2.140849387348132</c:v>
                </c:pt>
                <c:pt idx="71">
                  <c:v>2.10419303000362</c:v>
                </c:pt>
                <c:pt idx="72">
                  <c:v>2.06816431537966</c:v>
                </c:pt>
                <c:pt idx="73">
                  <c:v>2.032752496762364</c:v>
                </c:pt>
                <c:pt idx="74">
                  <c:v>1.997947011446757</c:v>
                </c:pt>
                <c:pt idx="75">
                  <c:v>1.963737477586129</c:v>
                </c:pt>
                <c:pt idx="76">
                  <c:v>1.930113691095304</c:v>
                </c:pt>
                <c:pt idx="77">
                  <c:v>1.897065622606953</c:v>
                </c:pt>
                <c:pt idx="78">
                  <c:v>1.864583414480015</c:v>
                </c:pt>
                <c:pt idx="79">
                  <c:v>1.83265737785934</c:v>
                </c:pt>
                <c:pt idx="80">
                  <c:v>1.801277989785672</c:v>
                </c:pt>
                <c:pt idx="81">
                  <c:v>1.770435890355139</c:v>
                </c:pt>
                <c:pt idx="82">
                  <c:v>1.740121879927346</c:v>
                </c:pt>
                <c:pt idx="83">
                  <c:v>1.710326916381295</c:v>
                </c:pt>
                <c:pt idx="84">
                  <c:v>1.681042112418291</c:v>
                </c:pt>
                <c:pt idx="85">
                  <c:v>1.652258732911007</c:v>
                </c:pt>
                <c:pt idx="86">
                  <c:v>1.623968192297966</c:v>
                </c:pt>
                <c:pt idx="87">
                  <c:v>1.596162052022618</c:v>
                </c:pt>
                <c:pt idx="88">
                  <c:v>1.568832018016272</c:v>
                </c:pt>
                <c:pt idx="89">
                  <c:v>1.541969938224123</c:v>
                </c:pt>
                <c:pt idx="90">
                  <c:v>1.515567800173649</c:v>
                </c:pt>
                <c:pt idx="91">
                  <c:v>1.489617728584626</c:v>
                </c:pt>
                <c:pt idx="92">
                  <c:v>1.464111983020079</c:v>
                </c:pt>
                <c:pt idx="93">
                  <c:v>1.43904295557745</c:v>
                </c:pt>
                <c:pt idx="94">
                  <c:v>1.414403168619298</c:v>
                </c:pt>
                <c:pt idx="95">
                  <c:v>1.390185272542852</c:v>
                </c:pt>
                <c:pt idx="96">
                  <c:v>1.366382043587764</c:v>
                </c:pt>
                <c:pt idx="97">
                  <c:v>1.342986381681384</c:v>
                </c:pt>
                <c:pt idx="98">
                  <c:v>1.319991308320942</c:v>
                </c:pt>
                <c:pt idx="99">
                  <c:v>1.297389964491988</c:v>
                </c:pt>
                <c:pt idx="100">
                  <c:v>1.275175608622465</c:v>
                </c:pt>
                <c:pt idx="101">
                  <c:v>1.253341614571828</c:v>
                </c:pt>
                <c:pt idx="102">
                  <c:v>1.23188146965458</c:v>
                </c:pt>
                <c:pt idx="103">
                  <c:v>1.210788772697661</c:v>
                </c:pt>
                <c:pt idx="104">
                  <c:v>1.190057232131088</c:v>
                </c:pt>
                <c:pt idx="105">
                  <c:v>1.169680664111302</c:v>
                </c:pt>
                <c:pt idx="106">
                  <c:v>1.149652990676628</c:v>
                </c:pt>
                <c:pt idx="107">
                  <c:v>1.129968237934339</c:v>
                </c:pt>
                <c:pt idx="108">
                  <c:v>1.110620534278746</c:v>
                </c:pt>
                <c:pt idx="109">
                  <c:v>1.091604108639807</c:v>
                </c:pt>
                <c:pt idx="110">
                  <c:v>1.072913288761719</c:v>
                </c:pt>
                <c:pt idx="111">
                  <c:v>1.05454249951099</c:v>
                </c:pt>
                <c:pt idx="112">
                  <c:v>1.036486261213474</c:v>
                </c:pt>
                <c:pt idx="113">
                  <c:v>1.018739188019885</c:v>
                </c:pt>
                <c:pt idx="114">
                  <c:v>1.001295986299295</c:v>
                </c:pt>
                <c:pt idx="115">
                  <c:v>0.984151453060141</c:v>
                </c:pt>
                <c:pt idx="116">
                  <c:v>1.03160258999631</c:v>
                </c:pt>
                <c:pt idx="117">
                  <c:v>1.013939136695997</c:v>
                </c:pt>
                <c:pt idx="118">
                  <c:v>0.996578123100195</c:v>
                </c:pt>
                <c:pt idx="119">
                  <c:v>0.979514370732573</c:v>
                </c:pt>
                <c:pt idx="120">
                  <c:v>0.962742789784446</c:v>
                </c:pt>
                <c:pt idx="121">
                  <c:v>0.946258377596578</c:v>
                </c:pt>
                <c:pt idx="122">
                  <c:v>0.930056217166981</c:v>
                </c:pt>
                <c:pt idx="123">
                  <c:v>0.914131475684262</c:v>
                </c:pt>
                <c:pt idx="124">
                  <c:v>0.898479403086079</c:v>
                </c:pt>
                <c:pt idx="125">
                  <c:v>0.883095330642289</c:v>
                </c:pt>
                <c:pt idx="126">
                  <c:v>0.867974669562346</c:v>
                </c:pt>
                <c:pt idx="127">
                  <c:v>0.853112909626551</c:v>
                </c:pt>
                <c:pt idx="128">
                  <c:v>0.838505617840732</c:v>
                </c:pt>
                <c:pt idx="129">
                  <c:v>0.824148437113963</c:v>
                </c:pt>
                <c:pt idx="130">
                  <c:v>0.810037084958923</c:v>
                </c:pt>
                <c:pt idx="131">
                  <c:v>0.796167352214509</c:v>
                </c:pt>
                <c:pt idx="132">
                  <c:v>0.782535101790316</c:v>
                </c:pt>
                <c:pt idx="133">
                  <c:v>0.769136267432622</c:v>
                </c:pt>
                <c:pt idx="134">
                  <c:v>0.755966852511492</c:v>
                </c:pt>
                <c:pt idx="135">
                  <c:v>0.743022928828662</c:v>
                </c:pt>
                <c:pt idx="136">
                  <c:v>0.730300635445826</c:v>
                </c:pt>
                <c:pt idx="137">
                  <c:v>0.717796177532984</c:v>
                </c:pt>
                <c:pt idx="138">
                  <c:v>0.705505825236522</c:v>
                </c:pt>
                <c:pt idx="139">
                  <c:v>0.693425912566655</c:v>
                </c:pt>
                <c:pt idx="140">
                  <c:v>0.681552836303932</c:v>
                </c:pt>
                <c:pt idx="141">
                  <c:v>0.669883054924464</c:v>
                </c:pt>
                <c:pt idx="142">
                  <c:v>0.658413087543544</c:v>
                </c:pt>
                <c:pt idx="143">
                  <c:v>0.647139512877371</c:v>
                </c:pt>
                <c:pt idx="144">
                  <c:v>0.636058968222537</c:v>
                </c:pt>
                <c:pt idx="145">
                  <c:v>0.625168148452993</c:v>
                </c:pt>
                <c:pt idx="146">
                  <c:v>0.614463805034194</c:v>
                </c:pt>
                <c:pt idx="147">
                  <c:v>0.603942745054117</c:v>
                </c:pt>
                <c:pt idx="148">
                  <c:v>0.593601830270872</c:v>
                </c:pt>
                <c:pt idx="149">
                  <c:v>0.583437976176624</c:v>
                </c:pt>
                <c:pt idx="150">
                  <c:v>0.57344815107754</c:v>
                </c:pt>
                <c:pt idx="151">
                  <c:v>0.563629375189487</c:v>
                </c:pt>
                <c:pt idx="152">
                  <c:v>0.553978719749217</c:v>
                </c:pt>
                <c:pt idx="153">
                  <c:v>0.544493306140772</c:v>
                </c:pt>
                <c:pt idx="154">
                  <c:v>0.535170305036844</c:v>
                </c:pt>
                <c:pt idx="155">
                  <c:v>0.526006935554836</c:v>
                </c:pt>
                <c:pt idx="156">
                  <c:v>0.517000464427376</c:v>
                </c:pt>
                <c:pt idx="157">
                  <c:v>0.508148205187037</c:v>
                </c:pt>
                <c:pt idx="158">
                  <c:v>0.499447517365003</c:v>
                </c:pt>
                <c:pt idx="159">
                  <c:v>0.490895805703475</c:v>
                </c:pt>
                <c:pt idx="160">
                  <c:v>0.482490519381545</c:v>
                </c:pt>
                <c:pt idx="161">
                  <c:v>0.474229151254338</c:v>
                </c:pt>
                <c:pt idx="162">
                  <c:v>0.466109237105171</c:v>
                </c:pt>
                <c:pt idx="163">
                  <c:v>0.458128354910525</c:v>
                </c:pt>
                <c:pt idx="164">
                  <c:v>0.450284124117599</c:v>
                </c:pt>
                <c:pt idx="165">
                  <c:v>0.442574204934232</c:v>
                </c:pt>
                <c:pt idx="166">
                  <c:v>0.434996297630987</c:v>
                </c:pt>
                <c:pt idx="167">
                  <c:v>0.427548141855184</c:v>
                </c:pt>
                <c:pt idx="168">
                  <c:v>0.420227515956676</c:v>
                </c:pt>
                <c:pt idx="169">
                  <c:v>0.413032236325172</c:v>
                </c:pt>
                <c:pt idx="170">
                  <c:v>0.405960156738904</c:v>
                </c:pt>
                <c:pt idx="171">
                  <c:v>0.399009167724451</c:v>
                </c:pt>
                <c:pt idx="172">
                  <c:v>0.392177195927518</c:v>
                </c:pt>
                <c:pt idx="173">
                  <c:v>0.385462203494494</c:v>
                </c:pt>
                <c:pt idx="174">
                  <c:v>0.378862187464595</c:v>
                </c:pt>
                <c:pt idx="175">
                  <c:v>0.372375179172419</c:v>
                </c:pt>
                <c:pt idx="176">
                  <c:v>0.36599924366073</c:v>
                </c:pt>
                <c:pt idx="177">
                  <c:v>0.359732479103291</c:v>
                </c:pt>
                <c:pt idx="178">
                  <c:v>0.353573016237586</c:v>
                </c:pt>
                <c:pt idx="179">
                  <c:v>0.347519017807255</c:v>
                </c:pt>
                <c:pt idx="180">
                  <c:v>0.341568678014068</c:v>
                </c:pt>
                <c:pt idx="181">
                  <c:v>0.335720221979295</c:v>
                </c:pt>
                <c:pt idx="182">
                  <c:v>0.329971905214287</c:v>
                </c:pt>
                <c:pt idx="183">
                  <c:v>0.324322013100126</c:v>
                </c:pt>
                <c:pt idx="184">
                  <c:v>0.31876886037619</c:v>
                </c:pt>
                <c:pt idx="185">
                  <c:v>0.313310790637465</c:v>
                </c:pt>
                <c:pt idx="186">
                  <c:v>0.307946175840473</c:v>
                </c:pt>
                <c:pt idx="187">
                  <c:v>0.302673415817655</c:v>
                </c:pt>
                <c:pt idx="188">
                  <c:v>0.297490937800068</c:v>
                </c:pt>
                <c:pt idx="189">
                  <c:v>0.29239719594826</c:v>
                </c:pt>
                <c:pt idx="190">
                  <c:v>0.287390670891171</c:v>
                </c:pt>
                <c:pt idx="191">
                  <c:v>0.282469869272933</c:v>
                </c:pt>
                <c:pt idx="192">
                  <c:v>0.277633323307431</c:v>
                </c:pt>
                <c:pt idx="193">
                  <c:v>0.272879590340485</c:v>
                </c:pt>
                <c:pt idx="194">
                  <c:v>0.268207252419537</c:v>
                </c:pt>
                <c:pt idx="195">
                  <c:v>0.263614915870698</c:v>
                </c:pt>
                <c:pt idx="196">
                  <c:v>0.259101210883039</c:v>
                </c:pt>
                <c:pt idx="197">
                  <c:v>0.254664791100006</c:v>
                </c:pt>
                <c:pt idx="198">
                  <c:v>0.250304333217824</c:v>
                </c:pt>
                <c:pt idx="199">
                  <c:v>0.246018536590777</c:v>
                </c:pt>
                <c:pt idx="200">
                  <c:v>0.241806122843252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Sectors!$H$16</c:f>
              <c:strCache>
                <c:ptCount val="1"/>
                <c:pt idx="0">
                  <c:v>ESI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Sectors!$H$17:$H$217</c:f>
              <c:numCache>
                <c:formatCode>General</c:formatCode>
                <c:ptCount val="2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output price/r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Sectors!$P$17:$P$217</c:f>
              <c:numCache>
                <c:formatCode>0.00</c:formatCode>
                <c:ptCount val="201"/>
                <c:pt idx="0">
                  <c:v>1.259533741260883</c:v>
                </c:pt>
                <c:pt idx="1">
                  <c:v>1.264791191190055</c:v>
                </c:pt>
                <c:pt idx="2">
                  <c:v>1.270076671958831</c:v>
                </c:pt>
                <c:pt idx="3">
                  <c:v>1.275390182373942</c:v>
                </c:pt>
                <c:pt idx="4">
                  <c:v>1.280731714478432</c:v>
                </c:pt>
                <c:pt idx="5">
                  <c:v>1.286101253343761</c:v>
                </c:pt>
                <c:pt idx="6">
                  <c:v>1.29149877685839</c:v>
                </c:pt>
                <c:pt idx="7">
                  <c:v>1.296924255512844</c:v>
                </c:pt>
                <c:pt idx="8">
                  <c:v>1.302377652181312</c:v>
                </c:pt>
                <c:pt idx="9">
                  <c:v>1.30785892189978</c:v>
                </c:pt>
                <c:pt idx="10">
                  <c:v>1.313368011640769</c:v>
                </c:pt>
                <c:pt idx="11">
                  <c:v>1.318904860084696</c:v>
                </c:pt>
                <c:pt idx="12">
                  <c:v>1.324469397387919</c:v>
                </c:pt>
                <c:pt idx="13">
                  <c:v>1.330061544947512</c:v>
                </c:pt>
                <c:pt idx="14">
                  <c:v>1.335681215162834</c:v>
                </c:pt>
                <c:pt idx="15">
                  <c:v>1.341328311193976</c:v>
                </c:pt>
                <c:pt idx="16">
                  <c:v>1.34700272671712</c:v>
                </c:pt>
                <c:pt idx="17">
                  <c:v>1.352704345676936</c:v>
                </c:pt>
                <c:pt idx="18">
                  <c:v>1.35843304203608</c:v>
                </c:pt>
                <c:pt idx="19">
                  <c:v>1.364188679521884</c:v>
                </c:pt>
                <c:pt idx="20">
                  <c:v>1.372291551615353</c:v>
                </c:pt>
                <c:pt idx="21">
                  <c:v>1.375780180067667</c:v>
                </c:pt>
                <c:pt idx="22">
                  <c:v>1.381615717088976</c:v>
                </c:pt>
                <c:pt idx="23">
                  <c:v>1.3874775426352</c:v>
                </c:pt>
                <c:pt idx="24">
                  <c:v>1.393365465367378</c:v>
                </c:pt>
                <c:pt idx="25">
                  <c:v>1.399279282139076</c:v>
                </c:pt>
                <c:pt idx="26">
                  <c:v>1.405218777726883</c:v>
                </c:pt>
                <c:pt idx="27">
                  <c:v>1.41118372455919</c:v>
                </c:pt>
                <c:pt idx="28">
                  <c:v>1.417173882443418</c:v>
                </c:pt>
                <c:pt idx="29">
                  <c:v>1.423188998291887</c:v>
                </c:pt>
                <c:pt idx="30">
                  <c:v>1.429228805846515</c:v>
                </c:pt>
                <c:pt idx="31">
                  <c:v>1.435293025402582</c:v>
                </c:pt>
                <c:pt idx="32">
                  <c:v>1.441381363531735</c:v>
                </c:pt>
                <c:pt idx="33">
                  <c:v>1.447493512804503</c:v>
                </c:pt>
                <c:pt idx="34">
                  <c:v>1.453629151512549</c:v>
                </c:pt>
                <c:pt idx="35">
                  <c:v>1.459787943390903</c:v>
                </c:pt>
                <c:pt idx="36">
                  <c:v>1.465969537340461</c:v>
                </c:pt>
                <c:pt idx="37">
                  <c:v>1.472173567151022</c:v>
                </c:pt>
                <c:pt idx="38">
                  <c:v>1.478399651225136</c:v>
                </c:pt>
                <c:pt idx="39">
                  <c:v>1.484647392303091</c:v>
                </c:pt>
                <c:pt idx="40">
                  <c:v>1.49091637718935</c:v>
                </c:pt>
                <c:pt idx="41">
                  <c:v>1.497206176480736</c:v>
                </c:pt>
                <c:pt idx="42">
                  <c:v>1.503516344296757</c:v>
                </c:pt>
                <c:pt idx="43">
                  <c:v>1.509846418012383</c:v>
                </c:pt>
                <c:pt idx="44">
                  <c:v>1.516195917993665</c:v>
                </c:pt>
                <c:pt idx="45">
                  <c:v>1.522564347336569</c:v>
                </c:pt>
                <c:pt idx="46">
                  <c:v>1.528951191609412</c:v>
                </c:pt>
                <c:pt idx="47">
                  <c:v>1.535355918599336</c:v>
                </c:pt>
                <c:pt idx="48">
                  <c:v>1.541777978063196</c:v>
                </c:pt>
                <c:pt idx="49">
                  <c:v>1.548216801483342</c:v>
                </c:pt>
                <c:pt idx="50">
                  <c:v>1.554671801828707</c:v>
                </c:pt>
                <c:pt idx="51">
                  <c:v>1.561142373321682</c:v>
                </c:pt>
                <c:pt idx="52">
                  <c:v>1.567627891211232</c:v>
                </c:pt>
                <c:pt idx="53">
                  <c:v>1.574127711552775</c:v>
                </c:pt>
                <c:pt idx="54">
                  <c:v>1.580641170995267</c:v>
                </c:pt>
                <c:pt idx="55">
                  <c:v>1.587167586576061</c:v>
                </c:pt>
                <c:pt idx="56">
                  <c:v>1.593706255524022</c:v>
                </c:pt>
                <c:pt idx="57">
                  <c:v>1.60025645507145</c:v>
                </c:pt>
                <c:pt idx="58">
                  <c:v>1.60681744227535</c:v>
                </c:pt>
                <c:pt idx="59">
                  <c:v>1.613388453848616</c:v>
                </c:pt>
                <c:pt idx="60">
                  <c:v>1.619968706001685</c:v>
                </c:pt>
                <c:pt idx="61">
                  <c:v>1.626557394295232</c:v>
                </c:pt>
                <c:pt idx="62">
                  <c:v>1.633153693504516</c:v>
                </c:pt>
                <c:pt idx="63">
                  <c:v>1.639756757495947</c:v>
                </c:pt>
                <c:pt idx="64">
                  <c:v>1.646365719116478</c:v>
                </c:pt>
                <c:pt idx="65">
                  <c:v>1.652979690096464</c:v>
                </c:pt>
                <c:pt idx="66">
                  <c:v>1.65959776096655</c:v>
                </c:pt>
                <c:pt idx="67">
                  <c:v>1.666219000989262</c:v>
                </c:pt>
                <c:pt idx="68">
                  <c:v>1.672842458105891</c:v>
                </c:pt>
                <c:pt idx="69">
                  <c:v>1.679467158899321</c:v>
                </c:pt>
                <c:pt idx="70">
                  <c:v>1.686092108573421</c:v>
                </c:pt>
                <c:pt idx="71">
                  <c:v>1.692716290949652</c:v>
                </c:pt>
                <c:pt idx="72">
                  <c:v>1.699338668481493</c:v>
                </c:pt>
                <c:pt idx="73">
                  <c:v>1.705958182287364</c:v>
                </c:pt>
                <c:pt idx="74">
                  <c:v>1.712573752202634</c:v>
                </c:pt>
                <c:pt idx="75">
                  <c:v>1.719184276851375</c:v>
                </c:pt>
                <c:pt idx="76">
                  <c:v>1.725788633738466</c:v>
                </c:pt>
                <c:pt idx="77">
                  <c:v>1.73238567936268</c:v>
                </c:pt>
                <c:pt idx="78">
                  <c:v>1.738974249351348</c:v>
                </c:pt>
                <c:pt idx="79">
                  <c:v>1.745553158617219</c:v>
                </c:pt>
                <c:pt idx="80">
                  <c:v>1.752121201538084</c:v>
                </c:pt>
                <c:pt idx="81">
                  <c:v>1.758677152159774</c:v>
                </c:pt>
                <c:pt idx="82">
                  <c:v>1.765219764423048</c:v>
                </c:pt>
                <c:pt idx="83">
                  <c:v>1.771747772414967</c:v>
                </c:pt>
                <c:pt idx="84">
                  <c:v>1.77825989064525</c:v>
                </c:pt>
                <c:pt idx="85">
                  <c:v>1.784754814348143</c:v>
                </c:pt>
                <c:pt idx="86">
                  <c:v>1.791231219810267</c:v>
                </c:pt>
                <c:pt idx="87">
                  <c:v>1.797687764724927</c:v>
                </c:pt>
                <c:pt idx="88">
                  <c:v>1.804123088573319</c:v>
                </c:pt>
                <c:pt idx="89">
                  <c:v>1.810535813033036</c:v>
                </c:pt>
                <c:pt idx="90">
                  <c:v>1.816924542414267</c:v>
                </c:pt>
                <c:pt idx="91">
                  <c:v>1.823287864124034</c:v>
                </c:pt>
                <c:pt idx="92">
                  <c:v>1.82962434915878</c:v>
                </c:pt>
                <c:pt idx="93">
                  <c:v>1.835932552625598</c:v>
                </c:pt>
                <c:pt idx="94">
                  <c:v>1.842211014292336</c:v>
                </c:pt>
                <c:pt idx="95">
                  <c:v>1.848458259166799</c:v>
                </c:pt>
                <c:pt idx="96">
                  <c:v>1.854672798105174</c:v>
                </c:pt>
                <c:pt idx="97">
                  <c:v>1.860853128449847</c:v>
                </c:pt>
                <c:pt idx="98">
                  <c:v>1.866997734696635</c:v>
                </c:pt>
                <c:pt idx="99">
                  <c:v>1.873105089191503</c:v>
                </c:pt>
                <c:pt idx="100">
                  <c:v>1.879173652856704</c:v>
                </c:pt>
                <c:pt idx="101">
                  <c:v>1.88520187594629</c:v>
                </c:pt>
                <c:pt idx="102">
                  <c:v>1.891188198830864</c:v>
                </c:pt>
                <c:pt idx="103">
                  <c:v>1.897131052811379</c:v>
                </c:pt>
                <c:pt idx="104">
                  <c:v>1.90302886096175</c:v>
                </c:pt>
                <c:pt idx="105">
                  <c:v>1.908880038999985</c:v>
                </c:pt>
                <c:pt idx="106">
                  <c:v>1.914682996187484</c:v>
                </c:pt>
                <c:pt idx="107">
                  <c:v>1.920436136256057</c:v>
                </c:pt>
                <c:pt idx="108">
                  <c:v>1.926137858362242</c:v>
                </c:pt>
                <c:pt idx="109">
                  <c:v>1.9317865580683</c:v>
                </c:pt>
                <c:pt idx="110">
                  <c:v>1.937380628349366</c:v>
                </c:pt>
                <c:pt idx="111">
                  <c:v>1.942918460626021</c:v>
                </c:pt>
                <c:pt idx="112">
                  <c:v>1.948398445821582</c:v>
                </c:pt>
                <c:pt idx="113">
                  <c:v>1.953818975443296</c:v>
                </c:pt>
                <c:pt idx="114">
                  <c:v>1.959178442686577</c:v>
                </c:pt>
                <c:pt idx="115">
                  <c:v>1.964475243561343</c:v>
                </c:pt>
                <c:pt idx="116">
                  <c:v>1.96473971991609</c:v>
                </c:pt>
                <c:pt idx="117">
                  <c:v>1.964841591436645</c:v>
                </c:pt>
                <c:pt idx="118">
                  <c:v>1.964865311954293</c:v>
                </c:pt>
                <c:pt idx="119">
                  <c:v>1.964809880594166</c:v>
                </c:pt>
                <c:pt idx="120">
                  <c:v>1.964674316765297</c:v>
                </c:pt>
                <c:pt idx="121">
                  <c:v>1.964457661170503</c:v>
                </c:pt>
                <c:pt idx="122">
                  <c:v>1.964158976814265</c:v>
                </c:pt>
                <c:pt idx="123">
                  <c:v>1.963777350007196</c:v>
                </c:pt>
                <c:pt idx="124">
                  <c:v>1.963311891365614</c:v>
                </c:pt>
                <c:pt idx="125">
                  <c:v>1.962761736804683</c:v>
                </c:pt>
                <c:pt idx="126">
                  <c:v>1.962126048523643</c:v>
                </c:pt>
                <c:pt idx="127">
                  <c:v>1.961404015981532</c:v>
                </c:pt>
                <c:pt idx="128">
                  <c:v>1.960594856861863</c:v>
                </c:pt>
                <c:pt idx="129">
                  <c:v>1.959697818024645</c:v>
                </c:pt>
                <c:pt idx="130">
                  <c:v>1.958712176444173</c:v>
                </c:pt>
                <c:pt idx="131">
                  <c:v>1.957637240130963</c:v>
                </c:pt>
                <c:pt idx="132">
                  <c:v>1.95647234903624</c:v>
                </c:pt>
                <c:pt idx="133">
                  <c:v>1.955216875937336</c:v>
                </c:pt>
                <c:pt idx="134">
                  <c:v>1.95387022730243</c:v>
                </c:pt>
                <c:pt idx="135">
                  <c:v>1.952431844132998</c:v>
                </c:pt>
                <c:pt idx="136">
                  <c:v>1.950901202782372</c:v>
                </c:pt>
                <c:pt idx="137">
                  <c:v>1.94927781574888</c:v>
                </c:pt>
                <c:pt idx="138">
                  <c:v>1.94756123244194</c:v>
                </c:pt>
                <c:pt idx="139">
                  <c:v>1.945751039919628</c:v>
                </c:pt>
                <c:pt idx="140">
                  <c:v>1.943846863596184</c:v>
                </c:pt>
                <c:pt idx="141">
                  <c:v>1.941848367917985</c:v>
                </c:pt>
                <c:pt idx="142">
                  <c:v>1.939755257006535</c:v>
                </c:pt>
                <c:pt idx="143">
                  <c:v>1.937567275267094</c:v>
                </c:pt>
                <c:pt idx="144">
                  <c:v>1.935284207961549</c:v>
                </c:pt>
                <c:pt idx="145">
                  <c:v>1.932905881744259</c:v>
                </c:pt>
                <c:pt idx="146">
                  <c:v>1.930432165159578</c:v>
                </c:pt>
                <c:pt idx="147">
                  <c:v>1.927862969099883</c:v>
                </c:pt>
                <c:pt idx="148">
                  <c:v>1.92519824722294</c:v>
                </c:pt>
                <c:pt idx="149">
                  <c:v>1.922437996327554</c:v>
                </c:pt>
                <c:pt idx="150">
                  <c:v>1.919582256686465</c:v>
                </c:pt>
                <c:pt idx="151">
                  <c:v>1.916631112335564</c:v>
                </c:pt>
                <c:pt idx="152">
                  <c:v>1.913584691318565</c:v>
                </c:pt>
                <c:pt idx="153">
                  <c:v>1.910443165886323</c:v>
                </c:pt>
                <c:pt idx="154">
                  <c:v>1.90720675265011</c:v>
                </c:pt>
                <c:pt idx="155">
                  <c:v>1.903875712688205</c:v>
                </c:pt>
                <c:pt idx="156">
                  <c:v>1.900450351605258</c:v>
                </c:pt>
                <c:pt idx="157">
                  <c:v>1.896931019543981</c:v>
                </c:pt>
                <c:pt idx="158">
                  <c:v>1.893318111148785</c:v>
                </c:pt>
                <c:pt idx="159">
                  <c:v>1.889612065481096</c:v>
                </c:pt>
                <c:pt idx="160">
                  <c:v>1.885813365886173</c:v>
                </c:pt>
                <c:pt idx="161">
                  <c:v>1.88192253981132</c:v>
                </c:pt>
                <c:pt idx="162">
                  <c:v>1.877940158575525</c:v>
                </c:pt>
                <c:pt idx="163">
                  <c:v>1.873866837090598</c:v>
                </c:pt>
                <c:pt idx="164">
                  <c:v>1.869703233534034</c:v>
                </c:pt>
                <c:pt idx="165">
                  <c:v>1.865450048973865</c:v>
                </c:pt>
                <c:pt idx="166">
                  <c:v>1.861108026945915</c:v>
                </c:pt>
                <c:pt idx="167">
                  <c:v>1.856677952983931</c:v>
                </c:pt>
                <c:pt idx="168">
                  <c:v>1.852160654103164</c:v>
                </c:pt>
                <c:pt idx="169">
                  <c:v>1.847556998238084</c:v>
                </c:pt>
                <c:pt idx="170">
                  <c:v>1.842867893634975</c:v>
                </c:pt>
                <c:pt idx="171">
                  <c:v>1.838094288200289</c:v>
                </c:pt>
                <c:pt idx="172">
                  <c:v>1.833237168805672</c:v>
                </c:pt>
                <c:pt idx="173">
                  <c:v>1.828297560550709</c:v>
                </c:pt>
                <c:pt idx="174">
                  <c:v>1.823276525984508</c:v>
                </c:pt>
                <c:pt idx="175">
                  <c:v>1.818175164287274</c:v>
                </c:pt>
                <c:pt idx="176">
                  <c:v>1.812994610413199</c:v>
                </c:pt>
                <c:pt idx="177">
                  <c:v>1.807736034195965</c:v>
                </c:pt>
                <c:pt idx="178">
                  <c:v>1.8024006394183</c:v>
                </c:pt>
                <c:pt idx="179">
                  <c:v>1.796989662847068</c:v>
                </c:pt>
                <c:pt idx="180">
                  <c:v>1.791504373235412</c:v>
                </c:pt>
                <c:pt idx="181">
                  <c:v>1.785946070293613</c:v>
                </c:pt>
                <c:pt idx="182">
                  <c:v>1.780316083630245</c:v>
                </c:pt>
                <c:pt idx="183">
                  <c:v>1.774615771665406</c:v>
                </c:pt>
                <c:pt idx="184">
                  <c:v>1.768846520517745</c:v>
                </c:pt>
                <c:pt idx="185">
                  <c:v>1.763009742867089</c:v>
                </c:pt>
                <c:pt idx="186">
                  <c:v>1.7571068767945</c:v>
                </c:pt>
                <c:pt idx="187">
                  <c:v>1.751139384601646</c:v>
                </c:pt>
                <c:pt idx="188">
                  <c:v>1.745108751611353</c:v>
                </c:pt>
                <c:pt idx="189">
                  <c:v>1.739016484951271</c:v>
                </c:pt>
                <c:pt idx="190">
                  <c:v>1.732864112322574</c:v>
                </c:pt>
                <c:pt idx="191">
                  <c:v>1.72665318075565</c:v>
                </c:pt>
                <c:pt idx="192">
                  <c:v>1.72038525535472</c:v>
                </c:pt>
                <c:pt idx="193">
                  <c:v>1.714061918033341</c:v>
                </c:pt>
                <c:pt idx="194">
                  <c:v>1.707684766242751</c:v>
                </c:pt>
                <c:pt idx="195">
                  <c:v>1.701255411694993</c:v>
                </c:pt>
                <c:pt idx="196">
                  <c:v>1.694775479082746</c:v>
                </c:pt>
                <c:pt idx="197">
                  <c:v>1.688246604797783</c:v>
                </c:pt>
                <c:pt idx="198">
                  <c:v>1.681670435649955</c:v>
                </c:pt>
                <c:pt idx="199">
                  <c:v>1.67504862758854</c:v>
                </c:pt>
                <c:pt idx="200">
                  <c:v>1.668382844427837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169072"/>
        <c:axId val="-1579213072"/>
      </c:scatterChart>
      <c:scatterChart>
        <c:scatterStyle val="lineMarker"/>
        <c:varyColors val="0"/>
        <c:ser>
          <c:idx val="0"/>
          <c:order val="2"/>
          <c:tx>
            <c:v>total labor (K+L), right scale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Sectors!$N$17:$N$217</c:f>
              <c:numCache>
                <c:formatCode>General</c:formatCode>
                <c:ptCount val="201"/>
                <c:pt idx="0">
                  <c:v>237.5776641901011</c:v>
                </c:pt>
                <c:pt idx="1">
                  <c:v>234.928529574807</c:v>
                </c:pt>
                <c:pt idx="2">
                  <c:v>232.3131547839859</c:v>
                </c:pt>
                <c:pt idx="3">
                  <c:v>229.7311152733892</c:v>
                </c:pt>
                <c:pt idx="4">
                  <c:v>227.1819915595246</c:v>
                </c:pt>
                <c:pt idx="5">
                  <c:v>224.6653691537404</c:v>
                </c:pt>
                <c:pt idx="6">
                  <c:v>222.1808384971198</c:v>
                </c:pt>
                <c:pt idx="7">
                  <c:v>219.7279948961762</c:v>
                </c:pt>
                <c:pt idx="8">
                  <c:v>217.3064384593449</c:v>
                </c:pt>
                <c:pt idx="9">
                  <c:v>214.9157740342591</c:v>
                </c:pt>
                <c:pt idx="10">
                  <c:v>212.5556111458054</c:v>
                </c:pt>
                <c:pt idx="11">
                  <c:v>210.2255639349495</c:v>
                </c:pt>
                <c:pt idx="12">
                  <c:v>207.925251098326</c:v>
                </c:pt>
                <c:pt idx="13">
                  <c:v>205.6542958285833</c:v>
                </c:pt>
                <c:pt idx="14">
                  <c:v>203.4123257554769</c:v>
                </c:pt>
                <c:pt idx="15">
                  <c:v>201.1989728877076</c:v>
                </c:pt>
                <c:pt idx="16">
                  <c:v>199.0138735554913</c:v>
                </c:pt>
                <c:pt idx="17">
                  <c:v>196.8566683538605</c:v>
                </c:pt>
                <c:pt idx="18">
                  <c:v>194.7270020866858</c:v>
                </c:pt>
                <c:pt idx="19">
                  <c:v>192.6245237114149</c:v>
                </c:pt>
                <c:pt idx="20">
                  <c:v>189.7260698353797</c:v>
                </c:pt>
                <c:pt idx="21">
                  <c:v>188.4997469076562</c:v>
                </c:pt>
                <c:pt idx="22">
                  <c:v>186.4767666745017</c:v>
                </c:pt>
                <c:pt idx="23">
                  <c:v>184.479610618312</c:v>
                </c:pt>
                <c:pt idx="24">
                  <c:v>182.507947660146</c:v>
                </c:pt>
                <c:pt idx="25">
                  <c:v>180.5614505577813</c:v>
                </c:pt>
                <c:pt idx="26">
                  <c:v>178.639795855304</c:v>
                </c:pt>
                <c:pt idx="27">
                  <c:v>176.7426638333715</c:v>
                </c:pt>
                <c:pt idx="28">
                  <c:v>174.8697384601437</c:v>
                </c:pt>
                <c:pt idx="29">
                  <c:v>173.0207073428754</c:v>
                </c:pt>
                <c:pt idx="30">
                  <c:v>171.1952616801687</c:v>
                </c:pt>
                <c:pt idx="31">
                  <c:v>169.3930962148777</c:v>
                </c:pt>
                <c:pt idx="32">
                  <c:v>167.6139091876654</c:v>
                </c:pt>
                <c:pt idx="33">
                  <c:v>165.8574022912051</c:v>
                </c:pt>
                <c:pt idx="34">
                  <c:v>164.1232806250243</c:v>
                </c:pt>
                <c:pt idx="35">
                  <c:v>162.411252650988</c:v>
                </c:pt>
                <c:pt idx="36">
                  <c:v>160.7210301494148</c:v>
                </c:pt>
                <c:pt idx="37">
                  <c:v>159.0523281758269</c:v>
                </c:pt>
                <c:pt idx="38">
                  <c:v>157.4048650183266</c:v>
                </c:pt>
                <c:pt idx="39">
                  <c:v>155.7783621555992</c:v>
                </c:pt>
                <c:pt idx="40">
                  <c:v>154.1725442155356</c:v>
                </c:pt>
                <c:pt idx="41">
                  <c:v>152.5871389344773</c:v>
                </c:pt>
                <c:pt idx="42">
                  <c:v>151.0218771170741</c:v>
                </c:pt>
                <c:pt idx="43">
                  <c:v>149.4764925967583</c:v>
                </c:pt>
                <c:pt idx="44">
                  <c:v>147.9507221968277</c:v>
                </c:pt>
                <c:pt idx="45">
                  <c:v>146.4443056921381</c:v>
                </c:pt>
                <c:pt idx="46">
                  <c:v>144.9569857714022</c:v>
                </c:pt>
                <c:pt idx="47">
                  <c:v>143.4885080000912</c:v>
                </c:pt>
                <c:pt idx="48">
                  <c:v>142.0386207839392</c:v>
                </c:pt>
                <c:pt idx="49">
                  <c:v>140.6070753330449</c:v>
                </c:pt>
                <c:pt idx="50">
                  <c:v>139.1936256265747</c:v>
                </c:pt>
                <c:pt idx="51">
                  <c:v>137.7980283780558</c:v>
                </c:pt>
                <c:pt idx="52">
                  <c:v>136.4200430012676</c:v>
                </c:pt>
                <c:pt idx="53">
                  <c:v>135.0594315767217</c:v>
                </c:pt>
                <c:pt idx="54">
                  <c:v>133.7159588187329</c:v>
                </c:pt>
                <c:pt idx="55">
                  <c:v>132.3893920430772</c:v>
                </c:pt>
                <c:pt idx="56">
                  <c:v>131.0795011352371</c:v>
                </c:pt>
                <c:pt idx="57">
                  <c:v>129.7860585192307</c:v>
                </c:pt>
                <c:pt idx="58">
                  <c:v>128.5088391270231</c:v>
                </c:pt>
                <c:pt idx="59">
                  <c:v>127.2476203685197</c:v>
                </c:pt>
                <c:pt idx="60">
                  <c:v>126.0021821021377</c:v>
                </c:pt>
                <c:pt idx="61">
                  <c:v>124.7723066059556</c:v>
                </c:pt>
                <c:pt idx="62">
                  <c:v>123.5577785494388</c:v>
                </c:pt>
                <c:pt idx="63">
                  <c:v>122.3583849657383</c:v>
                </c:pt>
                <c:pt idx="64">
                  <c:v>121.1739152245615</c:v>
                </c:pt>
                <c:pt idx="65">
                  <c:v>120.0041610056145</c:v>
                </c:pt>
                <c:pt idx="66">
                  <c:v>118.8489162726104</c:v>
                </c:pt>
                <c:pt idx="67">
                  <c:v>117.7079772478455</c:v>
                </c:pt>
                <c:pt idx="68">
                  <c:v>116.5811423873389</c:v>
                </c:pt>
                <c:pt idx="69">
                  <c:v>115.4682123565339</c:v>
                </c:pt>
                <c:pt idx="70">
                  <c:v>114.3689900065586</c:v>
                </c:pt>
                <c:pt idx="71">
                  <c:v>113.2832803510445</c:v>
                </c:pt>
                <c:pt idx="72">
                  <c:v>112.210890543498</c:v>
                </c:pt>
                <c:pt idx="73">
                  <c:v>111.1516298552253</c:v>
                </c:pt>
                <c:pt idx="74">
                  <c:v>110.1053096538049</c:v>
                </c:pt>
                <c:pt idx="75">
                  <c:v>109.0717433821061</c:v>
                </c:pt>
                <c:pt idx="76">
                  <c:v>108.0507465378505</c:v>
                </c:pt>
                <c:pt idx="77">
                  <c:v>107.0421366537124</c:v>
                </c:pt>
                <c:pt idx="78">
                  <c:v>106.0457332779544</c:v>
                </c:pt>
                <c:pt idx="79">
                  <c:v>105.0613579555951</c:v>
                </c:pt>
                <c:pt idx="80">
                  <c:v>104.0888342101039</c:v>
                </c:pt>
                <c:pt idx="81">
                  <c:v>103.1279875256197</c:v>
                </c:pt>
                <c:pt idx="82">
                  <c:v>102.1786453296878</c:v>
                </c:pt>
                <c:pt idx="83">
                  <c:v>101.2406369765109</c:v>
                </c:pt>
                <c:pt idx="84">
                  <c:v>100.3137937307084</c:v>
                </c:pt>
                <c:pt idx="85">
                  <c:v>99.39794875158026</c:v>
                </c:pt>
                <c:pt idx="86">
                  <c:v>98.49293707786714</c:v>
                </c:pt>
                <c:pt idx="87">
                  <c:v>97.5985956130032</c:v>
                </c:pt>
                <c:pt idx="88">
                  <c:v>96.71476311085421</c:v>
                </c:pt>
                <c:pt idx="89">
                  <c:v>95.8412801619337</c:v>
                </c:pt>
                <c:pt idx="90">
                  <c:v>94.97798918009192</c:v>
                </c:pt>
                <c:pt idx="91">
                  <c:v>94.12473438966852</c:v>
                </c:pt>
                <c:pt idx="92">
                  <c:v>93.28136181310222</c:v>
                </c:pt>
                <c:pt idx="93">
                  <c:v>92.4477192589892</c:v>
                </c:pt>
                <c:pt idx="94">
                  <c:v>91.62365631058208</c:v>
                </c:pt>
                <c:pt idx="95">
                  <c:v>90.80902431471983</c:v>
                </c:pt>
                <c:pt idx="96">
                  <c:v>90.00367637118069</c:v>
                </c:pt>
                <c:pt idx="97">
                  <c:v>89.20746732244734</c:v>
                </c:pt>
                <c:pt idx="98">
                  <c:v>88.42025374387556</c:v>
                </c:pt>
                <c:pt idx="99">
                  <c:v>87.64189393425478</c:v>
                </c:pt>
                <c:pt idx="100">
                  <c:v>86.8722479067505</c:v>
                </c:pt>
                <c:pt idx="101">
                  <c:v>86.11117738021792</c:v>
                </c:pt>
                <c:pt idx="102">
                  <c:v>85.35854577087395</c:v>
                </c:pt>
                <c:pt idx="103">
                  <c:v>84.61421818431688</c:v>
                </c:pt>
                <c:pt idx="104">
                  <c:v>83.87806140788045</c:v>
                </c:pt>
                <c:pt idx="105">
                  <c:v>83.14994390331052</c:v>
                </c:pt>
                <c:pt idx="106">
                  <c:v>82.42973579975049</c:v>
                </c:pt>
                <c:pt idx="107">
                  <c:v>81.71730888702194</c:v>
                </c:pt>
                <c:pt idx="108">
                  <c:v>81.0125366091876</c:v>
                </c:pt>
                <c:pt idx="109">
                  <c:v>80.31529405838093</c:v>
                </c:pt>
                <c:pt idx="110">
                  <c:v>79.62545796888918</c:v>
                </c:pt>
                <c:pt idx="111">
                  <c:v>78.94290671147374</c:v>
                </c:pt>
                <c:pt idx="112">
                  <c:v>78.26752028791327</c:v>
                </c:pt>
                <c:pt idx="113">
                  <c:v>77.59918032575376</c:v>
                </c:pt>
                <c:pt idx="114">
                  <c:v>76.9377700732496</c:v>
                </c:pt>
                <c:pt idx="115">
                  <c:v>76.28317439447932</c:v>
                </c:pt>
                <c:pt idx="116">
                  <c:v>71.56515696356388</c:v>
                </c:pt>
                <c:pt idx="117">
                  <c:v>70.94375067626677</c:v>
                </c:pt>
                <c:pt idx="118">
                  <c:v>70.32876795622174</c:v>
                </c:pt>
                <c:pt idx="119">
                  <c:v>69.7201035672594</c:v>
                </c:pt>
                <c:pt idx="120">
                  <c:v>69.11765378029883</c:v>
                </c:pt>
                <c:pt idx="121">
                  <c:v>68.52131636851905</c:v>
                </c:pt>
                <c:pt idx="122">
                  <c:v>67.93099060261044</c:v>
                </c:pt>
                <c:pt idx="123">
                  <c:v>67.34657724609164</c:v>
                </c:pt>
                <c:pt idx="124">
                  <c:v>66.76797855067439</c:v>
                </c:pt>
                <c:pt idx="125">
                  <c:v>66.19509825166111</c:v>
                </c:pt>
                <c:pt idx="126">
                  <c:v>65.6278415633592</c:v>
                </c:pt>
                <c:pt idx="127">
                  <c:v>65.06611517449441</c:v>
                </c:pt>
                <c:pt idx="128">
                  <c:v>64.50982724360915</c:v>
                </c:pt>
                <c:pt idx="129">
                  <c:v>63.95888739442746</c:v>
                </c:pt>
                <c:pt idx="130">
                  <c:v>63.41320671117181</c:v>
                </c:pt>
                <c:pt idx="131">
                  <c:v>62.87269773381514</c:v>
                </c:pt>
                <c:pt idx="132">
                  <c:v>62.33727445325208</c:v>
                </c:pt>
                <c:pt idx="133">
                  <c:v>61.8068523063736</c:v>
                </c:pt>
                <c:pt idx="134">
                  <c:v>61.2813481710293</c:v>
                </c:pt>
                <c:pt idx="135">
                  <c:v>60.76068036086233</c:v>
                </c:pt>
                <c:pt idx="136">
                  <c:v>60.24476862000073</c:v>
                </c:pt>
                <c:pt idx="137">
                  <c:v>59.73353411759104</c:v>
                </c:pt>
                <c:pt idx="138">
                  <c:v>59.2268994421591</c:v>
                </c:pt>
                <c:pt idx="139">
                  <c:v>58.724788595784</c:v>
                </c:pt>
                <c:pt idx="140">
                  <c:v>58.22712698807032</c:v>
                </c:pt>
                <c:pt idx="141">
                  <c:v>57.73384142990645</c:v>
                </c:pt>
                <c:pt idx="142">
                  <c:v>57.24486012699407</c:v>
                </c:pt>
                <c:pt idx="143">
                  <c:v>56.76011267313786</c:v>
                </c:pt>
                <c:pt idx="144">
                  <c:v>56.27953004328146</c:v>
                </c:pt>
                <c:pt idx="145">
                  <c:v>55.80304458627962</c:v>
                </c:pt>
                <c:pt idx="146">
                  <c:v>55.33059001739347</c:v>
                </c:pt>
                <c:pt idx="147">
                  <c:v>54.86210141050028</c:v>
                </c:pt>
                <c:pt idx="148">
                  <c:v>54.39751519000607</c:v>
                </c:pt>
                <c:pt idx="149">
                  <c:v>53.93676912245256</c:v>
                </c:pt>
                <c:pt idx="150">
                  <c:v>53.47980230780928</c:v>
                </c:pt>
                <c:pt idx="151">
                  <c:v>53.02655517044342</c:v>
                </c:pt>
                <c:pt idx="152">
                  <c:v>52.5769694497588</c:v>
                </c:pt>
                <c:pt idx="153">
                  <c:v>52.13098819049897</c:v>
                </c:pt>
                <c:pt idx="154">
                  <c:v>51.68855573270677</c:v>
                </c:pt>
                <c:pt idx="155">
                  <c:v>51.24961770133686</c:v>
                </c:pt>
                <c:pt idx="156">
                  <c:v>50.81412099551532</c:v>
                </c:pt>
                <c:pt idx="157">
                  <c:v>50.38201377744399</c:v>
                </c:pt>
                <c:pt idx="158">
                  <c:v>49.95324546094571</c:v>
                </c:pt>
                <c:pt idx="159">
                  <c:v>49.52776669964923</c:v>
                </c:pt>
                <c:pt idx="160">
                  <c:v>49.10552937481208</c:v>
                </c:pt>
                <c:pt idx="161">
                  <c:v>48.68648658278152</c:v>
                </c:pt>
                <c:pt idx="162">
                  <c:v>48.27059262209332</c:v>
                </c:pt>
                <c:pt idx="163">
                  <c:v>47.85780298021046</c:v>
                </c:pt>
                <c:pt idx="164">
                  <c:v>47.44807431990344</c:v>
                </c:pt>
                <c:pt idx="165">
                  <c:v>47.04136446527512</c:v>
                </c:pt>
                <c:pt idx="166">
                  <c:v>46.63763238743378</c:v>
                </c:pt>
                <c:pt idx="167">
                  <c:v>46.23683818981937</c:v>
                </c:pt>
                <c:pt idx="168">
                  <c:v>45.83894309318796</c:v>
                </c:pt>
                <c:pt idx="169">
                  <c:v>45.44390942026066</c:v>
                </c:pt>
                <c:pt idx="170">
                  <c:v>45.05170058004388</c:v>
                </c:pt>
                <c:pt idx="171">
                  <c:v>44.66228105182873</c:v>
                </c:pt>
                <c:pt idx="172">
                  <c:v>44.2756163688782</c:v>
                </c:pt>
                <c:pt idx="173">
                  <c:v>43.89167310181069</c:v>
                </c:pt>
                <c:pt idx="174">
                  <c:v>43.51041884169031</c:v>
                </c:pt>
                <c:pt idx="175">
                  <c:v>43.13182218283456</c:v>
                </c:pt>
                <c:pt idx="176">
                  <c:v>42.75585270535014</c:v>
                </c:pt>
                <c:pt idx="177">
                  <c:v>42.38248095740885</c:v>
                </c:pt>
                <c:pt idx="178">
                  <c:v>42.01167843727669</c:v>
                </c:pt>
                <c:pt idx="179">
                  <c:v>41.64341757510773</c:v>
                </c:pt>
                <c:pt idx="180">
                  <c:v>41.27767171451806</c:v>
                </c:pt>
                <c:pt idx="181">
                  <c:v>40.91441509395227</c:v>
                </c:pt>
                <c:pt idx="182">
                  <c:v>40.55362282785814</c:v>
                </c:pt>
                <c:pt idx="183">
                  <c:v>40.19527088768345</c:v>
                </c:pt>
                <c:pt idx="184">
                  <c:v>39.8393360827115</c:v>
                </c:pt>
                <c:pt idx="185">
                  <c:v>39.4857960407495</c:v>
                </c:pt>
                <c:pt idx="186">
                  <c:v>39.13462918868726</c:v>
                </c:pt>
                <c:pt idx="187">
                  <c:v>38.78581473294165</c:v>
                </c:pt>
                <c:pt idx="188">
                  <c:v>38.43933263980344</c:v>
                </c:pt>
                <c:pt idx="189">
                  <c:v>38.0951636157036</c:v>
                </c:pt>
                <c:pt idx="190">
                  <c:v>37.75328908741572</c:v>
                </c:pt>
                <c:pt idx="191">
                  <c:v>37.41369118221152</c:v>
                </c:pt>
                <c:pt idx="192">
                  <c:v>37.07635270798647</c:v>
                </c:pt>
                <c:pt idx="193">
                  <c:v>36.74125713337339</c:v>
                </c:pt>
                <c:pt idx="194">
                  <c:v>36.40838856786007</c:v>
                </c:pt>
                <c:pt idx="195">
                  <c:v>36.07773174192869</c:v>
                </c:pt>
                <c:pt idx="196">
                  <c:v>35.74927198723444</c:v>
                </c:pt>
                <c:pt idx="197">
                  <c:v>35.4229952168391</c:v>
                </c:pt>
                <c:pt idx="198">
                  <c:v>35.09888790551762</c:v>
                </c:pt>
                <c:pt idx="199">
                  <c:v>34.77693707015366</c:v>
                </c:pt>
                <c:pt idx="200">
                  <c:v>34.45713025024047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1970672"/>
        <c:axId val="-1579210752"/>
      </c:scatterChart>
      <c:valAx>
        <c:axId val="-157716907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Sector,</a:t>
                </a:r>
                <a:r>
                  <a:rPr lang="en-US" sz="1400" baseline="0"/>
                  <a:t> ordered by low-skill intensity of its technology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79213072"/>
        <c:crosses val="autoZero"/>
        <c:crossBetween val="midCat"/>
      </c:valAx>
      <c:valAx>
        <c:axId val="-1579213072"/>
        <c:scaling>
          <c:orientation val="minMax"/>
          <c:max val="5.0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577169072"/>
        <c:crosses val="autoZero"/>
        <c:crossBetween val="midCat"/>
        <c:majorUnit val="1.0"/>
      </c:valAx>
      <c:valAx>
        <c:axId val="-1579210752"/>
        <c:scaling>
          <c:orientation val="minMax"/>
          <c:max val="5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Employment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31970672"/>
        <c:crosses val="max"/>
        <c:crossBetween val="midCat"/>
      </c:valAx>
      <c:valAx>
        <c:axId val="-143197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79210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8100684638544"/>
          <c:y val="0.181028007723461"/>
          <c:w val="0.435539955416737"/>
          <c:h val="0.20353329673160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2.  </a:t>
            </a:r>
            <a:r>
              <a:rPr lang="en-US"/>
              <a:t>Equilibrium Allocations by Sector: with ACA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332775163974989"/>
          <c:y val="0.0477456701807229"/>
          <c:w val="0.881345301610484"/>
          <c:h val="0.86558734939759"/>
        </c:manualLayout>
      </c:layout>
      <c:scatterChart>
        <c:scatterStyle val="lineMarker"/>
        <c:varyColors val="0"/>
        <c:ser>
          <c:idx val="1"/>
          <c:order val="0"/>
          <c:tx>
            <c:v>high-skill labor per unit low-skill (K/L)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Sectors!$AJ$17:$AJ$217</c:f>
              <c:numCache>
                <c:formatCode>0.00</c:formatCode>
                <c:ptCount val="201"/>
                <c:pt idx="0">
                  <c:v>8.878035158913934</c:v>
                </c:pt>
                <c:pt idx="1">
                  <c:v>8.72602239649097</c:v>
                </c:pt>
                <c:pt idx="2">
                  <c:v>8.576612448714027</c:v>
                </c:pt>
                <c:pt idx="3">
                  <c:v>8.429760749298181</c:v>
                </c:pt>
                <c:pt idx="4">
                  <c:v>8.285423495037723</c:v>
                </c:pt>
                <c:pt idx="5">
                  <c:v>8.143557632740458</c:v>
                </c:pt>
                <c:pt idx="6">
                  <c:v>8.004120846385707</c:v>
                </c:pt>
                <c:pt idx="7">
                  <c:v>7.867071544502208</c:v>
                </c:pt>
                <c:pt idx="8">
                  <c:v>7.732368847762142</c:v>
                </c:pt>
                <c:pt idx="9">
                  <c:v>7.599972576787549</c:v>
                </c:pt>
                <c:pt idx="10">
                  <c:v>7.469843240165555</c:v>
                </c:pt>
                <c:pt idx="11">
                  <c:v>7.341942022668806</c:v>
                </c:pt>
                <c:pt idx="12">
                  <c:v>7.216230773677582</c:v>
                </c:pt>
                <c:pt idx="13">
                  <c:v>7.092671995800148</c:v>
                </c:pt>
                <c:pt idx="14">
                  <c:v>6.971228833687972</c:v>
                </c:pt>
                <c:pt idx="15">
                  <c:v>6.851865063042456</c:v>
                </c:pt>
                <c:pt idx="16">
                  <c:v>6.734545079809828</c:v>
                </c:pt>
                <c:pt idx="17">
                  <c:v>6.619233889561164</c:v>
                </c:pt>
                <c:pt idx="18">
                  <c:v>6.505897097054145</c:v>
                </c:pt>
                <c:pt idx="19">
                  <c:v>6.39450089597358</c:v>
                </c:pt>
                <c:pt idx="20">
                  <c:v>6.241743251499077</c:v>
                </c:pt>
                <c:pt idx="21">
                  <c:v>6.177397927136515</c:v>
                </c:pt>
                <c:pt idx="22">
                  <c:v>6.07162640149133</c:v>
                </c:pt>
                <c:pt idx="23">
                  <c:v>5.967665932179136</c:v>
                </c:pt>
                <c:pt idx="24">
                  <c:v>5.86548550967235</c:v>
                </c:pt>
                <c:pt idx="25">
                  <c:v>5.765054655399164</c:v>
                </c:pt>
                <c:pt idx="26">
                  <c:v>5.66634341265232</c:v>
                </c:pt>
                <c:pt idx="27">
                  <c:v>5.569322337653578</c:v>
                </c:pt>
                <c:pt idx="28">
                  <c:v>5.47396249077118</c:v>
                </c:pt>
                <c:pt idx="29">
                  <c:v>5.380235427887644</c:v>
                </c:pt>
                <c:pt idx="30">
                  <c:v>5.288113191915428</c:v>
                </c:pt>
                <c:pt idx="31">
                  <c:v>5.197568304457842</c:v>
                </c:pt>
                <c:pt idx="32">
                  <c:v>5.108573757612715</c:v>
                </c:pt>
                <c:pt idx="33">
                  <c:v>5.021103005916441</c:v>
                </c:pt>
                <c:pt idx="34">
                  <c:v>4.93512995842595</c:v>
                </c:pt>
                <c:pt idx="35">
                  <c:v>4.850628970936233</c:v>
                </c:pt>
                <c:pt idx="36">
                  <c:v>4.767574838331173</c:v>
                </c:pt>
                <c:pt idx="37">
                  <c:v>4.685942787065273</c:v>
                </c:pt>
                <c:pt idx="38">
                  <c:v>4.605708467774195</c:v>
                </c:pt>
                <c:pt idx="39">
                  <c:v>4.526847948011753</c:v>
                </c:pt>
                <c:pt idx="40">
                  <c:v>4.449337705111325</c:v>
                </c:pt>
                <c:pt idx="41">
                  <c:v>4.373154619169439</c:v>
                </c:pt>
                <c:pt idx="42">
                  <c:v>4.298275966149554</c:v>
                </c:pt>
                <c:pt idx="43">
                  <c:v>4.224679411103863</c:v>
                </c:pt>
                <c:pt idx="44">
                  <c:v>4.152343001511194</c:v>
                </c:pt>
                <c:pt idx="45">
                  <c:v>4.081245160728983</c:v>
                </c:pt>
                <c:pt idx="46">
                  <c:v>4.01136468155732</c:v>
                </c:pt>
                <c:pt idx="47">
                  <c:v>3.942680719913265</c:v>
                </c:pt>
                <c:pt idx="48">
                  <c:v>3.875172788613399</c:v>
                </c:pt>
                <c:pt idx="49">
                  <c:v>3.808820751262889</c:v>
                </c:pt>
                <c:pt idx="50">
                  <c:v>3.743604816249156</c:v>
                </c:pt>
                <c:pt idx="51">
                  <c:v>3.679505530838404</c:v>
                </c:pt>
                <c:pt idx="52">
                  <c:v>3.61650377537321</c:v>
                </c:pt>
                <c:pt idx="53">
                  <c:v>3.554580757569481</c:v>
                </c:pt>
                <c:pt idx="54">
                  <c:v>3.493718006911066</c:v>
                </c:pt>
                <c:pt idx="55">
                  <c:v>3.433897369140314</c:v>
                </c:pt>
                <c:pt idx="56">
                  <c:v>3.375101000843006</c:v>
                </c:pt>
                <c:pt idx="57">
                  <c:v>3.317311364125978</c:v>
                </c:pt>
                <c:pt idx="58">
                  <c:v>3.260511221385887</c:v>
                </c:pt>
                <c:pt idx="59">
                  <c:v>3.204683630167545</c:v>
                </c:pt>
                <c:pt idx="60">
                  <c:v>3.149811938110289</c:v>
                </c:pt>
                <c:pt idx="61">
                  <c:v>3.095879777980894</c:v>
                </c:pt>
                <c:pt idx="62">
                  <c:v>3.042871062791502</c:v>
                </c:pt>
                <c:pt idx="63">
                  <c:v>2.990769981001195</c:v>
                </c:pt>
                <c:pt idx="64">
                  <c:v>2.93956099179966</c:v>
                </c:pt>
                <c:pt idx="65">
                  <c:v>2.889228820471687</c:v>
                </c:pt>
                <c:pt idx="66">
                  <c:v>2.839758453840961</c:v>
                </c:pt>
                <c:pt idx="67">
                  <c:v>2.791135135791937</c:v>
                </c:pt>
                <c:pt idx="68">
                  <c:v>2.74334436286832</c:v>
                </c:pt>
                <c:pt idx="69">
                  <c:v>2.696371879946991</c:v>
                </c:pt>
                <c:pt idx="70">
                  <c:v>2.650203675985916</c:v>
                </c:pt>
                <c:pt idx="71">
                  <c:v>2.604825979844941</c:v>
                </c:pt>
                <c:pt idx="72">
                  <c:v>2.560225256178088</c:v>
                </c:pt>
                <c:pt idx="73">
                  <c:v>2.51638820139622</c:v>
                </c:pt>
                <c:pt idx="74">
                  <c:v>2.473301739698812</c:v>
                </c:pt>
                <c:pt idx="75">
                  <c:v>2.430953019173682</c:v>
                </c:pt>
                <c:pt idx="76">
                  <c:v>2.389329407963494</c:v>
                </c:pt>
                <c:pt idx="77">
                  <c:v>2.348418490497901</c:v>
                </c:pt>
                <c:pt idx="78">
                  <c:v>2.308208063790219</c:v>
                </c:pt>
                <c:pt idx="79">
                  <c:v>2.268686133797477</c:v>
                </c:pt>
                <c:pt idx="80">
                  <c:v>2.229840911842825</c:v>
                </c:pt>
                <c:pt idx="81">
                  <c:v>2.19166081109918</c:v>
                </c:pt>
                <c:pt idx="82">
                  <c:v>2.154134443133085</c:v>
                </c:pt>
                <c:pt idx="83">
                  <c:v>2.117250614507747</c:v>
                </c:pt>
                <c:pt idx="84">
                  <c:v>2.080998323444237</c:v>
                </c:pt>
                <c:pt idx="85">
                  <c:v>2.045366756539854</c:v>
                </c:pt>
                <c:pt idx="86">
                  <c:v>2.01034528554269</c:v>
                </c:pt>
                <c:pt idx="87">
                  <c:v>1.975923464181407</c:v>
                </c:pt>
                <c:pt idx="88">
                  <c:v>1.942091025049313</c:v>
                </c:pt>
                <c:pt idx="89">
                  <c:v>1.908837876541765</c:v>
                </c:pt>
                <c:pt idx="90">
                  <c:v>1.876154099846047</c:v>
                </c:pt>
                <c:pt idx="91">
                  <c:v>1.844029945982744</c:v>
                </c:pt>
                <c:pt idx="92">
                  <c:v>1.812455832897818</c:v>
                </c:pt>
                <c:pt idx="93">
                  <c:v>1.781422342604443</c:v>
                </c:pt>
                <c:pt idx="94">
                  <c:v>1.750920218373792</c:v>
                </c:pt>
                <c:pt idx="95">
                  <c:v>1.720940361973924</c:v>
                </c:pt>
                <c:pt idx="96">
                  <c:v>1.69147383095595</c:v>
                </c:pt>
                <c:pt idx="97">
                  <c:v>1.662511835986646</c:v>
                </c:pt>
                <c:pt idx="98">
                  <c:v>1.634045738226777</c:v>
                </c:pt>
                <c:pt idx="99">
                  <c:v>1.606067046754271</c:v>
                </c:pt>
                <c:pt idx="100">
                  <c:v>1.578567416031536</c:v>
                </c:pt>
                <c:pt idx="101">
                  <c:v>1.117885198824416</c:v>
                </c:pt>
                <c:pt idx="102">
                  <c:v>1.098744385107946</c:v>
                </c:pt>
                <c:pt idx="103">
                  <c:v>1.079931306967647</c:v>
                </c:pt>
                <c:pt idx="104">
                  <c:v>1.061440352802596</c:v>
                </c:pt>
                <c:pt idx="105">
                  <c:v>1.043266007095627</c:v>
                </c:pt>
                <c:pt idx="106">
                  <c:v>1.025402848768151</c:v>
                </c:pt>
                <c:pt idx="107">
                  <c:v>1.007845549563145</c:v>
                </c:pt>
                <c:pt idx="108">
                  <c:v>0.990588872455828</c:v>
                </c:pt>
                <c:pt idx="109">
                  <c:v>0.973627670091557</c:v>
                </c:pt>
                <c:pt idx="110">
                  <c:v>0.956956883250457</c:v>
                </c:pt>
                <c:pt idx="111">
                  <c:v>0.940571539338352</c:v>
                </c:pt>
                <c:pt idx="112">
                  <c:v>0.924466750903528</c:v>
                </c:pt>
                <c:pt idx="113">
                  <c:v>0.908637714178896</c:v>
                </c:pt>
                <c:pt idx="114">
                  <c:v>0.893079707649114</c:v>
                </c:pt>
                <c:pt idx="115">
                  <c:v>0.877788090642245</c:v>
                </c:pt>
                <c:pt idx="116">
                  <c:v>0.862758301945528</c:v>
                </c:pt>
                <c:pt idx="117">
                  <c:v>0.847985858444851</c:v>
                </c:pt>
                <c:pt idx="118">
                  <c:v>0.833466353787519</c:v>
                </c:pt>
                <c:pt idx="119">
                  <c:v>0.81919545706792</c:v>
                </c:pt>
                <c:pt idx="120">
                  <c:v>0.805168911535691</c:v>
                </c:pt>
                <c:pt idx="121">
                  <c:v>0.791382533326011</c:v>
                </c:pt>
                <c:pt idx="122">
                  <c:v>0.777832210211624</c:v>
                </c:pt>
                <c:pt idx="123">
                  <c:v>0.764513900376243</c:v>
                </c:pt>
                <c:pt idx="124">
                  <c:v>0.751423631208942</c:v>
                </c:pt>
                <c:pt idx="125">
                  <c:v>0.738557498119204</c:v>
                </c:pt>
                <c:pt idx="126">
                  <c:v>0.725911663372248</c:v>
                </c:pt>
                <c:pt idx="127">
                  <c:v>0.713482354944305</c:v>
                </c:pt>
                <c:pt idx="128">
                  <c:v>0.701265865397491</c:v>
                </c:pt>
                <c:pt idx="129">
                  <c:v>0.689258550773943</c:v>
                </c:pt>
                <c:pt idx="130">
                  <c:v>0.677456829508896</c:v>
                </c:pt>
                <c:pt idx="131">
                  <c:v>0.665857181362363</c:v>
                </c:pt>
                <c:pt idx="132">
                  <c:v>0.654456146369116</c:v>
                </c:pt>
                <c:pt idx="133">
                  <c:v>0.643250323806636</c:v>
                </c:pt>
                <c:pt idx="134">
                  <c:v>0.63223637118074</c:v>
                </c:pt>
                <c:pt idx="135">
                  <c:v>0.621411003228581</c:v>
                </c:pt>
                <c:pt idx="136">
                  <c:v>0.610770990938704</c:v>
                </c:pt>
                <c:pt idx="137">
                  <c:v>0.6003131605879</c:v>
                </c:pt>
                <c:pt idx="138">
                  <c:v>0.590034392794533</c:v>
                </c:pt>
                <c:pt idx="139">
                  <c:v>0.579931621588092</c:v>
                </c:pt>
                <c:pt idx="140">
                  <c:v>0.570001833494662</c:v>
                </c:pt>
                <c:pt idx="141">
                  <c:v>0.560242066638065</c:v>
                </c:pt>
                <c:pt idx="142">
                  <c:v>0.550649409856379</c:v>
                </c:pt>
                <c:pt idx="143">
                  <c:v>0.541221001833598</c:v>
                </c:pt>
                <c:pt idx="144">
                  <c:v>0.531954030246147</c:v>
                </c:pt>
                <c:pt idx="145">
                  <c:v>0.522845730924021</c:v>
                </c:pt>
                <c:pt idx="146">
                  <c:v>0.513893387026282</c:v>
                </c:pt>
                <c:pt idx="147">
                  <c:v>0.505094328230675</c:v>
                </c:pt>
                <c:pt idx="148">
                  <c:v>0.496445929937115</c:v>
                </c:pt>
                <c:pt idx="149">
                  <c:v>0.487945612484823</c:v>
                </c:pt>
                <c:pt idx="150">
                  <c:v>0.479590840382856</c:v>
                </c:pt>
                <c:pt idx="151">
                  <c:v>0.471379121553814</c:v>
                </c:pt>
                <c:pt idx="152">
                  <c:v>0.463308006590504</c:v>
                </c:pt>
                <c:pt idx="153">
                  <c:v>0.455375088025321</c:v>
                </c:pt>
                <c:pt idx="154">
                  <c:v>0.447577999612146</c:v>
                </c:pt>
                <c:pt idx="155">
                  <c:v>0.439914415620538</c:v>
                </c:pt>
                <c:pt idx="156">
                  <c:v>0.432382050142011</c:v>
                </c:pt>
                <c:pt idx="157">
                  <c:v>0.424978656408185</c:v>
                </c:pt>
                <c:pt idx="158">
                  <c:v>0.417702026120621</c:v>
                </c:pt>
                <c:pt idx="159">
                  <c:v>0.410549988792124</c:v>
                </c:pt>
                <c:pt idx="160">
                  <c:v>0.403520411099323</c:v>
                </c:pt>
                <c:pt idx="161">
                  <c:v>0.396611196246342</c:v>
                </c:pt>
                <c:pt idx="162">
                  <c:v>0.389820283339363</c:v>
                </c:pt>
                <c:pt idx="163">
                  <c:v>0.383145646771899</c:v>
                </c:pt>
                <c:pt idx="164">
                  <c:v>0.376585295620592</c:v>
                </c:pt>
                <c:pt idx="165">
                  <c:v>0.370137273051355</c:v>
                </c:pt>
                <c:pt idx="166">
                  <c:v>0.363799655735688</c:v>
                </c:pt>
                <c:pt idx="167">
                  <c:v>0.357570553276978</c:v>
                </c:pt>
                <c:pt idx="168">
                  <c:v>0.351448107646633</c:v>
                </c:pt>
                <c:pt idx="169">
                  <c:v>0.345430492629864</c:v>
                </c:pt>
                <c:pt idx="170">
                  <c:v>0.339515913280956</c:v>
                </c:pt>
                <c:pt idx="171">
                  <c:v>0.333702605387872</c:v>
                </c:pt>
                <c:pt idx="172">
                  <c:v>0.327988834946018</c:v>
                </c:pt>
                <c:pt idx="173">
                  <c:v>0.322372897641019</c:v>
                </c:pt>
                <c:pt idx="174">
                  <c:v>0.316853118340359</c:v>
                </c:pt>
                <c:pt idx="175">
                  <c:v>0.504120657122852</c:v>
                </c:pt>
                <c:pt idx="176">
                  <c:v>0.495488930359889</c:v>
                </c:pt>
                <c:pt idx="177">
                  <c:v>0.48700499898253</c:v>
                </c:pt>
                <c:pt idx="178">
                  <c:v>0.478666332387502</c:v>
                </c:pt>
                <c:pt idx="179">
                  <c:v>0.470470443301386</c:v>
                </c:pt>
                <c:pt idx="180">
                  <c:v>0.462414887038716</c:v>
                </c:pt>
                <c:pt idx="181">
                  <c:v>0.454497260772765</c:v>
                </c:pt>
                <c:pt idx="182">
                  <c:v>0.44671520281883</c:v>
                </c:pt>
                <c:pt idx="183">
                  <c:v>0.439066391929785</c:v>
                </c:pt>
                <c:pt idx="184">
                  <c:v>0.431548546603692</c:v>
                </c:pt>
                <c:pt idx="185">
                  <c:v>0.424159424403273</c:v>
                </c:pt>
                <c:pt idx="186">
                  <c:v>0.416896821287026</c:v>
                </c:pt>
                <c:pt idx="187">
                  <c:v>0.409758570951808</c:v>
                </c:pt>
                <c:pt idx="188">
                  <c:v>0.40274254418666</c:v>
                </c:pt>
                <c:pt idx="189">
                  <c:v>0.395846648237702</c:v>
                </c:pt>
                <c:pt idx="190">
                  <c:v>0.389068826183904</c:v>
                </c:pt>
                <c:pt idx="191">
                  <c:v>0.382407056323543</c:v>
                </c:pt>
                <c:pt idx="192">
                  <c:v>0.375859351571168</c:v>
                </c:pt>
                <c:pt idx="193">
                  <c:v>0.369423758864885</c:v>
                </c:pt>
                <c:pt idx="194">
                  <c:v>0.363098358583794</c:v>
                </c:pt>
                <c:pt idx="195">
                  <c:v>0.356881263975406</c:v>
                </c:pt>
                <c:pt idx="196">
                  <c:v>0.350770620592852</c:v>
                </c:pt>
                <c:pt idx="197">
                  <c:v>0.34476460574174</c:v>
                </c:pt>
                <c:pt idx="198">
                  <c:v>0.338861427936475</c:v>
                </c:pt>
                <c:pt idx="199">
                  <c:v>0.333059326365893</c:v>
                </c:pt>
                <c:pt idx="200">
                  <c:v>0.327356570368044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Sectors!$H$16</c:f>
              <c:strCache>
                <c:ptCount val="1"/>
                <c:pt idx="0">
                  <c:v>ESI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Sectors!$AB$17:$AB$217</c:f>
              <c:numCache>
                <c:formatCode>General</c:formatCode>
                <c:ptCount val="2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Sectors!$AC$16</c:f>
              <c:strCache>
                <c:ptCount val="1"/>
                <c:pt idx="0">
                  <c:v>NGI</c:v>
                </c:pt>
              </c:strCache>
            </c:strRef>
          </c:tx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Sectors!$AC$17:$AC$217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3"/>
          <c:order val="4"/>
          <c:tx>
            <c:v>output price/r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Sectors!$AK$17:$AK$217</c:f>
              <c:numCache>
                <c:formatCode>0.00</c:formatCode>
                <c:ptCount val="201"/>
                <c:pt idx="0">
                  <c:v>1.283451946059165</c:v>
                </c:pt>
                <c:pt idx="1">
                  <c:v>1.288955089566333</c:v>
                </c:pt>
                <c:pt idx="2">
                  <c:v>1.294490332714437</c:v>
                </c:pt>
                <c:pt idx="3">
                  <c:v>1.300057745927702</c:v>
                </c:pt>
                <c:pt idx="4">
                  <c:v>1.305657393924261</c:v>
                </c:pt>
                <c:pt idx="5">
                  <c:v>1.31128933551289</c:v>
                </c:pt>
                <c:pt idx="6">
                  <c:v>1.316953623385651</c:v>
                </c:pt>
                <c:pt idx="7">
                  <c:v>1.322650303906443</c:v>
                </c:pt>
                <c:pt idx="8">
                  <c:v>1.328379416895459</c:v>
                </c:pt>
                <c:pt idx="9">
                  <c:v>1.334140995409532</c:v>
                </c:pt>
                <c:pt idx="10">
                  <c:v>1.339935065518406</c:v>
                </c:pt>
                <c:pt idx="11">
                  <c:v>1.345761646076884</c:v>
                </c:pt>
                <c:pt idx="12">
                  <c:v>1.35162074849293</c:v>
                </c:pt>
                <c:pt idx="13">
                  <c:v>1.357512376491682</c:v>
                </c:pt>
                <c:pt idx="14">
                  <c:v>1.36343652587545</c:v>
                </c:pt>
                <c:pt idx="15">
                  <c:v>1.369393184279679</c:v>
                </c:pt>
                <c:pt idx="16">
                  <c:v>1.375382330924948</c:v>
                </c:pt>
                <c:pt idx="17">
                  <c:v>1.381403936365022</c:v>
                </c:pt>
                <c:pt idx="18">
                  <c:v>1.387457962231019</c:v>
                </c:pt>
                <c:pt idx="19">
                  <c:v>1.39354436097172</c:v>
                </c:pt>
                <c:pt idx="20">
                  <c:v>1.402119595272705</c:v>
                </c:pt>
                <c:pt idx="21">
                  <c:v>1.405814039376203</c:v>
                </c:pt>
                <c:pt idx="22">
                  <c:v>1.411997175636202</c:v>
                </c:pt>
                <c:pt idx="23">
                  <c:v>1.418212397418132</c:v>
                </c:pt>
                <c:pt idx="24">
                  <c:v>1.424459607233969</c:v>
                </c:pt>
                <c:pt idx="25">
                  <c:v>1.43073869677842</c:v>
                </c:pt>
                <c:pt idx="26">
                  <c:v>1.437049546644407</c:v>
                </c:pt>
                <c:pt idx="27">
                  <c:v>1.443392026035426</c:v>
                </c:pt>
                <c:pt idx="28">
                  <c:v>1.44976599247486</c:v>
                </c:pt>
                <c:pt idx="29">
                  <c:v>1.456171291512401</c:v>
                </c:pt>
                <c:pt idx="30">
                  <c:v>1.462607756427724</c:v>
                </c:pt>
                <c:pt idx="31">
                  <c:v>1.469075207931561</c:v>
                </c:pt>
                <c:pt idx="32">
                  <c:v>1.475573453864349</c:v>
                </c:pt>
                <c:pt idx="33">
                  <c:v>1.482102288892615</c:v>
                </c:pt>
                <c:pt idx="34">
                  <c:v>1.488661494203291</c:v>
                </c:pt>
                <c:pt idx="35">
                  <c:v>1.495250837196166</c:v>
                </c:pt>
                <c:pt idx="36">
                  <c:v>1.501870071174663</c:v>
                </c:pt>
                <c:pt idx="37">
                  <c:v>1.508518935035188</c:v>
                </c:pt>
                <c:pt idx="38">
                  <c:v>1.51519715295526</c:v>
                </c:pt>
                <c:pt idx="39">
                  <c:v>1.521904434080691</c:v>
                </c:pt>
                <c:pt idx="40">
                  <c:v>1.528640472212061</c:v>
                </c:pt>
                <c:pt idx="41">
                  <c:v>1.53540494549076</c:v>
                </c:pt>
                <c:pt idx="42">
                  <c:v>1.542197516084897</c:v>
                </c:pt>
                <c:pt idx="43">
                  <c:v>1.549017829875356</c:v>
                </c:pt>
                <c:pt idx="44">
                  <c:v>1.555865516142337</c:v>
                </c:pt>
                <c:pt idx="45">
                  <c:v>1.562740187252671</c:v>
                </c:pt>
                <c:pt idx="46">
                  <c:v>1.569641438348294</c:v>
                </c:pt>
                <c:pt idx="47">
                  <c:v>1.576568847036213</c:v>
                </c:pt>
                <c:pt idx="48">
                  <c:v>1.583521973080322</c:v>
                </c:pt>
                <c:pt idx="49">
                  <c:v>1.590500358095491</c:v>
                </c:pt>
                <c:pt idx="50">
                  <c:v>1.597503525244288</c:v>
                </c:pt>
                <c:pt idx="51">
                  <c:v>1.604530978936769</c:v>
                </c:pt>
                <c:pt idx="52">
                  <c:v>1.611582204533771</c:v>
                </c:pt>
                <c:pt idx="53">
                  <c:v>1.618656668054136</c:v>
                </c:pt>
                <c:pt idx="54">
                  <c:v>1.625753815886338</c:v>
                </c:pt>
                <c:pt idx="55">
                  <c:v>1.63287307450498</c:v>
                </c:pt>
                <c:pt idx="56">
                  <c:v>1.640013850192659</c:v>
                </c:pt>
                <c:pt idx="57">
                  <c:v>1.647175528767696</c:v>
                </c:pt>
                <c:pt idx="58">
                  <c:v>1.654357475318258</c:v>
                </c:pt>
                <c:pt idx="59">
                  <c:v>1.661559033943385</c:v>
                </c:pt>
                <c:pt idx="60">
                  <c:v>1.668779527501502</c:v>
                </c:pt>
                <c:pt idx="61">
                  <c:v>1.676018257366949</c:v>
                </c:pt>
                <c:pt idx="62">
                  <c:v>1.683274503195121</c:v>
                </c:pt>
                <c:pt idx="63">
                  <c:v>1.690547522696795</c:v>
                </c:pt>
                <c:pt idx="64">
                  <c:v>1.697836551422261</c:v>
                </c:pt>
                <c:pt idx="65">
                  <c:v>1.705140802555843</c:v>
                </c:pt>
                <c:pt idx="66">
                  <c:v>1.71245946672148</c:v>
                </c:pt>
                <c:pt idx="67">
                  <c:v>1.719791711799953</c:v>
                </c:pt>
                <c:pt idx="68">
                  <c:v>1.727136682758444</c:v>
                </c:pt>
                <c:pt idx="69">
                  <c:v>1.734493501493074</c:v>
                </c:pt>
                <c:pt idx="70">
                  <c:v>1.741861266685069</c:v>
                </c:pt>
                <c:pt idx="71">
                  <c:v>1.749239053671271</c:v>
                </c:pt>
                <c:pt idx="72">
                  <c:v>1.756625914329624</c:v>
                </c:pt>
                <c:pt idx="73">
                  <c:v>1.764020876980373</c:v>
                </c:pt>
                <c:pt idx="74">
                  <c:v>1.771422946303647</c:v>
                </c:pt>
                <c:pt idx="75">
                  <c:v>1.778831103274123</c:v>
                </c:pt>
                <c:pt idx="76">
                  <c:v>1.786244305113489</c:v>
                </c:pt>
                <c:pt idx="77">
                  <c:v>1.793661485261409</c:v>
                </c:pt>
                <c:pt idx="78">
                  <c:v>1.801081553365687</c:v>
                </c:pt>
                <c:pt idx="79">
                  <c:v>1.808503395292346</c:v>
                </c:pt>
                <c:pt idx="80">
                  <c:v>1.815925873156325</c:v>
                </c:pt>
                <c:pt idx="81">
                  <c:v>1.823347825373503</c:v>
                </c:pt>
                <c:pt idx="82">
                  <c:v>1.830768066734726</c:v>
                </c:pt>
                <c:pt idx="83">
                  <c:v>1.838185388502549</c:v>
                </c:pt>
                <c:pt idx="84">
                  <c:v>1.845598558531377</c:v>
                </c:pt>
                <c:pt idx="85">
                  <c:v>1.85300632141166</c:v>
                </c:pt>
                <c:pt idx="86">
                  <c:v>1.860407398638814</c:v>
                </c:pt>
                <c:pt idx="87">
                  <c:v>1.867800488807531</c:v>
                </c:pt>
                <c:pt idx="88">
                  <c:v>1.875184267832078</c:v>
                </c:pt>
                <c:pt idx="89">
                  <c:v>1.882557389193236</c:v>
                </c:pt>
                <c:pt idx="90">
                  <c:v>1.889918484212453</c:v>
                </c:pt>
                <c:pt idx="91">
                  <c:v>1.8972661623538</c:v>
                </c:pt>
                <c:pt idx="92">
                  <c:v>1.904599011554265</c:v>
                </c:pt>
                <c:pt idx="93">
                  <c:v>1.911915598582945</c:v>
                </c:pt>
                <c:pt idx="94">
                  <c:v>1.919214469429587</c:v>
                </c:pt>
                <c:pt idx="95">
                  <c:v>1.926494149723005</c:v>
                </c:pt>
                <c:pt idx="96">
                  <c:v>1.933753145179749</c:v>
                </c:pt>
                <c:pt idx="97">
                  <c:v>1.94098994208349</c:v>
                </c:pt>
                <c:pt idx="98">
                  <c:v>1.948203007795433</c:v>
                </c:pt>
                <c:pt idx="99">
                  <c:v>1.955390791296126</c:v>
                </c:pt>
                <c:pt idx="100">
                  <c:v>1.962551723758935</c:v>
                </c:pt>
                <c:pt idx="101">
                  <c:v>1.969593876935125</c:v>
                </c:pt>
                <c:pt idx="102">
                  <c:v>1.975380407745654</c:v>
                </c:pt>
                <c:pt idx="103">
                  <c:v>1.981114408190106</c:v>
                </c:pt>
                <c:pt idx="104">
                  <c:v>1.986794240847723</c:v>
                </c:pt>
                <c:pt idx="105">
                  <c:v>1.99241826452414</c:v>
                </c:pt>
                <c:pt idx="106">
                  <c:v>1.997984835271289</c:v>
                </c:pt>
                <c:pt idx="107">
                  <c:v>2.003492307433654</c:v>
                </c:pt>
                <c:pt idx="108">
                  <c:v>2.008939034720178</c:v>
                </c:pt>
                <c:pt idx="109">
                  <c:v>2.01432337130103</c:v>
                </c:pt>
                <c:pt idx="110">
                  <c:v>2.019643672928413</c:v>
                </c:pt>
                <c:pt idx="111">
                  <c:v>2.024898298080476</c:v>
                </c:pt>
                <c:pt idx="112">
                  <c:v>2.030085609127374</c:v>
                </c:pt>
                <c:pt idx="113">
                  <c:v>2.03520397351842</c:v>
                </c:pt>
                <c:pt idx="114">
                  <c:v>2.040251764989216</c:v>
                </c:pt>
                <c:pt idx="115">
                  <c:v>2.045227364787579</c:v>
                </c:pt>
                <c:pt idx="116">
                  <c:v>2.050129162917027</c:v>
                </c:pt>
                <c:pt idx="117">
                  <c:v>2.054955559396507</c:v>
                </c:pt>
                <c:pt idx="118">
                  <c:v>2.059704965534971</c:v>
                </c:pt>
                <c:pt idx="119">
                  <c:v>2.064375805219404</c:v>
                </c:pt>
                <c:pt idx="120">
                  <c:v>2.068966516214743</c:v>
                </c:pt>
                <c:pt idx="121">
                  <c:v>2.073475551474194</c:v>
                </c:pt>
                <c:pt idx="122">
                  <c:v>2.077901380458261</c:v>
                </c:pt>
                <c:pt idx="123">
                  <c:v>2.082242490460868</c:v>
                </c:pt>
                <c:pt idx="124">
                  <c:v>2.086497387940816</c:v>
                </c:pt>
                <c:pt idx="125">
                  <c:v>2.090664599856803</c:v>
                </c:pt>
                <c:pt idx="126">
                  <c:v>2.094742675004196</c:v>
                </c:pt>
                <c:pt idx="127">
                  <c:v>2.098730185351664</c:v>
                </c:pt>
                <c:pt idx="128">
                  <c:v>2.102625727375783</c:v>
                </c:pt>
                <c:pt idx="129">
                  <c:v>2.106427923391653</c:v>
                </c:pt>
                <c:pt idx="130">
                  <c:v>2.110135422877549</c:v>
                </c:pt>
                <c:pt idx="131">
                  <c:v>2.113746903791596</c:v>
                </c:pt>
                <c:pt idx="132">
                  <c:v>2.117261073878446</c:v>
                </c:pt>
                <c:pt idx="133">
                  <c:v>2.120676671963857</c:v>
                </c:pt>
                <c:pt idx="134">
                  <c:v>2.123992469235168</c:v>
                </c:pt>
                <c:pt idx="135">
                  <c:v>2.127207270505522</c:v>
                </c:pt>
                <c:pt idx="136">
                  <c:v>2.130319915459776</c:v>
                </c:pt>
                <c:pt idx="137">
                  <c:v>2.133329279880001</c:v>
                </c:pt>
                <c:pt idx="138">
                  <c:v>2.136234276848479</c:v>
                </c:pt>
                <c:pt idx="139">
                  <c:v>2.139033857926106</c:v>
                </c:pt>
                <c:pt idx="140">
                  <c:v>2.141727014304142</c:v>
                </c:pt>
                <c:pt idx="141">
                  <c:v>2.14431277792725</c:v>
                </c:pt>
                <c:pt idx="142">
                  <c:v>2.146790222585796</c:v>
                </c:pt>
                <c:pt idx="143">
                  <c:v>2.149158464975427</c:v>
                </c:pt>
                <c:pt idx="144">
                  <c:v>2.151416665721935</c:v>
                </c:pt>
                <c:pt idx="145">
                  <c:v>2.153564030369515</c:v>
                </c:pt>
                <c:pt idx="146">
                  <c:v>2.155599810330514</c:v>
                </c:pt>
                <c:pt idx="147">
                  <c:v>2.157523303794877</c:v>
                </c:pt>
                <c:pt idx="148">
                  <c:v>2.159333856597478</c:v>
                </c:pt>
                <c:pt idx="149">
                  <c:v>2.161030863041667</c:v>
                </c:pt>
                <c:pt idx="150">
                  <c:v>2.162613766677361</c:v>
                </c:pt>
                <c:pt idx="151">
                  <c:v>2.164082061032127</c:v>
                </c:pt>
                <c:pt idx="152">
                  <c:v>2.165435290293757</c:v>
                </c:pt>
                <c:pt idx="153">
                  <c:v>2.16667304994291</c:v>
                </c:pt>
                <c:pt idx="154">
                  <c:v>2.167794987334511</c:v>
                </c:pt>
                <c:pt idx="155">
                  <c:v>2.168800802226644</c:v>
                </c:pt>
                <c:pt idx="156">
                  <c:v>2.169690247255813</c:v>
                </c:pt>
                <c:pt idx="157">
                  <c:v>2.170463128357502</c:v>
                </c:pt>
                <c:pt idx="158">
                  <c:v>2.171119305131096</c:v>
                </c:pt>
                <c:pt idx="159">
                  <c:v>2.17165869114831</c:v>
                </c:pt>
                <c:pt idx="160">
                  <c:v>2.172081254204388</c:v>
                </c:pt>
                <c:pt idx="161">
                  <c:v>2.172387016511429</c:v>
                </c:pt>
                <c:pt idx="162">
                  <c:v>2.172576054833341</c:v>
                </c:pt>
                <c:pt idx="163">
                  <c:v>2.172648500561986</c:v>
                </c:pt>
                <c:pt idx="164">
                  <c:v>2.172604539734249</c:v>
                </c:pt>
                <c:pt idx="165">
                  <c:v>2.172444412989818</c:v>
                </c:pt>
                <c:pt idx="166">
                  <c:v>2.172168415469668</c:v>
                </c:pt>
                <c:pt idx="167">
                  <c:v>2.171776896655226</c:v>
                </c:pt>
                <c:pt idx="168">
                  <c:v>2.171270260148471</c:v>
                </c:pt>
                <c:pt idx="169">
                  <c:v>2.170648963393192</c:v>
                </c:pt>
                <c:pt idx="170">
                  <c:v>2.169913517337846</c:v>
                </c:pt>
                <c:pt idx="171">
                  <c:v>2.16906448604052</c:v>
                </c:pt>
                <c:pt idx="172">
                  <c:v>2.168102486216637</c:v>
                </c:pt>
                <c:pt idx="173">
                  <c:v>2.167028186730149</c:v>
                </c:pt>
                <c:pt idx="174">
                  <c:v>2.165842308029084</c:v>
                </c:pt>
                <c:pt idx="175">
                  <c:v>2.163287105636266</c:v>
                </c:pt>
                <c:pt idx="176">
                  <c:v>2.15900444010686</c:v>
                </c:pt>
                <c:pt idx="177">
                  <c:v>2.154619412253306</c:v>
                </c:pt>
                <c:pt idx="178">
                  <c:v>2.15013292457204</c:v>
                </c:pt>
                <c:pt idx="179">
                  <c:v>2.145545926280101</c:v>
                </c:pt>
                <c:pt idx="180">
                  <c:v>2.140859412593556</c:v>
                </c:pt>
                <c:pt idx="181">
                  <c:v>2.136074423956546</c:v>
                </c:pt>
                <c:pt idx="182">
                  <c:v>2.13119204522213</c:v>
                </c:pt>
                <c:pt idx="183">
                  <c:v>2.12621340478621</c:v>
                </c:pt>
                <c:pt idx="184">
                  <c:v>2.121139673675978</c:v>
                </c:pt>
                <c:pt idx="185">
                  <c:v>2.115972064594282</c:v>
                </c:pt>
                <c:pt idx="186">
                  <c:v>2.110711830921526</c:v>
                </c:pt>
                <c:pt idx="187">
                  <c:v>2.105360265676695</c:v>
                </c:pt>
                <c:pt idx="188">
                  <c:v>2.099918700439236</c:v>
                </c:pt>
                <c:pt idx="189">
                  <c:v>2.094388504233549</c:v>
                </c:pt>
                <c:pt idx="190">
                  <c:v>2.088771082377941</c:v>
                </c:pt>
                <c:pt idx="191">
                  <c:v>2.083067875299937</c:v>
                </c:pt>
                <c:pt idx="192">
                  <c:v>2.077280357319888</c:v>
                </c:pt>
                <c:pt idx="193">
                  <c:v>2.071410035404897</c:v>
                </c:pt>
                <c:pt idx="194">
                  <c:v>2.065458447895091</c:v>
                </c:pt>
                <c:pt idx="195">
                  <c:v>2.059427163204339</c:v>
                </c:pt>
                <c:pt idx="196">
                  <c:v>2.053317778497504</c:v>
                </c:pt>
                <c:pt idx="197">
                  <c:v>2.047131918346398</c:v>
                </c:pt>
                <c:pt idx="198">
                  <c:v>2.040871233366608</c:v>
                </c:pt>
                <c:pt idx="199">
                  <c:v>2.034537398837323</c:v>
                </c:pt>
                <c:pt idx="200">
                  <c:v>2.02813211330644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376720"/>
        <c:axId val="-1400353248"/>
      </c:scatterChart>
      <c:scatterChart>
        <c:scatterStyle val="lineMarker"/>
        <c:varyColors val="0"/>
        <c:ser>
          <c:idx val="0"/>
          <c:order val="3"/>
          <c:tx>
            <c:v>total labor (K+L), right scale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Sectors!$AI$17:$AI$217</c:f>
              <c:numCache>
                <c:formatCode>General</c:formatCode>
                <c:ptCount val="201"/>
                <c:pt idx="0">
                  <c:v>232.0198769353251</c:v>
                </c:pt>
                <c:pt idx="1">
                  <c:v>229.3614106776267</c:v>
                </c:pt>
                <c:pt idx="2">
                  <c:v>226.7366060460469</c:v>
                </c:pt>
                <c:pt idx="3">
                  <c:v>224.1450418019863</c:v>
                </c:pt>
                <c:pt idx="4">
                  <c:v>221.5863017881921</c:v>
                </c:pt>
                <c:pt idx="5">
                  <c:v>219.0599748634221</c:v>
                </c:pt>
                <c:pt idx="6">
                  <c:v>216.5656548379062</c:v>
                </c:pt>
                <c:pt idx="7">
                  <c:v>214.1029404096017</c:v>
                </c:pt>
                <c:pt idx="8">
                  <c:v>211.67143510123</c:v>
                </c:pt>
                <c:pt idx="9">
                  <c:v>209.2707471980887</c:v>
                </c:pt>
                <c:pt idx="10">
                  <c:v>206.9004896866298</c:v>
                </c:pt>
                <c:pt idx="11">
                  <c:v>204.5602801937954</c:v>
                </c:pt>
                <c:pt idx="12">
                  <c:v>202.2497409271026</c:v>
                </c:pt>
                <c:pt idx="13">
                  <c:v>199.9684986154713</c:v>
                </c:pt>
                <c:pt idx="14">
                  <c:v>197.7161844507849</c:v>
                </c:pt>
                <c:pt idx="15">
                  <c:v>195.4924340301786</c:v>
                </c:pt>
                <c:pt idx="16">
                  <c:v>193.2968872990465</c:v>
                </c:pt>
                <c:pt idx="17">
                  <c:v>191.1291884947586</c:v>
                </c:pt>
                <c:pt idx="18">
                  <c:v>188.988986091086</c:v>
                </c:pt>
                <c:pt idx="19">
                  <c:v>186.8759327433193</c:v>
                </c:pt>
                <c:pt idx="20">
                  <c:v>183.9626157613522</c:v>
                </c:pt>
                <c:pt idx="21">
                  <c:v>182.7299044198276</c:v>
                </c:pt>
                <c:pt idx="22">
                  <c:v>180.6962551780065</c:v>
                </c:pt>
                <c:pt idx="23">
                  <c:v>178.6884063549174</c:v>
                </c:pt>
                <c:pt idx="24">
                  <c:v>176.7060307142128</c:v>
                </c:pt>
                <c:pt idx="25">
                  <c:v>174.7488048860689</c:v>
                </c:pt>
                <c:pt idx="26">
                  <c:v>172.8164093170058</c:v>
                </c:pt>
                <c:pt idx="27">
                  <c:v>170.9085282203559</c:v>
                </c:pt>
                <c:pt idx="28">
                  <c:v>169.0248495273751</c:v>
                </c:pt>
                <c:pt idx="29">
                  <c:v>167.1650648389864</c:v>
                </c:pt>
                <c:pt idx="30">
                  <c:v>165.3288693781582</c:v>
                </c:pt>
                <c:pt idx="31">
                  <c:v>163.515961942906</c:v>
                </c:pt>
                <c:pt idx="32">
                  <c:v>161.7260448599134</c:v>
                </c:pt>
                <c:pt idx="33">
                  <c:v>159.9588239387715</c:v>
                </c:pt>
                <c:pt idx="34">
                  <c:v>158.2140084268254</c:v>
                </c:pt>
                <c:pt idx="35">
                  <c:v>156.4913109646291</c:v>
                </c:pt>
                <c:pt idx="36">
                  <c:v>154.7904475420008</c:v>
                </c:pt>
                <c:pt idx="37">
                  <c:v>153.1111374546747</c:v>
                </c:pt>
                <c:pt idx="38">
                  <c:v>151.4531032615457</c:v>
                </c:pt>
                <c:pt idx="39">
                  <c:v>149.8160707425033</c:v>
                </c:pt>
                <c:pt idx="40">
                  <c:v>148.1997688568476</c:v>
                </c:pt>
                <c:pt idx="41">
                  <c:v>146.6039297022893</c:v>
                </c:pt>
                <c:pt idx="42">
                  <c:v>145.028288474522</c:v>
                </c:pt>
                <c:pt idx="43">
                  <c:v>143.4725834273706</c:v>
                </c:pt>
                <c:pt idx="44">
                  <c:v>141.9365558335079</c:v>
                </c:pt>
                <c:pt idx="45">
                  <c:v>140.4199499457365</c:v>
                </c:pt>
                <c:pt idx="46">
                  <c:v>138.9225129588339</c:v>
                </c:pt>
                <c:pt idx="47">
                  <c:v>137.4439949719557</c:v>
                </c:pt>
                <c:pt idx="48">
                  <c:v>135.984148951596</c:v>
                </c:pt>
                <c:pt idx="49">
                  <c:v>134.5427306950988</c:v>
                </c:pt>
                <c:pt idx="50">
                  <c:v>133.1194987947217</c:v>
                </c:pt>
                <c:pt idx="51">
                  <c:v>131.7142146022435</c:v>
                </c:pt>
                <c:pt idx="52">
                  <c:v>130.3266421941178</c:v>
                </c:pt>
                <c:pt idx="53">
                  <c:v>128.9565483371674</c:v>
                </c:pt>
                <c:pt idx="54">
                  <c:v>127.6037024548166</c:v>
                </c:pt>
                <c:pt idx="55">
                  <c:v>126.2678765938603</c:v>
                </c:pt>
                <c:pt idx="56">
                  <c:v>124.9488453917651</c:v>
                </c:pt>
                <c:pt idx="57">
                  <c:v>123.6463860445025</c:v>
                </c:pt>
                <c:pt idx="58">
                  <c:v>122.3602782749095</c:v>
                </c:pt>
                <c:pt idx="59">
                  <c:v>121.090304301575</c:v>
                </c:pt>
                <c:pt idx="60">
                  <c:v>119.8362488082505</c:v>
                </c:pt>
                <c:pt idx="61">
                  <c:v>118.5978989137806</c:v>
                </c:pt>
                <c:pt idx="62">
                  <c:v>117.3750441425532</c:v>
                </c:pt>
                <c:pt idx="63">
                  <c:v>116.1674763954653</c:v>
                </c:pt>
                <c:pt idx="64">
                  <c:v>114.9749899214037</c:v>
                </c:pt>
                <c:pt idx="65">
                  <c:v>113.7973812892368</c:v>
                </c:pt>
                <c:pt idx="66">
                  <c:v>112.6344493603158</c:v>
                </c:pt>
                <c:pt idx="67">
                  <c:v>111.4859952614835</c:v>
                </c:pt>
                <c:pt idx="68">
                  <c:v>110.3518223585873</c:v>
                </c:pt>
                <c:pt idx="69">
                  <c:v>109.2317362304951</c:v>
                </c:pt>
                <c:pt idx="70">
                  <c:v>108.1255446436102</c:v>
                </c:pt>
                <c:pt idx="71">
                  <c:v>107.0330575268847</c:v>
                </c:pt>
                <c:pt idx="72">
                  <c:v>105.9540869473279</c:v>
                </c:pt>
                <c:pt idx="73">
                  <c:v>104.8884470860059</c:v>
                </c:pt>
                <c:pt idx="74">
                  <c:v>103.8359542145324</c:v>
                </c:pt>
                <c:pt idx="75">
                  <c:v>102.7964266720456</c:v>
                </c:pt>
                <c:pt idx="76">
                  <c:v>101.7696848426698</c:v>
                </c:pt>
                <c:pt idx="77">
                  <c:v>100.7555511334585</c:v>
                </c:pt>
                <c:pt idx="78">
                  <c:v>99.75384995281541</c:v>
                </c:pt>
                <c:pt idx="79">
                  <c:v>98.764407689391</c:v>
                </c:pt>
                <c:pt idx="80">
                  <c:v>97.78705269145112</c:v>
                </c:pt>
                <c:pt idx="81">
                  <c:v>96.8216152467143</c:v>
                </c:pt>
                <c:pt idx="82">
                  <c:v>95.86792756265379</c:v>
                </c:pt>
                <c:pt idx="83">
                  <c:v>94.92582374726165</c:v>
                </c:pt>
                <c:pt idx="84">
                  <c:v>93.99513979027032</c:v>
                </c:pt>
                <c:pt idx="85">
                  <c:v>93.07571354482759</c:v>
                </c:pt>
                <c:pt idx="86">
                  <c:v>92.16738470962152</c:v>
                </c:pt>
                <c:pt idx="87">
                  <c:v>91.26999481145026</c:v>
                </c:pt>
                <c:pt idx="88">
                  <c:v>90.38338718823275</c:v>
                </c:pt>
                <c:pt idx="89">
                  <c:v>89.5074069724549</c:v>
                </c:pt>
                <c:pt idx="90">
                  <c:v>88.64190107504742</c:v>
                </c:pt>
                <c:pt idx="91">
                  <c:v>87.78671816968851</c:v>
                </c:pt>
                <c:pt idx="92">
                  <c:v>86.94170867752743</c:v>
                </c:pt>
                <c:pt idx="93">
                  <c:v>86.106724752323</c:v>
                </c:pt>
                <c:pt idx="94">
                  <c:v>85.2816202659904</c:v>
                </c:pt>
                <c:pt idx="95">
                  <c:v>84.46625079455095</c:v>
                </c:pt>
                <c:pt idx="96">
                  <c:v>83.66047360447814</c:v>
                </c:pt>
                <c:pt idx="97">
                  <c:v>82.8641476394334</c:v>
                </c:pt>
                <c:pt idx="98">
                  <c:v>82.0771335073846</c:v>
                </c:pt>
                <c:pt idx="99">
                  <c:v>81.29929346810015</c:v>
                </c:pt>
                <c:pt idx="100">
                  <c:v>80.53049142101085</c:v>
                </c:pt>
                <c:pt idx="101">
                  <c:v>85.30557295970736</c:v>
                </c:pt>
                <c:pt idx="102">
                  <c:v>84.59143841647361</c:v>
                </c:pt>
                <c:pt idx="103">
                  <c:v>83.88495594882423</c:v>
                </c:pt>
                <c:pt idx="104">
                  <c:v>83.1859975242715</c:v>
                </c:pt>
                <c:pt idx="105">
                  <c:v>82.49443675632602</c:v>
                </c:pt>
                <c:pt idx="106">
                  <c:v>81.81014889968012</c:v>
                </c:pt>
                <c:pt idx="107">
                  <c:v>81.13301084565509</c:v>
                </c:pt>
                <c:pt idx="108">
                  <c:v>80.46290111789573</c:v>
                </c:pt>
                <c:pt idx="109">
                  <c:v>79.79969986829573</c:v>
                </c:pt>
                <c:pt idx="110">
                  <c:v>79.14328887313852</c:v>
                </c:pt>
                <c:pt idx="111">
                  <c:v>78.49355152943552</c:v>
                </c:pt>
                <c:pt idx="112">
                  <c:v>77.85037285144475</c:v>
                </c:pt>
                <c:pt idx="113">
                  <c:v>77.21363946735314</c:v>
                </c:pt>
                <c:pt idx="114">
                  <c:v>76.58323961610347</c:v>
                </c:pt>
                <c:pt idx="115">
                  <c:v>75.95906314434836</c:v>
                </c:pt>
                <c:pt idx="116">
                  <c:v>75.34100150351293</c:v>
                </c:pt>
                <c:pt idx="117">
                  <c:v>74.7289477469474</c:v>
                </c:pt>
                <c:pt idx="118">
                  <c:v>74.1227965271506</c:v>
                </c:pt>
                <c:pt idx="119">
                  <c:v>73.52244409304564</c:v>
                </c:pt>
                <c:pt idx="120">
                  <c:v>72.92778828728788</c:v>
                </c:pt>
                <c:pt idx="121">
                  <c:v>72.33872854358722</c:v>
                </c:pt>
                <c:pt idx="122">
                  <c:v>71.7551658840231</c:v>
                </c:pt>
                <c:pt idx="123">
                  <c:v>71.17700291633503</c:v>
                </c:pt>
                <c:pt idx="124">
                  <c:v>70.60414383116746</c:v>
                </c:pt>
                <c:pt idx="125">
                  <c:v>70.0364943992501</c:v>
                </c:pt>
                <c:pt idx="126">
                  <c:v>69.47396196849394</c:v>
                </c:pt>
                <c:pt idx="127">
                  <c:v>68.9164554609837</c:v>
                </c:pt>
                <c:pt idx="128">
                  <c:v>68.36388536984743</c:v>
                </c:pt>
                <c:pt idx="129">
                  <c:v>67.81616375598363</c:v>
                </c:pt>
                <c:pt idx="130">
                  <c:v>67.27320424462726</c:v>
                </c:pt>
                <c:pt idx="131">
                  <c:v>66.7349220217358</c:v>
                </c:pt>
                <c:pt idx="132">
                  <c:v>66.20123383017653</c:v>
                </c:pt>
                <c:pt idx="133">
                  <c:v>65.67205796569722</c:v>
                </c:pt>
                <c:pt idx="134">
                  <c:v>65.14731427266176</c:v>
                </c:pt>
                <c:pt idx="135">
                  <c:v>64.62692413953394</c:v>
                </c:pt>
                <c:pt idx="136">
                  <c:v>64.11081049409148</c:v>
                </c:pt>
                <c:pt idx="137">
                  <c:v>63.59889779835412</c:v>
                </c:pt>
                <c:pt idx="138">
                  <c:v>63.09111204320928</c:v>
                </c:pt>
                <c:pt idx="139">
                  <c:v>62.58738074272067</c:v>
                </c:pt>
                <c:pt idx="140">
                  <c:v>62.08763292810272</c:v>
                </c:pt>
                <c:pt idx="141">
                  <c:v>61.59179914134879</c:v>
                </c:pt>
                <c:pt idx="142">
                  <c:v>61.09981142849735</c:v>
                </c:pt>
                <c:pt idx="143">
                  <c:v>60.61160333252475</c:v>
                </c:pt>
                <c:pt idx="144">
                  <c:v>60.12710988585024</c:v>
                </c:pt>
                <c:pt idx="145">
                  <c:v>59.64626760244379</c:v>
                </c:pt>
                <c:pt idx="146">
                  <c:v>59.1690144695235</c:v>
                </c:pt>
                <c:pt idx="147">
                  <c:v>58.69528993883464</c:v>
                </c:pt>
                <c:pt idx="148">
                  <c:v>58.22503491749978</c:v>
                </c:pt>
                <c:pt idx="149">
                  <c:v>57.7581917584319</c:v>
                </c:pt>
                <c:pt idx="150">
                  <c:v>57.2947042503033</c:v>
                </c:pt>
                <c:pt idx="151">
                  <c:v>56.83451760706393</c:v>
                </c:pt>
                <c:pt idx="152">
                  <c:v>56.37757845700224</c:v>
                </c:pt>
                <c:pt idx="153">
                  <c:v>55.92383483134608</c:v>
                </c:pt>
                <c:pt idx="154">
                  <c:v>55.47323615239745</c:v>
                </c:pt>
                <c:pt idx="155">
                  <c:v>55.02573322120075</c:v>
                </c:pt>
                <c:pt idx="156">
                  <c:v>54.58127820474066</c:v>
                </c:pt>
                <c:pt idx="157">
                  <c:v>54.13982462267101</c:v>
                </c:pt>
                <c:pt idx="158">
                  <c:v>53.70132733357292</c:v>
                </c:pt>
                <c:pt idx="159">
                  <c:v>53.26574252074522</c:v>
                </c:pt>
                <c:pt idx="160">
                  <c:v>52.83302767752833</c:v>
                </c:pt>
                <c:pt idx="161">
                  <c:v>52.40314159216561</c:v>
                </c:pt>
                <c:pt idx="162">
                  <c:v>51.9760443322061</c:v>
                </c:pt>
                <c:pt idx="163">
                  <c:v>51.5516972284541</c:v>
                </c:pt>
                <c:pt idx="164">
                  <c:v>51.13006285847239</c:v>
                </c:pt>
                <c:pt idx="165">
                  <c:v>50.71110502964565</c:v>
                </c:pt>
                <c:pt idx="166">
                  <c:v>50.29478876181285</c:v>
                </c:pt>
                <c:pt idx="167">
                  <c:v>49.88108026947764</c:v>
                </c:pt>
                <c:pt idx="168">
                  <c:v>49.46994694360716</c:v>
                </c:pt>
                <c:pt idx="169">
                  <c:v>49.06135733303017</c:v>
                </c:pt>
                <c:pt idx="170">
                  <c:v>48.65528112544608</c:v>
                </c:pt>
                <c:pt idx="171">
                  <c:v>48.25168912805833</c:v>
                </c:pt>
                <c:pt idx="172">
                  <c:v>47.85055324784556</c:v>
                </c:pt>
                <c:pt idx="173">
                  <c:v>47.45184647148406</c:v>
                </c:pt>
                <c:pt idx="174">
                  <c:v>47.05554284493831</c:v>
                </c:pt>
                <c:pt idx="175">
                  <c:v>34.44629301853022</c:v>
                </c:pt>
                <c:pt idx="176">
                  <c:v>34.12344345974146</c:v>
                </c:pt>
                <c:pt idx="177">
                  <c:v>33.803331988879</c:v>
                </c:pt>
                <c:pt idx="178">
                  <c:v>33.48592478474144</c:v>
                </c:pt>
                <c:pt idx="179">
                  <c:v>33.17118881731589</c:v>
                </c:pt>
                <c:pt idx="180">
                  <c:v>32.85909183545068</c:v>
                </c:pt>
                <c:pt idx="181">
                  <c:v>32.54960235438036</c:v>
                </c:pt>
                <c:pt idx="182">
                  <c:v>32.24268964311101</c:v>
                </c:pt>
                <c:pt idx="183">
                  <c:v>31.93832371167171</c:v>
                </c:pt>
                <c:pt idx="184">
                  <c:v>31.63647529824053</c:v>
                </c:pt>
                <c:pt idx="185">
                  <c:v>31.33711585615184</c:v>
                </c:pt>
                <c:pt idx="186">
                  <c:v>31.04021754079353</c:v>
                </c:pt>
                <c:pt idx="187">
                  <c:v>30.74575319640229</c:v>
                </c:pt>
                <c:pt idx="188">
                  <c:v>30.45369634276539</c:v>
                </c:pt>
                <c:pt idx="189">
                  <c:v>30.1640211618382</c:v>
                </c:pt>
                <c:pt idx="190">
                  <c:v>29.87670248428629</c:v>
                </c:pt>
                <c:pt idx="191">
                  <c:v>29.5917157759613</c:v>
                </c:pt>
                <c:pt idx="192">
                  <c:v>29.30903712432052</c:v>
                </c:pt>
                <c:pt idx="193">
                  <c:v>29.0286432247997</c:v>
                </c:pt>
                <c:pt idx="194">
                  <c:v>28.75051136714879</c:v>
                </c:pt>
                <c:pt idx="195">
                  <c:v>28.47461942174054</c:v>
                </c:pt>
                <c:pt idx="196">
                  <c:v>28.20094582586264</c:v>
                </c:pt>
                <c:pt idx="197">
                  <c:v>27.92946957000248</c:v>
                </c:pt>
                <c:pt idx="198">
                  <c:v>27.6601701841358</c:v>
                </c:pt>
                <c:pt idx="199">
                  <c:v>27.39302772402872</c:v>
                </c:pt>
                <c:pt idx="200">
                  <c:v>27.12802275756366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347536"/>
        <c:axId val="-1400350928"/>
      </c:scatterChart>
      <c:valAx>
        <c:axId val="-140037672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Sector,</a:t>
                </a:r>
                <a:r>
                  <a:rPr lang="en-US" sz="1400" baseline="0"/>
                  <a:t> ordered by low-skill intensity of its technology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353248"/>
        <c:crosses val="autoZero"/>
        <c:crossBetween val="midCat"/>
      </c:valAx>
      <c:valAx>
        <c:axId val="-1400353248"/>
        <c:scaling>
          <c:orientation val="minMax"/>
          <c:max val="5.0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376720"/>
        <c:crosses val="autoZero"/>
        <c:crossBetween val="midCat"/>
        <c:majorUnit val="1.0"/>
      </c:valAx>
      <c:valAx>
        <c:axId val="-1400350928"/>
        <c:scaling>
          <c:orientation val="minMax"/>
          <c:max val="5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Employment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347536"/>
        <c:crosses val="max"/>
        <c:crossBetween val="midCat"/>
      </c:valAx>
      <c:valAx>
        <c:axId val="-140034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003509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30364888047602"/>
          <c:y val="0.146700452570417"/>
          <c:w val="0.368078439197797"/>
          <c:h val="0.2544166209145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2775163974989"/>
          <c:y val="0.0235144547785737"/>
          <c:w val="0.881345301610484"/>
          <c:h val="0.922126852002605"/>
        </c:manualLayout>
      </c:layout>
      <c:scatterChart>
        <c:scatterStyle val="lineMarker"/>
        <c:varyColors val="0"/>
        <c:ser>
          <c:idx val="1"/>
          <c:order val="0"/>
          <c:tx>
            <c:strRef>
              <c:f>Sectors!$O$16</c:f>
              <c:strCache>
                <c:ptCount val="1"/>
                <c:pt idx="0">
                  <c:v>K/L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Sectors!$BD$17:$BD$217</c:f>
              <c:numCache>
                <c:formatCode>0.00</c:formatCode>
                <c:ptCount val="201"/>
                <c:pt idx="0">
                  <c:v>8.239007725206582</c:v>
                </c:pt>
                <c:pt idx="1">
                  <c:v>8.09793660963713</c:v>
                </c:pt>
                <c:pt idx="2">
                  <c:v>7.95928096208419</c:v>
                </c:pt>
                <c:pt idx="3">
                  <c:v>7.822999424076081</c:v>
                </c:pt>
                <c:pt idx="4">
                  <c:v>7.689051345295046</c:v>
                </c:pt>
                <c:pt idx="5">
                  <c:v>7.557396771452017</c:v>
                </c:pt>
                <c:pt idx="6">
                  <c:v>7.427996432368958</c:v>
                </c:pt>
                <c:pt idx="7">
                  <c:v>7.300811730265294</c:v>
                </c:pt>
                <c:pt idx="8">
                  <c:v>7.17580472824489</c:v>
                </c:pt>
                <c:pt idx="9">
                  <c:v>7.052938138980147</c:v>
                </c:pt>
                <c:pt idx="10">
                  <c:v>6.932175313589876</c:v>
                </c:pt>
                <c:pt idx="11">
                  <c:v>6.8134802307076</c:v>
                </c:pt>
                <c:pt idx="12">
                  <c:v>6.696817485737037</c:v>
                </c:pt>
                <c:pt idx="13">
                  <c:v>6.582152280291534</c:v>
                </c:pt>
                <c:pt idx="14">
                  <c:v>6.469450411814353</c:v>
                </c:pt>
                <c:pt idx="15">
                  <c:v>6.358678263376667</c:v>
                </c:pt>
                <c:pt idx="16">
                  <c:v>6.249802793650212</c:v>
                </c:pt>
                <c:pt idx="17">
                  <c:v>6.142791527051701</c:v>
                </c:pt>
                <c:pt idx="18">
                  <c:v>6.037612544055908</c:v>
                </c:pt>
                <c:pt idx="19">
                  <c:v>5.934234471674662</c:v>
                </c:pt>
                <c:pt idx="20">
                  <c:v>5.792472089527964</c:v>
                </c:pt>
                <c:pt idx="21">
                  <c:v>5.732758243500694</c:v>
                </c:pt>
                <c:pt idx="22">
                  <c:v>5.634599990993372</c:v>
                </c:pt>
                <c:pt idx="23">
                  <c:v>5.538122437745647</c:v>
                </c:pt>
                <c:pt idx="24">
                  <c:v>5.443296806248457</c:v>
                </c:pt>
                <c:pt idx="25">
                  <c:v>5.350094811731114</c:v>
                </c:pt>
                <c:pt idx="26">
                  <c:v>5.258488653724473</c:v>
                </c:pt>
                <c:pt idx="27">
                  <c:v>5.168451007768557</c:v>
                </c:pt>
                <c:pt idx="28">
                  <c:v>5.079955017262173</c:v>
                </c:pt>
                <c:pt idx="29">
                  <c:v>4.992974285452042</c:v>
                </c:pt>
                <c:pt idx="30">
                  <c:v>4.907482867559162</c:v>
                </c:pt>
                <c:pt idx="31">
                  <c:v>4.823455263039937</c:v>
                </c:pt>
                <c:pt idx="32">
                  <c:v>4.740866407979808</c:v>
                </c:pt>
                <c:pt idx="33">
                  <c:v>4.65969166761717</c:v>
                </c:pt>
                <c:pt idx="34">
                  <c:v>4.579906828995244</c:v>
                </c:pt>
                <c:pt idx="35">
                  <c:v>4.501488093739806</c:v>
                </c:pt>
                <c:pt idx="36">
                  <c:v>4.424412070960556</c:v>
                </c:pt>
                <c:pt idx="37">
                  <c:v>4.348655770274034</c:v>
                </c:pt>
                <c:pt idx="38">
                  <c:v>4.274196594946015</c:v>
                </c:pt>
                <c:pt idx="39">
                  <c:v>4.2010123351513</c:v>
                </c:pt>
                <c:pt idx="40">
                  <c:v>4.129081161348946</c:v>
                </c:pt>
                <c:pt idx="41">
                  <c:v>4.058381617770875</c:v>
                </c:pt>
                <c:pt idx="42">
                  <c:v>3.988892616022052</c:v>
                </c:pt>
                <c:pt idx="43">
                  <c:v>3.920593428790151</c:v>
                </c:pt>
                <c:pt idx="44">
                  <c:v>3.853463683663012</c:v>
                </c:pt>
                <c:pt idx="45">
                  <c:v>3.787483357051888</c:v>
                </c:pt>
                <c:pt idx="46">
                  <c:v>3.7226327682188</c:v>
                </c:pt>
                <c:pt idx="47">
                  <c:v>3.6588925734061</c:v>
                </c:pt>
                <c:pt idx="48">
                  <c:v>3.5962437600666</c:v>
                </c:pt>
                <c:pt idx="49">
                  <c:v>3.534667641192462</c:v>
                </c:pt>
                <c:pt idx="50">
                  <c:v>3.474145849741206</c:v>
                </c:pt>
                <c:pt idx="51">
                  <c:v>3.414660333157149</c:v>
                </c:pt>
                <c:pt idx="52">
                  <c:v>3.35619334798666</c:v>
                </c:pt>
                <c:pt idx="53">
                  <c:v>3.298727454585598</c:v>
                </c:pt>
                <c:pt idx="54">
                  <c:v>3.242245511917402</c:v>
                </c:pt>
                <c:pt idx="55">
                  <c:v>3.186730672440206</c:v>
                </c:pt>
                <c:pt idx="56">
                  <c:v>3.13216637708154</c:v>
                </c:pt>
                <c:pt idx="57">
                  <c:v>3.078536350299045</c:v>
                </c:pt>
                <c:pt idx="58">
                  <c:v>3.025824595225787</c:v>
                </c:pt>
                <c:pt idx="59">
                  <c:v>2.974015388898668</c:v>
                </c:pt>
                <c:pt idx="60">
                  <c:v>2.923093277568552</c:v>
                </c:pt>
                <c:pt idx="61">
                  <c:v>2.873043072090708</c:v>
                </c:pt>
                <c:pt idx="62">
                  <c:v>2.823849843394136</c:v>
                </c:pt>
                <c:pt idx="63">
                  <c:v>2.775498918028519</c:v>
                </c:pt>
                <c:pt idx="64">
                  <c:v>2.72797587378738</c:v>
                </c:pt>
                <c:pt idx="65">
                  <c:v>2.681266535406213</c:v>
                </c:pt>
                <c:pt idx="66">
                  <c:v>2.63535697033425</c:v>
                </c:pt>
                <c:pt idx="67">
                  <c:v>2.590233484578635</c:v>
                </c:pt>
                <c:pt idx="68">
                  <c:v>2.545882618619751</c:v>
                </c:pt>
                <c:pt idx="69">
                  <c:v>2.502291143396496</c:v>
                </c:pt>
                <c:pt idx="70">
                  <c:v>2.459446056360286</c:v>
                </c:pt>
                <c:pt idx="71">
                  <c:v>2.417334577596631</c:v>
                </c:pt>
                <c:pt idx="72">
                  <c:v>2.375944146013124</c:v>
                </c:pt>
                <c:pt idx="73">
                  <c:v>2.335262415592685</c:v>
                </c:pt>
                <c:pt idx="74">
                  <c:v>2.295277251710974</c:v>
                </c:pt>
                <c:pt idx="75">
                  <c:v>2.255976727516854</c:v>
                </c:pt>
                <c:pt idx="76">
                  <c:v>2.217349120374814</c:v>
                </c:pt>
                <c:pt idx="77">
                  <c:v>2.179382908368336</c:v>
                </c:pt>
                <c:pt idx="78">
                  <c:v>2.142066766863103</c:v>
                </c:pt>
                <c:pt idx="79">
                  <c:v>2.105389565129076</c:v>
                </c:pt>
                <c:pt idx="80">
                  <c:v>2.069340363020387</c:v>
                </c:pt>
                <c:pt idx="81">
                  <c:v>2.033908407712097</c:v>
                </c:pt>
                <c:pt idx="82">
                  <c:v>1.999083130492828</c:v>
                </c:pt>
                <c:pt idx="83">
                  <c:v>1.964854143612297</c:v>
                </c:pt>
                <c:pt idx="84">
                  <c:v>1.931211237182849</c:v>
                </c:pt>
                <c:pt idx="85">
                  <c:v>1.898144376134019</c:v>
                </c:pt>
                <c:pt idx="86">
                  <c:v>1.865643697219269</c:v>
                </c:pt>
                <c:pt idx="87">
                  <c:v>1.833699506073941</c:v>
                </c:pt>
                <c:pt idx="88">
                  <c:v>1.802302274323621</c:v>
                </c:pt>
                <c:pt idx="89">
                  <c:v>1.771442636741983</c:v>
                </c:pt>
                <c:pt idx="90">
                  <c:v>1.741111388457323</c:v>
                </c:pt>
                <c:pt idx="91">
                  <c:v>1.711299482206903</c:v>
                </c:pt>
                <c:pt idx="92">
                  <c:v>1.681998025638323</c:v>
                </c:pt>
                <c:pt idx="93">
                  <c:v>1.653198278657086</c:v>
                </c:pt>
                <c:pt idx="94">
                  <c:v>1.251184021992577</c:v>
                </c:pt>
                <c:pt idx="95">
                  <c:v>1.229760820115346</c:v>
                </c:pt>
                <c:pt idx="96">
                  <c:v>1.208704433647046</c:v>
                </c:pt>
                <c:pt idx="97">
                  <c:v>1.188008581848454</c:v>
                </c:pt>
                <c:pt idx="98">
                  <c:v>1.167667091521324</c:v>
                </c:pt>
                <c:pt idx="99">
                  <c:v>1.147673895167026</c:v>
                </c:pt>
                <c:pt idx="100">
                  <c:v>1.128023029176718</c:v>
                </c:pt>
                <c:pt idx="101">
                  <c:v>1.108708632052518</c:v>
                </c:pt>
                <c:pt idx="102">
                  <c:v>1.089724942659121</c:v>
                </c:pt>
                <c:pt idx="103">
                  <c:v>1.071066298505354</c:v>
                </c:pt>
                <c:pt idx="104">
                  <c:v>1.052727134055159</c:v>
                </c:pt>
                <c:pt idx="105">
                  <c:v>1.034701979067498</c:v>
                </c:pt>
                <c:pt idx="106">
                  <c:v>1.016985456964673</c:v>
                </c:pt>
                <c:pt idx="107">
                  <c:v>0.999572283228595</c:v>
                </c:pt>
                <c:pt idx="108">
                  <c:v>0.982457263824505</c:v>
                </c:pt>
                <c:pt idx="109">
                  <c:v>0.965635293651689</c:v>
                </c:pt>
                <c:pt idx="110">
                  <c:v>0.949101355020717</c:v>
                </c:pt>
                <c:pt idx="111">
                  <c:v>0.932850516156758</c:v>
                </c:pt>
                <c:pt idx="112">
                  <c:v>0.916877929728522</c:v>
                </c:pt>
                <c:pt idx="113">
                  <c:v>0.901178831402386</c:v>
                </c:pt>
                <c:pt idx="114">
                  <c:v>0.885748538421284</c:v>
                </c:pt>
                <c:pt idx="115">
                  <c:v>0.870582448207919</c:v>
                </c:pt>
                <c:pt idx="116">
                  <c:v>0.855676036991902</c:v>
                </c:pt>
                <c:pt idx="117">
                  <c:v>0.841024858460392</c:v>
                </c:pt>
                <c:pt idx="118">
                  <c:v>0.826624542431841</c:v>
                </c:pt>
                <c:pt idx="119">
                  <c:v>0.81247079355245</c:v>
                </c:pt>
                <c:pt idx="120">
                  <c:v>0.798559390014937</c:v>
                </c:pt>
                <c:pt idx="121">
                  <c:v>0.784886182299254</c:v>
                </c:pt>
                <c:pt idx="122">
                  <c:v>0.771447091934859</c:v>
                </c:pt>
                <c:pt idx="123">
                  <c:v>0.75823811028418</c:v>
                </c:pt>
                <c:pt idx="124">
                  <c:v>0.745255297346913</c:v>
                </c:pt>
                <c:pt idx="125">
                  <c:v>0.732494780584789</c:v>
                </c:pt>
                <c:pt idx="126">
                  <c:v>0.719952753766468</c:v>
                </c:pt>
                <c:pt idx="127">
                  <c:v>0.707625475832209</c:v>
                </c:pt>
                <c:pt idx="128">
                  <c:v>0.695509269777977</c:v>
                </c:pt>
                <c:pt idx="129">
                  <c:v>0.683600521558663</c:v>
                </c:pt>
                <c:pt idx="130">
                  <c:v>0.671895679010076</c:v>
                </c:pt>
                <c:pt idx="131">
                  <c:v>0.660391250789399</c:v>
                </c:pt>
                <c:pt idx="132">
                  <c:v>0.649083805333784</c:v>
                </c:pt>
                <c:pt idx="133">
                  <c:v>0.637969969836779</c:v>
                </c:pt>
                <c:pt idx="134">
                  <c:v>0.627046429242281</c:v>
                </c:pt>
                <c:pt idx="135">
                  <c:v>0.616309925255713</c:v>
                </c:pt>
                <c:pt idx="136">
                  <c:v>0.605757255372136</c:v>
                </c:pt>
                <c:pt idx="137">
                  <c:v>0.595385271920999</c:v>
                </c:pt>
                <c:pt idx="138">
                  <c:v>0.585190881127245</c:v>
                </c:pt>
                <c:pt idx="139">
                  <c:v>0.575171042188495</c:v>
                </c:pt>
                <c:pt idx="140">
                  <c:v>0.56532276636803</c:v>
                </c:pt>
                <c:pt idx="141">
                  <c:v>0.555643116103308</c:v>
                </c:pt>
                <c:pt idx="142">
                  <c:v>0.786774581047278</c:v>
                </c:pt>
                <c:pt idx="143">
                  <c:v>0.773303156871955</c:v>
                </c:pt>
                <c:pt idx="144">
                  <c:v>0.760062395040946</c:v>
                </c:pt>
                <c:pt idx="145">
                  <c:v>0.747048346074494</c:v>
                </c:pt>
                <c:pt idx="146">
                  <c:v>0.734257128117189</c:v>
                </c:pt>
                <c:pt idx="147">
                  <c:v>0.721684925780079</c:v>
                </c:pt>
                <c:pt idx="148">
                  <c:v>0.709327989002611</c:v>
                </c:pt>
                <c:pt idx="149">
                  <c:v>0.697182631934054</c:v>
                </c:pt>
                <c:pt idx="150">
                  <c:v>0.685245231834079</c:v>
                </c:pt>
                <c:pt idx="151">
                  <c:v>0.673512227992157</c:v>
                </c:pt>
                <c:pt idx="152">
                  <c:v>0.661980120665466</c:v>
                </c:pt>
                <c:pt idx="153">
                  <c:v>0.650645470034982</c:v>
                </c:pt>
                <c:pt idx="154">
                  <c:v>0.639504895179442</c:v>
                </c:pt>
                <c:pt idx="155">
                  <c:v>0.628555073066873</c:v>
                </c:pt>
                <c:pt idx="156">
                  <c:v>0.617792737563401</c:v>
                </c:pt>
                <c:pt idx="157">
                  <c:v>0.60721467845901</c:v>
                </c:pt>
                <c:pt idx="158">
                  <c:v>0.596817740510003</c:v>
                </c:pt>
                <c:pt idx="159">
                  <c:v>0.586598822497851</c:v>
                </c:pt>
                <c:pt idx="160">
                  <c:v>0.576554876304145</c:v>
                </c:pt>
                <c:pt idx="161">
                  <c:v>0.566682906001412</c:v>
                </c:pt>
                <c:pt idx="162">
                  <c:v>0.556979966959472</c:v>
                </c:pt>
                <c:pt idx="163">
                  <c:v>0.547443164967113</c:v>
                </c:pt>
                <c:pt idx="164">
                  <c:v>0.538069655368803</c:v>
                </c:pt>
                <c:pt idx="165">
                  <c:v>0.528856642216173</c:v>
                </c:pt>
                <c:pt idx="166">
                  <c:v>0.519801377434045</c:v>
                </c:pt>
                <c:pt idx="167">
                  <c:v>0.510901160000723</c:v>
                </c:pt>
                <c:pt idx="168">
                  <c:v>0.502153335142334</c:v>
                </c:pt>
                <c:pt idx="169">
                  <c:v>0.49355529354095</c:v>
                </c:pt>
                <c:pt idx="170">
                  <c:v>0.485104470556283</c:v>
                </c:pt>
                <c:pt idx="171">
                  <c:v>0.476798345460693</c:v>
                </c:pt>
                <c:pt idx="172">
                  <c:v>0.468634440687303</c:v>
                </c:pt>
                <c:pt idx="173">
                  <c:v>0.460610321090988</c:v>
                </c:pt>
                <c:pt idx="174">
                  <c:v>0.452723593222011</c:v>
                </c:pt>
                <c:pt idx="175">
                  <c:v>0.444971904612102</c:v>
                </c:pt>
                <c:pt idx="176">
                  <c:v>0.43735294307276</c:v>
                </c:pt>
                <c:pt idx="177">
                  <c:v>0.429864436005568</c:v>
                </c:pt>
                <c:pt idx="178">
                  <c:v>0.42250414972432</c:v>
                </c:pt>
                <c:pt idx="179">
                  <c:v>0.415269888788749</c:v>
                </c:pt>
                <c:pt idx="180">
                  <c:v>0.40815949534967</c:v>
                </c:pt>
                <c:pt idx="181">
                  <c:v>0.401170848505332</c:v>
                </c:pt>
                <c:pt idx="182">
                  <c:v>0.394301863668791</c:v>
                </c:pt>
                <c:pt idx="183">
                  <c:v>0.387550491946115</c:v>
                </c:pt>
                <c:pt idx="184">
                  <c:v>0.380914719525237</c:v>
                </c:pt>
                <c:pt idx="185">
                  <c:v>0.374392567075271</c:v>
                </c:pt>
                <c:pt idx="186">
                  <c:v>0.367982089156112</c:v>
                </c:pt>
                <c:pt idx="187">
                  <c:v>0.361681373638149</c:v>
                </c:pt>
                <c:pt idx="188">
                  <c:v>0.355488541131909</c:v>
                </c:pt>
                <c:pt idx="189">
                  <c:v>0.34940174442747</c:v>
                </c:pt>
                <c:pt idx="190">
                  <c:v>0.343419167943473</c:v>
                </c:pt>
                <c:pt idx="191">
                  <c:v>0.337539027185563</c:v>
                </c:pt>
                <c:pt idx="192">
                  <c:v>0.331759568214113</c:v>
                </c:pt>
                <c:pt idx="193">
                  <c:v>0.326079067121049</c:v>
                </c:pt>
                <c:pt idx="194">
                  <c:v>0.320495829515642</c:v>
                </c:pt>
                <c:pt idx="195">
                  <c:v>0.315008190019104</c:v>
                </c:pt>
                <c:pt idx="196">
                  <c:v>0.309614511767832</c:v>
                </c:pt>
                <c:pt idx="197">
                  <c:v>0.304313185925164</c:v>
                </c:pt>
                <c:pt idx="198">
                  <c:v>0.299102631201491</c:v>
                </c:pt>
                <c:pt idx="199">
                  <c:v>0.293981293382586</c:v>
                </c:pt>
                <c:pt idx="200">
                  <c:v>0.288947644866012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Sectors!$H$16</c:f>
              <c:strCache>
                <c:ptCount val="1"/>
                <c:pt idx="0">
                  <c:v>ESI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Sectors!$AV$17:$AV$217</c:f>
              <c:numCache>
                <c:formatCode>General</c:formatCode>
                <c:ptCount val="2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Sectors!$AC$16</c:f>
              <c:strCache>
                <c:ptCount val="1"/>
                <c:pt idx="0">
                  <c:v>NGI</c:v>
                </c:pt>
              </c:strCache>
            </c:strRef>
          </c:tx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Sectors!$AW$17:$AW$217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Sectors!$BE$16</c:f>
              <c:strCache>
                <c:ptCount val="1"/>
                <c:pt idx="0">
                  <c:v>p_i/r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Sectors!$BE$17:$BE$217</c:f>
              <c:numCache>
                <c:formatCode>0.00</c:formatCode>
                <c:ptCount val="201"/>
                <c:pt idx="0">
                  <c:v>1.27683056330365</c:v>
                </c:pt>
                <c:pt idx="1">
                  <c:v>1.282255586286892</c:v>
                </c:pt>
                <c:pt idx="2">
                  <c:v>1.287711331833864</c:v>
                </c:pt>
                <c:pt idx="3">
                  <c:v>1.293197845236055</c:v>
                </c:pt>
                <c:pt idx="4">
                  <c:v>1.298715165689168</c:v>
                </c:pt>
                <c:pt idx="5">
                  <c:v>1.304263326087442</c:v>
                </c:pt>
                <c:pt idx="6">
                  <c:v>1.30984235281408</c:v>
                </c:pt>
                <c:pt idx="7">
                  <c:v>1.315452265527758</c:v>
                </c:pt>
                <c:pt idx="8">
                  <c:v>1.321093076945236</c:v>
                </c:pt>
                <c:pt idx="9">
                  <c:v>1.326764792620067</c:v>
                </c:pt>
                <c:pt idx="10">
                  <c:v>1.332467410717436</c:v>
                </c:pt>
                <c:pt idx="11">
                  <c:v>1.338200921785128</c:v>
                </c:pt>
                <c:pt idx="12">
                  <c:v>1.343965308520673</c:v>
                </c:pt>
                <c:pt idx="13">
                  <c:v>1.349760545534666</c:v>
                </c:pt>
                <c:pt idx="14">
                  <c:v>1.355586599110337</c:v>
                </c:pt>
                <c:pt idx="15">
                  <c:v>1.361443426959375</c:v>
                </c:pt>
                <c:pt idx="16">
                  <c:v>1.36733097797408</c:v>
                </c:pt>
                <c:pt idx="17">
                  <c:v>1.373249191975879</c:v>
                </c:pt>
                <c:pt idx="18">
                  <c:v>1.379197999460281</c:v>
                </c:pt>
                <c:pt idx="19">
                  <c:v>1.385177321338327</c:v>
                </c:pt>
                <c:pt idx="20">
                  <c:v>1.393599464896757</c:v>
                </c:pt>
                <c:pt idx="21">
                  <c:v>1.397227142422005</c:v>
                </c:pt>
                <c:pt idx="22">
                  <c:v>1.403297433152992</c:v>
                </c:pt>
                <c:pt idx="23">
                  <c:v>1.409397820788046</c:v>
                </c:pt>
                <c:pt idx="24">
                  <c:v>1.415528174320801</c:v>
                </c:pt>
                <c:pt idx="25">
                  <c:v>1.421688351540359</c:v>
                </c:pt>
                <c:pt idx="26">
                  <c:v>1.427878198750765</c:v>
                </c:pt>
                <c:pt idx="27">
                  <c:v>1.434097550487829</c:v>
                </c:pt>
                <c:pt idx="28">
                  <c:v>1.440346229233392</c:v>
                </c:pt>
                <c:pt idx="29">
                  <c:v>1.446624045127223</c:v>
                </c:pt>
                <c:pt idx="30">
                  <c:v>1.452930795676702</c:v>
                </c:pt>
                <c:pt idx="31">
                  <c:v>1.459266265464456</c:v>
                </c:pt>
                <c:pt idx="32">
                  <c:v>1.465630225854133</c:v>
                </c:pt>
                <c:pt idx="33">
                  <c:v>1.472022434694524</c:v>
                </c:pt>
                <c:pt idx="34">
                  <c:v>1.478442636022216</c:v>
                </c:pt>
                <c:pt idx="35">
                  <c:v>1.48489055976302</c:v>
                </c:pt>
                <c:pt idx="36">
                  <c:v>1.491365921432374</c:v>
                </c:pt>
                <c:pt idx="37">
                  <c:v>1.497868421834996</c:v>
                </c:pt>
                <c:pt idx="38">
                  <c:v>1.504397746764024</c:v>
                </c:pt>
                <c:pt idx="39">
                  <c:v>1.510953566699899</c:v>
                </c:pt>
                <c:pt idx="40">
                  <c:v>1.517535536509304</c:v>
                </c:pt>
                <c:pt idx="41">
                  <c:v>1.52414329514442</c:v>
                </c:pt>
                <c:pt idx="42">
                  <c:v>1.530776465342823</c:v>
                </c:pt>
                <c:pt idx="43">
                  <c:v>1.537434653328341</c:v>
                </c:pt>
                <c:pt idx="44">
                  <c:v>1.544117448513198</c:v>
                </c:pt>
                <c:pt idx="45">
                  <c:v>1.5508244232018</c:v>
                </c:pt>
                <c:pt idx="46">
                  <c:v>1.55755513229652</c:v>
                </c:pt>
                <c:pt idx="47">
                  <c:v>1.564309113005855</c:v>
                </c:pt>
                <c:pt idx="48">
                  <c:v>1.571085884555367</c:v>
                </c:pt>
                <c:pt idx="49">
                  <c:v>1.577884947901774</c:v>
                </c:pt>
                <c:pt idx="50">
                  <c:v>1.584705785450644</c:v>
                </c:pt>
                <c:pt idx="51">
                  <c:v>1.591547860778111</c:v>
                </c:pt>
                <c:pt idx="52">
                  <c:v>1.598410618357057</c:v>
                </c:pt>
                <c:pt idx="53">
                  <c:v>1.605293483288233</c:v>
                </c:pt>
                <c:pt idx="54">
                  <c:v>1.612195861036785</c:v>
                </c:pt>
                <c:pt idx="55">
                  <c:v>1.61911713717468</c:v>
                </c:pt>
                <c:pt idx="56">
                  <c:v>1.626056677129536</c:v>
                </c:pt>
                <c:pt idx="57">
                  <c:v>1.633013825940375</c:v>
                </c:pt>
                <c:pt idx="58">
                  <c:v>1.639987908020828</c:v>
                </c:pt>
                <c:pt idx="59">
                  <c:v>1.646978226930337</c:v>
                </c:pt>
                <c:pt idx="60">
                  <c:v>1.653984065153914</c:v>
                </c:pt>
                <c:pt idx="61">
                  <c:v>1.661004683891033</c:v>
                </c:pt>
                <c:pt idx="62">
                  <c:v>1.668039322854221</c:v>
                </c:pt>
                <c:pt idx="63">
                  <c:v>1.675087200077967</c:v>
                </c:pt>
                <c:pt idx="64">
                  <c:v>1.682147511738533</c:v>
                </c:pt>
                <c:pt idx="65">
                  <c:v>1.689219431985293</c:v>
                </c:pt>
                <c:pt idx="66">
                  <c:v>1.696302112784237</c:v>
                </c:pt>
                <c:pt idx="67">
                  <c:v>1.703394683774251</c:v>
                </c:pt>
                <c:pt idx="68">
                  <c:v>1.710496252136852</c:v>
                </c:pt>
                <c:pt idx="69">
                  <c:v>1.717605902479995</c:v>
                </c:pt>
                <c:pt idx="70">
                  <c:v>1.724722696736645</c:v>
                </c:pt>
                <c:pt idx="71">
                  <c:v>1.731845674078753</c:v>
                </c:pt>
                <c:pt idx="72">
                  <c:v>1.738973850847335</c:v>
                </c:pt>
                <c:pt idx="73">
                  <c:v>1.746106220499297</c:v>
                </c:pt>
                <c:pt idx="74">
                  <c:v>1.753241753571724</c:v>
                </c:pt>
                <c:pt idx="75">
                  <c:v>1.760379397664274</c:v>
                </c:pt>
                <c:pt idx="76">
                  <c:v>1.767518077440386</c:v>
                </c:pt>
                <c:pt idx="77">
                  <c:v>1.774656694647979</c:v>
                </c:pt>
                <c:pt idx="78">
                  <c:v>1.78179412816031</c:v>
                </c:pt>
                <c:pt idx="79">
                  <c:v>1.78892923403767</c:v>
                </c:pt>
                <c:pt idx="80">
                  <c:v>1.796060845610604</c:v>
                </c:pt>
                <c:pt idx="81">
                  <c:v>1.803187773585294</c:v>
                </c:pt>
                <c:pt idx="82">
                  <c:v>1.810308806171784</c:v>
                </c:pt>
                <c:pt idx="83">
                  <c:v>1.817422709235674</c:v>
                </c:pt>
                <c:pt idx="84">
                  <c:v>1.824528226473937</c:v>
                </c:pt>
                <c:pt idx="85">
                  <c:v>1.831624079615468</c:v>
                </c:pt>
                <c:pt idx="86">
                  <c:v>1.838708968646975</c:v>
                </c:pt>
                <c:pt idx="87">
                  <c:v>1.845781572064802</c:v>
                </c:pt>
                <c:pt idx="88">
                  <c:v>1.852840547153253</c:v>
                </c:pt>
                <c:pt idx="89">
                  <c:v>1.859884530289976</c:v>
                </c:pt>
                <c:pt idx="90">
                  <c:v>1.866912137278914</c:v>
                </c:pt>
                <c:pt idx="91">
                  <c:v>1.873921963711356</c:v>
                </c:pt>
                <c:pt idx="92">
                  <c:v>1.880912585355524</c:v>
                </c:pt>
                <c:pt idx="93">
                  <c:v>1.887882558575178</c:v>
                </c:pt>
                <c:pt idx="94">
                  <c:v>1.894385313681039</c:v>
                </c:pt>
                <c:pt idx="95">
                  <c:v>1.900357794082364</c:v>
                </c:pt>
                <c:pt idx="96">
                  <c:v>1.906289242174534</c:v>
                </c:pt>
                <c:pt idx="97">
                  <c:v>1.91217810015797</c:v>
                </c:pt>
                <c:pt idx="98">
                  <c:v>1.918022800522088</c:v>
                </c:pt>
                <c:pt idx="99">
                  <c:v>1.9238217668584</c:v>
                </c:pt>
                <c:pt idx="100">
                  <c:v>1.929573414702496</c:v>
                </c:pt>
                <c:pt idx="101">
                  <c:v>1.935276152404648</c:v>
                </c:pt>
                <c:pt idx="102">
                  <c:v>1.940928382028688</c:v>
                </c:pt>
                <c:pt idx="103">
                  <c:v>1.946528500278784</c:v>
                </c:pt>
                <c:pt idx="104">
                  <c:v>1.952074899453635</c:v>
                </c:pt>
                <c:pt idx="105">
                  <c:v>1.957565968427589</c:v>
                </c:pt>
                <c:pt idx="106">
                  <c:v>1.963000093658095</c:v>
                </c:pt>
                <c:pt idx="107">
                  <c:v>1.96837566021883</c:v>
                </c:pt>
                <c:pt idx="108">
                  <c:v>1.973691052857817</c:v>
                </c:pt>
                <c:pt idx="109">
                  <c:v>1.978944657079734</c:v>
                </c:pt>
                <c:pt idx="110">
                  <c:v>1.984134860251583</c:v>
                </c:pt>
                <c:pt idx="111">
                  <c:v>1.989260052730803</c:v>
                </c:pt>
                <c:pt idx="112">
                  <c:v>1.994318629014862</c:v>
                </c:pt>
                <c:pt idx="113">
                  <c:v>1.999308988911266</c:v>
                </c:pt>
                <c:pt idx="114">
                  <c:v>2.004229538726913</c:v>
                </c:pt>
                <c:pt idx="115">
                  <c:v>2.009078692475565</c:v>
                </c:pt>
                <c:pt idx="116">
                  <c:v>2.013854873102254</c:v>
                </c:pt>
                <c:pt idx="117">
                  <c:v>2.01855651372328</c:v>
                </c:pt>
                <c:pt idx="118">
                  <c:v>2.02318205888046</c:v>
                </c:pt>
                <c:pt idx="119">
                  <c:v>2.027729965808183</c:v>
                </c:pt>
                <c:pt idx="120">
                  <c:v>2.032198705711794</c:v>
                </c:pt>
                <c:pt idx="121">
                  <c:v>2.036586765055765</c:v>
                </c:pt>
                <c:pt idx="122">
                  <c:v>2.040892646860039</c:v>
                </c:pt>
                <c:pt idx="123">
                  <c:v>2.045114872002902</c:v>
                </c:pt>
                <c:pt idx="124">
                  <c:v>2.049251980528679</c:v>
                </c:pt>
                <c:pt idx="125">
                  <c:v>2.053302532958483</c:v>
                </c:pt>
                <c:pt idx="126">
                  <c:v>2.057265111602235</c:v>
                </c:pt>
                <c:pt idx="127">
                  <c:v>2.061138321870094</c:v>
                </c:pt>
                <c:pt idx="128">
                  <c:v>2.064920793581431</c:v>
                </c:pt>
                <c:pt idx="129">
                  <c:v>2.06861118226941</c:v>
                </c:pt>
                <c:pt idx="130">
                  <c:v>2.072208170479235</c:v>
                </c:pt>
                <c:pt idx="131">
                  <c:v>2.075710469058091</c:v>
                </c:pt>
                <c:pt idx="132">
                  <c:v>2.079116818434755</c:v>
                </c:pt>
                <c:pt idx="133">
                  <c:v>2.082425989886863</c:v>
                </c:pt>
                <c:pt idx="134">
                  <c:v>2.085636786793824</c:v>
                </c:pt>
                <c:pt idx="135">
                  <c:v>2.088748045873266</c:v>
                </c:pt>
                <c:pt idx="136">
                  <c:v>2.091758638399036</c:v>
                </c:pt>
                <c:pt idx="137">
                  <c:v>2.094667471398637</c:v>
                </c:pt>
                <c:pt idx="138">
                  <c:v>2.097473488828091</c:v>
                </c:pt>
                <c:pt idx="139">
                  <c:v>2.100175672722157</c:v>
                </c:pt>
                <c:pt idx="140">
                  <c:v>2.102773044317904</c:v>
                </c:pt>
                <c:pt idx="141">
                  <c:v>2.105264665149599</c:v>
                </c:pt>
                <c:pt idx="142">
                  <c:v>2.107601424859518</c:v>
                </c:pt>
                <c:pt idx="143">
                  <c:v>2.106228017216531</c:v>
                </c:pt>
                <c:pt idx="144">
                  <c:v>2.104753933928123</c:v>
                </c:pt>
                <c:pt idx="145">
                  <c:v>2.10317870633207</c:v>
                </c:pt>
                <c:pt idx="146">
                  <c:v>2.101501907542468</c:v>
                </c:pt>
                <c:pt idx="147">
                  <c:v>2.099723153170477</c:v>
                </c:pt>
                <c:pt idx="148">
                  <c:v>2.097842102008137</c:v>
                </c:pt>
                <c:pt idx="149">
                  <c:v>2.095858456673838</c:v>
                </c:pt>
                <c:pt idx="150">
                  <c:v>2.093771964217957</c:v>
                </c:pt>
                <c:pt idx="151">
                  <c:v>2.091582416687329</c:v>
                </c:pt>
                <c:pt idx="152">
                  <c:v>2.08928965164721</c:v>
                </c:pt>
                <c:pt idx="153">
                  <c:v>2.086893552659498</c:v>
                </c:pt>
                <c:pt idx="154">
                  <c:v>2.084394049716036</c:v>
                </c:pt>
                <c:pt idx="155">
                  <c:v>2.081791119625863</c:v>
                </c:pt>
                <c:pt idx="156">
                  <c:v>2.079084786355424</c:v>
                </c:pt>
                <c:pt idx="157">
                  <c:v>2.076275121320756</c:v>
                </c:pt>
                <c:pt idx="158">
                  <c:v>2.073362243630798</c:v>
                </c:pt>
                <c:pt idx="159">
                  <c:v>2.070346320281048</c:v>
                </c:pt>
                <c:pt idx="160">
                  <c:v>2.067227566296861</c:v>
                </c:pt>
                <c:pt idx="161">
                  <c:v>2.064006244825816</c:v>
                </c:pt>
                <c:pt idx="162">
                  <c:v>2.060682667178618</c:v>
                </c:pt>
                <c:pt idx="163">
                  <c:v>2.057257192818164</c:v>
                </c:pt>
                <c:pt idx="164">
                  <c:v>2.05373022929643</c:v>
                </c:pt>
                <c:pt idx="165">
                  <c:v>2.050102232138987</c:v>
                </c:pt>
                <c:pt idx="166">
                  <c:v>2.046373704677057</c:v>
                </c:pt>
                <c:pt idx="167">
                  <c:v>2.042545197827076</c:v>
                </c:pt>
                <c:pt idx="168">
                  <c:v>2.038617309817873</c:v>
                </c:pt>
                <c:pt idx="169">
                  <c:v>2.034590685865679</c:v>
                </c:pt>
                <c:pt idx="170">
                  <c:v>2.030466017797266</c:v>
                </c:pt>
                <c:pt idx="171">
                  <c:v>2.026244043621616</c:v>
                </c:pt>
                <c:pt idx="172">
                  <c:v>2.021925547050641</c:v>
                </c:pt>
                <c:pt idx="173">
                  <c:v>2.017511356969574</c:v>
                </c:pt>
                <c:pt idx="174">
                  <c:v>2.013002346857736</c:v>
                </c:pt>
                <c:pt idx="175">
                  <c:v>2.008399434160483</c:v>
                </c:pt>
                <c:pt idx="176">
                  <c:v>2.003703579613266</c:v>
                </c:pt>
                <c:pt idx="177">
                  <c:v>1.998915786518795</c:v>
                </c:pt>
                <c:pt idx="178">
                  <c:v>1.994037099978401</c:v>
                </c:pt>
                <c:pt idx="179">
                  <c:v>1.989068606078784</c:v>
                </c:pt>
                <c:pt idx="180">
                  <c:v>1.984011431035426</c:v>
                </c:pt>
                <c:pt idx="181">
                  <c:v>1.978866740294032</c:v>
                </c:pt>
                <c:pt idx="182">
                  <c:v>1.973635737591405</c:v>
                </c:pt>
                <c:pt idx="183">
                  <c:v>1.968319663977295</c:v>
                </c:pt>
                <c:pt idx="184">
                  <c:v>1.962919796798804</c:v>
                </c:pt>
                <c:pt idx="185">
                  <c:v>1.957437448648972</c:v>
                </c:pt>
                <c:pt idx="186">
                  <c:v>1.951873966281297</c:v>
                </c:pt>
                <c:pt idx="187">
                  <c:v>1.946230729491923</c:v>
                </c:pt>
                <c:pt idx="188">
                  <c:v>1.94050914997135</c:v>
                </c:pt>
                <c:pt idx="189">
                  <c:v>1.934710670127534</c:v>
                </c:pt>
                <c:pt idx="190">
                  <c:v>1.928836761882277</c:v>
                </c:pt>
                <c:pt idx="191">
                  <c:v>1.922888925442914</c:v>
                </c:pt>
                <c:pt idx="192">
                  <c:v>1.916868688051227</c:v>
                </c:pt>
                <c:pt idx="193">
                  <c:v>1.910777602711649</c:v>
                </c:pt>
                <c:pt idx="194">
                  <c:v>1.904617246900798</c:v>
                </c:pt>
                <c:pt idx="195">
                  <c:v>1.898389221260386</c:v>
                </c:pt>
                <c:pt idx="196">
                  <c:v>1.892095148275579</c:v>
                </c:pt>
                <c:pt idx="197">
                  <c:v>1.885736670940914</c:v>
                </c:pt>
                <c:pt idx="198">
                  <c:v>1.87931545141583</c:v>
                </c:pt>
                <c:pt idx="199">
                  <c:v>1.872833169671896</c:v>
                </c:pt>
                <c:pt idx="200">
                  <c:v>1.866291522133837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6784704"/>
        <c:axId val="-1426782384"/>
      </c:scatterChart>
      <c:scatterChart>
        <c:scatterStyle val="lineMarker"/>
        <c:varyColors val="0"/>
        <c:ser>
          <c:idx val="0"/>
          <c:order val="3"/>
          <c:tx>
            <c:strRef>
              <c:f>Sectors!$N$16</c:f>
              <c:strCache>
                <c:ptCount val="1"/>
                <c:pt idx="0">
                  <c:v>adj L+K</c:v>
                </c:pt>
              </c:strCache>
            </c:strRef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Sectors!$BC$17:$BC$217</c:f>
              <c:numCache>
                <c:formatCode>General</c:formatCode>
                <c:ptCount val="201"/>
                <c:pt idx="0">
                  <c:v>232.4521987146857</c:v>
                </c:pt>
                <c:pt idx="1">
                  <c:v>229.8122938913768</c:v>
                </c:pt>
                <c:pt idx="2">
                  <c:v>227.205886781354</c:v>
                </c:pt>
                <c:pt idx="3">
                  <c:v>224.6325575587579</c:v>
                </c:pt>
                <c:pt idx="4">
                  <c:v>222.0918914429305</c:v>
                </c:pt>
                <c:pt idx="5">
                  <c:v>219.5834786332705</c:v>
                </c:pt>
                <c:pt idx="6">
                  <c:v>217.1069142448846</c:v>
                </c:pt>
                <c:pt idx="7">
                  <c:v>214.6617982450302</c:v>
                </c:pt>
                <c:pt idx="8">
                  <c:v>212.2477353903392</c:v>
                </c:pt>
                <c:pt idx="9">
                  <c:v>209.8643351648156</c:v>
                </c:pt>
                <c:pt idx="10">
                  <c:v>207.5112117185978</c:v>
                </c:pt>
                <c:pt idx="11">
                  <c:v>205.1879838074788</c:v>
                </c:pt>
                <c:pt idx="12">
                  <c:v>202.8942747331762</c:v>
                </c:pt>
                <c:pt idx="13">
                  <c:v>200.6297122843414</c:v>
                </c:pt>
                <c:pt idx="14">
                  <c:v>198.3939286783064</c:v>
                </c:pt>
                <c:pt idx="15">
                  <c:v>196.1865605035552</c:v>
                </c:pt>
                <c:pt idx="16">
                  <c:v>194.0072486629161</c:v>
                </c:pt>
                <c:pt idx="17">
                  <c:v>191.8556383174656</c:v>
                </c:pt>
                <c:pt idx="18">
                  <c:v>189.731378831139</c:v>
                </c:pt>
                <c:pt idx="19">
                  <c:v>187.6341237160392</c:v>
                </c:pt>
                <c:pt idx="20">
                  <c:v>184.7426827514903</c:v>
                </c:pt>
                <c:pt idx="21">
                  <c:v>183.51926106547</c:v>
                </c:pt>
                <c:pt idx="22">
                  <c:v>181.5009808124883</c:v>
                </c:pt>
                <c:pt idx="23">
                  <c:v>179.5083593911182</c:v>
                </c:pt>
                <c:pt idx="24">
                  <c:v>177.5410702579609</c:v>
                </c:pt>
                <c:pt idx="25">
                  <c:v>175.5987907039668</c:v>
                </c:pt>
                <c:pt idx="26">
                  <c:v>173.6812018044624</c:v>
                </c:pt>
                <c:pt idx="27">
                  <c:v>171.7879883698316</c:v>
                </c:pt>
                <c:pt idx="28">
                  <c:v>169.9188388968383</c:v>
                </c:pt>
                <c:pt idx="29">
                  <c:v>168.0734455205929</c:v>
                </c:pt>
                <c:pt idx="30">
                  <c:v>166.2515039671534</c:v>
                </c:pt>
                <c:pt idx="31">
                  <c:v>164.4527135067557</c:v>
                </c:pt>
                <c:pt idx="32">
                  <c:v>162.6767769076706</c:v>
                </c:pt>
                <c:pt idx="33">
                  <c:v>160.9234003906832</c:v>
                </c:pt>
                <c:pt idx="34">
                  <c:v>159.1922935841864</c:v>
                </c:pt>
                <c:pt idx="35">
                  <c:v>157.4831694798889</c:v>
                </c:pt>
                <c:pt idx="36">
                  <c:v>155.7957443891301</c:v>
                </c:pt>
                <c:pt idx="37">
                  <c:v>154.1297378997995</c:v>
                </c:pt>
                <c:pt idx="38">
                  <c:v>152.4848728338562</c:v>
                </c:pt>
                <c:pt idx="39">
                  <c:v>150.8608752054442</c:v>
                </c:pt>
                <c:pt idx="40">
                  <c:v>149.2574741796008</c:v>
                </c:pt>
                <c:pt idx="41">
                  <c:v>147.6744020315537</c:v>
                </c:pt>
                <c:pt idx="42">
                  <c:v>146.1113941066032</c:v>
                </c:pt>
                <c:pt idx="43">
                  <c:v>144.5681887805868</c:v>
                </c:pt>
                <c:pt idx="44">
                  <c:v>143.0445274209239</c:v>
                </c:pt>
                <c:pt idx="45">
                  <c:v>141.5401543482328</c:v>
                </c:pt>
                <c:pt idx="46">
                  <c:v>140.0548167985246</c:v>
                </c:pt>
                <c:pt idx="47">
                  <c:v>138.5882648859636</c:v>
                </c:pt>
                <c:pt idx="48">
                  <c:v>137.1402515661958</c:v>
                </c:pt>
                <c:pt idx="49">
                  <c:v>135.7105326002418</c:v>
                </c:pt>
                <c:pt idx="50">
                  <c:v>134.2988665189507</c:v>
                </c:pt>
                <c:pt idx="51">
                  <c:v>132.9050145880122</c:v>
                </c:pt>
                <c:pt idx="52">
                  <c:v>131.5287407735259</c:v>
                </c:pt>
                <c:pt idx="53">
                  <c:v>130.1698117081247</c:v>
                </c:pt>
                <c:pt idx="54">
                  <c:v>128.8279966576477</c:v>
                </c:pt>
                <c:pt idx="55">
                  <c:v>127.5030674883649</c:v>
                </c:pt>
                <c:pt idx="56">
                  <c:v>126.1947986347457</c:v>
                </c:pt>
                <c:pt idx="57">
                  <c:v>124.9029670677752</c:v>
                </c:pt>
                <c:pt idx="58">
                  <c:v>123.6273522638099</c:v>
                </c:pt>
                <c:pt idx="59">
                  <c:v>122.3677361739749</c:v>
                </c:pt>
                <c:pt idx="60">
                  <c:v>121.1239031940998</c:v>
                </c:pt>
                <c:pt idx="61">
                  <c:v>119.8956401351885</c:v>
                </c:pt>
                <c:pt idx="62">
                  <c:v>118.6827361944248</c:v>
                </c:pt>
                <c:pt idx="63">
                  <c:v>117.4849829267084</c:v>
                </c:pt>
                <c:pt idx="64">
                  <c:v>116.3021742167208</c:v>
                </c:pt>
                <c:pt idx="65">
                  <c:v>115.1341062515187</c:v>
                </c:pt>
                <c:pt idx="66">
                  <c:v>113.9805774936519</c:v>
                </c:pt>
                <c:pt idx="67">
                  <c:v>112.8413886548054</c:v>
                </c:pt>
                <c:pt idx="68">
                  <c:v>111.7163426699614</c:v>
                </c:pt>
                <c:pt idx="69">
                  <c:v>110.6052446720796</c:v>
                </c:pt>
                <c:pt idx="70">
                  <c:v>109.5079019672952</c:v>
                </c:pt>
                <c:pt idx="71">
                  <c:v>108.4241240106281</c:v>
                </c:pt>
                <c:pt idx="72">
                  <c:v>107.3537223822065</c:v>
                </c:pt>
                <c:pt idx="73">
                  <c:v>106.2965107639965</c:v>
                </c:pt>
                <c:pt idx="74">
                  <c:v>105.2523049170394</c:v>
                </c:pt>
                <c:pt idx="75">
                  <c:v>104.2209226591919</c:v>
                </c:pt>
                <c:pt idx="76">
                  <c:v>103.2021838433664</c:v>
                </c:pt>
                <c:pt idx="77">
                  <c:v>102.1959103362698</c:v>
                </c:pt>
                <c:pt idx="78">
                  <c:v>101.201925997635</c:v>
                </c:pt>
                <c:pt idx="79">
                  <c:v>100.2200566599448</c:v>
                </c:pt>
                <c:pt idx="80">
                  <c:v>99.25013010864308</c:v>
                </c:pt>
                <c:pt idx="81">
                  <c:v>98.29197606282989</c:v>
                </c:pt>
                <c:pt idx="82">
                  <c:v>97.3454261564364</c:v>
                </c:pt>
                <c:pt idx="83">
                  <c:v>96.4103139198771</c:v>
                </c:pt>
                <c:pt idx="84">
                  <c:v>95.48647476217331</c:v>
                </c:pt>
                <c:pt idx="85">
                  <c:v>94.57374595354474</c:v>
                </c:pt>
                <c:pt idx="86">
                  <c:v>93.67196660846443</c:v>
                </c:pt>
                <c:pt idx="87">
                  <c:v>92.7809776691721</c:v>
                </c:pt>
                <c:pt idx="88">
                  <c:v>91.90062188964074</c:v>
                </c:pt>
                <c:pt idx="89">
                  <c:v>91.03074381999144</c:v>
                </c:pt>
                <c:pt idx="90">
                  <c:v>90.1711897913512</c:v>
                </c:pt>
                <c:pt idx="91">
                  <c:v>89.32180790114683</c:v>
                </c:pt>
                <c:pt idx="92">
                  <c:v>88.48244799883049</c:v>
                </c:pt>
                <c:pt idx="93">
                  <c:v>87.65296167202936</c:v>
                </c:pt>
                <c:pt idx="94">
                  <c:v>91.59493050495304</c:v>
                </c:pt>
                <c:pt idx="95">
                  <c:v>90.81689014007964</c:v>
                </c:pt>
                <c:pt idx="96">
                  <c:v>90.0475026690423</c:v>
                </c:pt>
                <c:pt idx="97">
                  <c:v>89.28662701306453</c:v>
                </c:pt>
                <c:pt idx="98">
                  <c:v>88.53412379998718</c:v>
                </c:pt>
                <c:pt idx="99">
                  <c:v>87.78985535728684</c:v>
                </c:pt>
                <c:pt idx="100">
                  <c:v>87.05368570545855</c:v>
                </c:pt>
                <c:pt idx="101">
                  <c:v>86.32548055175192</c:v>
                </c:pt>
                <c:pt idx="102">
                  <c:v>85.60510728424398</c:v>
                </c:pt>
                <c:pt idx="103">
                  <c:v>84.89243496623754</c:v>
                </c:pt>
                <c:pt idx="104">
                  <c:v>84.18733433096841</c:v>
                </c:pt>
                <c:pt idx="105">
                  <c:v>83.48967777660877</c:v>
                </c:pt>
                <c:pt idx="106">
                  <c:v>82.79933936154898</c:v>
                </c:pt>
                <c:pt idx="107">
                  <c:v>82.11619479994416</c:v>
                </c:pt>
                <c:pt idx="108">
                  <c:v>81.44012145750828</c:v>
                </c:pt>
                <c:pt idx="109">
                  <c:v>80.77099834753938</c:v>
                </c:pt>
                <c:pt idx="110">
                  <c:v>80.10870612715973</c:v>
                </c:pt>
                <c:pt idx="111">
                  <c:v>79.45312709375235</c:v>
                </c:pt>
                <c:pt idx="112">
                  <c:v>78.80414518157762</c:v>
                </c:pt>
                <c:pt idx="113">
                  <c:v>78.16164595855108</c:v>
                </c:pt>
                <c:pt idx="114">
                  <c:v>77.52551662316514</c:v>
                </c:pt>
                <c:pt idx="115">
                  <c:v>76.89564600153496</c:v>
                </c:pt>
                <c:pt idx="116">
                  <c:v>76.27192454455053</c:v>
                </c:pt>
                <c:pt idx="117">
                  <c:v>75.65424432511588</c:v>
                </c:pt>
                <c:pt idx="118">
                  <c:v>75.04249903545605</c:v>
                </c:pt>
                <c:pt idx="119">
                  <c:v>74.436583984472</c:v>
                </c:pt>
                <c:pt idx="120">
                  <c:v>73.83639609512463</c:v>
                </c:pt>
                <c:pt idx="121">
                  <c:v>73.24183390182756</c:v>
                </c:pt>
                <c:pt idx="122">
                  <c:v>72.65279754782898</c:v>
                </c:pt>
                <c:pt idx="123">
                  <c:v>72.0691887825631</c:v>
                </c:pt>
                <c:pt idx="124">
                  <c:v>71.4909109589507</c:v>
                </c:pt>
                <c:pt idx="125">
                  <c:v>70.9178690306291</c:v>
                </c:pt>
                <c:pt idx="126">
                  <c:v>70.34996954909203</c:v>
                </c:pt>
                <c:pt idx="127">
                  <c:v>69.78712066071886</c:v>
                </c:pt>
                <c:pt idx="128">
                  <c:v>69.22923210367428</c:v>
                </c:pt>
                <c:pt idx="129">
                  <c:v>68.67621520465831</c:v>
                </c:pt>
                <c:pt idx="130">
                  <c:v>68.12798287548789</c:v>
                </c:pt>
                <c:pt idx="131">
                  <c:v>67.58444960949012</c:v>
                </c:pt>
                <c:pt idx="132">
                  <c:v>67.04553147768907</c:v>
                </c:pt>
                <c:pt idx="133">
                  <c:v>66.51114612476744</c:v>
                </c:pt>
                <c:pt idx="134">
                  <c:v>65.98121276478448</c:v>
                </c:pt>
                <c:pt idx="135">
                  <c:v>65.45565217663298</c:v>
                </c:pt>
                <c:pt idx="136">
                  <c:v>64.9343866992175</c:v>
                </c:pt>
                <c:pt idx="137">
                  <c:v>64.4173402263374</c:v>
                </c:pt>
                <c:pt idx="138">
                  <c:v>63.90443820125734</c:v>
                </c:pt>
                <c:pt idx="139">
                  <c:v>63.39560761095133</c:v>
                </c:pt>
                <c:pt idx="140">
                  <c:v>62.8907769800025</c:v>
                </c:pt>
                <c:pt idx="141">
                  <c:v>62.38987636414642</c:v>
                </c:pt>
                <c:pt idx="142">
                  <c:v>50.75777926825158</c:v>
                </c:pt>
                <c:pt idx="143">
                  <c:v>50.30239313734427</c:v>
                </c:pt>
                <c:pt idx="144">
                  <c:v>49.85130930438957</c:v>
                </c:pt>
                <c:pt idx="145">
                  <c:v>49.40446106785875</c:v>
                </c:pt>
                <c:pt idx="146">
                  <c:v>48.96178292450687</c:v>
                </c:pt>
                <c:pt idx="147">
                  <c:v>48.52321056233574</c:v>
                </c:pt>
                <c:pt idx="148">
                  <c:v>48.08868085338477</c:v>
                </c:pt>
                <c:pt idx="149">
                  <c:v>47.65813184634062</c:v>
                </c:pt>
                <c:pt idx="150">
                  <c:v>47.231502758958</c:v>
                </c:pt>
                <c:pt idx="151">
                  <c:v>46.80873397028291</c:v>
                </c:pt>
                <c:pt idx="152">
                  <c:v>46.38976701267073</c:v>
                </c:pt>
                <c:pt idx="153">
                  <c:v>45.97454456359294</c:v>
                </c:pt>
                <c:pt idx="154">
                  <c:v>45.56301043722454</c:v>
                </c:pt>
                <c:pt idx="155">
                  <c:v>45.15510957580754</c:v>
                </c:pt>
                <c:pt idx="156">
                  <c:v>44.7507880407838</c:v>
                </c:pt>
                <c:pt idx="157">
                  <c:v>44.3499930036933</c:v>
                </c:pt>
                <c:pt idx="158">
                  <c:v>43.9526727368325</c:v>
                </c:pt>
                <c:pt idx="159">
                  <c:v>43.55877660366973</c:v>
                </c:pt>
                <c:pt idx="160">
                  <c:v>43.1682550490139</c:v>
                </c:pt>
                <c:pt idx="161">
                  <c:v>42.78105958893437</c:v>
                </c:pt>
                <c:pt idx="162">
                  <c:v>42.3971428004291</c:v>
                </c:pt>
                <c:pt idx="163">
                  <c:v>42.01645831084096</c:v>
                </c:pt>
                <c:pt idx="164">
                  <c:v>41.63896078702022</c:v>
                </c:pt>
                <c:pt idx="165">
                  <c:v>41.2646059242337</c:v>
                </c:pt>
                <c:pt idx="166">
                  <c:v>40.89335043482098</c:v>
                </c:pt>
                <c:pt idx="167">
                  <c:v>40.52515203659822</c:v>
                </c:pt>
                <c:pt idx="168">
                  <c:v>40.15996944101253</c:v>
                </c:pt>
                <c:pt idx="169">
                  <c:v>39.79776234104774</c:v>
                </c:pt>
                <c:pt idx="170">
                  <c:v>39.43849139888544</c:v>
                </c:pt>
                <c:pt idx="171">
                  <c:v>39.08211823332472</c:v>
                </c:pt>
                <c:pt idx="172">
                  <c:v>38.72860540696471</c:v>
                </c:pt>
                <c:pt idx="173">
                  <c:v>38.37791641315426</c:v>
                </c:pt>
                <c:pt idx="174">
                  <c:v>38.03001566271495</c:v>
                </c:pt>
                <c:pt idx="175">
                  <c:v>37.6848684704426</c:v>
                </c:pt>
                <c:pt idx="176">
                  <c:v>37.34244104139405</c:v>
                </c:pt>
                <c:pt idx="177">
                  <c:v>37.00270045696609</c:v>
                </c:pt>
                <c:pt idx="178">
                  <c:v>36.66561466077436</c:v>
                </c:pt>
                <c:pt idx="179">
                  <c:v>36.3311524443395</c:v>
                </c:pt>
                <c:pt idx="180">
                  <c:v>35.99928343259023</c:v>
                </c:pt>
                <c:pt idx="181">
                  <c:v>35.66997806919102</c:v>
                </c:pt>
                <c:pt idx="182">
                  <c:v>35.3432076017049</c:v>
                </c:pt>
                <c:pt idx="183">
                  <c:v>35.01894406660018</c:v>
                </c:pt>
                <c:pt idx="184">
                  <c:v>34.69716027411256</c:v>
                </c:pt>
                <c:pt idx="185">
                  <c:v>34.37782979297162</c:v>
                </c:pt>
                <c:pt idx="186">
                  <c:v>34.06092693500419</c:v>
                </c:pt>
                <c:pt idx="187">
                  <c:v>33.74642673962468</c:v>
                </c:pt>
                <c:pt idx="188">
                  <c:v>33.43430495822442</c:v>
                </c:pt>
                <c:pt idx="189">
                  <c:v>33.12453803847175</c:v>
                </c:pt>
                <c:pt idx="190">
                  <c:v>32.81710310853477</c:v>
                </c:pt>
                <c:pt idx="191">
                  <c:v>32.51197796123866</c:v>
                </c:pt>
                <c:pt idx="192">
                  <c:v>32.20914103817051</c:v>
                </c:pt>
                <c:pt idx="193">
                  <c:v>31.90857141374389</c:v>
                </c:pt>
                <c:pt idx="194">
                  <c:v>31.61024877923553</c:v>
                </c:pt>
                <c:pt idx="195">
                  <c:v>31.31415342680696</c:v>
                </c:pt>
                <c:pt idx="196">
                  <c:v>31.02026623352427</c:v>
                </c:pt>
                <c:pt idx="197">
                  <c:v>30.72856864538784</c:v>
                </c:pt>
                <c:pt idx="198">
                  <c:v>30.43904266138557</c:v>
                </c:pt>
                <c:pt idx="199">
                  <c:v>30.1516708175821</c:v>
                </c:pt>
                <c:pt idx="200">
                  <c:v>29.86643617125628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102448"/>
        <c:axId val="-1426792272"/>
      </c:scatterChart>
      <c:valAx>
        <c:axId val="-142678470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6782384"/>
        <c:crosses val="autoZero"/>
        <c:crossBetween val="midCat"/>
      </c:valAx>
      <c:valAx>
        <c:axId val="-1426782384"/>
        <c:scaling>
          <c:orientation val="minMax"/>
          <c:max val="5.0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6784704"/>
        <c:crosses val="autoZero"/>
        <c:crossBetween val="midCat"/>
        <c:majorUnit val="1.0"/>
      </c:valAx>
      <c:valAx>
        <c:axId val="-1426792272"/>
        <c:scaling>
          <c:orientation val="minMax"/>
          <c:max val="30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7102448"/>
        <c:crosses val="max"/>
        <c:crossBetween val="midCat"/>
      </c:valAx>
      <c:valAx>
        <c:axId val="-142710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2679227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1162536756249"/>
          <c:y val="0.231509706477939"/>
          <c:w val="0.117297531590888"/>
          <c:h val="0.25441662091450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12.  Sector-specific</a:t>
            </a:r>
            <a:r>
              <a:rPr lang="en-US" baseline="0"/>
              <a:t> Impacts on Employment and Output</a:t>
            </a:r>
          </a:p>
          <a:p>
            <a:pPr>
              <a:defRPr/>
            </a:pPr>
            <a:r>
              <a:rPr lang="en-US" sz="1400" b="0" baseline="0"/>
              <a:t>measured in log points</a:t>
            </a: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87613779239868"/>
          <c:y val="0.104285172785738"/>
          <c:w val="0.8358821361166"/>
          <c:h val="0.807028578842396"/>
        </c:manualLayout>
      </c:layout>
      <c:scatterChart>
        <c:scatterStyle val="lineMarker"/>
        <c:varyColors val="0"/>
        <c:ser>
          <c:idx val="1"/>
          <c:order val="0"/>
          <c:tx>
            <c:v>employment</c:v>
          </c:tx>
          <c:spPr>
            <a:ln w="381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Sectors!$AO$17:$AO$217</c:f>
              <c:numCache>
                <c:formatCode>0.00</c:formatCode>
                <c:ptCount val="201"/>
                <c:pt idx="0">
                  <c:v>-0.0236715326940777</c:v>
                </c:pt>
                <c:pt idx="1">
                  <c:v>-0.0239823663668984</c:v>
                </c:pt>
                <c:pt idx="2">
                  <c:v>-0.024297248607825</c:v>
                </c:pt>
                <c:pt idx="3">
                  <c:v>-0.0246162106493063</c:v>
                </c:pt>
                <c:pt idx="4">
                  <c:v>-0.024939283276199</c:v>
                </c:pt>
                <c:pt idx="5">
                  <c:v>-0.0252664967992963</c:v>
                </c:pt>
                <c:pt idx="6">
                  <c:v>-0.0255978810283486</c:v>
                </c:pt>
                <c:pt idx="7">
                  <c:v>-0.0259334652445661</c:v>
                </c:pt>
                <c:pt idx="8">
                  <c:v>-0.0262732781726234</c:v>
                </c:pt>
                <c:pt idx="9">
                  <c:v>-0.0266173479521676</c:v>
                </c:pt>
                <c:pt idx="10">
                  <c:v>-0.0269657021088396</c:v>
                </c:pt>
                <c:pt idx="11">
                  <c:v>-0.0273183675248229</c:v>
                </c:pt>
                <c:pt idx="12">
                  <c:v>-0.0276753704089362</c:v>
                </c:pt>
                <c:pt idx="13">
                  <c:v>-0.0280367362662641</c:v>
                </c:pt>
                <c:pt idx="14">
                  <c:v>-0.0284024898673636</c:v>
                </c:pt>
                <c:pt idx="15">
                  <c:v>-0.0287726552170476</c:v>
                </c:pt>
                <c:pt idx="16">
                  <c:v>-0.0291472555227585</c:v>
                </c:pt>
                <c:pt idx="17">
                  <c:v>-0.0295263131625705</c:v>
                </c:pt>
                <c:pt idx="18">
                  <c:v>-0.029909849652804</c:v>
                </c:pt>
                <c:pt idx="19">
                  <c:v>-0.0302978856153117</c:v>
                </c:pt>
                <c:pt idx="20">
                  <c:v>-0.030848732392067</c:v>
                </c:pt>
                <c:pt idx="21">
                  <c:v>-0.031087533773607</c:v>
                </c:pt>
                <c:pt idx="22">
                  <c:v>-0.031489182441823</c:v>
                </c:pt>
                <c:pt idx="23">
                  <c:v>-0.0318954034596506</c:v>
                </c:pt>
                <c:pt idx="24">
                  <c:v>-0.0323062124751715</c:v>
                </c:pt>
                <c:pt idx="25">
                  <c:v>-0.0327216240396588</c:v>
                </c:pt>
                <c:pt idx="26">
                  <c:v>-0.0331416515730969</c:v>
                </c:pt>
                <c:pt idx="27">
                  <c:v>-0.0335663073295582</c:v>
                </c:pt>
                <c:pt idx="28">
                  <c:v>-0.0339956023624737</c:v>
                </c:pt>
                <c:pt idx="29">
                  <c:v>-0.0344295464898396</c:v>
                </c:pt>
                <c:pt idx="30">
                  <c:v>-0.0348681482593686</c:v>
                </c:pt>
                <c:pt idx="31">
                  <c:v>-0.0353114149136475</c:v>
                </c:pt>
                <c:pt idx="32">
                  <c:v>-0.035759352355335</c:v>
                </c:pt>
                <c:pt idx="33">
                  <c:v>-0.0362119651124237</c:v>
                </c:pt>
                <c:pt idx="34">
                  <c:v>-0.0366692563036264</c:v>
                </c:pt>
                <c:pt idx="35">
                  <c:v>-0.0371312276039125</c:v>
                </c:pt>
                <c:pt idx="36">
                  <c:v>-0.0375978792102437</c:v>
                </c:pt>
                <c:pt idx="37">
                  <c:v>-0.0380692098075584</c:v>
                </c:pt>
                <c:pt idx="38">
                  <c:v>-0.0385452165350474</c:v>
                </c:pt>
                <c:pt idx="39">
                  <c:v>-0.0390258949527552</c:v>
                </c:pt>
                <c:pt idx="40">
                  <c:v>-0.0395112390085805</c:v>
                </c:pt>
                <c:pt idx="41">
                  <c:v>-0.0400012410056964</c:v>
                </c:pt>
                <c:pt idx="42">
                  <c:v>-0.0404958915704688</c:v>
                </c:pt>
                <c:pt idx="43">
                  <c:v>-0.0409951796209016</c:v>
                </c:pt>
                <c:pt idx="44">
                  <c:v>-0.0414990923356698</c:v>
                </c:pt>
                <c:pt idx="45">
                  <c:v>-0.0420076151237964</c:v>
                </c:pt>
                <c:pt idx="46">
                  <c:v>-0.0425207315950284</c:v>
                </c:pt>
                <c:pt idx="47">
                  <c:v>-0.043038423530957</c:v>
                </c:pt>
                <c:pt idx="48">
                  <c:v>-0.0435606708569503</c:v>
                </c:pt>
                <c:pt idx="49">
                  <c:v>-0.0440874516149377</c:v>
                </c:pt>
                <c:pt idx="50">
                  <c:v>-0.0446187419371317</c:v>
                </c:pt>
                <c:pt idx="51">
                  <c:v>-0.0451545160207102</c:v>
                </c:pt>
                <c:pt idx="52">
                  <c:v>-0.0456947461035413</c:v>
                </c:pt>
                <c:pt idx="53">
                  <c:v>-0.0462394024410025</c:v>
                </c:pt>
                <c:pt idx="54">
                  <c:v>-0.0467884532839475</c:v>
                </c:pt>
                <c:pt idx="55">
                  <c:v>-0.0473418648578796</c:v>
                </c:pt>
                <c:pt idx="56">
                  <c:v>-0.0478996013434022</c:v>
                </c:pt>
                <c:pt idx="57">
                  <c:v>-0.0484616248579884</c:v>
                </c:pt>
                <c:pt idx="58">
                  <c:v>-0.0490278954391315</c:v>
                </c:pt>
                <c:pt idx="59">
                  <c:v>-0.0495983710289456</c:v>
                </c:pt>
                <c:pt idx="60">
                  <c:v>-0.0501730074602522</c:v>
                </c:pt>
                <c:pt idx="61">
                  <c:v>-0.0507517584442316</c:v>
                </c:pt>
                <c:pt idx="62">
                  <c:v>-0.0513345755596792</c:v>
                </c:pt>
                <c:pt idx="63">
                  <c:v>-0.0519214082439201</c:v>
                </c:pt>
                <c:pt idx="64">
                  <c:v>-0.0525122037854497</c:v>
                </c:pt>
                <c:pt idx="65">
                  <c:v>-0.0531069073183364</c:v>
                </c:pt>
                <c:pt idx="66">
                  <c:v>-0.0537054618184492</c:v>
                </c:pt>
                <c:pt idx="67">
                  <c:v>-0.0543078081015438</c:v>
                </c:pt>
                <c:pt idx="68">
                  <c:v>-0.0549138848232803</c:v>
                </c:pt>
                <c:pt idx="69">
                  <c:v>-0.0555236284811865</c:v>
                </c:pt>
                <c:pt idx="70">
                  <c:v>-0.0561369734186376</c:v>
                </c:pt>
                <c:pt idx="71">
                  <c:v>-0.0567538518308794</c:v>
                </c:pt>
                <c:pt idx="72">
                  <c:v>-0.0573741937731315</c:v>
                </c:pt>
                <c:pt idx="73">
                  <c:v>-0.0579979271708238</c:v>
                </c:pt>
                <c:pt idx="74">
                  <c:v>-0.0586249778319792</c:v>
                </c:pt>
                <c:pt idx="75">
                  <c:v>-0.059255269461794</c:v>
                </c:pt>
                <c:pt idx="76">
                  <c:v>-0.0598887236794262</c:v>
                </c:pt>
                <c:pt idx="77">
                  <c:v>-0.0605252600370324</c:v>
                </c:pt>
                <c:pt idx="78">
                  <c:v>-0.0611647960410679</c:v>
                </c:pt>
                <c:pt idx="79">
                  <c:v>-0.0618072471758699</c:v>
                </c:pt>
                <c:pt idx="80">
                  <c:v>-0.0624525269295392</c:v>
                </c:pt>
                <c:pt idx="81">
                  <c:v>-0.0631005468221376</c:v>
                </c:pt>
                <c:pt idx="82">
                  <c:v>-0.0637512164362042</c:v>
                </c:pt>
                <c:pt idx="83">
                  <c:v>-0.0644044434495968</c:v>
                </c:pt>
                <c:pt idx="84">
                  <c:v>-0.0650601336706551</c:v>
                </c:pt>
                <c:pt idx="85">
                  <c:v>-0.0657181910756995</c:v>
                </c:pt>
                <c:pt idx="86">
                  <c:v>-0.0663785178488346</c:v>
                </c:pt>
                <c:pt idx="87">
                  <c:v>-0.0670410144240632</c:v>
                </c:pt>
                <c:pt idx="88">
                  <c:v>-0.0677055795296929</c:v>
                </c:pt>
                <c:pt idx="89">
                  <c:v>-0.0683721102350077</c:v>
                </c:pt>
                <c:pt idx="90">
                  <c:v>-0.0690405019991902</c:v>
                </c:pt>
                <c:pt idx="91">
                  <c:v>-0.0697106487224652</c:v>
                </c:pt>
                <c:pt idx="92">
                  <c:v>-0.0703824427994267</c:v>
                </c:pt>
                <c:pt idx="93">
                  <c:v>-0.0710557751745108</c:v>
                </c:pt>
                <c:pt idx="94">
                  <c:v>-0.0717305353995876</c:v>
                </c:pt>
                <c:pt idx="95">
                  <c:v>-0.0724066116936059</c:v>
                </c:pt>
                <c:pt idx="96">
                  <c:v>-0.0730838910042575</c:v>
                </c:pt>
                <c:pt idx="97">
                  <c:v>-0.0737622590715957</c:v>
                </c:pt>
                <c:pt idx="98">
                  <c:v>-0.0744416004935593</c:v>
                </c:pt>
                <c:pt idx="99">
                  <c:v>-0.0751217987933279</c:v>
                </c:pt>
                <c:pt idx="100">
                  <c:v>-0.0758027364884533</c:v>
                </c:pt>
                <c:pt idx="101">
                  <c:v>-0.00939943558754704</c:v>
                </c:pt>
                <c:pt idx="102">
                  <c:v>-0.0090275096845547</c:v>
                </c:pt>
                <c:pt idx="103">
                  <c:v>-0.00865602805094482</c:v>
                </c:pt>
                <c:pt idx="104">
                  <c:v>-0.00828505959643303</c:v>
                </c:pt>
                <c:pt idx="105">
                  <c:v>-0.00791467318396082</c:v>
                </c:pt>
                <c:pt idx="106">
                  <c:v>-0.00754493758227794</c:v>
                </c:pt>
                <c:pt idx="107">
                  <c:v>-0.00717592141835184</c:v>
                </c:pt>
                <c:pt idx="108">
                  <c:v>-0.00680769312968665</c:v>
                </c:pt>
                <c:pt idx="109">
                  <c:v>-0.00644032091660251</c:v>
                </c:pt>
                <c:pt idx="110">
                  <c:v>-0.0060738726945448</c:v>
                </c:pt>
                <c:pt idx="111">
                  <c:v>-0.00570841604648475</c:v>
                </c:pt>
                <c:pt idx="112">
                  <c:v>-0.00534401817548867</c:v>
                </c:pt>
                <c:pt idx="113">
                  <c:v>-0.00498074585750089</c:v>
                </c:pt>
                <c:pt idx="114">
                  <c:v>-0.00461866539442824</c:v>
                </c:pt>
                <c:pt idx="115">
                  <c:v>-0.00425784256757586</c:v>
                </c:pt>
                <c:pt idx="116">
                  <c:v>0.0514161743591148</c:v>
                </c:pt>
                <c:pt idx="117">
                  <c:v>0.0519802180577814</c:v>
                </c:pt>
                <c:pt idx="118">
                  <c:v>0.0525421983033871</c:v>
                </c:pt>
                <c:pt idx="119">
                  <c:v>0.0531020152906166</c:v>
                </c:pt>
                <c:pt idx="120">
                  <c:v>0.0536595702527362</c:v>
                </c:pt>
                <c:pt idx="121">
                  <c:v>0.0542147655301118</c:v>
                </c:pt>
                <c:pt idx="122">
                  <c:v>0.0547675046376366</c:v>
                </c:pt>
                <c:pt idx="123">
                  <c:v>0.0553176923309915</c:v>
                </c:pt>
                <c:pt idx="124">
                  <c:v>0.0558652346716357</c:v>
                </c:pt>
                <c:pt idx="125">
                  <c:v>0.056410039090441</c:v>
                </c:pt>
                <c:pt idx="126">
                  <c:v>0.0569520144498742</c:v>
                </c:pt>
                <c:pt idx="127">
                  <c:v>0.0574910711046608</c:v>
                </c:pt>
                <c:pt idx="128">
                  <c:v>0.058027120960825</c:v>
                </c:pt>
                <c:pt idx="129">
                  <c:v>0.0585600775330424</c:v>
                </c:pt>
                <c:pt idx="130">
                  <c:v>0.0590898560002244</c:v>
                </c:pt>
                <c:pt idx="131">
                  <c:v>0.0596163732592566</c:v>
                </c:pt>
                <c:pt idx="132">
                  <c:v>0.060139547976828</c:v>
                </c:pt>
                <c:pt idx="133">
                  <c:v>0.0606593006392806</c:v>
                </c:pt>
                <c:pt idx="134">
                  <c:v>0.0611755536004195</c:v>
                </c:pt>
                <c:pt idx="135">
                  <c:v>0.061688231127219</c:v>
                </c:pt>
                <c:pt idx="136">
                  <c:v>0.0621972594433804</c:v>
                </c:pt>
                <c:pt idx="137">
                  <c:v>0.0627025667706776</c:v>
                </c:pt>
                <c:pt idx="138">
                  <c:v>0.0632040833680516</c:v>
                </c:pt>
                <c:pt idx="139">
                  <c:v>0.0637017415684172</c:v>
                </c:pt>
                <c:pt idx="140">
                  <c:v>0.064195475813125</c:v>
                </c:pt>
                <c:pt idx="141">
                  <c:v>0.064685222684064</c:v>
                </c:pt>
                <c:pt idx="142">
                  <c:v>0.0651709209333659</c:v>
                </c:pt>
                <c:pt idx="143">
                  <c:v>0.0656525115106884</c:v>
                </c:pt>
                <c:pt idx="144">
                  <c:v>0.0661299375880531</c:v>
                </c:pt>
                <c:pt idx="145">
                  <c:v>0.0666031445822275</c:v>
                </c:pt>
                <c:pt idx="146">
                  <c:v>0.0670720801746382</c:v>
                </c:pt>
                <c:pt idx="147">
                  <c:v>0.0675366943288005</c:v>
                </c:pt>
                <c:pt idx="148">
                  <c:v>0.0679969393052763</c:v>
                </c:pt>
                <c:pt idx="149">
                  <c:v>0.0684527696741453</c:v>
                </c:pt>
                <c:pt idx="150">
                  <c:v>0.0689041423250097</c:v>
                </c:pt>
                <c:pt idx="151">
                  <c:v>0.0693510164745312</c:v>
                </c:pt>
                <c:pt idx="152">
                  <c:v>0.0697933536715226</c:v>
                </c:pt>
                <c:pt idx="153">
                  <c:v>0.0702311177996101</c:v>
                </c:pt>
                <c:pt idx="154">
                  <c:v>0.0706642750774878</c:v>
                </c:pt>
                <c:pt idx="155">
                  <c:v>0.0710927940567928</c:v>
                </c:pt>
                <c:pt idx="156">
                  <c:v>0.0715166456176253</c:v>
                </c:pt>
                <c:pt idx="157">
                  <c:v>0.0719358029617653</c:v>
                </c:pt>
                <c:pt idx="158">
                  <c:v>0.0723502416035969</c:v>
                </c:pt>
                <c:pt idx="159">
                  <c:v>0.0727599393588082</c:v>
                </c:pt>
                <c:pt idx="160">
                  <c:v>0.0731648763308929</c:v>
                </c:pt>
                <c:pt idx="161">
                  <c:v>0.0735650348955088</c:v>
                </c:pt>
                <c:pt idx="162">
                  <c:v>0.0739603996827484</c:v>
                </c:pt>
                <c:pt idx="163">
                  <c:v>0.074350957557363</c:v>
                </c:pt>
                <c:pt idx="164">
                  <c:v>0.0747366975970116</c:v>
                </c:pt>
                <c:pt idx="165">
                  <c:v>0.0751176110685832</c:v>
                </c:pt>
                <c:pt idx="166">
                  <c:v>0.0754936914026601</c:v>
                </c:pt>
                <c:pt idx="167">
                  <c:v>0.0758649341661804</c:v>
                </c:pt>
                <c:pt idx="168">
                  <c:v>0.0762313370333712</c:v>
                </c:pt>
                <c:pt idx="169">
                  <c:v>0.07659289975502</c:v>
                </c:pt>
                <c:pt idx="170">
                  <c:v>0.0769496241261473</c:v>
                </c:pt>
                <c:pt idx="171">
                  <c:v>0.0773015139521612</c:v>
                </c:pt>
                <c:pt idx="172">
                  <c:v>0.0776485750135584</c:v>
                </c:pt>
                <c:pt idx="173">
                  <c:v>0.0779908150292458</c:v>
                </c:pt>
                <c:pt idx="174">
                  <c:v>0.0783282436185676</c:v>
                </c:pt>
                <c:pt idx="175">
                  <c:v>-0.224859671401127</c:v>
                </c:pt>
                <c:pt idx="176">
                  <c:v>-0.225521451836914</c:v>
                </c:pt>
                <c:pt idx="177">
                  <c:v>-0.226175714703749</c:v>
                </c:pt>
                <c:pt idx="178">
                  <c:v>-0.226822442801264</c:v>
                </c:pt>
                <c:pt idx="179">
                  <c:v>-0.227461622256149</c:v>
                </c:pt>
                <c:pt idx="180">
                  <c:v>-0.228093242478236</c:v>
                </c:pt>
                <c:pt idx="181">
                  <c:v>-0.22871729611403</c:v>
                </c:pt>
                <c:pt idx="182">
                  <c:v>-0.229333778997777</c:v>
                </c:pt>
                <c:pt idx="183">
                  <c:v>-0.2299426901002</c:v>
                </c:pt>
                <c:pt idx="184">
                  <c:v>-0.230544031475006</c:v>
                </c:pt>
                <c:pt idx="185">
                  <c:v>-0.231137808203287</c:v>
                </c:pt>
                <c:pt idx="186">
                  <c:v>-0.231724028335933</c:v>
                </c:pt>
                <c:pt idx="187">
                  <c:v>-0.232302702834179</c:v>
                </c:pt>
                <c:pt idx="188">
                  <c:v>-0.232873845508392</c:v>
                </c:pt>
                <c:pt idx="189">
                  <c:v>-0.233437472955243</c:v>
                </c:pt>
                <c:pt idx="190">
                  <c:v>-0.233993604493362</c:v>
                </c:pt>
                <c:pt idx="191">
                  <c:v>-0.234542262097611</c:v>
                </c:pt>
                <c:pt idx="192">
                  <c:v>-0.235083470332083</c:v>
                </c:pt>
                <c:pt idx="193">
                  <c:v>-0.235617256281965</c:v>
                </c:pt>
                <c:pt idx="194">
                  <c:v>-0.23614364948436</c:v>
                </c:pt>
                <c:pt idx="195">
                  <c:v>-0.236662681858206</c:v>
                </c:pt>
                <c:pt idx="196">
                  <c:v>-0.237174387633401</c:v>
                </c:pt>
                <c:pt idx="197">
                  <c:v>-0.237678803279243</c:v>
                </c:pt>
                <c:pt idx="198">
                  <c:v>-0.238175967432307</c:v>
                </c:pt>
                <c:pt idx="199">
                  <c:v>-0.238665920823865</c:v>
                </c:pt>
                <c:pt idx="200">
                  <c:v>-0.239148706206964</c:v>
                </c:pt>
              </c:numCache>
            </c:numRef>
          </c:yVal>
          <c:smooth val="0"/>
        </c:ser>
        <c:ser>
          <c:idx val="0"/>
          <c:order val="2"/>
          <c:tx>
            <c:v>employment share</c:v>
          </c:tx>
          <c:spPr>
            <a:ln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Sectors!$BZ$17:$BZ$217</c:f>
              <c:numCache>
                <c:formatCode>0.00</c:formatCode>
                <c:ptCount val="201"/>
                <c:pt idx="0">
                  <c:v>-0.00890082412763433</c:v>
                </c:pt>
                <c:pt idx="1">
                  <c:v>-0.00910824698090369</c:v>
                </c:pt>
                <c:pt idx="2">
                  <c:v>-0.0093183432845875</c:v>
                </c:pt>
                <c:pt idx="3">
                  <c:v>-0.00953113274991379</c:v>
                </c:pt>
                <c:pt idx="4">
                  <c:v>-0.00974663476154842</c:v>
                </c:pt>
                <c:pt idx="5">
                  <c:v>-0.00996486835966607</c:v>
                </c:pt>
                <c:pt idx="6">
                  <c:v>-0.0101858522216911</c:v>
                </c:pt>
                <c:pt idx="7">
                  <c:v>-0.0104096046437152</c:v>
                </c:pt>
                <c:pt idx="8">
                  <c:v>-0.0106361435216011</c:v>
                </c:pt>
                <c:pt idx="9">
                  <c:v>-0.0108654863317747</c:v>
                </c:pt>
                <c:pt idx="10">
                  <c:v>-0.0110976501117031</c:v>
                </c:pt>
                <c:pt idx="11">
                  <c:v>-0.0113326514401046</c:v>
                </c:pt>
                <c:pt idx="12">
                  <c:v>-0.0115705064168452</c:v>
                </c:pt>
                <c:pt idx="13">
                  <c:v>-0.0118112306425792</c:v>
                </c:pt>
                <c:pt idx="14">
                  <c:v>-0.0120548391981122</c:v>
                </c:pt>
                <c:pt idx="15">
                  <c:v>-0.0123013466235253</c:v>
                </c:pt>
                <c:pt idx="16">
                  <c:v>-0.0125507668970409</c:v>
                </c:pt>
                <c:pt idx="17">
                  <c:v>-0.0128031134136773</c:v>
                </c:pt>
                <c:pt idx="18">
                  <c:v>-0.0130583989636761</c:v>
                </c:pt>
                <c:pt idx="19">
                  <c:v>-0.0133166357107372</c:v>
                </c:pt>
                <c:pt idx="20">
                  <c:v>-0.0136831469654705</c:v>
                </c:pt>
                <c:pt idx="21">
                  <c:v>-0.0138420081862749</c:v>
                </c:pt>
                <c:pt idx="22">
                  <c:v>-0.0141091649110713</c:v>
                </c:pt>
                <c:pt idx="23">
                  <c:v>-0.0143793147809069</c:v>
                </c:pt>
                <c:pt idx="24">
                  <c:v>-0.0146524664944341</c:v>
                </c:pt>
                <c:pt idx="25">
                  <c:v>-0.0149286279899167</c:v>
                </c:pt>
                <c:pt idx="26">
                  <c:v>-0.0152078064225447</c:v>
                </c:pt>
                <c:pt idx="27">
                  <c:v>-0.015490008141713</c:v>
                </c:pt>
                <c:pt idx="28">
                  <c:v>-0.0157752386682642</c:v>
                </c:pt>
                <c:pt idx="29">
                  <c:v>-0.0160635026717363</c:v>
                </c:pt>
                <c:pt idx="30">
                  <c:v>-0.0163548039476239</c:v>
                </c:pt>
                <c:pt idx="31">
                  <c:v>-0.0166491453946895</c:v>
                </c:pt>
                <c:pt idx="32">
                  <c:v>-0.0169465289923484</c:v>
                </c:pt>
                <c:pt idx="33">
                  <c:v>-0.0172469557781557</c:v>
                </c:pt>
                <c:pt idx="34">
                  <c:v>-0.0175504258254153</c:v>
                </c:pt>
                <c:pt idx="35">
                  <c:v>-0.0178569382209534</c:v>
                </c:pt>
                <c:pt idx="36">
                  <c:v>-0.018166491043073</c:v>
                </c:pt>
                <c:pt idx="37">
                  <c:v>-0.0184790813397336</c:v>
                </c:pt>
                <c:pt idx="38">
                  <c:v>-0.0187947051069706</c:v>
                </c:pt>
                <c:pt idx="39">
                  <c:v>-0.0191133572676068</c:v>
                </c:pt>
                <c:pt idx="40">
                  <c:v>-0.019435031650268</c:v>
                </c:pt>
                <c:pt idx="41">
                  <c:v>-0.019759720968754</c:v>
                </c:pt>
                <c:pt idx="42">
                  <c:v>-0.0200874168017885</c:v>
                </c:pt>
                <c:pt idx="43">
                  <c:v>-0.0204181095731838</c:v>
                </c:pt>
                <c:pt idx="44">
                  <c:v>-0.0207517885324622</c:v>
                </c:pt>
                <c:pt idx="45">
                  <c:v>-0.0210884417359608</c:v>
                </c:pt>
                <c:pt idx="46">
                  <c:v>-0.0214280560284694</c:v>
                </c:pt>
                <c:pt idx="47">
                  <c:v>-0.0217706170254174</c:v>
                </c:pt>
                <c:pt idx="48">
                  <c:v>-0.022116109095672</c:v>
                </c:pt>
                <c:pt idx="49">
                  <c:v>-0.0224645153449621</c:v>
                </c:pt>
                <c:pt idx="50">
                  <c:v>-0.0228158175999848</c:v>
                </c:pt>
                <c:pt idx="51">
                  <c:v>-0.0231699963932217</c:v>
                </c:pt>
                <c:pt idx="52">
                  <c:v>-0.0235270309484993</c:v>
                </c:pt>
                <c:pt idx="53">
                  <c:v>-0.0238868991673458</c:v>
                </c:pt>
                <c:pt idx="54">
                  <c:v>-0.0242495776161752</c:v>
                </c:pt>
                <c:pt idx="55">
                  <c:v>-0.0246150415143231</c:v>
                </c:pt>
                <c:pt idx="56">
                  <c:v>-0.0249832647230017</c:v>
                </c:pt>
                <c:pt idx="57">
                  <c:v>-0.0253542197351846</c:v>
                </c:pt>
                <c:pt idx="58">
                  <c:v>-0.0257278776664701</c:v>
                </c:pt>
                <c:pt idx="59">
                  <c:v>-0.0261042082469607</c:v>
                </c:pt>
                <c:pt idx="60">
                  <c:v>-0.0264831798141904</c:v>
                </c:pt>
                <c:pt idx="61">
                  <c:v>-0.0268647593071403</c:v>
                </c:pt>
                <c:pt idx="62">
                  <c:v>-0.0272489122613733</c:v>
                </c:pt>
                <c:pt idx="63">
                  <c:v>-0.0276356028053257</c:v>
                </c:pt>
                <c:pt idx="64">
                  <c:v>-0.0280247936577808</c:v>
                </c:pt>
                <c:pt idx="65">
                  <c:v>-0.0284164461265729</c:v>
                </c:pt>
                <c:pt idx="66">
                  <c:v>-0.0288105201085377</c:v>
                </c:pt>
                <c:pt idx="67">
                  <c:v>-0.029206974090737</c:v>
                </c:pt>
                <c:pt idx="68">
                  <c:v>-0.0296057651530103</c:v>
                </c:pt>
                <c:pt idx="69">
                  <c:v>-0.0300068489718458</c:v>
                </c:pt>
                <c:pt idx="70">
                  <c:v>-0.0304101798256269</c:v>
                </c:pt>
                <c:pt idx="71">
                  <c:v>-0.0308157106012631</c:v>
                </c:pt>
                <c:pt idx="72">
                  <c:v>-0.031223392802226</c:v>
                </c:pt>
                <c:pt idx="73">
                  <c:v>-0.0316331765580229</c:v>
                </c:pt>
                <c:pt idx="74">
                  <c:v>-0.0320450106351158</c:v>
                </c:pt>
                <c:pt idx="75">
                  <c:v>-0.0324588424493071</c:v>
                </c:pt>
                <c:pt idx="76">
                  <c:v>-0.0328746180796068</c:v>
                </c:pt>
                <c:pt idx="77">
                  <c:v>-0.0332922822835967</c:v>
                </c:pt>
                <c:pt idx="78">
                  <c:v>-0.0337117785142942</c:v>
                </c:pt>
                <c:pt idx="79">
                  <c:v>-0.0341330489385314</c:v>
                </c:pt>
                <c:pt idx="80">
                  <c:v>-0.0345560344568536</c:v>
                </c:pt>
                <c:pt idx="81">
                  <c:v>-0.0349806747249376</c:v>
                </c:pt>
                <c:pt idx="82">
                  <c:v>-0.0354069081765346</c:v>
                </c:pt>
                <c:pt idx="83">
                  <c:v>-0.0358346720479355</c:v>
                </c:pt>
                <c:pt idx="84">
                  <c:v>-0.036263902403945</c:v>
                </c:pt>
                <c:pt idx="85">
                  <c:v>-0.0366945341653781</c:v>
                </c:pt>
                <c:pt idx="86">
                  <c:v>-0.0371265011380473</c:v>
                </c:pt>
                <c:pt idx="87">
                  <c:v>-0.0375597360432388</c:v>
                </c:pt>
                <c:pt idx="88">
                  <c:v>-0.0379941705496661</c:v>
                </c:pt>
                <c:pt idx="89">
                  <c:v>-0.0384297353068686</c:v>
                </c:pt>
                <c:pt idx="90">
                  <c:v>-0.0388663599800507</c:v>
                </c:pt>
                <c:pt idx="91">
                  <c:v>-0.0393039732863286</c:v>
                </c:pt>
                <c:pt idx="92">
                  <c:v>-0.0397425030323567</c:v>
                </c:pt>
                <c:pt idx="93">
                  <c:v>-0.0401818761533092</c:v>
                </c:pt>
                <c:pt idx="94">
                  <c:v>-0.0406220187531819</c:v>
                </c:pt>
                <c:pt idx="95">
                  <c:v>-0.0410628561463771</c:v>
                </c:pt>
                <c:pt idx="96">
                  <c:v>-0.0415043129005396</c:v>
                </c:pt>
                <c:pt idx="97">
                  <c:v>-0.0419463128805919</c:v>
                </c:pt>
                <c:pt idx="98">
                  <c:v>-0.0423887792939413</c:v>
                </c:pt>
                <c:pt idx="99">
                  <c:v>-0.0428316347367922</c:v>
                </c:pt>
                <c:pt idx="100">
                  <c:v>0.0283454538800094</c:v>
                </c:pt>
                <c:pt idx="101">
                  <c:v>0.0289641326002905</c:v>
                </c:pt>
                <c:pt idx="102">
                  <c:v>0.0295819292692376</c:v>
                </c:pt>
                <c:pt idx="103">
                  <c:v>0.0301987289147803</c:v>
                </c:pt>
                <c:pt idx="104">
                  <c:v>0.0308144167253418</c:v>
                </c:pt>
                <c:pt idx="105">
                  <c:v>0.0314288781290694</c:v>
                </c:pt>
                <c:pt idx="106">
                  <c:v>0.0320419988732226</c:v>
                </c:pt>
                <c:pt idx="107">
                  <c:v>0.0326536651036354</c:v>
                </c:pt>
                <c:pt idx="108">
                  <c:v>0.0332637634441244</c:v>
                </c:pt>
                <c:pt idx="109">
                  <c:v>0.0338721810757437</c:v>
                </c:pt>
                <c:pt idx="110">
                  <c:v>0.0344788058157838</c:v>
                </c:pt>
                <c:pt idx="111">
                  <c:v>0.0350835261963966</c:v>
                </c:pt>
                <c:pt idx="112">
                  <c:v>0.0356862315427396</c:v>
                </c:pt>
                <c:pt idx="113">
                  <c:v>0.0362868120505385</c:v>
                </c:pt>
                <c:pt idx="114">
                  <c:v>0.036885158862954</c:v>
                </c:pt>
                <c:pt idx="115">
                  <c:v>0.0374811641466432</c:v>
                </c:pt>
                <c:pt idx="116">
                  <c:v>0.0933892381175424</c:v>
                </c:pt>
                <c:pt idx="117">
                  <c:v>0.0941861724880694</c:v>
                </c:pt>
                <c:pt idx="118">
                  <c:v>0.0949798366617997</c:v>
                </c:pt>
                <c:pt idx="119">
                  <c:v>0.095770091077686</c:v>
                </c:pt>
                <c:pt idx="120">
                  <c:v>0.096556797855606</c:v>
                </c:pt>
                <c:pt idx="121">
                  <c:v>0.0973398208908816</c:v>
                </c:pt>
                <c:pt idx="122">
                  <c:v>0.098119025947015</c:v>
                </c:pt>
                <c:pt idx="123">
                  <c:v>0.0988942807464936</c:v>
                </c:pt>
                <c:pt idx="124">
                  <c:v>0.0996654550595664</c:v>
                </c:pt>
                <c:pt idx="125">
                  <c:v>0.100432420790842</c:v>
                </c:pt>
                <c:pt idx="126">
                  <c:v>0.101195052063609</c:v>
                </c:pt>
                <c:pt idx="127">
                  <c:v>0.101953225301765</c:v>
                </c:pt>
                <c:pt idx="128">
                  <c:v>0.102706819309236</c:v>
                </c:pt>
                <c:pt idx="129">
                  <c:v>0.103455715346793</c:v>
                </c:pt>
                <c:pt idx="130">
                  <c:v>0.104199797206158</c:v>
                </c:pt>
                <c:pt idx="131">
                  <c:v>0.104938951281302</c:v>
                </c:pt>
                <c:pt idx="132">
                  <c:v>0.105673066636865</c:v>
                </c:pt>
                <c:pt idx="133">
                  <c:v>0.106402035073589</c:v>
                </c:pt>
                <c:pt idx="134">
                  <c:v>0.107125751190703</c:v>
                </c:pt>
                <c:pt idx="135">
                  <c:v>0.10784411244517</c:v>
                </c:pt>
                <c:pt idx="136">
                  <c:v>0.108557019207762</c:v>
                </c:pt>
                <c:pt idx="137">
                  <c:v>0.109264374815851</c:v>
                </c:pt>
                <c:pt idx="138">
                  <c:v>0.109966085622912</c:v>
                </c:pt>
                <c:pt idx="139">
                  <c:v>0.110662061044657</c:v>
                </c:pt>
                <c:pt idx="140">
                  <c:v>0.111352213601766</c:v>
                </c:pt>
                <c:pt idx="141">
                  <c:v>0.112036458959178</c:v>
                </c:pt>
                <c:pt idx="142">
                  <c:v>0.112714715961917</c:v>
                </c:pt>
                <c:pt idx="143">
                  <c:v>0.11338690666742</c:v>
                </c:pt>
                <c:pt idx="144">
                  <c:v>0.114052956374355</c:v>
                </c:pt>
                <c:pt idx="145">
                  <c:v>0.114712793647906</c:v>
                </c:pt>
                <c:pt idx="146">
                  <c:v>0.115366350341554</c:v>
                </c:pt>
                <c:pt idx="147">
                  <c:v>0.116013561615295</c:v>
                </c:pt>
                <c:pt idx="148">
                  <c:v>0.116654365950369</c:v>
                </c:pt>
                <c:pt idx="149">
                  <c:v>0.117288705160459</c:v>
                </c:pt>
                <c:pt idx="150">
                  <c:v>0.117916524399416</c:v>
                </c:pt>
                <c:pt idx="151">
                  <c:v>0.118537772165509</c:v>
                </c:pt>
                <c:pt idx="152">
                  <c:v>0.119152400302245</c:v>
                </c:pt>
                <c:pt idx="153">
                  <c:v>0.1197603639958</c:v>
                </c:pt>
                <c:pt idx="154">
                  <c:v>0.120361621769079</c:v>
                </c:pt>
                <c:pt idx="155">
                  <c:v>0.120956135472486</c:v>
                </c:pt>
                <c:pt idx="156">
                  <c:v>0.121543870271424</c:v>
                </c:pt>
                <c:pt idx="157">
                  <c:v>0.122124794630602</c:v>
                </c:pt>
                <c:pt idx="158">
                  <c:v>0.122698880295207</c:v>
                </c:pt>
                <c:pt idx="159">
                  <c:v>0.123266102269006</c:v>
                </c:pt>
                <c:pt idx="160">
                  <c:v>0.123826438789447</c:v>
                </c:pt>
                <c:pt idx="161">
                  <c:v>0.124379871299837</c:v>
                </c:pt>
                <c:pt idx="162">
                  <c:v>0.124926384418682</c:v>
                </c:pt>
                <c:pt idx="163">
                  <c:v>0.125465965906252</c:v>
                </c:pt>
                <c:pt idx="164">
                  <c:v>0.125998606628489</c:v>
                </c:pt>
                <c:pt idx="165">
                  <c:v>0.126524300518313</c:v>
                </c:pt>
                <c:pt idx="166">
                  <c:v>0.127043044534453</c:v>
                </c:pt>
                <c:pt idx="167">
                  <c:v>0.127554838617859</c:v>
                </c:pt>
                <c:pt idx="168">
                  <c:v>0.128059685645838</c:v>
                </c:pt>
                <c:pt idx="169">
                  <c:v>0.128557591383974</c:v>
                </c:pt>
                <c:pt idx="170">
                  <c:v>0.129048564435957</c:v>
                </c:pt>
                <c:pt idx="171">
                  <c:v>0.129532616191424</c:v>
                </c:pt>
                <c:pt idx="172">
                  <c:v>0.130009760771906</c:v>
                </c:pt>
                <c:pt idx="173">
                  <c:v>0.130480014974992</c:v>
                </c:pt>
                <c:pt idx="174">
                  <c:v>0.13094339821683</c:v>
                </c:pt>
                <c:pt idx="175">
                  <c:v>0.131399932473054</c:v>
                </c:pt>
                <c:pt idx="176">
                  <c:v>0.131849642218261</c:v>
                </c:pt>
                <c:pt idx="177">
                  <c:v>-0.17932527814222</c:v>
                </c:pt>
                <c:pt idx="178">
                  <c:v>-0.179798486922151</c:v>
                </c:pt>
                <c:pt idx="179">
                  <c:v>-0.180265928480219</c:v>
                </c:pt>
                <c:pt idx="180">
                  <c:v>-0.180727600409127</c:v>
                </c:pt>
                <c:pt idx="181">
                  <c:v>-0.181183502701453</c:v>
                </c:pt>
                <c:pt idx="182">
                  <c:v>-0.181633637708542</c:v>
                </c:pt>
                <c:pt idx="183">
                  <c:v>-0.182078010097785</c:v>
                </c:pt>
                <c:pt idx="184">
                  <c:v>-0.182516626808362</c:v>
                </c:pt>
                <c:pt idx="185">
                  <c:v>-0.182949497005539</c:v>
                </c:pt>
                <c:pt idx="186">
                  <c:v>-0.183376632033612</c:v>
                </c:pt>
                <c:pt idx="187">
                  <c:v>-0.183798045367604</c:v>
                </c:pt>
                <c:pt idx="188">
                  <c:v>-0.184213752563784</c:v>
                </c:pt>
                <c:pt idx="189">
                  <c:v>-0.184623771209116</c:v>
                </c:pt>
                <c:pt idx="190">
                  <c:v>-0.185028120869731</c:v>
                </c:pt>
                <c:pt idx="191">
                  <c:v>-0.185426823038515</c:v>
                </c:pt>
                <c:pt idx="192">
                  <c:v>-0.18581990108188</c:v>
                </c:pt>
                <c:pt idx="193">
                  <c:v>-0.186207380185855</c:v>
                </c:pt>
                <c:pt idx="194">
                  <c:v>-0.186589287301537</c:v>
                </c:pt>
                <c:pt idx="195">
                  <c:v>-0.186965651090026</c:v>
                </c:pt>
                <c:pt idx="196">
                  <c:v>-0.187336501866918</c:v>
                </c:pt>
                <c:pt idx="197">
                  <c:v>-0.187701871546433</c:v>
                </c:pt>
                <c:pt idx="198">
                  <c:v>-0.188061793585279</c:v>
                </c:pt>
                <c:pt idx="199">
                  <c:v>-0.188416302926323</c:v>
                </c:pt>
                <c:pt idx="200">
                  <c:v>-0.188765435942154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484560"/>
        <c:axId val="-1400215312"/>
      </c:scatterChart>
      <c:scatterChart>
        <c:scatterStyle val="lineMarker"/>
        <c:varyColors val="0"/>
        <c:ser>
          <c:idx val="2"/>
          <c:order val="1"/>
          <c:tx>
            <c:v>output</c:v>
          </c:tx>
          <c:spPr>
            <a:ln w="38100">
              <a:solidFill>
                <a:srgbClr val="FF33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Sectors!$AP$17:$AP$217</c:f>
              <c:numCache>
                <c:formatCode>0.00</c:formatCode>
                <c:ptCount val="201"/>
                <c:pt idx="0">
                  <c:v>-0.0101151479305664</c:v>
                </c:pt>
                <c:pt idx="1">
                  <c:v>-0.0102281995154789</c:v>
                </c:pt>
                <c:pt idx="2">
                  <c:v>-0.0103430267667335</c:v>
                </c:pt>
                <c:pt idx="3">
                  <c:v>-0.0104596543188055</c:v>
                </c:pt>
                <c:pt idx="4">
                  <c:v>-0.010578107039283</c:v>
                </c:pt>
                <c:pt idx="5">
                  <c:v>-0.010698410027257</c:v>
                </c:pt>
                <c:pt idx="6">
                  <c:v>-0.0108205886115527</c:v>
                </c:pt>
                <c:pt idx="7">
                  <c:v>-0.0109446683487723</c:v>
                </c:pt>
                <c:pt idx="8">
                  <c:v>-0.0110706750211695</c:v>
                </c:pt>
                <c:pt idx="9">
                  <c:v>-0.0111986346343251</c:v>
                </c:pt>
                <c:pt idx="10">
                  <c:v>-0.0113285734146429</c:v>
                </c:pt>
                <c:pt idx="11">
                  <c:v>-0.011460517806631</c:v>
                </c:pt>
                <c:pt idx="12">
                  <c:v>-0.0115944944700011</c:v>
                </c:pt>
                <c:pt idx="13">
                  <c:v>-0.0117305302765339</c:v>
                </c:pt>
                <c:pt idx="14">
                  <c:v>-0.0118686523067487</c:v>
                </c:pt>
                <c:pt idx="15">
                  <c:v>-0.0120088878463384</c:v>
                </c:pt>
                <c:pt idx="16">
                  <c:v>-0.0121512643823822</c:v>
                </c:pt>
                <c:pt idx="17">
                  <c:v>-0.0122958095993268</c:v>
                </c:pt>
                <c:pt idx="18">
                  <c:v>-0.0124425513747172</c:v>
                </c:pt>
                <c:pt idx="19">
                  <c:v>-0.0125915177746946</c:v>
                </c:pt>
                <c:pt idx="20">
                  <c:v>-0.0128038619260752</c:v>
                </c:pt>
                <c:pt idx="21">
                  <c:v>-0.0128962376270999</c:v>
                </c:pt>
                <c:pt idx="22">
                  <c:v>-0.0130520481106204</c:v>
                </c:pt>
                <c:pt idx="23">
                  <c:v>-0.0132101972700676</c:v>
                </c:pt>
                <c:pt idx="24">
                  <c:v>-0.0133707140378531</c:v>
                </c:pt>
                <c:pt idx="25">
                  <c:v>-0.0135336275024096</c:v>
                </c:pt>
                <c:pt idx="26">
                  <c:v>-0.0136989669017773</c:v>
                </c:pt>
                <c:pt idx="27">
                  <c:v>-0.0138667616168989</c:v>
                </c:pt>
                <c:pt idx="28">
                  <c:v>-0.0140370411646138</c:v>
                </c:pt>
                <c:pt idx="29">
                  <c:v>-0.0142098351903467</c:v>
                </c:pt>
                <c:pt idx="30">
                  <c:v>-0.0143851734604726</c:v>
                </c:pt>
                <c:pt idx="31">
                  <c:v>-0.01456308585436</c:v>
                </c:pt>
                <c:pt idx="32">
                  <c:v>-0.0147436023561016</c:v>
                </c:pt>
                <c:pt idx="33">
                  <c:v>-0.0149267530459005</c:v>
                </c:pt>
                <c:pt idx="34">
                  <c:v>-0.0151125680911175</c:v>
                </c:pt>
                <c:pt idx="35">
                  <c:v>-0.0153010777369828</c:v>
                </c:pt>
                <c:pt idx="36">
                  <c:v>-0.0154923122969452</c:v>
                </c:pt>
                <c:pt idx="37">
                  <c:v>-0.0156863021426788</c:v>
                </c:pt>
                <c:pt idx="38">
                  <c:v>-0.0158830776937258</c:v>
                </c:pt>
                <c:pt idx="39">
                  <c:v>-0.0160826694067661</c:v>
                </c:pt>
                <c:pt idx="40">
                  <c:v>-0.0162851077645277</c:v>
                </c:pt>
                <c:pt idx="41">
                  <c:v>-0.0164904232643138</c:v>
                </c:pt>
                <c:pt idx="42">
                  <c:v>-0.0166986464061585</c:v>
                </c:pt>
                <c:pt idx="43">
                  <c:v>-0.016909807680589</c:v>
                </c:pt>
                <c:pt idx="44">
                  <c:v>-0.0171239375560091</c:v>
                </c:pt>
                <c:pt idx="45">
                  <c:v>-0.017341066465682</c:v>
                </c:pt>
                <c:pt idx="46">
                  <c:v>-0.0175612247943298</c:v>
                </c:pt>
                <c:pt idx="47">
                  <c:v>-0.017784442864325</c:v>
                </c:pt>
                <c:pt idx="48">
                  <c:v>-0.0180107509214889</c:v>
                </c:pt>
                <c:pt idx="49">
                  <c:v>-0.0182401791204755</c:v>
                </c:pt>
                <c:pt idx="50">
                  <c:v>-0.0184727575097654</c:v>
                </c:pt>
                <c:pt idx="51">
                  <c:v>-0.0187085160162398</c:v>
                </c:pt>
                <c:pt idx="52">
                  <c:v>-0.0189474844293527</c:v>
                </c:pt>
                <c:pt idx="53">
                  <c:v>-0.0191896923848932</c:v>
                </c:pt>
                <c:pt idx="54">
                  <c:v>-0.0194351693483368</c:v>
                </c:pt>
                <c:pt idx="55">
                  <c:v>-0.0196839445977838</c:v>
                </c:pt>
                <c:pt idx="56">
                  <c:v>-0.0199360472064982</c:v>
                </c:pt>
                <c:pt idx="57">
                  <c:v>-0.0201915060250289</c:v>
                </c:pt>
                <c:pt idx="58">
                  <c:v>-0.0204503496629325</c:v>
                </c:pt>
                <c:pt idx="59">
                  <c:v>-0.0207126064700832</c:v>
                </c:pt>
                <c:pt idx="60">
                  <c:v>-0.0209783045175851</c:v>
                </c:pt>
                <c:pt idx="61">
                  <c:v>-0.0212474715782953</c:v>
                </c:pt>
                <c:pt idx="62">
                  <c:v>-0.0215201351069356</c:v>
                </c:pt>
                <c:pt idx="63">
                  <c:v>-0.021796322219827</c:v>
                </c:pt>
                <c:pt idx="64">
                  <c:v>-0.0220760596742389</c:v>
                </c:pt>
                <c:pt idx="65">
                  <c:v>-0.0223593738473541</c:v>
                </c:pt>
                <c:pt idx="66">
                  <c:v>-0.0226462907148692</c:v>
                </c:pt>
                <c:pt idx="67">
                  <c:v>-0.0229368358292218</c:v>
                </c:pt>
                <c:pt idx="68">
                  <c:v>-0.023231034297475</c:v>
                </c:pt>
                <c:pt idx="69">
                  <c:v>-0.023528910758841</c:v>
                </c:pt>
                <c:pt idx="70">
                  <c:v>-0.0238304893618773</c:v>
                </c:pt>
                <c:pt idx="71">
                  <c:v>-0.0241357937413524</c:v>
                </c:pt>
                <c:pt idx="72">
                  <c:v>-0.0244448469947942</c:v>
                </c:pt>
                <c:pt idx="73">
                  <c:v>-0.0247576716587401</c:v>
                </c:pt>
                <c:pt idx="74">
                  <c:v>-0.025074289684693</c:v>
                </c:pt>
                <c:pt idx="75">
                  <c:v>-0.0253947224148066</c:v>
                </c:pt>
                <c:pt idx="76">
                  <c:v>-0.0257189905573036</c:v>
                </c:pt>
                <c:pt idx="77">
                  <c:v>-0.0260471141616515</c:v>
                </c:pt>
                <c:pt idx="78">
                  <c:v>-0.0263791125935128</c:v>
                </c:pt>
                <c:pt idx="79">
                  <c:v>-0.0267150045094806</c:v>
                </c:pt>
                <c:pt idx="80">
                  <c:v>-0.0270548078316231</c:v>
                </c:pt>
                <c:pt idx="81">
                  <c:v>-0.0273985397218543</c:v>
                </c:pt>
                <c:pt idx="82">
                  <c:v>-0.0277462165561605</c:v>
                </c:pt>
                <c:pt idx="83">
                  <c:v>-0.0280978538986847</c:v>
                </c:pt>
                <c:pt idx="84">
                  <c:v>-0.028453466475708</c:v>
                </c:pt>
                <c:pt idx="85">
                  <c:v>-0.0288130681495491</c:v>
                </c:pt>
                <c:pt idx="86">
                  <c:v>-0.0291766718924008</c:v>
                </c:pt>
                <c:pt idx="87">
                  <c:v>-0.0295442897601309</c:v>
                </c:pt>
                <c:pt idx="88">
                  <c:v>-0.029915932866074</c:v>
                </c:pt>
                <c:pt idx="89">
                  <c:v>-0.0302916113548434</c:v>
                </c:pt>
                <c:pt idx="90">
                  <c:v>-0.0306713343761875</c:v>
                </c:pt>
                <c:pt idx="91">
                  <c:v>-0.0310551100589235</c:v>
                </c:pt>
                <c:pt idx="92">
                  <c:v>-0.031442945484975</c:v>
                </c:pt>
                <c:pt idx="93">
                  <c:v>-0.0318348466635449</c:v>
                </c:pt>
                <c:pt idx="94">
                  <c:v>-0.0322308185054586</c:v>
                </c:pt>
                <c:pt idx="95">
                  <c:v>-0.0326308647977015</c:v>
                </c:pt>
                <c:pt idx="96">
                  <c:v>-0.0330349881781987</c:v>
                </c:pt>
                <c:pt idx="97">
                  <c:v>-0.0334431901108525</c:v>
                </c:pt>
                <c:pt idx="98">
                  <c:v>-0.0338554708608887</c:v>
                </c:pt>
                <c:pt idx="99">
                  <c:v>-0.0342718294705341</c:v>
                </c:pt>
                <c:pt idx="100">
                  <c:v>-0.0346922637350744</c:v>
                </c:pt>
                <c:pt idx="101">
                  <c:v>-0.0350709486476045</c:v>
                </c:pt>
                <c:pt idx="102">
                  <c:v>-0.0348344120774321</c:v>
                </c:pt>
                <c:pt idx="103">
                  <c:v>-0.0345957138432088</c:v>
                </c:pt>
                <c:pt idx="104">
                  <c:v>-0.0343548602606366</c:v>
                </c:pt>
                <c:pt idx="105">
                  <c:v>-0.0341118584085524</c:v>
                </c:pt>
                <c:pt idx="106">
                  <c:v>-0.0338667161390021</c:v>
                </c:pt>
                <c:pt idx="107">
                  <c:v>-0.0336194420868915</c:v>
                </c:pt>
                <c:pt idx="108">
                  <c:v>-0.033370045679212</c:v>
                </c:pt>
                <c:pt idx="109">
                  <c:v>-0.0331185371438262</c:v>
                </c:pt>
                <c:pt idx="110">
                  <c:v>-0.0328649275177609</c:v>
                </c:pt>
                <c:pt idx="111">
                  <c:v>-0.0326092286550204</c:v>
                </c:pt>
                <c:pt idx="112">
                  <c:v>-0.0323514532338851</c:v>
                </c:pt>
                <c:pt idx="113">
                  <c:v>-0.0320916147636677</c:v>
                </c:pt>
                <c:pt idx="114">
                  <c:v>-0.0318297275909253</c:v>
                </c:pt>
                <c:pt idx="115">
                  <c:v>-0.0315658069050897</c:v>
                </c:pt>
                <c:pt idx="116">
                  <c:v>-0.0338227605628067</c:v>
                </c:pt>
                <c:pt idx="117">
                  <c:v>-0.0361200370999748</c:v>
                </c:pt>
                <c:pt idx="118">
                  <c:v>-0.0384141980457578</c:v>
                </c:pt>
                <c:pt idx="119">
                  <c:v>-0.0407052716413253</c:v>
                </c:pt>
                <c:pt idx="120">
                  <c:v>-0.0429932874719371</c:v>
                </c:pt>
                <c:pt idx="121">
                  <c:v>-0.0452782764704156</c:v>
                </c:pt>
                <c:pt idx="122">
                  <c:v>-0.0475602709195325</c:v>
                </c:pt>
                <c:pt idx="123">
                  <c:v>-0.0498393044533018</c:v>
                </c:pt>
                <c:pt idx="124">
                  <c:v>-0.0521154120571344</c:v>
                </c:pt>
                <c:pt idx="125">
                  <c:v>-0.0543886300668605</c:v>
                </c:pt>
                <c:pt idx="126">
                  <c:v>-0.0566589961665786</c:v>
                </c:pt>
                <c:pt idx="127">
                  <c:v>-0.0589265493853121</c:v>
                </c:pt>
                <c:pt idx="128">
                  <c:v>-0.0611913300924669</c:v>
                </c:pt>
                <c:pt idx="129">
                  <c:v>-0.0634533799920673</c:v>
                </c:pt>
                <c:pt idx="130">
                  <c:v>-0.0657127421157512</c:v>
                </c:pt>
                <c:pt idx="131">
                  <c:v>-0.0679694608145206</c:v>
                </c:pt>
                <c:pt idx="132">
                  <c:v>-0.0702235817492298</c:v>
                </c:pt>
                <c:pt idx="133">
                  <c:v>-0.0724751518797984</c:v>
                </c:pt>
                <c:pt idx="134">
                  <c:v>-0.0747242194531616</c:v>
                </c:pt>
                <c:pt idx="135">
                  <c:v>-0.0769708339899186</c:v>
                </c:pt>
                <c:pt idx="136">
                  <c:v>-0.0792150462697099</c:v>
                </c:pt>
                <c:pt idx="137">
                  <c:v>-0.0814569083152918</c:v>
                </c:pt>
                <c:pt idx="138">
                  <c:v>-0.083696473375342</c:v>
                </c:pt>
                <c:pt idx="139">
                  <c:v>-0.0859337959059615</c:v>
                </c:pt>
                <c:pt idx="140">
                  <c:v>-0.0881689315509062</c:v>
                </c:pt>
                <c:pt idx="141">
                  <c:v>-0.0904019371205453</c:v>
                </c:pt>
                <c:pt idx="142">
                  <c:v>-0.0926328705695531</c:v>
                </c:pt>
                <c:pt idx="143">
                  <c:v>-0.0948617909733453</c:v>
                </c:pt>
                <c:pt idx="144">
                  <c:v>-0.0970887585032845</c:v>
                </c:pt>
                <c:pt idx="145">
                  <c:v>-0.0993138344006586</c:v>
                </c:pt>
                <c:pt idx="146">
                  <c:v>-0.101537080949447</c:v>
                </c:pt>
                <c:pt idx="147">
                  <c:v>-0.103758561447919</c:v>
                </c:pt>
                <c:pt idx="148">
                  <c:v>-0.105978340179056</c:v>
                </c:pt>
                <c:pt idx="149">
                  <c:v>-0.108196482379839</c:v>
                </c:pt>
                <c:pt idx="150">
                  <c:v>-0.110413054209435</c:v>
                </c:pt>
                <c:pt idx="151">
                  <c:v>-0.11262812271629</c:v>
                </c:pt>
                <c:pt idx="152">
                  <c:v>-0.114841755804188</c:v>
                </c:pt>
                <c:pt idx="153">
                  <c:v>-0.117054022197275</c:v>
                </c:pt>
                <c:pt idx="154">
                  <c:v>-0.119264991404121</c:v>
                </c:pt>
                <c:pt idx="155">
                  <c:v>-0.121474733680825</c:v>
                </c:pt>
                <c:pt idx="156">
                  <c:v>-0.123683319993231</c:v>
                </c:pt>
                <c:pt idx="157">
                  <c:v>-0.125890821978259</c:v>
                </c:pt>
                <c:pt idx="158">
                  <c:v>-0.12809731190444</c:v>
                </c:pt>
                <c:pt idx="159">
                  <c:v>-0.130302862631666</c:v>
                </c:pt>
                <c:pt idx="160">
                  <c:v>-0.1325075475702</c:v>
                </c:pt>
                <c:pt idx="161">
                  <c:v>-0.134711440639031</c:v>
                </c:pt>
                <c:pt idx="162">
                  <c:v>-0.136914616223571</c:v>
                </c:pt>
                <c:pt idx="163">
                  <c:v>-0.139117149132791</c:v>
                </c:pt>
                <c:pt idx="164">
                  <c:v>-0.14131911455581</c:v>
                </c:pt>
                <c:pt idx="165">
                  <c:v>-0.143520588018026</c:v>
                </c:pt>
                <c:pt idx="166">
                  <c:v>-0.145721645336808</c:v>
                </c:pt>
                <c:pt idx="167">
                  <c:v>-0.147922362576829</c:v>
                </c:pt>
                <c:pt idx="168">
                  <c:v>-0.150122816005094</c:v>
                </c:pt>
                <c:pt idx="169">
                  <c:v>-0.152323082045693</c:v>
                </c:pt>
                <c:pt idx="170">
                  <c:v>-0.154523237234371</c:v>
                </c:pt>
                <c:pt idx="171">
                  <c:v>-0.156723358172959</c:v>
                </c:pt>
                <c:pt idx="172">
                  <c:v>-0.158923521483703</c:v>
                </c:pt>
                <c:pt idx="173">
                  <c:v>-0.16112380376359</c:v>
                </c:pt>
                <c:pt idx="174">
                  <c:v>-0.163324281538687</c:v>
                </c:pt>
                <c:pt idx="175">
                  <c:v>-0.164944021050713</c:v>
                </c:pt>
                <c:pt idx="176">
                  <c:v>-0.165814866420599</c:v>
                </c:pt>
                <c:pt idx="177">
                  <c:v>-0.166685594346778</c:v>
                </c:pt>
                <c:pt idx="178">
                  <c:v>-0.167556075120081</c:v>
                </c:pt>
                <c:pt idx="179">
                  <c:v>-0.168426179178556</c:v>
                </c:pt>
                <c:pt idx="180">
                  <c:v>-0.169295777184518</c:v>
                </c:pt>
                <c:pt idx="181">
                  <c:v>-0.170164740101315</c:v>
                </c:pt>
                <c:pt idx="182">
                  <c:v>-0.17103293926972</c:v>
                </c:pt>
                <c:pt idx="183">
                  <c:v>-0.171900246483842</c:v>
                </c:pt>
                <c:pt idx="184">
                  <c:v>-0.172766534066468</c:v>
                </c:pt>
                <c:pt idx="185">
                  <c:v>-0.173631674943738</c:v>
                </c:pt>
                <c:pt idx="186">
                  <c:v>-0.17449554271907</c:v>
                </c:pt>
                <c:pt idx="187">
                  <c:v>-0.175358011746233</c:v>
                </c:pt>
                <c:pt idx="188">
                  <c:v>-0.176218957201483</c:v>
                </c:pt>
                <c:pt idx="189">
                  <c:v>-0.177078255154683</c:v>
                </c:pt>
                <c:pt idx="190">
                  <c:v>-0.177935782639304</c:v>
                </c:pt>
                <c:pt idx="191">
                  <c:v>-0.178791417721262</c:v>
                </c:pt>
                <c:pt idx="192">
                  <c:v>-0.17964503956645</c:v>
                </c:pt>
                <c:pt idx="193">
                  <c:v>-0.180496528506954</c:v>
                </c:pt>
                <c:pt idx="194">
                  <c:v>-0.181345766105838</c:v>
                </c:pt>
                <c:pt idx="195">
                  <c:v>-0.182192635220438</c:v>
                </c:pt>
                <c:pt idx="196">
                  <c:v>-0.183037020064093</c:v>
                </c:pt>
                <c:pt idx="197">
                  <c:v>-0.183878806266258</c:v>
                </c:pt>
                <c:pt idx="198">
                  <c:v>-0.184717880930925</c:v>
                </c:pt>
                <c:pt idx="199">
                  <c:v>-0.185554132693304</c:v>
                </c:pt>
                <c:pt idx="200">
                  <c:v>-0.186387451774701</c:v>
                </c:pt>
              </c:numCache>
            </c:numRef>
          </c:yVal>
          <c:smooth val="0"/>
        </c:ser>
        <c:ser>
          <c:idx val="3"/>
          <c:order val="3"/>
          <c:tx>
            <c:v>output, agg. employment held fixed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Sectors!$CA$17:$CA$217</c:f>
              <c:numCache>
                <c:formatCode>0.00</c:formatCode>
                <c:ptCount val="201"/>
                <c:pt idx="0">
                  <c:v>0.000294530717173404</c:v>
                </c:pt>
                <c:pt idx="1">
                  <c:v>0.000220623844275852</c:v>
                </c:pt>
                <c:pt idx="2">
                  <c:v>0.000145557621228577</c:v>
                </c:pt>
                <c:pt idx="3">
                  <c:v>6.93160135055809E-5</c:v>
                </c:pt>
                <c:pt idx="4">
                  <c:v>-8.11716340630803E-6</c:v>
                </c:pt>
                <c:pt idx="5">
                  <c:v>-8.67582428944202E-5</c:v>
                </c:pt>
                <c:pt idx="6">
                  <c:v>-0.000166623705988307</c:v>
                </c:pt>
                <c:pt idx="7">
                  <c:v>-0.00024773018001708</c:v>
                </c:pt>
                <c:pt idx="8">
                  <c:v>-0.00033009443714713</c:v>
                </c:pt>
                <c:pt idx="9">
                  <c:v>-0.000413733392793977</c:v>
                </c:pt>
                <c:pt idx="10">
                  <c:v>-0.000498664103901555</c:v>
                </c:pt>
                <c:pt idx="11">
                  <c:v>-0.000584903767107989</c:v>
                </c:pt>
                <c:pt idx="12">
                  <c:v>-0.000672469716757068</c:v>
                </c:pt>
                <c:pt idx="13">
                  <c:v>-0.000761379422784883</c:v>
                </c:pt>
                <c:pt idx="14">
                  <c:v>-0.00085165048845602</c:v>
                </c:pt>
                <c:pt idx="15">
                  <c:v>-0.000943300647958022</c:v>
                </c:pt>
                <c:pt idx="16">
                  <c:v>-0.00103634776384435</c:v>
                </c:pt>
                <c:pt idx="17">
                  <c:v>-0.00113080982432473</c:v>
                </c:pt>
                <c:pt idx="18">
                  <c:v>-0.00122670494039089</c:v>
                </c:pt>
                <c:pt idx="19">
                  <c:v>-0.00132405134279301</c:v>
                </c:pt>
                <c:pt idx="20">
                  <c:v>-0.00146280942209727</c:v>
                </c:pt>
                <c:pt idx="21">
                  <c:v>-0.00152317150900793</c:v>
                </c:pt>
                <c:pt idx="22">
                  <c:v>-0.0016249823034525</c:v>
                </c:pt>
                <c:pt idx="23">
                  <c:v>-0.00172831843823431</c:v>
                </c:pt>
                <c:pt idx="24">
                  <c:v>-0.001833198691438</c:v>
                </c:pt>
                <c:pt idx="25">
                  <c:v>-0.0019396419390861</c:v>
                </c:pt>
                <c:pt idx="26">
                  <c:v>-0.0020476671508544</c:v>
                </c:pt>
                <c:pt idx="27">
                  <c:v>-0.0021572933855949</c:v>
                </c:pt>
                <c:pt idx="28">
                  <c:v>-0.00226853978666776</c:v>
                </c:pt>
                <c:pt idx="29">
                  <c:v>-0.00238142557706312</c:v>
                </c:pt>
                <c:pt idx="30">
                  <c:v>-0.00249597005432323</c:v>
                </c:pt>
                <c:pt idx="31">
                  <c:v>-0.00261219258524215</c:v>
                </c:pt>
                <c:pt idx="32">
                  <c:v>-0.00273011260036694</c:v>
                </c:pt>
                <c:pt idx="33">
                  <c:v>-0.00284974958827472</c:v>
                </c:pt>
                <c:pt idx="34">
                  <c:v>-0.0029711230896204</c:v>
                </c:pt>
                <c:pt idx="35">
                  <c:v>-0.00309425269097435</c:v>
                </c:pt>
                <c:pt idx="36">
                  <c:v>-0.00321915801841445</c:v>
                </c:pt>
                <c:pt idx="37">
                  <c:v>-0.00334585873090308</c:v>
                </c:pt>
                <c:pt idx="38">
                  <c:v>-0.0034743745134146</c:v>
                </c:pt>
                <c:pt idx="39">
                  <c:v>-0.00360472506983456</c:v>
                </c:pt>
                <c:pt idx="40">
                  <c:v>-0.00373693011560796</c:v>
                </c:pt>
                <c:pt idx="41">
                  <c:v>-0.00387100937015391</c:v>
                </c:pt>
                <c:pt idx="42">
                  <c:v>-0.00400698254902423</c:v>
                </c:pt>
                <c:pt idx="43">
                  <c:v>-0.00414486935581013</c:v>
                </c:pt>
                <c:pt idx="44">
                  <c:v>-0.00428468947380942</c:v>
                </c:pt>
                <c:pt idx="45">
                  <c:v>-0.00442646255742145</c:v>
                </c:pt>
                <c:pt idx="46">
                  <c:v>-0.00457020822330469</c:v>
                </c:pt>
                <c:pt idx="47">
                  <c:v>-0.0047159460412543</c:v>
                </c:pt>
                <c:pt idx="48">
                  <c:v>-0.00486369552483984</c:v>
                </c:pt>
                <c:pt idx="49">
                  <c:v>-0.00501347612176527</c:v>
                </c:pt>
                <c:pt idx="50">
                  <c:v>-0.00516530720397318</c:v>
                </c:pt>
                <c:pt idx="51">
                  <c:v>-0.00531920805748923</c:v>
                </c:pt>
                <c:pt idx="52">
                  <c:v>-0.0054751978719907</c:v>
                </c:pt>
                <c:pt idx="53">
                  <c:v>-0.00563329573012027</c:v>
                </c:pt>
                <c:pt idx="54">
                  <c:v>-0.00579352059653285</c:v>
                </c:pt>
                <c:pt idx="55">
                  <c:v>-0.00595589130667003</c:v>
                </c:pt>
                <c:pt idx="56">
                  <c:v>-0.00612042655528393</c:v>
                </c:pt>
                <c:pt idx="57">
                  <c:v>-0.00628714488468329</c:v>
                </c:pt>
                <c:pt idx="58">
                  <c:v>-0.00645606467273473</c:v>
                </c:pt>
                <c:pt idx="59">
                  <c:v>-0.00662720412058273</c:v>
                </c:pt>
                <c:pt idx="60">
                  <c:v>-0.00680058124012889</c:v>
                </c:pt>
                <c:pt idx="61">
                  <c:v>-0.00697621384125115</c:v>
                </c:pt>
                <c:pt idx="62">
                  <c:v>-0.00715411951876098</c:v>
                </c:pt>
                <c:pt idx="63">
                  <c:v>-0.00733431563912856</c:v>
                </c:pt>
                <c:pt idx="64">
                  <c:v>-0.00751681932694213</c:v>
                </c:pt>
                <c:pt idx="65">
                  <c:v>-0.00770164745114011</c:v>
                </c:pt>
                <c:pt idx="66">
                  <c:v>-0.00788881661100479</c:v>
                </c:pt>
                <c:pt idx="67">
                  <c:v>-0.00807834312191211</c:v>
                </c:pt>
                <c:pt idx="68">
                  <c:v>-0.0082702430008757</c:v>
                </c:pt>
                <c:pt idx="69">
                  <c:v>-0.0084645319518484</c:v>
                </c:pt>
                <c:pt idx="70">
                  <c:v>-0.00866122535083015</c:v>
                </c:pt>
                <c:pt idx="71">
                  <c:v>-0.00886033823075703</c:v>
                </c:pt>
                <c:pt idx="72">
                  <c:v>-0.00906188526619648</c:v>
                </c:pt>
                <c:pt idx="73">
                  <c:v>-0.00926588075785452</c:v>
                </c:pt>
                <c:pt idx="74">
                  <c:v>-0.00947233861689795</c:v>
                </c:pt>
                <c:pt idx="75">
                  <c:v>-0.00968127234910585</c:v>
                </c:pt>
                <c:pt idx="76">
                  <c:v>-0.0098926950388635</c:v>
                </c:pt>
                <c:pt idx="77">
                  <c:v>-0.0101066193329989</c:v>
                </c:pt>
                <c:pt idx="78">
                  <c:v>-0.0103230574244866</c:v>
                </c:pt>
                <c:pt idx="79">
                  <c:v>-0.0105420210360165</c:v>
                </c:pt>
                <c:pt idx="80">
                  <c:v>-0.010763521403456</c:v>
                </c:pt>
                <c:pt idx="81">
                  <c:v>-0.010987569259199</c:v>
                </c:pt>
                <c:pt idx="82">
                  <c:v>-0.011214174815438</c:v>
                </c:pt>
                <c:pt idx="83">
                  <c:v>-0.0114433477473575</c:v>
                </c:pt>
                <c:pt idx="84">
                  <c:v>-0.0116750971762603</c:v>
                </c:pt>
                <c:pt idx="85">
                  <c:v>-0.0119094316526621</c:v>
                </c:pt>
                <c:pt idx="86">
                  <c:v>-0.012146359139356</c:v>
                </c:pt>
                <c:pt idx="87">
                  <c:v>-0.0123858869944592</c:v>
                </c:pt>
                <c:pt idx="88">
                  <c:v>-0.0126280219544747</c:v>
                </c:pt>
                <c:pt idx="89">
                  <c:v>-0.0128727701173743</c:v>
                </c:pt>
                <c:pt idx="90">
                  <c:v>-0.013120136925721</c:v>
                </c:pt>
                <c:pt idx="91">
                  <c:v>-0.0133701271498637</c:v>
                </c:pt>
                <c:pt idx="92">
                  <c:v>-0.0136227448712046</c:v>
                </c:pt>
                <c:pt idx="93">
                  <c:v>-0.0138779934655748</c:v>
                </c:pt>
                <c:pt idx="94">
                  <c:v>-0.0141358755867305</c:v>
                </c:pt>
                <c:pt idx="95">
                  <c:v>-0.0143963931499916</c:v>
                </c:pt>
                <c:pt idx="96">
                  <c:v>-0.0146595473160576</c:v>
                </c:pt>
                <c:pt idx="97">
                  <c:v>-0.0149253384749945</c:v>
                </c:pt>
                <c:pt idx="98">
                  <c:v>-0.0151937662304522</c:v>
                </c:pt>
                <c:pt idx="99">
                  <c:v>-0.0154648293841003</c:v>
                </c:pt>
                <c:pt idx="100">
                  <c:v>-0.0153898354638617</c:v>
                </c:pt>
                <c:pt idx="101">
                  <c:v>-0.0149982095684067</c:v>
                </c:pt>
                <c:pt idx="102">
                  <c:v>-0.014602993533553</c:v>
                </c:pt>
                <c:pt idx="103">
                  <c:v>-0.0142041975071798</c:v>
                </c:pt>
                <c:pt idx="104">
                  <c:v>-0.0138018328989517</c:v>
                </c:pt>
                <c:pt idx="105">
                  <c:v>-0.0133959123971914</c:v>
                </c:pt>
                <c:pt idx="106">
                  <c:v>-0.0129864499850885</c:v>
                </c:pt>
                <c:pt idx="107">
                  <c:v>-0.0125734609561965</c:v>
                </c:pt>
                <c:pt idx="108">
                  <c:v>-0.0121569619291897</c:v>
                </c:pt>
                <c:pt idx="109">
                  <c:v>-0.0117369708618603</c:v>
                </c:pt>
                <c:pt idx="110">
                  <c:v>-0.0113135070642835</c:v>
                </c:pt>
                <c:pt idx="111">
                  <c:v>-0.0108865912111554</c:v>
                </c:pt>
                <c:pt idx="112">
                  <c:v>-0.0104562453532482</c:v>
                </c:pt>
                <c:pt idx="113">
                  <c:v>-0.0100224929279552</c:v>
                </c:pt>
                <c:pt idx="114">
                  <c:v>-0.0095853587688871</c:v>
                </c:pt>
                <c:pt idx="115">
                  <c:v>-0.00914486911450113</c:v>
                </c:pt>
                <c:pt idx="116">
                  <c:v>-0.011223943435012</c:v>
                </c:pt>
                <c:pt idx="117">
                  <c:v>-0.0133420424465849</c:v>
                </c:pt>
                <c:pt idx="118">
                  <c:v>-0.0154557404270539</c:v>
                </c:pt>
                <c:pt idx="119">
                  <c:v>-0.0175650789359331</c:v>
                </c:pt>
                <c:pt idx="120">
                  <c:v>-0.019670101447299</c:v>
                </c:pt>
                <c:pt idx="121">
                  <c:v>-0.0217708533536015</c:v>
                </c:pt>
                <c:pt idx="122">
                  <c:v>-0.0238673819678998</c:v>
                </c:pt>
                <c:pt idx="123">
                  <c:v>-0.025959736524525</c:v>
                </c:pt>
                <c:pt idx="124">
                  <c:v>-0.0280479681781011</c:v>
                </c:pt>
                <c:pt idx="125">
                  <c:v>-0.0301321300009334</c:v>
                </c:pt>
                <c:pt idx="126">
                  <c:v>-0.0322122769787052</c:v>
                </c:pt>
                <c:pt idx="127">
                  <c:v>-0.0342884660044676</c:v>
                </c:pt>
                <c:pt idx="128">
                  <c:v>-0.0363607558709079</c:v>
                </c:pt>
                <c:pt idx="129">
                  <c:v>-0.0384292072608577</c:v>
                </c:pt>
                <c:pt idx="130">
                  <c:v>-0.0404938827360323</c:v>
                </c:pt>
                <c:pt idx="131">
                  <c:v>-0.0425548467239903</c:v>
                </c:pt>
                <c:pt idx="132">
                  <c:v>-0.0446121655032785</c:v>
                </c:pt>
                <c:pt idx="133">
                  <c:v>-0.046665907186771</c:v>
                </c:pt>
                <c:pt idx="134">
                  <c:v>-0.0487161417031953</c:v>
                </c:pt>
                <c:pt idx="135">
                  <c:v>-0.0507629407768117</c:v>
                </c:pt>
                <c:pt idx="136">
                  <c:v>-0.0528063779052804</c:v>
                </c:pt>
                <c:pt idx="137">
                  <c:v>-0.0548465283356866</c:v>
                </c:pt>
                <c:pt idx="138">
                  <c:v>-0.0568834690387453</c:v>
                </c:pt>
                <c:pt idx="139">
                  <c:v>-0.0589172786811822</c:v>
                </c:pt>
                <c:pt idx="140">
                  <c:v>-0.0609480375962989</c:v>
                </c:pt>
                <c:pt idx="141">
                  <c:v>-0.0629758277527459</c:v>
                </c:pt>
                <c:pt idx="142">
                  <c:v>-0.0650007327215047</c:v>
                </c:pt>
                <c:pt idx="143">
                  <c:v>-0.0670228376411025</c:v>
                </c:pt>
                <c:pt idx="144">
                  <c:v>-0.0690422291810903</c:v>
                </c:pt>
                <c:pt idx="145">
                  <c:v>-0.0710589955038025</c:v>
                </c:pt>
                <c:pt idx="146">
                  <c:v>-0.0730732262244028</c:v>
                </c:pt>
                <c:pt idx="147">
                  <c:v>-0.0750850123693101</c:v>
                </c:pt>
                <c:pt idx="148">
                  <c:v>-0.0770944463329605</c:v>
                </c:pt>
                <c:pt idx="149">
                  <c:v>-0.0791016218330074</c:v>
                </c:pt>
                <c:pt idx="150">
                  <c:v>-0.0811066338639612</c:v>
                </c:pt>
                <c:pt idx="151">
                  <c:v>-0.0831095786493304</c:v>
                </c:pt>
                <c:pt idx="152">
                  <c:v>-0.0851105535923081</c:v>
                </c:pt>
                <c:pt idx="153">
                  <c:v>-0.0871096572250463</c:v>
                </c:pt>
                <c:pt idx="154">
                  <c:v>-0.0891069891565802</c:v>
                </c:pt>
                <c:pt idx="155">
                  <c:v>-0.0911026500194472</c:v>
                </c:pt>
                <c:pt idx="156">
                  <c:v>-0.0930967414150747</c:v>
                </c:pt>
                <c:pt idx="157">
                  <c:v>-0.0950893658579761</c:v>
                </c:pt>
                <c:pt idx="158">
                  <c:v>-0.0970806267188291</c:v>
                </c:pt>
                <c:pt idx="159">
                  <c:v>-0.0990706281665112</c:v>
                </c:pt>
                <c:pt idx="160">
                  <c:v>-0.101059475109134</c:v>
                </c:pt>
                <c:pt idx="161">
                  <c:v>-0.103047273134176</c:v>
                </c:pt>
                <c:pt idx="162">
                  <c:v>-0.105034128447755</c:v>
                </c:pt>
                <c:pt idx="163">
                  <c:v>-0.107020147813144</c:v>
                </c:pt>
                <c:pt idx="164">
                  <c:v>-0.109005438488573</c:v>
                </c:pt>
                <c:pt idx="165">
                  <c:v>-0.110990108164429</c:v>
                </c:pt>
                <c:pt idx="166">
                  <c:v>-0.112974264899894</c:v>
                </c:pt>
                <c:pt idx="167">
                  <c:v>-0.114958017059126</c:v>
                </c:pt>
                <c:pt idx="168">
                  <c:v>-0.116941473247067</c:v>
                </c:pt>
                <c:pt idx="169">
                  <c:v>-0.118924742244917</c:v>
                </c:pt>
                <c:pt idx="170">
                  <c:v>-0.120907932945424</c:v>
                </c:pt>
                <c:pt idx="171">
                  <c:v>-0.122891154287996</c:v>
                </c:pt>
                <c:pt idx="172">
                  <c:v>-0.124874515193781</c:v>
                </c:pt>
                <c:pt idx="173">
                  <c:v>-0.126858124500753</c:v>
                </c:pt>
                <c:pt idx="174">
                  <c:v>-0.128842090898911</c:v>
                </c:pt>
                <c:pt idx="175">
                  <c:v>-0.130826522865669</c:v>
                </c:pt>
                <c:pt idx="176">
                  <c:v>-0.132811528601503</c:v>
                </c:pt>
                <c:pt idx="177">
                  <c:v>-0.133568504094122</c:v>
                </c:pt>
                <c:pt idx="178">
                  <c:v>-0.134221984393857</c:v>
                </c:pt>
                <c:pt idx="179">
                  <c:v>-0.134875110953857</c:v>
                </c:pt>
                <c:pt idx="180">
                  <c:v>-0.135527786781777</c:v>
                </c:pt>
                <c:pt idx="181">
                  <c:v>-0.136179915153324</c:v>
                </c:pt>
                <c:pt idx="182">
                  <c:v>-0.136831399669407</c:v>
                </c:pt>
                <c:pt idx="183">
                  <c:v>-0.137482144312871</c:v>
                </c:pt>
                <c:pt idx="184">
                  <c:v>-0.138132053504763</c:v>
                </c:pt>
                <c:pt idx="185">
                  <c:v>-0.138781032160034</c:v>
                </c:pt>
                <c:pt idx="186">
                  <c:v>-0.139428985742633</c:v>
                </c:pt>
                <c:pt idx="187">
                  <c:v>-0.140075820319914</c:v>
                </c:pt>
                <c:pt idx="188">
                  <c:v>-0.140721442616282</c:v>
                </c:pt>
                <c:pt idx="189">
                  <c:v>-0.141365760066036</c:v>
                </c:pt>
                <c:pt idx="190">
                  <c:v>-0.142008680865331</c:v>
                </c:pt>
                <c:pt idx="191">
                  <c:v>-0.142650114023201</c:v>
                </c:pt>
                <c:pt idx="192">
                  <c:v>-0.143289969411582</c:v>
                </c:pt>
                <c:pt idx="193">
                  <c:v>-0.143928157814293</c:v>
                </c:pt>
                <c:pt idx="194">
                  <c:v>-0.144564590974896</c:v>
                </c:pt>
                <c:pt idx="195">
                  <c:v>-0.145199181643409</c:v>
                </c:pt>
                <c:pt idx="196">
                  <c:v>-0.145831843621805</c:v>
                </c:pt>
                <c:pt idx="197">
                  <c:v>-0.146462491808257</c:v>
                </c:pt>
                <c:pt idx="198">
                  <c:v>-0.147091042240079</c:v>
                </c:pt>
                <c:pt idx="199">
                  <c:v>-0.147717412135331</c:v>
                </c:pt>
                <c:pt idx="200">
                  <c:v>-0.148341519933042</c:v>
                </c:pt>
              </c:numCache>
            </c:numRef>
          </c:yVal>
          <c:smooth val="0"/>
        </c:ser>
        <c:ser>
          <c:idx val="4"/>
          <c:order val="4"/>
          <c:tx>
            <c:v>output share</c:v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Sectors!$A$17:$A$217</c:f>
              <c:numCache>
                <c:formatCode>General</c:formatCode>
                <c:ptCount val="201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0.102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</c:numCache>
            </c:numRef>
          </c:xVal>
          <c:yVal>
            <c:numRef>
              <c:f>Sectors!$CB$17:$CB$217</c:f>
              <c:numCache>
                <c:formatCode>0.00</c:formatCode>
                <c:ptCount val="201"/>
                <c:pt idx="0">
                  <c:v>0.0176229866365807</c:v>
                </c:pt>
                <c:pt idx="1">
                  <c:v>0.0175490797636831</c:v>
                </c:pt>
                <c:pt idx="2">
                  <c:v>0.0174740135406358</c:v>
                </c:pt>
                <c:pt idx="3">
                  <c:v>0.0173977719329128</c:v>
                </c:pt>
                <c:pt idx="4">
                  <c:v>0.0173203387560009</c:v>
                </c:pt>
                <c:pt idx="5">
                  <c:v>0.0172416976765128</c:v>
                </c:pt>
                <c:pt idx="6">
                  <c:v>0.0171618322134189</c:v>
                </c:pt>
                <c:pt idx="7">
                  <c:v>0.0170807257393902</c:v>
                </c:pt>
                <c:pt idx="8">
                  <c:v>0.0169983614822601</c:v>
                </c:pt>
                <c:pt idx="9">
                  <c:v>0.0169147225266133</c:v>
                </c:pt>
                <c:pt idx="10">
                  <c:v>0.0168297918155057</c:v>
                </c:pt>
                <c:pt idx="11">
                  <c:v>0.0167435521522993</c:v>
                </c:pt>
                <c:pt idx="12">
                  <c:v>0.0166559862026502</c:v>
                </c:pt>
                <c:pt idx="13">
                  <c:v>0.0165670764966224</c:v>
                </c:pt>
                <c:pt idx="14">
                  <c:v>0.0164768054309512</c:v>
                </c:pt>
                <c:pt idx="15">
                  <c:v>0.0163851552714492</c:v>
                </c:pt>
                <c:pt idx="16">
                  <c:v>0.0162921081555629</c:v>
                </c:pt>
                <c:pt idx="17">
                  <c:v>0.0161976460950825</c:v>
                </c:pt>
                <c:pt idx="18">
                  <c:v>0.0161017509790164</c:v>
                </c:pt>
                <c:pt idx="19">
                  <c:v>0.0160044045766142</c:v>
                </c:pt>
                <c:pt idx="20">
                  <c:v>0.01586564649731</c:v>
                </c:pt>
                <c:pt idx="21">
                  <c:v>0.0158052844103993</c:v>
                </c:pt>
                <c:pt idx="22">
                  <c:v>0.0157034736159547</c:v>
                </c:pt>
                <c:pt idx="23">
                  <c:v>0.0156001374811729</c:v>
                </c:pt>
                <c:pt idx="24">
                  <c:v>0.0154952572279692</c:v>
                </c:pt>
                <c:pt idx="25">
                  <c:v>0.0153888139803211</c:v>
                </c:pt>
                <c:pt idx="26">
                  <c:v>0.0152807887685528</c:v>
                </c:pt>
                <c:pt idx="27">
                  <c:v>0.0151711625338123</c:v>
                </c:pt>
                <c:pt idx="28">
                  <c:v>0.0150599161327395</c:v>
                </c:pt>
                <c:pt idx="29">
                  <c:v>0.0149470303423441</c:v>
                </c:pt>
                <c:pt idx="30">
                  <c:v>0.014832485865084</c:v>
                </c:pt>
                <c:pt idx="31">
                  <c:v>0.0147162633341651</c:v>
                </c:pt>
                <c:pt idx="32">
                  <c:v>0.0145983433190403</c:v>
                </c:pt>
                <c:pt idx="33">
                  <c:v>0.0144787063311325</c:v>
                </c:pt>
                <c:pt idx="34">
                  <c:v>0.0143573328297868</c:v>
                </c:pt>
                <c:pt idx="35">
                  <c:v>0.0142342032284329</c:v>
                </c:pt>
                <c:pt idx="36">
                  <c:v>0.0141092979009928</c:v>
                </c:pt>
                <c:pt idx="37">
                  <c:v>0.0139825971885042</c:v>
                </c:pt>
                <c:pt idx="38">
                  <c:v>0.0138540814059926</c:v>
                </c:pt>
                <c:pt idx="39">
                  <c:v>0.0137237308495727</c:v>
                </c:pt>
                <c:pt idx="40">
                  <c:v>0.0135915258037993</c:v>
                </c:pt>
                <c:pt idx="41">
                  <c:v>0.0134574465492533</c:v>
                </c:pt>
                <c:pt idx="42">
                  <c:v>0.013321473370383</c:v>
                </c:pt>
                <c:pt idx="43">
                  <c:v>0.0131835865635971</c:v>
                </c:pt>
                <c:pt idx="44">
                  <c:v>0.0130437664455978</c:v>
                </c:pt>
                <c:pt idx="45">
                  <c:v>0.0129019933619858</c:v>
                </c:pt>
                <c:pt idx="46">
                  <c:v>0.0127582476961026</c:v>
                </c:pt>
                <c:pt idx="47">
                  <c:v>0.012612509878153</c:v>
                </c:pt>
                <c:pt idx="48">
                  <c:v>0.0124647603945674</c:v>
                </c:pt>
                <c:pt idx="49">
                  <c:v>0.012314979797642</c:v>
                </c:pt>
                <c:pt idx="50">
                  <c:v>0.0121631487154341</c:v>
                </c:pt>
                <c:pt idx="51">
                  <c:v>0.012009247861918</c:v>
                </c:pt>
                <c:pt idx="52">
                  <c:v>0.0118532580474165</c:v>
                </c:pt>
                <c:pt idx="53">
                  <c:v>0.011695160189287</c:v>
                </c:pt>
                <c:pt idx="54">
                  <c:v>0.0115349353228744</c:v>
                </c:pt>
                <c:pt idx="55">
                  <c:v>0.0113725646127372</c:v>
                </c:pt>
                <c:pt idx="56">
                  <c:v>0.0112080293641233</c:v>
                </c:pt>
                <c:pt idx="57">
                  <c:v>0.011041311034724</c:v>
                </c:pt>
                <c:pt idx="58">
                  <c:v>0.0108723912466725</c:v>
                </c:pt>
                <c:pt idx="59">
                  <c:v>0.0107012517988245</c:v>
                </c:pt>
                <c:pt idx="60">
                  <c:v>0.0105278746792784</c:v>
                </c:pt>
                <c:pt idx="61">
                  <c:v>0.0103522420781561</c:v>
                </c:pt>
                <c:pt idx="62">
                  <c:v>0.0101743364006463</c:v>
                </c:pt>
                <c:pt idx="63">
                  <c:v>0.00999414028027869</c:v>
                </c:pt>
                <c:pt idx="64">
                  <c:v>0.00981163659246512</c:v>
                </c:pt>
                <c:pt idx="65">
                  <c:v>0.00962680846826713</c:v>
                </c:pt>
                <c:pt idx="66">
                  <c:v>0.00943963930840246</c:v>
                </c:pt>
                <c:pt idx="67">
                  <c:v>0.00925011279749514</c:v>
                </c:pt>
                <c:pt idx="68">
                  <c:v>0.00905821291853154</c:v>
                </c:pt>
                <c:pt idx="69">
                  <c:v>0.00886392396755884</c:v>
                </c:pt>
                <c:pt idx="70">
                  <c:v>0.0086672305685771</c:v>
                </c:pt>
                <c:pt idx="71">
                  <c:v>0.00846811768865022</c:v>
                </c:pt>
                <c:pt idx="72">
                  <c:v>0.00826657065321077</c:v>
                </c:pt>
                <c:pt idx="73">
                  <c:v>0.00806257516155272</c:v>
                </c:pt>
                <c:pt idx="74">
                  <c:v>0.0078561173025093</c:v>
                </c:pt>
                <c:pt idx="75">
                  <c:v>0.0076471835703014</c:v>
                </c:pt>
                <c:pt idx="76">
                  <c:v>0.00743576088054374</c:v>
                </c:pt>
                <c:pt idx="77">
                  <c:v>0.00722183658640834</c:v>
                </c:pt>
                <c:pt idx="78">
                  <c:v>0.00700539849492069</c:v>
                </c:pt>
                <c:pt idx="79">
                  <c:v>0.0067864348833907</c:v>
                </c:pt>
                <c:pt idx="80">
                  <c:v>0.00656493451595122</c:v>
                </c:pt>
                <c:pt idx="81">
                  <c:v>0.00634088666020823</c:v>
                </c:pt>
                <c:pt idx="82">
                  <c:v>0.00611428110396924</c:v>
                </c:pt>
                <c:pt idx="83">
                  <c:v>0.00588510817204976</c:v>
                </c:pt>
                <c:pt idx="84">
                  <c:v>0.00565335874314696</c:v>
                </c:pt>
                <c:pt idx="85">
                  <c:v>0.00541902426674516</c:v>
                </c:pt>
                <c:pt idx="86">
                  <c:v>0.0051820967800513</c:v>
                </c:pt>
                <c:pt idx="87">
                  <c:v>0.00494256892494806</c:v>
                </c:pt>
                <c:pt idx="88">
                  <c:v>0.00470043396493257</c:v>
                </c:pt>
                <c:pt idx="89">
                  <c:v>0.00445568580203299</c:v>
                </c:pt>
                <c:pt idx="90">
                  <c:v>0.00420831899368623</c:v>
                </c:pt>
                <c:pt idx="91">
                  <c:v>0.00395832876954352</c:v>
                </c:pt>
                <c:pt idx="92">
                  <c:v>0.00370571104820264</c:v>
                </c:pt>
                <c:pt idx="93">
                  <c:v>0.00345046245383249</c:v>
                </c:pt>
                <c:pt idx="94">
                  <c:v>0.00319258033267676</c:v>
                </c:pt>
                <c:pt idx="95">
                  <c:v>0.00293206276941566</c:v>
                </c:pt>
                <c:pt idx="96">
                  <c:v>0.00266890860334964</c:v>
                </c:pt>
                <c:pt idx="97">
                  <c:v>0.00240311744441272</c:v>
                </c:pt>
                <c:pt idx="98">
                  <c:v>0.00213468968895509</c:v>
                </c:pt>
                <c:pt idx="99">
                  <c:v>0.00186362653530691</c:v>
                </c:pt>
                <c:pt idx="100">
                  <c:v>0.00193862045554555</c:v>
                </c:pt>
                <c:pt idx="101">
                  <c:v>0.00233024635100055</c:v>
                </c:pt>
                <c:pt idx="102">
                  <c:v>0.00272546238585423</c:v>
                </c:pt>
                <c:pt idx="103">
                  <c:v>0.00312425841222746</c:v>
                </c:pt>
                <c:pt idx="104">
                  <c:v>0.00352662302045559</c:v>
                </c:pt>
                <c:pt idx="105">
                  <c:v>0.00393254352221587</c:v>
                </c:pt>
                <c:pt idx="106">
                  <c:v>0.00434200593431874</c:v>
                </c:pt>
                <c:pt idx="107">
                  <c:v>0.00475499496321071</c:v>
                </c:pt>
                <c:pt idx="108">
                  <c:v>0.00517149399021756</c:v>
                </c:pt>
                <c:pt idx="109">
                  <c:v>0.0055914850575469</c:v>
                </c:pt>
                <c:pt idx="110">
                  <c:v>0.00601494885512376</c:v>
                </c:pt>
                <c:pt idx="111">
                  <c:v>0.0064418647082518</c:v>
                </c:pt>
                <c:pt idx="112">
                  <c:v>0.00687221056615905</c:v>
                </c:pt>
                <c:pt idx="113">
                  <c:v>0.00730596299145201</c:v>
                </c:pt>
                <c:pt idx="114">
                  <c:v>0.00774309715052014</c:v>
                </c:pt>
                <c:pt idx="115">
                  <c:v>0.00818358680490612</c:v>
                </c:pt>
                <c:pt idx="116">
                  <c:v>0.00610451248439521</c:v>
                </c:pt>
                <c:pt idx="117">
                  <c:v>0.00398641347282234</c:v>
                </c:pt>
                <c:pt idx="118">
                  <c:v>0.0018727154923534</c:v>
                </c:pt>
                <c:pt idx="119">
                  <c:v>-0.000236623016525845</c:v>
                </c:pt>
                <c:pt idx="120">
                  <c:v>-0.0023416455278918</c:v>
                </c:pt>
                <c:pt idx="121">
                  <c:v>-0.00444239743419425</c:v>
                </c:pt>
                <c:pt idx="122">
                  <c:v>-0.0065389260484926</c:v>
                </c:pt>
                <c:pt idx="123">
                  <c:v>-0.00863128060511779</c:v>
                </c:pt>
                <c:pt idx="124">
                  <c:v>-0.0107195122586938</c:v>
                </c:pt>
                <c:pt idx="125">
                  <c:v>-0.0128036740815261</c:v>
                </c:pt>
                <c:pt idx="126">
                  <c:v>-0.014883821059298</c:v>
                </c:pt>
                <c:pt idx="127">
                  <c:v>-0.0169600100850603</c:v>
                </c:pt>
                <c:pt idx="128">
                  <c:v>-0.0190322999515007</c:v>
                </c:pt>
                <c:pt idx="129">
                  <c:v>-0.0211007513414504</c:v>
                </c:pt>
                <c:pt idx="130">
                  <c:v>-0.023165426816625</c:v>
                </c:pt>
                <c:pt idx="131">
                  <c:v>-0.025226390804583</c:v>
                </c:pt>
                <c:pt idx="132">
                  <c:v>-0.0272837095838713</c:v>
                </c:pt>
                <c:pt idx="133">
                  <c:v>-0.0293374512673637</c:v>
                </c:pt>
                <c:pt idx="134">
                  <c:v>-0.031387685783788</c:v>
                </c:pt>
                <c:pt idx="135">
                  <c:v>-0.0334344848574044</c:v>
                </c:pt>
                <c:pt idx="136">
                  <c:v>-0.0354779219858731</c:v>
                </c:pt>
                <c:pt idx="137">
                  <c:v>-0.0375180724162793</c:v>
                </c:pt>
                <c:pt idx="138">
                  <c:v>-0.0395550131193381</c:v>
                </c:pt>
                <c:pt idx="139">
                  <c:v>-0.0415888227617749</c:v>
                </c:pt>
                <c:pt idx="140">
                  <c:v>-0.0436195816768917</c:v>
                </c:pt>
                <c:pt idx="141">
                  <c:v>-0.0456473718333386</c:v>
                </c:pt>
                <c:pt idx="142">
                  <c:v>-0.0476722768020975</c:v>
                </c:pt>
                <c:pt idx="143">
                  <c:v>-0.0496943817216953</c:v>
                </c:pt>
                <c:pt idx="144">
                  <c:v>-0.0517137732616831</c:v>
                </c:pt>
                <c:pt idx="145">
                  <c:v>-0.0537305395843953</c:v>
                </c:pt>
                <c:pt idx="146">
                  <c:v>-0.0557447703049955</c:v>
                </c:pt>
                <c:pt idx="147">
                  <c:v>-0.0577565564499028</c:v>
                </c:pt>
                <c:pt idx="148">
                  <c:v>-0.0597659904135533</c:v>
                </c:pt>
                <c:pt idx="149">
                  <c:v>-0.0617731659136002</c:v>
                </c:pt>
                <c:pt idx="150">
                  <c:v>-0.0637781779445539</c:v>
                </c:pt>
                <c:pt idx="151">
                  <c:v>-0.0657811227299231</c:v>
                </c:pt>
                <c:pt idx="152">
                  <c:v>-0.0677820976729008</c:v>
                </c:pt>
                <c:pt idx="153">
                  <c:v>-0.0697812013056391</c:v>
                </c:pt>
                <c:pt idx="154">
                  <c:v>-0.071778533237173</c:v>
                </c:pt>
                <c:pt idx="155">
                  <c:v>-0.07377419410004</c:v>
                </c:pt>
                <c:pt idx="156">
                  <c:v>-0.0757682854956674</c:v>
                </c:pt>
                <c:pt idx="157">
                  <c:v>-0.0777609099385688</c:v>
                </c:pt>
                <c:pt idx="158">
                  <c:v>-0.0797521707994219</c:v>
                </c:pt>
                <c:pt idx="159">
                  <c:v>-0.081742172247104</c:v>
                </c:pt>
                <c:pt idx="160">
                  <c:v>-0.0837310191897266</c:v>
                </c:pt>
                <c:pt idx="161">
                  <c:v>-0.0857188172147689</c:v>
                </c:pt>
                <c:pt idx="162">
                  <c:v>-0.087705672528348</c:v>
                </c:pt>
                <c:pt idx="163">
                  <c:v>-0.0896916918937368</c:v>
                </c:pt>
                <c:pt idx="164">
                  <c:v>-0.0916769825691662</c:v>
                </c:pt>
                <c:pt idx="165">
                  <c:v>-0.0936616522450221</c:v>
                </c:pt>
                <c:pt idx="166">
                  <c:v>-0.0956458089804865</c:v>
                </c:pt>
                <c:pt idx="167">
                  <c:v>-0.097629561139719</c:v>
                </c:pt>
                <c:pt idx="168">
                  <c:v>-0.0996130173276593</c:v>
                </c:pt>
                <c:pt idx="169">
                  <c:v>-0.10159628632551</c:v>
                </c:pt>
                <c:pt idx="170">
                  <c:v>-0.103579477026017</c:v>
                </c:pt>
                <c:pt idx="171">
                  <c:v>-0.105562698368589</c:v>
                </c:pt>
                <c:pt idx="172">
                  <c:v>-0.107546059274374</c:v>
                </c:pt>
                <c:pt idx="173">
                  <c:v>-0.109529668581346</c:v>
                </c:pt>
                <c:pt idx="174">
                  <c:v>-0.111513634979504</c:v>
                </c:pt>
                <c:pt idx="175">
                  <c:v>-0.113498066946262</c:v>
                </c:pt>
                <c:pt idx="176">
                  <c:v>-0.115483072682096</c:v>
                </c:pt>
                <c:pt idx="177">
                  <c:v>-0.116240048174715</c:v>
                </c:pt>
                <c:pt idx="178">
                  <c:v>-0.116893528474449</c:v>
                </c:pt>
                <c:pt idx="179">
                  <c:v>-0.117546655034449</c:v>
                </c:pt>
                <c:pt idx="180">
                  <c:v>-0.11819933086237</c:v>
                </c:pt>
                <c:pt idx="181">
                  <c:v>-0.118851459233916</c:v>
                </c:pt>
                <c:pt idx="182">
                  <c:v>-0.119502943749999</c:v>
                </c:pt>
                <c:pt idx="183">
                  <c:v>-0.120153688393464</c:v>
                </c:pt>
                <c:pt idx="184">
                  <c:v>-0.120803597585356</c:v>
                </c:pt>
                <c:pt idx="185">
                  <c:v>-0.121452576240627</c:v>
                </c:pt>
                <c:pt idx="186">
                  <c:v>-0.122100529823226</c:v>
                </c:pt>
                <c:pt idx="187">
                  <c:v>-0.122747364400507</c:v>
                </c:pt>
                <c:pt idx="188">
                  <c:v>-0.123392986696874</c:v>
                </c:pt>
                <c:pt idx="189">
                  <c:v>-0.124037304146629</c:v>
                </c:pt>
                <c:pt idx="190">
                  <c:v>-0.124680224945923</c:v>
                </c:pt>
                <c:pt idx="191">
                  <c:v>-0.125321658103794</c:v>
                </c:pt>
                <c:pt idx="192">
                  <c:v>-0.125961513492175</c:v>
                </c:pt>
                <c:pt idx="193">
                  <c:v>-0.126599701894886</c:v>
                </c:pt>
                <c:pt idx="194">
                  <c:v>-0.127236135055489</c:v>
                </c:pt>
                <c:pt idx="195">
                  <c:v>-0.127870725724002</c:v>
                </c:pt>
                <c:pt idx="196">
                  <c:v>-0.128503387702398</c:v>
                </c:pt>
                <c:pt idx="197">
                  <c:v>-0.12913403588885</c:v>
                </c:pt>
                <c:pt idx="198">
                  <c:v>-0.129762586320672</c:v>
                </c:pt>
                <c:pt idx="199">
                  <c:v>-0.130388956215924</c:v>
                </c:pt>
                <c:pt idx="200">
                  <c:v>-0.131013064013635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208288"/>
        <c:axId val="-1400212192"/>
      </c:scatterChart>
      <c:valAx>
        <c:axId val="-14004845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Sector,</a:t>
                </a:r>
                <a:r>
                  <a:rPr lang="en-US" sz="1400" baseline="0"/>
                  <a:t> ordered by skill intensity of its technology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215312"/>
        <c:crosses val="autoZero"/>
        <c:crossBetween val="midCat"/>
      </c:valAx>
      <c:valAx>
        <c:axId val="-1400215312"/>
        <c:scaling>
          <c:orientation val="minMax"/>
          <c:max val="0.2"/>
          <c:min val="-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Employment</a:t>
                </a:r>
                <a:r>
                  <a:rPr lang="en-US" sz="1400" baseline="0"/>
                  <a:t> impact (dashed series)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484560"/>
        <c:crosses val="autoZero"/>
        <c:crossBetween val="midCat"/>
        <c:majorUnit val="0.1"/>
      </c:valAx>
      <c:valAx>
        <c:axId val="-1400212192"/>
        <c:scaling>
          <c:orientation val="minMax"/>
          <c:max val="0.1"/>
          <c:min val="-0.1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Output</a:t>
                </a:r>
                <a:r>
                  <a:rPr lang="en-US" sz="1400" baseline="0"/>
                  <a:t> impact (solid series)</a:t>
                </a:r>
                <a:endParaRPr lang="en-US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208288"/>
        <c:crosses val="max"/>
        <c:crossBetween val="midCat"/>
        <c:majorUnit val="0.05"/>
      </c:valAx>
      <c:valAx>
        <c:axId val="-14002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0021219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795840342771941"/>
          <c:y val="0.657575243965728"/>
          <c:w val="0.422340963113032"/>
          <c:h val="0.22978378887170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87686529591148"/>
          <c:y val="0.0235144547785737"/>
          <c:w val="0.854947347221953"/>
          <c:h val="0.901934172500814"/>
        </c:manualLayout>
      </c:layout>
      <c:scatterChart>
        <c:scatterStyle val="lineMarker"/>
        <c:varyColors val="0"/>
        <c:ser>
          <c:idx val="1"/>
          <c:order val="0"/>
          <c:tx>
            <c:v>ACA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Sectors!$AJ$17:$AJ$217</c:f>
              <c:numCache>
                <c:formatCode>0.00</c:formatCode>
                <c:ptCount val="201"/>
                <c:pt idx="0">
                  <c:v>8.878035158913934</c:v>
                </c:pt>
                <c:pt idx="1">
                  <c:v>8.72602239649097</c:v>
                </c:pt>
                <c:pt idx="2">
                  <c:v>8.576612448714027</c:v>
                </c:pt>
                <c:pt idx="3">
                  <c:v>8.429760749298181</c:v>
                </c:pt>
                <c:pt idx="4">
                  <c:v>8.285423495037723</c:v>
                </c:pt>
                <c:pt idx="5">
                  <c:v>8.143557632740458</c:v>
                </c:pt>
                <c:pt idx="6">
                  <c:v>8.004120846385707</c:v>
                </c:pt>
                <c:pt idx="7">
                  <c:v>7.867071544502208</c:v>
                </c:pt>
                <c:pt idx="8">
                  <c:v>7.732368847762142</c:v>
                </c:pt>
                <c:pt idx="9">
                  <c:v>7.599972576787549</c:v>
                </c:pt>
                <c:pt idx="10">
                  <c:v>7.469843240165555</c:v>
                </c:pt>
                <c:pt idx="11">
                  <c:v>7.341942022668806</c:v>
                </c:pt>
                <c:pt idx="12">
                  <c:v>7.216230773677582</c:v>
                </c:pt>
                <c:pt idx="13">
                  <c:v>7.092671995800148</c:v>
                </c:pt>
                <c:pt idx="14">
                  <c:v>6.971228833687972</c:v>
                </c:pt>
                <c:pt idx="15">
                  <c:v>6.851865063042456</c:v>
                </c:pt>
                <c:pt idx="16">
                  <c:v>6.734545079809828</c:v>
                </c:pt>
                <c:pt idx="17">
                  <c:v>6.619233889561164</c:v>
                </c:pt>
                <c:pt idx="18">
                  <c:v>6.505897097054145</c:v>
                </c:pt>
                <c:pt idx="19">
                  <c:v>6.39450089597358</c:v>
                </c:pt>
                <c:pt idx="20">
                  <c:v>6.241743251499077</c:v>
                </c:pt>
                <c:pt idx="21">
                  <c:v>6.177397927136515</c:v>
                </c:pt>
                <c:pt idx="22">
                  <c:v>6.07162640149133</c:v>
                </c:pt>
                <c:pt idx="23">
                  <c:v>5.967665932179136</c:v>
                </c:pt>
                <c:pt idx="24">
                  <c:v>5.86548550967235</c:v>
                </c:pt>
                <c:pt idx="25">
                  <c:v>5.765054655399164</c:v>
                </c:pt>
                <c:pt idx="26">
                  <c:v>5.66634341265232</c:v>
                </c:pt>
                <c:pt idx="27">
                  <c:v>5.569322337653578</c:v>
                </c:pt>
                <c:pt idx="28">
                  <c:v>5.47396249077118</c:v>
                </c:pt>
                <c:pt idx="29">
                  <c:v>5.380235427887644</c:v>
                </c:pt>
                <c:pt idx="30">
                  <c:v>5.288113191915428</c:v>
                </c:pt>
                <c:pt idx="31">
                  <c:v>5.197568304457842</c:v>
                </c:pt>
                <c:pt idx="32">
                  <c:v>5.108573757612715</c:v>
                </c:pt>
                <c:pt idx="33">
                  <c:v>5.021103005916441</c:v>
                </c:pt>
                <c:pt idx="34">
                  <c:v>4.93512995842595</c:v>
                </c:pt>
                <c:pt idx="35">
                  <c:v>4.850628970936233</c:v>
                </c:pt>
                <c:pt idx="36">
                  <c:v>4.767574838331173</c:v>
                </c:pt>
                <c:pt idx="37">
                  <c:v>4.685942787065273</c:v>
                </c:pt>
                <c:pt idx="38">
                  <c:v>4.605708467774195</c:v>
                </c:pt>
                <c:pt idx="39">
                  <c:v>4.526847948011753</c:v>
                </c:pt>
                <c:pt idx="40">
                  <c:v>4.449337705111325</c:v>
                </c:pt>
                <c:pt idx="41">
                  <c:v>4.373154619169439</c:v>
                </c:pt>
                <c:pt idx="42">
                  <c:v>4.298275966149554</c:v>
                </c:pt>
                <c:pt idx="43">
                  <c:v>4.224679411103863</c:v>
                </c:pt>
                <c:pt idx="44">
                  <c:v>4.152343001511194</c:v>
                </c:pt>
                <c:pt idx="45">
                  <c:v>4.081245160728983</c:v>
                </c:pt>
                <c:pt idx="46">
                  <c:v>4.01136468155732</c:v>
                </c:pt>
                <c:pt idx="47">
                  <c:v>3.942680719913265</c:v>
                </c:pt>
                <c:pt idx="48">
                  <c:v>3.875172788613399</c:v>
                </c:pt>
                <c:pt idx="49">
                  <c:v>3.808820751262889</c:v>
                </c:pt>
                <c:pt idx="50">
                  <c:v>3.743604816249156</c:v>
                </c:pt>
                <c:pt idx="51">
                  <c:v>3.679505530838404</c:v>
                </c:pt>
                <c:pt idx="52">
                  <c:v>3.61650377537321</c:v>
                </c:pt>
                <c:pt idx="53">
                  <c:v>3.554580757569481</c:v>
                </c:pt>
                <c:pt idx="54">
                  <c:v>3.493718006911066</c:v>
                </c:pt>
                <c:pt idx="55">
                  <c:v>3.433897369140314</c:v>
                </c:pt>
                <c:pt idx="56">
                  <c:v>3.375101000843006</c:v>
                </c:pt>
                <c:pt idx="57">
                  <c:v>3.317311364125978</c:v>
                </c:pt>
                <c:pt idx="58">
                  <c:v>3.260511221385887</c:v>
                </c:pt>
                <c:pt idx="59">
                  <c:v>3.204683630167545</c:v>
                </c:pt>
                <c:pt idx="60">
                  <c:v>3.149811938110289</c:v>
                </c:pt>
                <c:pt idx="61">
                  <c:v>3.095879777980894</c:v>
                </c:pt>
                <c:pt idx="62">
                  <c:v>3.042871062791502</c:v>
                </c:pt>
                <c:pt idx="63">
                  <c:v>2.990769981001195</c:v>
                </c:pt>
                <c:pt idx="64">
                  <c:v>2.93956099179966</c:v>
                </c:pt>
                <c:pt idx="65">
                  <c:v>2.889228820471687</c:v>
                </c:pt>
                <c:pt idx="66">
                  <c:v>2.839758453840961</c:v>
                </c:pt>
                <c:pt idx="67">
                  <c:v>2.791135135791937</c:v>
                </c:pt>
                <c:pt idx="68">
                  <c:v>2.74334436286832</c:v>
                </c:pt>
                <c:pt idx="69">
                  <c:v>2.696371879946991</c:v>
                </c:pt>
                <c:pt idx="70">
                  <c:v>2.650203675985916</c:v>
                </c:pt>
                <c:pt idx="71">
                  <c:v>2.604825979844941</c:v>
                </c:pt>
                <c:pt idx="72">
                  <c:v>2.560225256178088</c:v>
                </c:pt>
                <c:pt idx="73">
                  <c:v>2.51638820139622</c:v>
                </c:pt>
                <c:pt idx="74">
                  <c:v>2.473301739698812</c:v>
                </c:pt>
                <c:pt idx="75">
                  <c:v>2.430953019173682</c:v>
                </c:pt>
                <c:pt idx="76">
                  <c:v>2.389329407963494</c:v>
                </c:pt>
                <c:pt idx="77">
                  <c:v>2.348418490497901</c:v>
                </c:pt>
                <c:pt idx="78">
                  <c:v>2.308208063790219</c:v>
                </c:pt>
                <c:pt idx="79">
                  <c:v>2.268686133797477</c:v>
                </c:pt>
                <c:pt idx="80">
                  <c:v>2.229840911842825</c:v>
                </c:pt>
                <c:pt idx="81">
                  <c:v>2.19166081109918</c:v>
                </c:pt>
                <c:pt idx="82">
                  <c:v>2.154134443133085</c:v>
                </c:pt>
                <c:pt idx="83">
                  <c:v>2.117250614507747</c:v>
                </c:pt>
                <c:pt idx="84">
                  <c:v>2.080998323444237</c:v>
                </c:pt>
                <c:pt idx="85">
                  <c:v>2.045366756539854</c:v>
                </c:pt>
                <c:pt idx="86">
                  <c:v>2.01034528554269</c:v>
                </c:pt>
                <c:pt idx="87">
                  <c:v>1.975923464181407</c:v>
                </c:pt>
                <c:pt idx="88">
                  <c:v>1.942091025049313</c:v>
                </c:pt>
                <c:pt idx="89">
                  <c:v>1.908837876541765</c:v>
                </c:pt>
                <c:pt idx="90">
                  <c:v>1.876154099846047</c:v>
                </c:pt>
                <c:pt idx="91">
                  <c:v>1.844029945982744</c:v>
                </c:pt>
                <c:pt idx="92">
                  <c:v>1.812455832897818</c:v>
                </c:pt>
                <c:pt idx="93">
                  <c:v>1.781422342604443</c:v>
                </c:pt>
                <c:pt idx="94">
                  <c:v>1.750920218373792</c:v>
                </c:pt>
                <c:pt idx="95">
                  <c:v>1.720940361973924</c:v>
                </c:pt>
                <c:pt idx="96">
                  <c:v>1.69147383095595</c:v>
                </c:pt>
                <c:pt idx="97">
                  <c:v>1.662511835986646</c:v>
                </c:pt>
                <c:pt idx="98">
                  <c:v>1.634045738226777</c:v>
                </c:pt>
                <c:pt idx="99">
                  <c:v>1.606067046754271</c:v>
                </c:pt>
                <c:pt idx="100">
                  <c:v>1.578567416031536</c:v>
                </c:pt>
                <c:pt idx="101">
                  <c:v>1.117885198824416</c:v>
                </c:pt>
                <c:pt idx="102">
                  <c:v>1.098744385107946</c:v>
                </c:pt>
                <c:pt idx="103">
                  <c:v>1.079931306967647</c:v>
                </c:pt>
                <c:pt idx="104">
                  <c:v>1.061440352802596</c:v>
                </c:pt>
                <c:pt idx="105">
                  <c:v>1.043266007095627</c:v>
                </c:pt>
                <c:pt idx="106">
                  <c:v>1.025402848768151</c:v>
                </c:pt>
                <c:pt idx="107">
                  <c:v>1.007845549563145</c:v>
                </c:pt>
                <c:pt idx="108">
                  <c:v>0.990588872455828</c:v>
                </c:pt>
                <c:pt idx="109">
                  <c:v>0.973627670091557</c:v>
                </c:pt>
                <c:pt idx="110">
                  <c:v>0.956956883250457</c:v>
                </c:pt>
                <c:pt idx="111">
                  <c:v>0.940571539338352</c:v>
                </c:pt>
                <c:pt idx="112">
                  <c:v>0.924466750903528</c:v>
                </c:pt>
                <c:pt idx="113">
                  <c:v>0.908637714178896</c:v>
                </c:pt>
                <c:pt idx="114">
                  <c:v>0.893079707649114</c:v>
                </c:pt>
                <c:pt idx="115">
                  <c:v>0.877788090642245</c:v>
                </c:pt>
                <c:pt idx="116">
                  <c:v>0.862758301945528</c:v>
                </c:pt>
                <c:pt idx="117">
                  <c:v>0.847985858444851</c:v>
                </c:pt>
                <c:pt idx="118">
                  <c:v>0.833466353787519</c:v>
                </c:pt>
                <c:pt idx="119">
                  <c:v>0.81919545706792</c:v>
                </c:pt>
                <c:pt idx="120">
                  <c:v>0.805168911535691</c:v>
                </c:pt>
                <c:pt idx="121">
                  <c:v>0.791382533326011</c:v>
                </c:pt>
                <c:pt idx="122">
                  <c:v>0.777832210211624</c:v>
                </c:pt>
                <c:pt idx="123">
                  <c:v>0.764513900376243</c:v>
                </c:pt>
                <c:pt idx="124">
                  <c:v>0.751423631208942</c:v>
                </c:pt>
                <c:pt idx="125">
                  <c:v>0.738557498119204</c:v>
                </c:pt>
                <c:pt idx="126">
                  <c:v>0.725911663372248</c:v>
                </c:pt>
                <c:pt idx="127">
                  <c:v>0.713482354944305</c:v>
                </c:pt>
                <c:pt idx="128">
                  <c:v>0.701265865397491</c:v>
                </c:pt>
                <c:pt idx="129">
                  <c:v>0.689258550773943</c:v>
                </c:pt>
                <c:pt idx="130">
                  <c:v>0.677456829508896</c:v>
                </c:pt>
                <c:pt idx="131">
                  <c:v>0.665857181362363</c:v>
                </c:pt>
                <c:pt idx="132">
                  <c:v>0.654456146369116</c:v>
                </c:pt>
                <c:pt idx="133">
                  <c:v>0.643250323806636</c:v>
                </c:pt>
                <c:pt idx="134">
                  <c:v>0.63223637118074</c:v>
                </c:pt>
                <c:pt idx="135">
                  <c:v>0.621411003228581</c:v>
                </c:pt>
                <c:pt idx="136">
                  <c:v>0.610770990938704</c:v>
                </c:pt>
                <c:pt idx="137">
                  <c:v>0.6003131605879</c:v>
                </c:pt>
                <c:pt idx="138">
                  <c:v>0.590034392794533</c:v>
                </c:pt>
                <c:pt idx="139">
                  <c:v>0.579931621588092</c:v>
                </c:pt>
                <c:pt idx="140">
                  <c:v>0.570001833494662</c:v>
                </c:pt>
                <c:pt idx="141">
                  <c:v>0.560242066638065</c:v>
                </c:pt>
                <c:pt idx="142">
                  <c:v>0.550649409856379</c:v>
                </c:pt>
                <c:pt idx="143">
                  <c:v>0.541221001833598</c:v>
                </c:pt>
                <c:pt idx="144">
                  <c:v>0.531954030246147</c:v>
                </c:pt>
                <c:pt idx="145">
                  <c:v>0.522845730924021</c:v>
                </c:pt>
                <c:pt idx="146">
                  <c:v>0.513893387026282</c:v>
                </c:pt>
                <c:pt idx="147">
                  <c:v>0.505094328230675</c:v>
                </c:pt>
                <c:pt idx="148">
                  <c:v>0.496445929937115</c:v>
                </c:pt>
                <c:pt idx="149">
                  <c:v>0.487945612484823</c:v>
                </c:pt>
                <c:pt idx="150">
                  <c:v>0.479590840382856</c:v>
                </c:pt>
                <c:pt idx="151">
                  <c:v>0.471379121553814</c:v>
                </c:pt>
                <c:pt idx="152">
                  <c:v>0.463308006590504</c:v>
                </c:pt>
                <c:pt idx="153">
                  <c:v>0.455375088025321</c:v>
                </c:pt>
                <c:pt idx="154">
                  <c:v>0.447577999612146</c:v>
                </c:pt>
                <c:pt idx="155">
                  <c:v>0.439914415620538</c:v>
                </c:pt>
                <c:pt idx="156">
                  <c:v>0.432382050142011</c:v>
                </c:pt>
                <c:pt idx="157">
                  <c:v>0.424978656408185</c:v>
                </c:pt>
                <c:pt idx="158">
                  <c:v>0.417702026120621</c:v>
                </c:pt>
                <c:pt idx="159">
                  <c:v>0.410549988792124</c:v>
                </c:pt>
                <c:pt idx="160">
                  <c:v>0.403520411099323</c:v>
                </c:pt>
                <c:pt idx="161">
                  <c:v>0.396611196246342</c:v>
                </c:pt>
                <c:pt idx="162">
                  <c:v>0.389820283339363</c:v>
                </c:pt>
                <c:pt idx="163">
                  <c:v>0.383145646771899</c:v>
                </c:pt>
                <c:pt idx="164">
                  <c:v>0.376585295620592</c:v>
                </c:pt>
                <c:pt idx="165">
                  <c:v>0.370137273051355</c:v>
                </c:pt>
                <c:pt idx="166">
                  <c:v>0.363799655735688</c:v>
                </c:pt>
                <c:pt idx="167">
                  <c:v>0.357570553276978</c:v>
                </c:pt>
                <c:pt idx="168">
                  <c:v>0.351448107646633</c:v>
                </c:pt>
                <c:pt idx="169">
                  <c:v>0.345430492629864</c:v>
                </c:pt>
                <c:pt idx="170">
                  <c:v>0.339515913280956</c:v>
                </c:pt>
                <c:pt idx="171">
                  <c:v>0.333702605387872</c:v>
                </c:pt>
                <c:pt idx="172">
                  <c:v>0.327988834946018</c:v>
                </c:pt>
                <c:pt idx="173">
                  <c:v>0.322372897641019</c:v>
                </c:pt>
                <c:pt idx="174">
                  <c:v>0.316853118340359</c:v>
                </c:pt>
                <c:pt idx="175">
                  <c:v>0.504120657122852</c:v>
                </c:pt>
                <c:pt idx="176">
                  <c:v>0.495488930359889</c:v>
                </c:pt>
                <c:pt idx="177">
                  <c:v>0.48700499898253</c:v>
                </c:pt>
                <c:pt idx="178">
                  <c:v>0.478666332387502</c:v>
                </c:pt>
                <c:pt idx="179">
                  <c:v>0.470470443301386</c:v>
                </c:pt>
                <c:pt idx="180">
                  <c:v>0.462414887038716</c:v>
                </c:pt>
                <c:pt idx="181">
                  <c:v>0.454497260772765</c:v>
                </c:pt>
                <c:pt idx="182">
                  <c:v>0.44671520281883</c:v>
                </c:pt>
                <c:pt idx="183">
                  <c:v>0.439066391929785</c:v>
                </c:pt>
                <c:pt idx="184">
                  <c:v>0.431548546603692</c:v>
                </c:pt>
                <c:pt idx="185">
                  <c:v>0.424159424403273</c:v>
                </c:pt>
                <c:pt idx="186">
                  <c:v>0.416896821287026</c:v>
                </c:pt>
                <c:pt idx="187">
                  <c:v>0.409758570951808</c:v>
                </c:pt>
                <c:pt idx="188">
                  <c:v>0.40274254418666</c:v>
                </c:pt>
                <c:pt idx="189">
                  <c:v>0.395846648237702</c:v>
                </c:pt>
                <c:pt idx="190">
                  <c:v>0.389068826183904</c:v>
                </c:pt>
                <c:pt idx="191">
                  <c:v>0.382407056323543</c:v>
                </c:pt>
                <c:pt idx="192">
                  <c:v>0.375859351571168</c:v>
                </c:pt>
                <c:pt idx="193">
                  <c:v>0.369423758864885</c:v>
                </c:pt>
                <c:pt idx="194">
                  <c:v>0.363098358583794</c:v>
                </c:pt>
                <c:pt idx="195">
                  <c:v>0.356881263975406</c:v>
                </c:pt>
                <c:pt idx="196">
                  <c:v>0.350770620592852</c:v>
                </c:pt>
                <c:pt idx="197">
                  <c:v>0.34476460574174</c:v>
                </c:pt>
                <c:pt idx="198">
                  <c:v>0.338861427936475</c:v>
                </c:pt>
                <c:pt idx="199">
                  <c:v>0.333059326365893</c:v>
                </c:pt>
                <c:pt idx="200">
                  <c:v>0.327356570368044</c:v>
                </c:pt>
              </c:numCache>
            </c:numRef>
          </c:xVal>
          <c:yVal>
            <c:numRef>
              <c:f>Sectors!$AI$17:$AI$217</c:f>
              <c:numCache>
                <c:formatCode>General</c:formatCode>
                <c:ptCount val="201"/>
                <c:pt idx="0">
                  <c:v>232.0198769353251</c:v>
                </c:pt>
                <c:pt idx="1">
                  <c:v>229.3614106776267</c:v>
                </c:pt>
                <c:pt idx="2">
                  <c:v>226.7366060460469</c:v>
                </c:pt>
                <c:pt idx="3">
                  <c:v>224.1450418019863</c:v>
                </c:pt>
                <c:pt idx="4">
                  <c:v>221.5863017881921</c:v>
                </c:pt>
                <c:pt idx="5">
                  <c:v>219.0599748634221</c:v>
                </c:pt>
                <c:pt idx="6">
                  <c:v>216.5656548379062</c:v>
                </c:pt>
                <c:pt idx="7">
                  <c:v>214.1029404096017</c:v>
                </c:pt>
                <c:pt idx="8">
                  <c:v>211.67143510123</c:v>
                </c:pt>
                <c:pt idx="9">
                  <c:v>209.2707471980887</c:v>
                </c:pt>
                <c:pt idx="10">
                  <c:v>206.9004896866298</c:v>
                </c:pt>
                <c:pt idx="11">
                  <c:v>204.5602801937954</c:v>
                </c:pt>
                <c:pt idx="12">
                  <c:v>202.2497409271026</c:v>
                </c:pt>
                <c:pt idx="13">
                  <c:v>199.9684986154713</c:v>
                </c:pt>
                <c:pt idx="14">
                  <c:v>197.7161844507849</c:v>
                </c:pt>
                <c:pt idx="15">
                  <c:v>195.4924340301786</c:v>
                </c:pt>
                <c:pt idx="16">
                  <c:v>193.2968872990465</c:v>
                </c:pt>
                <c:pt idx="17">
                  <c:v>191.1291884947586</c:v>
                </c:pt>
                <c:pt idx="18">
                  <c:v>188.988986091086</c:v>
                </c:pt>
                <c:pt idx="19">
                  <c:v>186.8759327433193</c:v>
                </c:pt>
                <c:pt idx="20">
                  <c:v>183.9626157613522</c:v>
                </c:pt>
                <c:pt idx="21">
                  <c:v>182.7299044198276</c:v>
                </c:pt>
                <c:pt idx="22">
                  <c:v>180.6962551780065</c:v>
                </c:pt>
                <c:pt idx="23">
                  <c:v>178.6884063549174</c:v>
                </c:pt>
                <c:pt idx="24">
                  <c:v>176.7060307142128</c:v>
                </c:pt>
                <c:pt idx="25">
                  <c:v>174.7488048860689</c:v>
                </c:pt>
                <c:pt idx="26">
                  <c:v>172.8164093170058</c:v>
                </c:pt>
                <c:pt idx="27">
                  <c:v>170.9085282203559</c:v>
                </c:pt>
                <c:pt idx="28">
                  <c:v>169.0248495273751</c:v>
                </c:pt>
                <c:pt idx="29">
                  <c:v>167.1650648389864</c:v>
                </c:pt>
                <c:pt idx="30">
                  <c:v>165.3288693781582</c:v>
                </c:pt>
                <c:pt idx="31">
                  <c:v>163.515961942906</c:v>
                </c:pt>
                <c:pt idx="32">
                  <c:v>161.7260448599134</c:v>
                </c:pt>
                <c:pt idx="33">
                  <c:v>159.9588239387715</c:v>
                </c:pt>
                <c:pt idx="34">
                  <c:v>158.2140084268254</c:v>
                </c:pt>
                <c:pt idx="35">
                  <c:v>156.4913109646291</c:v>
                </c:pt>
                <c:pt idx="36">
                  <c:v>154.7904475420008</c:v>
                </c:pt>
                <c:pt idx="37">
                  <c:v>153.1111374546747</c:v>
                </c:pt>
                <c:pt idx="38">
                  <c:v>151.4531032615457</c:v>
                </c:pt>
                <c:pt idx="39">
                  <c:v>149.8160707425033</c:v>
                </c:pt>
                <c:pt idx="40">
                  <c:v>148.1997688568476</c:v>
                </c:pt>
                <c:pt idx="41">
                  <c:v>146.6039297022893</c:v>
                </c:pt>
                <c:pt idx="42">
                  <c:v>145.028288474522</c:v>
                </c:pt>
                <c:pt idx="43">
                  <c:v>143.4725834273706</c:v>
                </c:pt>
                <c:pt idx="44">
                  <c:v>141.9365558335079</c:v>
                </c:pt>
                <c:pt idx="45">
                  <c:v>140.4199499457365</c:v>
                </c:pt>
                <c:pt idx="46">
                  <c:v>138.9225129588339</c:v>
                </c:pt>
                <c:pt idx="47">
                  <c:v>137.4439949719557</c:v>
                </c:pt>
                <c:pt idx="48">
                  <c:v>135.984148951596</c:v>
                </c:pt>
                <c:pt idx="49">
                  <c:v>134.5427306950988</c:v>
                </c:pt>
                <c:pt idx="50">
                  <c:v>133.1194987947217</c:v>
                </c:pt>
                <c:pt idx="51">
                  <c:v>131.7142146022435</c:v>
                </c:pt>
                <c:pt idx="52">
                  <c:v>130.3266421941178</c:v>
                </c:pt>
                <c:pt idx="53">
                  <c:v>128.9565483371674</c:v>
                </c:pt>
                <c:pt idx="54">
                  <c:v>127.6037024548166</c:v>
                </c:pt>
                <c:pt idx="55">
                  <c:v>126.2678765938603</c:v>
                </c:pt>
                <c:pt idx="56">
                  <c:v>124.9488453917651</c:v>
                </c:pt>
                <c:pt idx="57">
                  <c:v>123.6463860445025</c:v>
                </c:pt>
                <c:pt idx="58">
                  <c:v>122.3602782749095</c:v>
                </c:pt>
                <c:pt idx="59">
                  <c:v>121.090304301575</c:v>
                </c:pt>
                <c:pt idx="60">
                  <c:v>119.8362488082505</c:v>
                </c:pt>
                <c:pt idx="61">
                  <c:v>118.5978989137806</c:v>
                </c:pt>
                <c:pt idx="62">
                  <c:v>117.3750441425532</c:v>
                </c:pt>
                <c:pt idx="63">
                  <c:v>116.1674763954653</c:v>
                </c:pt>
                <c:pt idx="64">
                  <c:v>114.9749899214037</c:v>
                </c:pt>
                <c:pt idx="65">
                  <c:v>113.7973812892368</c:v>
                </c:pt>
                <c:pt idx="66">
                  <c:v>112.6344493603158</c:v>
                </c:pt>
                <c:pt idx="67">
                  <c:v>111.4859952614835</c:v>
                </c:pt>
                <c:pt idx="68">
                  <c:v>110.3518223585873</c:v>
                </c:pt>
                <c:pt idx="69">
                  <c:v>109.2317362304951</c:v>
                </c:pt>
                <c:pt idx="70">
                  <c:v>108.1255446436102</c:v>
                </c:pt>
                <c:pt idx="71">
                  <c:v>107.0330575268847</c:v>
                </c:pt>
                <c:pt idx="72">
                  <c:v>105.9540869473279</c:v>
                </c:pt>
                <c:pt idx="73">
                  <c:v>104.8884470860059</c:v>
                </c:pt>
                <c:pt idx="74">
                  <c:v>103.8359542145324</c:v>
                </c:pt>
                <c:pt idx="75">
                  <c:v>102.7964266720456</c:v>
                </c:pt>
                <c:pt idx="76">
                  <c:v>101.7696848426698</c:v>
                </c:pt>
                <c:pt idx="77">
                  <c:v>100.7555511334585</c:v>
                </c:pt>
                <c:pt idx="78">
                  <c:v>99.75384995281541</c:v>
                </c:pt>
                <c:pt idx="79">
                  <c:v>98.764407689391</c:v>
                </c:pt>
                <c:pt idx="80">
                  <c:v>97.78705269145112</c:v>
                </c:pt>
                <c:pt idx="81">
                  <c:v>96.8216152467143</c:v>
                </c:pt>
                <c:pt idx="82">
                  <c:v>95.86792756265379</c:v>
                </c:pt>
                <c:pt idx="83">
                  <c:v>94.92582374726165</c:v>
                </c:pt>
                <c:pt idx="84">
                  <c:v>93.99513979027032</c:v>
                </c:pt>
                <c:pt idx="85">
                  <c:v>93.07571354482759</c:v>
                </c:pt>
                <c:pt idx="86">
                  <c:v>92.16738470962152</c:v>
                </c:pt>
                <c:pt idx="87">
                  <c:v>91.26999481145026</c:v>
                </c:pt>
                <c:pt idx="88">
                  <c:v>90.38338718823275</c:v>
                </c:pt>
                <c:pt idx="89">
                  <c:v>89.5074069724549</c:v>
                </c:pt>
                <c:pt idx="90">
                  <c:v>88.64190107504742</c:v>
                </c:pt>
                <c:pt idx="91">
                  <c:v>87.78671816968851</c:v>
                </c:pt>
                <c:pt idx="92">
                  <c:v>86.94170867752743</c:v>
                </c:pt>
                <c:pt idx="93">
                  <c:v>86.106724752323</c:v>
                </c:pt>
                <c:pt idx="94">
                  <c:v>85.2816202659904</c:v>
                </c:pt>
                <c:pt idx="95">
                  <c:v>84.46625079455095</c:v>
                </c:pt>
                <c:pt idx="96">
                  <c:v>83.66047360447814</c:v>
                </c:pt>
                <c:pt idx="97">
                  <c:v>82.8641476394334</c:v>
                </c:pt>
                <c:pt idx="98">
                  <c:v>82.0771335073846</c:v>
                </c:pt>
                <c:pt idx="99">
                  <c:v>81.29929346810015</c:v>
                </c:pt>
                <c:pt idx="100">
                  <c:v>80.53049142101085</c:v>
                </c:pt>
                <c:pt idx="101">
                  <c:v>85.30557295970736</c:v>
                </c:pt>
                <c:pt idx="102">
                  <c:v>84.59143841647361</c:v>
                </c:pt>
                <c:pt idx="103">
                  <c:v>83.88495594882423</c:v>
                </c:pt>
                <c:pt idx="104">
                  <c:v>83.1859975242715</c:v>
                </c:pt>
                <c:pt idx="105">
                  <c:v>82.49443675632602</c:v>
                </c:pt>
                <c:pt idx="106">
                  <c:v>81.81014889968012</c:v>
                </c:pt>
                <c:pt idx="107">
                  <c:v>81.13301084565509</c:v>
                </c:pt>
                <c:pt idx="108">
                  <c:v>80.46290111789573</c:v>
                </c:pt>
                <c:pt idx="109">
                  <c:v>79.79969986829573</c:v>
                </c:pt>
                <c:pt idx="110">
                  <c:v>79.14328887313852</c:v>
                </c:pt>
                <c:pt idx="111">
                  <c:v>78.49355152943552</c:v>
                </c:pt>
                <c:pt idx="112">
                  <c:v>77.85037285144475</c:v>
                </c:pt>
                <c:pt idx="113">
                  <c:v>77.21363946735314</c:v>
                </c:pt>
                <c:pt idx="114">
                  <c:v>76.58323961610347</c:v>
                </c:pt>
                <c:pt idx="115">
                  <c:v>75.95906314434836</c:v>
                </c:pt>
                <c:pt idx="116">
                  <c:v>75.34100150351293</c:v>
                </c:pt>
                <c:pt idx="117">
                  <c:v>74.7289477469474</c:v>
                </c:pt>
                <c:pt idx="118">
                  <c:v>74.1227965271506</c:v>
                </c:pt>
                <c:pt idx="119">
                  <c:v>73.52244409304564</c:v>
                </c:pt>
                <c:pt idx="120">
                  <c:v>72.92778828728788</c:v>
                </c:pt>
                <c:pt idx="121">
                  <c:v>72.33872854358722</c:v>
                </c:pt>
                <c:pt idx="122">
                  <c:v>71.7551658840231</c:v>
                </c:pt>
                <c:pt idx="123">
                  <c:v>71.17700291633503</c:v>
                </c:pt>
                <c:pt idx="124">
                  <c:v>70.60414383116746</c:v>
                </c:pt>
                <c:pt idx="125">
                  <c:v>70.0364943992501</c:v>
                </c:pt>
                <c:pt idx="126">
                  <c:v>69.47396196849394</c:v>
                </c:pt>
                <c:pt idx="127">
                  <c:v>68.9164554609837</c:v>
                </c:pt>
                <c:pt idx="128">
                  <c:v>68.36388536984743</c:v>
                </c:pt>
                <c:pt idx="129">
                  <c:v>67.81616375598363</c:v>
                </c:pt>
                <c:pt idx="130">
                  <c:v>67.27320424462726</c:v>
                </c:pt>
                <c:pt idx="131">
                  <c:v>66.7349220217358</c:v>
                </c:pt>
                <c:pt idx="132">
                  <c:v>66.20123383017653</c:v>
                </c:pt>
                <c:pt idx="133">
                  <c:v>65.67205796569722</c:v>
                </c:pt>
                <c:pt idx="134">
                  <c:v>65.14731427266176</c:v>
                </c:pt>
                <c:pt idx="135">
                  <c:v>64.62692413953394</c:v>
                </c:pt>
                <c:pt idx="136">
                  <c:v>64.11081049409148</c:v>
                </c:pt>
                <c:pt idx="137">
                  <c:v>63.59889779835412</c:v>
                </c:pt>
                <c:pt idx="138">
                  <c:v>63.09111204320928</c:v>
                </c:pt>
                <c:pt idx="139">
                  <c:v>62.58738074272067</c:v>
                </c:pt>
                <c:pt idx="140">
                  <c:v>62.08763292810272</c:v>
                </c:pt>
                <c:pt idx="141">
                  <c:v>61.59179914134879</c:v>
                </c:pt>
                <c:pt idx="142">
                  <c:v>61.09981142849735</c:v>
                </c:pt>
                <c:pt idx="143">
                  <c:v>60.61160333252475</c:v>
                </c:pt>
                <c:pt idx="144">
                  <c:v>60.12710988585024</c:v>
                </c:pt>
                <c:pt idx="145">
                  <c:v>59.64626760244379</c:v>
                </c:pt>
                <c:pt idx="146">
                  <c:v>59.1690144695235</c:v>
                </c:pt>
                <c:pt idx="147">
                  <c:v>58.69528993883464</c:v>
                </c:pt>
                <c:pt idx="148">
                  <c:v>58.22503491749978</c:v>
                </c:pt>
                <c:pt idx="149">
                  <c:v>57.7581917584319</c:v>
                </c:pt>
                <c:pt idx="150">
                  <c:v>57.2947042503033</c:v>
                </c:pt>
                <c:pt idx="151">
                  <c:v>56.83451760706393</c:v>
                </c:pt>
                <c:pt idx="152">
                  <c:v>56.37757845700224</c:v>
                </c:pt>
                <c:pt idx="153">
                  <c:v>55.92383483134608</c:v>
                </c:pt>
                <c:pt idx="154">
                  <c:v>55.47323615239745</c:v>
                </c:pt>
                <c:pt idx="155">
                  <c:v>55.02573322120075</c:v>
                </c:pt>
                <c:pt idx="156">
                  <c:v>54.58127820474066</c:v>
                </c:pt>
                <c:pt idx="157">
                  <c:v>54.13982462267101</c:v>
                </c:pt>
                <c:pt idx="158">
                  <c:v>53.70132733357292</c:v>
                </c:pt>
                <c:pt idx="159">
                  <c:v>53.26574252074522</c:v>
                </c:pt>
                <c:pt idx="160">
                  <c:v>52.83302767752833</c:v>
                </c:pt>
                <c:pt idx="161">
                  <c:v>52.40314159216561</c:v>
                </c:pt>
                <c:pt idx="162">
                  <c:v>51.9760443322061</c:v>
                </c:pt>
                <c:pt idx="163">
                  <c:v>51.5516972284541</c:v>
                </c:pt>
                <c:pt idx="164">
                  <c:v>51.13006285847239</c:v>
                </c:pt>
                <c:pt idx="165">
                  <c:v>50.71110502964565</c:v>
                </c:pt>
                <c:pt idx="166">
                  <c:v>50.29478876181285</c:v>
                </c:pt>
                <c:pt idx="167">
                  <c:v>49.88108026947764</c:v>
                </c:pt>
                <c:pt idx="168">
                  <c:v>49.46994694360716</c:v>
                </c:pt>
                <c:pt idx="169">
                  <c:v>49.06135733303017</c:v>
                </c:pt>
                <c:pt idx="170">
                  <c:v>48.65528112544608</c:v>
                </c:pt>
                <c:pt idx="171">
                  <c:v>48.25168912805833</c:v>
                </c:pt>
                <c:pt idx="172">
                  <c:v>47.85055324784556</c:v>
                </c:pt>
                <c:pt idx="173">
                  <c:v>47.45184647148406</c:v>
                </c:pt>
                <c:pt idx="174">
                  <c:v>47.05554284493831</c:v>
                </c:pt>
                <c:pt idx="175">
                  <c:v>34.44629301853022</c:v>
                </c:pt>
                <c:pt idx="176">
                  <c:v>34.12344345974146</c:v>
                </c:pt>
                <c:pt idx="177">
                  <c:v>33.803331988879</c:v>
                </c:pt>
                <c:pt idx="178">
                  <c:v>33.48592478474144</c:v>
                </c:pt>
                <c:pt idx="179">
                  <c:v>33.17118881731589</c:v>
                </c:pt>
                <c:pt idx="180">
                  <c:v>32.85909183545068</c:v>
                </c:pt>
                <c:pt idx="181">
                  <c:v>32.54960235438036</c:v>
                </c:pt>
                <c:pt idx="182">
                  <c:v>32.24268964311101</c:v>
                </c:pt>
                <c:pt idx="183">
                  <c:v>31.93832371167171</c:v>
                </c:pt>
                <c:pt idx="184">
                  <c:v>31.63647529824053</c:v>
                </c:pt>
                <c:pt idx="185">
                  <c:v>31.33711585615184</c:v>
                </c:pt>
                <c:pt idx="186">
                  <c:v>31.04021754079353</c:v>
                </c:pt>
                <c:pt idx="187">
                  <c:v>30.74575319640229</c:v>
                </c:pt>
                <c:pt idx="188">
                  <c:v>30.45369634276539</c:v>
                </c:pt>
                <c:pt idx="189">
                  <c:v>30.1640211618382</c:v>
                </c:pt>
                <c:pt idx="190">
                  <c:v>29.87670248428629</c:v>
                </c:pt>
                <c:pt idx="191">
                  <c:v>29.5917157759613</c:v>
                </c:pt>
                <c:pt idx="192">
                  <c:v>29.30903712432052</c:v>
                </c:pt>
                <c:pt idx="193">
                  <c:v>29.0286432247997</c:v>
                </c:pt>
                <c:pt idx="194">
                  <c:v>28.75051136714879</c:v>
                </c:pt>
                <c:pt idx="195">
                  <c:v>28.47461942174054</c:v>
                </c:pt>
                <c:pt idx="196">
                  <c:v>28.20094582586264</c:v>
                </c:pt>
                <c:pt idx="197">
                  <c:v>27.92946957000248</c:v>
                </c:pt>
                <c:pt idx="198">
                  <c:v>27.6601701841358</c:v>
                </c:pt>
                <c:pt idx="199">
                  <c:v>27.39302772402872</c:v>
                </c:pt>
                <c:pt idx="200">
                  <c:v>27.12802275756366</c:v>
                </c:pt>
              </c:numCache>
            </c:numRef>
          </c:yVal>
          <c:smooth val="0"/>
        </c:ser>
        <c:ser>
          <c:idx val="2"/>
          <c:order val="1"/>
          <c:tx>
            <c:v>no ACA</c:v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Sectors!$O$17:$O$217</c:f>
              <c:numCache>
                <c:formatCode>0.00</c:formatCode>
                <c:ptCount val="201"/>
                <c:pt idx="0">
                  <c:v>7.171726574466152</c:v>
                </c:pt>
                <c:pt idx="1">
                  <c:v>7.04892981274887</c:v>
                </c:pt>
                <c:pt idx="2">
                  <c:v>6.928235619294854</c:v>
                </c:pt>
                <c:pt idx="3">
                  <c:v>6.80960799320929</c:v>
                </c:pt>
                <c:pt idx="4">
                  <c:v>6.693011550017029</c:v>
                </c:pt>
                <c:pt idx="5">
                  <c:v>6.578411511108047</c:v>
                </c:pt>
                <c:pt idx="6">
                  <c:v>6.465773693363603</c:v>
                </c:pt>
                <c:pt idx="7">
                  <c:v>6.355064498960032</c:v>
                </c:pt>
                <c:pt idx="8">
                  <c:v>6.246250905347144</c:v>
                </c:pt>
                <c:pt idx="9">
                  <c:v>6.139300455398163</c:v>
                </c:pt>
                <c:pt idx="10">
                  <c:v>6.034181247728373</c:v>
                </c:pt>
                <c:pt idx="11">
                  <c:v>5.930861927179497</c:v>
                </c:pt>
                <c:pt idx="12">
                  <c:v>5.829311675467045</c:v>
                </c:pt>
                <c:pt idx="13">
                  <c:v>5.729500201987754</c:v>
                </c:pt>
                <c:pt idx="14">
                  <c:v>5.631397734784456</c:v>
                </c:pt>
                <c:pt idx="15">
                  <c:v>5.534975011665657</c:v>
                </c:pt>
                <c:pt idx="16">
                  <c:v>5.440203271477107</c:v>
                </c:pt>
                <c:pt idx="17">
                  <c:v>5.347054245522945</c:v>
                </c:pt>
                <c:pt idx="18">
                  <c:v>5.255500149133583</c:v>
                </c:pt>
                <c:pt idx="19">
                  <c:v>5.165513673378088</c:v>
                </c:pt>
                <c:pt idx="20">
                  <c:v>5.042115191763527</c:v>
                </c:pt>
                <c:pt idx="21">
                  <c:v>4.990136678003048</c:v>
                </c:pt>
                <c:pt idx="22">
                  <c:v>4.904693846597975</c:v>
                </c:pt>
                <c:pt idx="23">
                  <c:v>4.820713996652049</c:v>
                </c:pt>
                <c:pt idx="24">
                  <c:v>4.738172078495044</c:v>
                </c:pt>
                <c:pt idx="25">
                  <c:v>4.657043471365776</c:v>
                </c:pt>
                <c:pt idx="26">
                  <c:v>4.577303976068181</c:v>
                </c:pt>
                <c:pt idx="27">
                  <c:v>4.49892980775312</c:v>
                </c:pt>
                <c:pt idx="28">
                  <c:v>4.421897588823814</c:v>
                </c:pt>
                <c:pt idx="29">
                  <c:v>4.346184341962697</c:v>
                </c:pt>
                <c:pt idx="30">
                  <c:v>4.27176748327772</c:v>
                </c:pt>
                <c:pt idx="31">
                  <c:v>4.198624815565978</c:v>
                </c:pt>
                <c:pt idx="32">
                  <c:v>4.12673452169268</c:v>
                </c:pt>
                <c:pt idx="33">
                  <c:v>4.056075158083511</c:v>
                </c:pt>
                <c:pt idx="34">
                  <c:v>3.986625648328378</c:v>
                </c:pt>
                <c:pt idx="35">
                  <c:v>3.918365276894711</c:v>
                </c:pt>
                <c:pt idx="36">
                  <c:v>3.851273682948396</c:v>
                </c:pt>
                <c:pt idx="37">
                  <c:v>3.785330854280498</c:v>
                </c:pt>
                <c:pt idx="38">
                  <c:v>3.720517121337992</c:v>
                </c:pt>
                <c:pt idx="39">
                  <c:v>3.656813151356676</c:v>
                </c:pt>
                <c:pt idx="40">
                  <c:v>3.59419994259458</c:v>
                </c:pt>
                <c:pt idx="41">
                  <c:v>3.532658818664057</c:v>
                </c:pt>
                <c:pt idx="42">
                  <c:v>3.472171422960992</c:v>
                </c:pt>
                <c:pt idx="43">
                  <c:v>3.412719713189332</c:v>
                </c:pt>
                <c:pt idx="44">
                  <c:v>3.354285955979402</c:v>
                </c:pt>
                <c:pt idx="45">
                  <c:v>3.296852721598368</c:v>
                </c:pt>
                <c:pt idx="46">
                  <c:v>3.240402878751256</c:v>
                </c:pt>
                <c:pt idx="47">
                  <c:v>3.184919589471002</c:v>
                </c:pt>
                <c:pt idx="48">
                  <c:v>3.130386304095986</c:v>
                </c:pt>
                <c:pt idx="49">
                  <c:v>3.076786756333568</c:v>
                </c:pt>
                <c:pt idx="50">
                  <c:v>3.024104958408152</c:v>
                </c:pt>
                <c:pt idx="51">
                  <c:v>2.972325196292318</c:v>
                </c:pt>
                <c:pt idx="52">
                  <c:v>2.921432025019607</c:v>
                </c:pt>
                <c:pt idx="53">
                  <c:v>2.871410264077576</c:v>
                </c:pt>
                <c:pt idx="54">
                  <c:v>2.822244992879724</c:v>
                </c:pt>
                <c:pt idx="55">
                  <c:v>2.773921546314944</c:v>
                </c:pt>
                <c:pt idx="56">
                  <c:v>2.726425510373194</c:v>
                </c:pt>
                <c:pt idx="57">
                  <c:v>2.679742717846051</c:v>
                </c:pt>
                <c:pt idx="58">
                  <c:v>2.633859244100897</c:v>
                </c:pt>
                <c:pt idx="59">
                  <c:v>2.588761402927446</c:v>
                </c:pt>
                <c:pt idx="60">
                  <c:v>2.544435742455395</c:v>
                </c:pt>
                <c:pt idx="61">
                  <c:v>2.500869041141986</c:v>
                </c:pt>
                <c:pt idx="62">
                  <c:v>2.45804830382824</c:v>
                </c:pt>
                <c:pt idx="63">
                  <c:v>2.415960757862754</c:v>
                </c:pt>
                <c:pt idx="64">
                  <c:v>2.374593849291835</c:v>
                </c:pt>
                <c:pt idx="65">
                  <c:v>2.3339352391149</c:v>
                </c:pt>
                <c:pt idx="66">
                  <c:v>2.293972799603953</c:v>
                </c:pt>
                <c:pt idx="67">
                  <c:v>2.254694610686129</c:v>
                </c:pt>
                <c:pt idx="68">
                  <c:v>2.216088956388123</c:v>
                </c:pt>
                <c:pt idx="69">
                  <c:v>2.178144321341558</c:v>
                </c:pt>
                <c:pt idx="70">
                  <c:v>2.140849387348132</c:v>
                </c:pt>
                <c:pt idx="71">
                  <c:v>2.10419303000362</c:v>
                </c:pt>
                <c:pt idx="72">
                  <c:v>2.06816431537966</c:v>
                </c:pt>
                <c:pt idx="73">
                  <c:v>2.032752496762364</c:v>
                </c:pt>
                <c:pt idx="74">
                  <c:v>1.997947011446757</c:v>
                </c:pt>
                <c:pt idx="75">
                  <c:v>1.963737477586129</c:v>
                </c:pt>
                <c:pt idx="76">
                  <c:v>1.930113691095304</c:v>
                </c:pt>
                <c:pt idx="77">
                  <c:v>1.897065622606953</c:v>
                </c:pt>
                <c:pt idx="78">
                  <c:v>1.864583414480015</c:v>
                </c:pt>
                <c:pt idx="79">
                  <c:v>1.83265737785934</c:v>
                </c:pt>
                <c:pt idx="80">
                  <c:v>1.801277989785672</c:v>
                </c:pt>
                <c:pt idx="81">
                  <c:v>1.770435890355139</c:v>
                </c:pt>
                <c:pt idx="82">
                  <c:v>1.740121879927346</c:v>
                </c:pt>
                <c:pt idx="83">
                  <c:v>1.710326916381295</c:v>
                </c:pt>
                <c:pt idx="84">
                  <c:v>1.681042112418291</c:v>
                </c:pt>
                <c:pt idx="85">
                  <c:v>1.652258732911007</c:v>
                </c:pt>
                <c:pt idx="86">
                  <c:v>1.623968192297966</c:v>
                </c:pt>
                <c:pt idx="87">
                  <c:v>1.596162052022618</c:v>
                </c:pt>
                <c:pt idx="88">
                  <c:v>1.568832018016272</c:v>
                </c:pt>
                <c:pt idx="89">
                  <c:v>1.541969938224123</c:v>
                </c:pt>
                <c:pt idx="90">
                  <c:v>1.515567800173649</c:v>
                </c:pt>
                <c:pt idx="91">
                  <c:v>1.489617728584626</c:v>
                </c:pt>
                <c:pt idx="92">
                  <c:v>1.464111983020079</c:v>
                </c:pt>
                <c:pt idx="93">
                  <c:v>1.43904295557745</c:v>
                </c:pt>
                <c:pt idx="94">
                  <c:v>1.414403168619298</c:v>
                </c:pt>
                <c:pt idx="95">
                  <c:v>1.390185272542852</c:v>
                </c:pt>
                <c:pt idx="96">
                  <c:v>1.366382043587764</c:v>
                </c:pt>
                <c:pt idx="97">
                  <c:v>1.342986381681384</c:v>
                </c:pt>
                <c:pt idx="98">
                  <c:v>1.319991308320942</c:v>
                </c:pt>
                <c:pt idx="99">
                  <c:v>1.297389964491988</c:v>
                </c:pt>
                <c:pt idx="100">
                  <c:v>1.275175608622465</c:v>
                </c:pt>
                <c:pt idx="101">
                  <c:v>1.253341614571828</c:v>
                </c:pt>
                <c:pt idx="102">
                  <c:v>1.23188146965458</c:v>
                </c:pt>
                <c:pt idx="103">
                  <c:v>1.210788772697661</c:v>
                </c:pt>
                <c:pt idx="104">
                  <c:v>1.190057232131088</c:v>
                </c:pt>
                <c:pt idx="105">
                  <c:v>1.169680664111302</c:v>
                </c:pt>
                <c:pt idx="106">
                  <c:v>1.149652990676628</c:v>
                </c:pt>
                <c:pt idx="107">
                  <c:v>1.129968237934339</c:v>
                </c:pt>
                <c:pt idx="108">
                  <c:v>1.110620534278746</c:v>
                </c:pt>
                <c:pt idx="109">
                  <c:v>1.091604108639807</c:v>
                </c:pt>
                <c:pt idx="110">
                  <c:v>1.072913288761719</c:v>
                </c:pt>
                <c:pt idx="111">
                  <c:v>1.05454249951099</c:v>
                </c:pt>
                <c:pt idx="112">
                  <c:v>1.036486261213474</c:v>
                </c:pt>
                <c:pt idx="113">
                  <c:v>1.018739188019885</c:v>
                </c:pt>
                <c:pt idx="114">
                  <c:v>1.001295986299295</c:v>
                </c:pt>
                <c:pt idx="115">
                  <c:v>0.984151453060141</c:v>
                </c:pt>
                <c:pt idx="116">
                  <c:v>1.03160258999631</c:v>
                </c:pt>
                <c:pt idx="117">
                  <c:v>1.013939136695997</c:v>
                </c:pt>
                <c:pt idx="118">
                  <c:v>0.996578123100195</c:v>
                </c:pt>
                <c:pt idx="119">
                  <c:v>0.979514370732573</c:v>
                </c:pt>
                <c:pt idx="120">
                  <c:v>0.962742789784446</c:v>
                </c:pt>
                <c:pt idx="121">
                  <c:v>0.946258377596578</c:v>
                </c:pt>
                <c:pt idx="122">
                  <c:v>0.930056217166981</c:v>
                </c:pt>
                <c:pt idx="123">
                  <c:v>0.914131475684262</c:v>
                </c:pt>
                <c:pt idx="124">
                  <c:v>0.898479403086079</c:v>
                </c:pt>
                <c:pt idx="125">
                  <c:v>0.883095330642289</c:v>
                </c:pt>
                <c:pt idx="126">
                  <c:v>0.867974669562346</c:v>
                </c:pt>
                <c:pt idx="127">
                  <c:v>0.853112909626551</c:v>
                </c:pt>
                <c:pt idx="128">
                  <c:v>0.838505617840732</c:v>
                </c:pt>
                <c:pt idx="129">
                  <c:v>0.824148437113963</c:v>
                </c:pt>
                <c:pt idx="130">
                  <c:v>0.810037084958923</c:v>
                </c:pt>
                <c:pt idx="131">
                  <c:v>0.796167352214509</c:v>
                </c:pt>
                <c:pt idx="132">
                  <c:v>0.782535101790316</c:v>
                </c:pt>
                <c:pt idx="133">
                  <c:v>0.769136267432622</c:v>
                </c:pt>
                <c:pt idx="134">
                  <c:v>0.755966852511492</c:v>
                </c:pt>
                <c:pt idx="135">
                  <c:v>0.743022928828662</c:v>
                </c:pt>
                <c:pt idx="136">
                  <c:v>0.730300635445826</c:v>
                </c:pt>
                <c:pt idx="137">
                  <c:v>0.717796177532984</c:v>
                </c:pt>
                <c:pt idx="138">
                  <c:v>0.705505825236522</c:v>
                </c:pt>
                <c:pt idx="139">
                  <c:v>0.693425912566655</c:v>
                </c:pt>
                <c:pt idx="140">
                  <c:v>0.681552836303932</c:v>
                </c:pt>
                <c:pt idx="141">
                  <c:v>0.669883054924464</c:v>
                </c:pt>
                <c:pt idx="142">
                  <c:v>0.658413087543544</c:v>
                </c:pt>
                <c:pt idx="143">
                  <c:v>0.647139512877371</c:v>
                </c:pt>
                <c:pt idx="144">
                  <c:v>0.636058968222537</c:v>
                </c:pt>
                <c:pt idx="145">
                  <c:v>0.625168148452993</c:v>
                </c:pt>
                <c:pt idx="146">
                  <c:v>0.614463805034194</c:v>
                </c:pt>
                <c:pt idx="147">
                  <c:v>0.603942745054117</c:v>
                </c:pt>
                <c:pt idx="148">
                  <c:v>0.593601830270872</c:v>
                </c:pt>
                <c:pt idx="149">
                  <c:v>0.583437976176624</c:v>
                </c:pt>
                <c:pt idx="150">
                  <c:v>0.57344815107754</c:v>
                </c:pt>
                <c:pt idx="151">
                  <c:v>0.563629375189487</c:v>
                </c:pt>
                <c:pt idx="152">
                  <c:v>0.553978719749217</c:v>
                </c:pt>
                <c:pt idx="153">
                  <c:v>0.544493306140772</c:v>
                </c:pt>
                <c:pt idx="154">
                  <c:v>0.535170305036844</c:v>
                </c:pt>
                <c:pt idx="155">
                  <c:v>0.526006935554836</c:v>
                </c:pt>
                <c:pt idx="156">
                  <c:v>0.517000464427376</c:v>
                </c:pt>
                <c:pt idx="157">
                  <c:v>0.508148205187037</c:v>
                </c:pt>
                <c:pt idx="158">
                  <c:v>0.499447517365003</c:v>
                </c:pt>
                <c:pt idx="159">
                  <c:v>0.490895805703475</c:v>
                </c:pt>
                <c:pt idx="160">
                  <c:v>0.482490519381545</c:v>
                </c:pt>
                <c:pt idx="161">
                  <c:v>0.474229151254338</c:v>
                </c:pt>
                <c:pt idx="162">
                  <c:v>0.466109237105171</c:v>
                </c:pt>
                <c:pt idx="163">
                  <c:v>0.458128354910525</c:v>
                </c:pt>
                <c:pt idx="164">
                  <c:v>0.450284124117599</c:v>
                </c:pt>
                <c:pt idx="165">
                  <c:v>0.442574204934232</c:v>
                </c:pt>
                <c:pt idx="166">
                  <c:v>0.434996297630987</c:v>
                </c:pt>
                <c:pt idx="167">
                  <c:v>0.427548141855184</c:v>
                </c:pt>
                <c:pt idx="168">
                  <c:v>0.420227515956676</c:v>
                </c:pt>
                <c:pt idx="169">
                  <c:v>0.413032236325172</c:v>
                </c:pt>
                <c:pt idx="170">
                  <c:v>0.405960156738904</c:v>
                </c:pt>
                <c:pt idx="171">
                  <c:v>0.399009167724451</c:v>
                </c:pt>
                <c:pt idx="172">
                  <c:v>0.392177195927518</c:v>
                </c:pt>
                <c:pt idx="173">
                  <c:v>0.385462203494494</c:v>
                </c:pt>
                <c:pt idx="174">
                  <c:v>0.378862187464595</c:v>
                </c:pt>
                <c:pt idx="175">
                  <c:v>0.372375179172419</c:v>
                </c:pt>
                <c:pt idx="176">
                  <c:v>0.36599924366073</c:v>
                </c:pt>
                <c:pt idx="177">
                  <c:v>0.359732479103291</c:v>
                </c:pt>
                <c:pt idx="178">
                  <c:v>0.353573016237586</c:v>
                </c:pt>
                <c:pt idx="179">
                  <c:v>0.347519017807255</c:v>
                </c:pt>
                <c:pt idx="180">
                  <c:v>0.341568678014068</c:v>
                </c:pt>
                <c:pt idx="181">
                  <c:v>0.335720221979295</c:v>
                </c:pt>
                <c:pt idx="182">
                  <c:v>0.329971905214287</c:v>
                </c:pt>
                <c:pt idx="183">
                  <c:v>0.324322013100126</c:v>
                </c:pt>
                <c:pt idx="184">
                  <c:v>0.31876886037619</c:v>
                </c:pt>
                <c:pt idx="185">
                  <c:v>0.313310790637465</c:v>
                </c:pt>
                <c:pt idx="186">
                  <c:v>0.307946175840473</c:v>
                </c:pt>
                <c:pt idx="187">
                  <c:v>0.302673415817655</c:v>
                </c:pt>
                <c:pt idx="188">
                  <c:v>0.297490937800068</c:v>
                </c:pt>
                <c:pt idx="189">
                  <c:v>0.29239719594826</c:v>
                </c:pt>
                <c:pt idx="190">
                  <c:v>0.287390670891171</c:v>
                </c:pt>
                <c:pt idx="191">
                  <c:v>0.282469869272933</c:v>
                </c:pt>
                <c:pt idx="192">
                  <c:v>0.277633323307431</c:v>
                </c:pt>
                <c:pt idx="193">
                  <c:v>0.272879590340485</c:v>
                </c:pt>
                <c:pt idx="194">
                  <c:v>0.268207252419537</c:v>
                </c:pt>
                <c:pt idx="195">
                  <c:v>0.263614915870698</c:v>
                </c:pt>
                <c:pt idx="196">
                  <c:v>0.259101210883039</c:v>
                </c:pt>
                <c:pt idx="197">
                  <c:v>0.254664791100006</c:v>
                </c:pt>
                <c:pt idx="198">
                  <c:v>0.250304333217824</c:v>
                </c:pt>
                <c:pt idx="199">
                  <c:v>0.246018536590777</c:v>
                </c:pt>
                <c:pt idx="200">
                  <c:v>0.241806122843252</c:v>
                </c:pt>
              </c:numCache>
            </c:numRef>
          </c:xVal>
          <c:yVal>
            <c:numRef>
              <c:f>Sectors!$N$17:$N$217</c:f>
              <c:numCache>
                <c:formatCode>General</c:formatCode>
                <c:ptCount val="201"/>
                <c:pt idx="0">
                  <c:v>237.5776641901011</c:v>
                </c:pt>
                <c:pt idx="1">
                  <c:v>234.928529574807</c:v>
                </c:pt>
                <c:pt idx="2">
                  <c:v>232.3131547839859</c:v>
                </c:pt>
                <c:pt idx="3">
                  <c:v>229.7311152733892</c:v>
                </c:pt>
                <c:pt idx="4">
                  <c:v>227.1819915595246</c:v>
                </c:pt>
                <c:pt idx="5">
                  <c:v>224.6653691537404</c:v>
                </c:pt>
                <c:pt idx="6">
                  <c:v>222.1808384971198</c:v>
                </c:pt>
                <c:pt idx="7">
                  <c:v>219.7279948961762</c:v>
                </c:pt>
                <c:pt idx="8">
                  <c:v>217.3064384593449</c:v>
                </c:pt>
                <c:pt idx="9">
                  <c:v>214.9157740342591</c:v>
                </c:pt>
                <c:pt idx="10">
                  <c:v>212.5556111458054</c:v>
                </c:pt>
                <c:pt idx="11">
                  <c:v>210.2255639349495</c:v>
                </c:pt>
                <c:pt idx="12">
                  <c:v>207.925251098326</c:v>
                </c:pt>
                <c:pt idx="13">
                  <c:v>205.6542958285833</c:v>
                </c:pt>
                <c:pt idx="14">
                  <c:v>203.4123257554769</c:v>
                </c:pt>
                <c:pt idx="15">
                  <c:v>201.1989728877076</c:v>
                </c:pt>
                <c:pt idx="16">
                  <c:v>199.0138735554913</c:v>
                </c:pt>
                <c:pt idx="17">
                  <c:v>196.8566683538605</c:v>
                </c:pt>
                <c:pt idx="18">
                  <c:v>194.7270020866858</c:v>
                </c:pt>
                <c:pt idx="19">
                  <c:v>192.6245237114149</c:v>
                </c:pt>
                <c:pt idx="20">
                  <c:v>189.7260698353797</c:v>
                </c:pt>
                <c:pt idx="21">
                  <c:v>188.4997469076562</c:v>
                </c:pt>
                <c:pt idx="22">
                  <c:v>186.4767666745017</c:v>
                </c:pt>
                <c:pt idx="23">
                  <c:v>184.479610618312</c:v>
                </c:pt>
                <c:pt idx="24">
                  <c:v>182.507947660146</c:v>
                </c:pt>
                <c:pt idx="25">
                  <c:v>180.5614505577813</c:v>
                </c:pt>
                <c:pt idx="26">
                  <c:v>178.639795855304</c:v>
                </c:pt>
                <c:pt idx="27">
                  <c:v>176.7426638333715</c:v>
                </c:pt>
                <c:pt idx="28">
                  <c:v>174.8697384601437</c:v>
                </c:pt>
                <c:pt idx="29">
                  <c:v>173.0207073428754</c:v>
                </c:pt>
                <c:pt idx="30">
                  <c:v>171.1952616801687</c:v>
                </c:pt>
                <c:pt idx="31">
                  <c:v>169.3930962148777</c:v>
                </c:pt>
                <c:pt idx="32">
                  <c:v>167.6139091876654</c:v>
                </c:pt>
                <c:pt idx="33">
                  <c:v>165.8574022912051</c:v>
                </c:pt>
                <c:pt idx="34">
                  <c:v>164.1232806250243</c:v>
                </c:pt>
                <c:pt idx="35">
                  <c:v>162.411252650988</c:v>
                </c:pt>
                <c:pt idx="36">
                  <c:v>160.7210301494148</c:v>
                </c:pt>
                <c:pt idx="37">
                  <c:v>159.0523281758269</c:v>
                </c:pt>
                <c:pt idx="38">
                  <c:v>157.4048650183266</c:v>
                </c:pt>
                <c:pt idx="39">
                  <c:v>155.7783621555992</c:v>
                </c:pt>
                <c:pt idx="40">
                  <c:v>154.1725442155356</c:v>
                </c:pt>
                <c:pt idx="41">
                  <c:v>152.5871389344773</c:v>
                </c:pt>
                <c:pt idx="42">
                  <c:v>151.0218771170741</c:v>
                </c:pt>
                <c:pt idx="43">
                  <c:v>149.4764925967583</c:v>
                </c:pt>
                <c:pt idx="44">
                  <c:v>147.9507221968277</c:v>
                </c:pt>
                <c:pt idx="45">
                  <c:v>146.4443056921381</c:v>
                </c:pt>
                <c:pt idx="46">
                  <c:v>144.9569857714022</c:v>
                </c:pt>
                <c:pt idx="47">
                  <c:v>143.4885080000912</c:v>
                </c:pt>
                <c:pt idx="48">
                  <c:v>142.0386207839392</c:v>
                </c:pt>
                <c:pt idx="49">
                  <c:v>140.6070753330449</c:v>
                </c:pt>
                <c:pt idx="50">
                  <c:v>139.1936256265747</c:v>
                </c:pt>
                <c:pt idx="51">
                  <c:v>137.7980283780558</c:v>
                </c:pt>
                <c:pt idx="52">
                  <c:v>136.4200430012676</c:v>
                </c:pt>
                <c:pt idx="53">
                  <c:v>135.0594315767217</c:v>
                </c:pt>
                <c:pt idx="54">
                  <c:v>133.7159588187329</c:v>
                </c:pt>
                <c:pt idx="55">
                  <c:v>132.3893920430772</c:v>
                </c:pt>
                <c:pt idx="56">
                  <c:v>131.0795011352371</c:v>
                </c:pt>
                <c:pt idx="57">
                  <c:v>129.7860585192307</c:v>
                </c:pt>
                <c:pt idx="58">
                  <c:v>128.5088391270231</c:v>
                </c:pt>
                <c:pt idx="59">
                  <c:v>127.2476203685197</c:v>
                </c:pt>
                <c:pt idx="60">
                  <c:v>126.0021821021377</c:v>
                </c:pt>
                <c:pt idx="61">
                  <c:v>124.7723066059556</c:v>
                </c:pt>
                <c:pt idx="62">
                  <c:v>123.5577785494388</c:v>
                </c:pt>
                <c:pt idx="63">
                  <c:v>122.3583849657383</c:v>
                </c:pt>
                <c:pt idx="64">
                  <c:v>121.1739152245615</c:v>
                </c:pt>
                <c:pt idx="65">
                  <c:v>120.0041610056145</c:v>
                </c:pt>
                <c:pt idx="66">
                  <c:v>118.8489162726104</c:v>
                </c:pt>
                <c:pt idx="67">
                  <c:v>117.7079772478455</c:v>
                </c:pt>
                <c:pt idx="68">
                  <c:v>116.5811423873389</c:v>
                </c:pt>
                <c:pt idx="69">
                  <c:v>115.4682123565339</c:v>
                </c:pt>
                <c:pt idx="70">
                  <c:v>114.3689900065586</c:v>
                </c:pt>
                <c:pt idx="71">
                  <c:v>113.2832803510445</c:v>
                </c:pt>
                <c:pt idx="72">
                  <c:v>112.210890543498</c:v>
                </c:pt>
                <c:pt idx="73">
                  <c:v>111.1516298552253</c:v>
                </c:pt>
                <c:pt idx="74">
                  <c:v>110.1053096538049</c:v>
                </c:pt>
                <c:pt idx="75">
                  <c:v>109.0717433821061</c:v>
                </c:pt>
                <c:pt idx="76">
                  <c:v>108.0507465378505</c:v>
                </c:pt>
                <c:pt idx="77">
                  <c:v>107.0421366537124</c:v>
                </c:pt>
                <c:pt idx="78">
                  <c:v>106.0457332779544</c:v>
                </c:pt>
                <c:pt idx="79">
                  <c:v>105.0613579555951</c:v>
                </c:pt>
                <c:pt idx="80">
                  <c:v>104.0888342101039</c:v>
                </c:pt>
                <c:pt idx="81">
                  <c:v>103.1279875256197</c:v>
                </c:pt>
                <c:pt idx="82">
                  <c:v>102.1786453296878</c:v>
                </c:pt>
                <c:pt idx="83">
                  <c:v>101.2406369765109</c:v>
                </c:pt>
                <c:pt idx="84">
                  <c:v>100.3137937307084</c:v>
                </c:pt>
                <c:pt idx="85">
                  <c:v>99.39794875158026</c:v>
                </c:pt>
                <c:pt idx="86">
                  <c:v>98.49293707786714</c:v>
                </c:pt>
                <c:pt idx="87">
                  <c:v>97.5985956130032</c:v>
                </c:pt>
                <c:pt idx="88">
                  <c:v>96.71476311085421</c:v>
                </c:pt>
                <c:pt idx="89">
                  <c:v>95.8412801619337</c:v>
                </c:pt>
                <c:pt idx="90">
                  <c:v>94.97798918009192</c:v>
                </c:pt>
                <c:pt idx="91">
                  <c:v>94.12473438966852</c:v>
                </c:pt>
                <c:pt idx="92">
                  <c:v>93.28136181310222</c:v>
                </c:pt>
                <c:pt idx="93">
                  <c:v>92.4477192589892</c:v>
                </c:pt>
                <c:pt idx="94">
                  <c:v>91.62365631058208</c:v>
                </c:pt>
                <c:pt idx="95">
                  <c:v>90.80902431471983</c:v>
                </c:pt>
                <c:pt idx="96">
                  <c:v>90.00367637118069</c:v>
                </c:pt>
                <c:pt idx="97">
                  <c:v>89.20746732244734</c:v>
                </c:pt>
                <c:pt idx="98">
                  <c:v>88.42025374387556</c:v>
                </c:pt>
                <c:pt idx="99">
                  <c:v>87.64189393425478</c:v>
                </c:pt>
                <c:pt idx="100">
                  <c:v>86.8722479067505</c:v>
                </c:pt>
                <c:pt idx="101">
                  <c:v>86.11117738021792</c:v>
                </c:pt>
                <c:pt idx="102">
                  <c:v>85.35854577087395</c:v>
                </c:pt>
                <c:pt idx="103">
                  <c:v>84.61421818431688</c:v>
                </c:pt>
                <c:pt idx="104">
                  <c:v>83.87806140788045</c:v>
                </c:pt>
                <c:pt idx="105">
                  <c:v>83.14994390331052</c:v>
                </c:pt>
                <c:pt idx="106">
                  <c:v>82.42973579975049</c:v>
                </c:pt>
                <c:pt idx="107">
                  <c:v>81.71730888702194</c:v>
                </c:pt>
                <c:pt idx="108">
                  <c:v>81.0125366091876</c:v>
                </c:pt>
                <c:pt idx="109">
                  <c:v>80.31529405838093</c:v>
                </c:pt>
                <c:pt idx="110">
                  <c:v>79.62545796888918</c:v>
                </c:pt>
                <c:pt idx="111">
                  <c:v>78.94290671147374</c:v>
                </c:pt>
                <c:pt idx="112">
                  <c:v>78.26752028791327</c:v>
                </c:pt>
                <c:pt idx="113">
                  <c:v>77.59918032575376</c:v>
                </c:pt>
                <c:pt idx="114">
                  <c:v>76.9377700732496</c:v>
                </c:pt>
                <c:pt idx="115">
                  <c:v>76.28317439447932</c:v>
                </c:pt>
                <c:pt idx="116">
                  <c:v>71.56515696356388</c:v>
                </c:pt>
                <c:pt idx="117">
                  <c:v>70.94375067626677</c:v>
                </c:pt>
                <c:pt idx="118">
                  <c:v>70.32876795622174</c:v>
                </c:pt>
                <c:pt idx="119">
                  <c:v>69.7201035672594</c:v>
                </c:pt>
                <c:pt idx="120">
                  <c:v>69.11765378029883</c:v>
                </c:pt>
                <c:pt idx="121">
                  <c:v>68.52131636851905</c:v>
                </c:pt>
                <c:pt idx="122">
                  <c:v>67.93099060261044</c:v>
                </c:pt>
                <c:pt idx="123">
                  <c:v>67.34657724609164</c:v>
                </c:pt>
                <c:pt idx="124">
                  <c:v>66.76797855067439</c:v>
                </c:pt>
                <c:pt idx="125">
                  <c:v>66.19509825166111</c:v>
                </c:pt>
                <c:pt idx="126">
                  <c:v>65.6278415633592</c:v>
                </c:pt>
                <c:pt idx="127">
                  <c:v>65.06611517449441</c:v>
                </c:pt>
                <c:pt idx="128">
                  <c:v>64.50982724360915</c:v>
                </c:pt>
                <c:pt idx="129">
                  <c:v>63.95888739442746</c:v>
                </c:pt>
                <c:pt idx="130">
                  <c:v>63.41320671117181</c:v>
                </c:pt>
                <c:pt idx="131">
                  <c:v>62.87269773381514</c:v>
                </c:pt>
                <c:pt idx="132">
                  <c:v>62.33727445325208</c:v>
                </c:pt>
                <c:pt idx="133">
                  <c:v>61.8068523063736</c:v>
                </c:pt>
                <c:pt idx="134">
                  <c:v>61.2813481710293</c:v>
                </c:pt>
                <c:pt idx="135">
                  <c:v>60.76068036086233</c:v>
                </c:pt>
                <c:pt idx="136">
                  <c:v>60.24476862000073</c:v>
                </c:pt>
                <c:pt idx="137">
                  <c:v>59.73353411759104</c:v>
                </c:pt>
                <c:pt idx="138">
                  <c:v>59.2268994421591</c:v>
                </c:pt>
                <c:pt idx="139">
                  <c:v>58.724788595784</c:v>
                </c:pt>
                <c:pt idx="140">
                  <c:v>58.22712698807032</c:v>
                </c:pt>
                <c:pt idx="141">
                  <c:v>57.73384142990645</c:v>
                </c:pt>
                <c:pt idx="142">
                  <c:v>57.24486012699407</c:v>
                </c:pt>
                <c:pt idx="143">
                  <c:v>56.76011267313786</c:v>
                </c:pt>
                <c:pt idx="144">
                  <c:v>56.27953004328146</c:v>
                </c:pt>
                <c:pt idx="145">
                  <c:v>55.80304458627962</c:v>
                </c:pt>
                <c:pt idx="146">
                  <c:v>55.33059001739347</c:v>
                </c:pt>
                <c:pt idx="147">
                  <c:v>54.86210141050028</c:v>
                </c:pt>
                <c:pt idx="148">
                  <c:v>54.39751519000607</c:v>
                </c:pt>
                <c:pt idx="149">
                  <c:v>53.93676912245256</c:v>
                </c:pt>
                <c:pt idx="150">
                  <c:v>53.47980230780928</c:v>
                </c:pt>
                <c:pt idx="151">
                  <c:v>53.02655517044342</c:v>
                </c:pt>
                <c:pt idx="152">
                  <c:v>52.5769694497588</c:v>
                </c:pt>
                <c:pt idx="153">
                  <c:v>52.13098819049897</c:v>
                </c:pt>
                <c:pt idx="154">
                  <c:v>51.68855573270677</c:v>
                </c:pt>
                <c:pt idx="155">
                  <c:v>51.24961770133686</c:v>
                </c:pt>
                <c:pt idx="156">
                  <c:v>50.81412099551532</c:v>
                </c:pt>
                <c:pt idx="157">
                  <c:v>50.38201377744399</c:v>
                </c:pt>
                <c:pt idx="158">
                  <c:v>49.95324546094571</c:v>
                </c:pt>
                <c:pt idx="159">
                  <c:v>49.52776669964923</c:v>
                </c:pt>
                <c:pt idx="160">
                  <c:v>49.10552937481208</c:v>
                </c:pt>
                <c:pt idx="161">
                  <c:v>48.68648658278152</c:v>
                </c:pt>
                <c:pt idx="162">
                  <c:v>48.27059262209332</c:v>
                </c:pt>
                <c:pt idx="163">
                  <c:v>47.85780298021046</c:v>
                </c:pt>
                <c:pt idx="164">
                  <c:v>47.44807431990344</c:v>
                </c:pt>
                <c:pt idx="165">
                  <c:v>47.04136446527512</c:v>
                </c:pt>
                <c:pt idx="166">
                  <c:v>46.63763238743378</c:v>
                </c:pt>
                <c:pt idx="167">
                  <c:v>46.23683818981937</c:v>
                </c:pt>
                <c:pt idx="168">
                  <c:v>45.83894309318796</c:v>
                </c:pt>
                <c:pt idx="169">
                  <c:v>45.44390942026066</c:v>
                </c:pt>
                <c:pt idx="170">
                  <c:v>45.05170058004388</c:v>
                </c:pt>
                <c:pt idx="171">
                  <c:v>44.66228105182873</c:v>
                </c:pt>
                <c:pt idx="172">
                  <c:v>44.2756163688782</c:v>
                </c:pt>
                <c:pt idx="173">
                  <c:v>43.89167310181069</c:v>
                </c:pt>
                <c:pt idx="174">
                  <c:v>43.51041884169031</c:v>
                </c:pt>
                <c:pt idx="175">
                  <c:v>43.13182218283456</c:v>
                </c:pt>
                <c:pt idx="176">
                  <c:v>42.75585270535014</c:v>
                </c:pt>
                <c:pt idx="177">
                  <c:v>42.38248095740885</c:v>
                </c:pt>
                <c:pt idx="178">
                  <c:v>42.01167843727669</c:v>
                </c:pt>
                <c:pt idx="179">
                  <c:v>41.64341757510773</c:v>
                </c:pt>
                <c:pt idx="180">
                  <c:v>41.27767171451806</c:v>
                </c:pt>
                <c:pt idx="181">
                  <c:v>40.91441509395227</c:v>
                </c:pt>
                <c:pt idx="182">
                  <c:v>40.55362282785814</c:v>
                </c:pt>
                <c:pt idx="183">
                  <c:v>40.19527088768345</c:v>
                </c:pt>
                <c:pt idx="184">
                  <c:v>39.8393360827115</c:v>
                </c:pt>
                <c:pt idx="185">
                  <c:v>39.4857960407495</c:v>
                </c:pt>
                <c:pt idx="186">
                  <c:v>39.13462918868726</c:v>
                </c:pt>
                <c:pt idx="187">
                  <c:v>38.78581473294165</c:v>
                </c:pt>
                <c:pt idx="188">
                  <c:v>38.43933263980344</c:v>
                </c:pt>
                <c:pt idx="189">
                  <c:v>38.0951636157036</c:v>
                </c:pt>
                <c:pt idx="190">
                  <c:v>37.75328908741572</c:v>
                </c:pt>
                <c:pt idx="191">
                  <c:v>37.41369118221152</c:v>
                </c:pt>
                <c:pt idx="192">
                  <c:v>37.07635270798647</c:v>
                </c:pt>
                <c:pt idx="193">
                  <c:v>36.74125713337339</c:v>
                </c:pt>
                <c:pt idx="194">
                  <c:v>36.40838856786007</c:v>
                </c:pt>
                <c:pt idx="195">
                  <c:v>36.07773174192869</c:v>
                </c:pt>
                <c:pt idx="196">
                  <c:v>35.74927198723444</c:v>
                </c:pt>
                <c:pt idx="197">
                  <c:v>35.4229952168391</c:v>
                </c:pt>
                <c:pt idx="198">
                  <c:v>35.09888790551762</c:v>
                </c:pt>
                <c:pt idx="199">
                  <c:v>34.77693707015366</c:v>
                </c:pt>
                <c:pt idx="200">
                  <c:v>34.45713025024047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021248"/>
        <c:axId val="-1426967120"/>
      </c:scatterChart>
      <c:valAx>
        <c:axId val="-1427021248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skill-intensity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6967120"/>
        <c:crosses val="autoZero"/>
        <c:crossBetween val="midCat"/>
      </c:valAx>
      <c:valAx>
        <c:axId val="-1426967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Employment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702124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61162535278838"/>
          <c:y val="0.376896998890834"/>
          <c:w val="0.117297531590888"/>
          <c:h val="0.16960737799169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CondCostCurves!$B$14</c:f>
              <c:strCache>
                <c:ptCount val="1"/>
                <c:pt idx="0">
                  <c:v>NGI</c:v>
                </c:pt>
              </c:strCache>
            </c:strRef>
          </c:tx>
          <c:marker>
            <c:symbol val="none"/>
          </c:marker>
          <c:xVal>
            <c:numRef>
              <c:f>CondCostCurves!$A$15:$A$65</c:f>
              <c:numCache>
                <c:formatCode>General</c:formatCode>
                <c:ptCount val="5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  <c:pt idx="12">
                  <c:v>1.100000000000001</c:v>
                </c:pt>
                <c:pt idx="13">
                  <c:v>1.150000000000001</c:v>
                </c:pt>
                <c:pt idx="14">
                  <c:v>1.200000000000001</c:v>
                </c:pt>
                <c:pt idx="15">
                  <c:v>1.250000000000001</c:v>
                </c:pt>
                <c:pt idx="16">
                  <c:v>1.300000000000001</c:v>
                </c:pt>
                <c:pt idx="17">
                  <c:v>1.350000000000001</c:v>
                </c:pt>
                <c:pt idx="18">
                  <c:v>1.400000000000001</c:v>
                </c:pt>
                <c:pt idx="19">
                  <c:v>1.450000000000001</c:v>
                </c:pt>
                <c:pt idx="20">
                  <c:v>1.500000000000001</c:v>
                </c:pt>
                <c:pt idx="21">
                  <c:v>1.550000000000001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</c:v>
                </c:pt>
                <c:pt idx="25">
                  <c:v>1.750000000000001</c:v>
                </c:pt>
                <c:pt idx="26">
                  <c:v>1.800000000000001</c:v>
                </c:pt>
                <c:pt idx="27">
                  <c:v>1.850000000000001</c:v>
                </c:pt>
                <c:pt idx="28">
                  <c:v>1.900000000000001</c:v>
                </c:pt>
                <c:pt idx="29">
                  <c:v>1.950000000000001</c:v>
                </c:pt>
                <c:pt idx="30">
                  <c:v>2.000000000000001</c:v>
                </c:pt>
                <c:pt idx="31">
                  <c:v>2.050000000000001</c:v>
                </c:pt>
                <c:pt idx="32">
                  <c:v>2.100000000000001</c:v>
                </c:pt>
                <c:pt idx="33">
                  <c:v>2.150000000000001</c:v>
                </c:pt>
                <c:pt idx="34">
                  <c:v>2.200000000000001</c:v>
                </c:pt>
                <c:pt idx="35">
                  <c:v>2.25</c:v>
                </c:pt>
                <c:pt idx="36">
                  <c:v>2.3</c:v>
                </c:pt>
                <c:pt idx="37">
                  <c:v>2.35</c:v>
                </c:pt>
                <c:pt idx="38">
                  <c:v>2.4</c:v>
                </c:pt>
                <c:pt idx="39">
                  <c:v>2.45</c:v>
                </c:pt>
                <c:pt idx="40">
                  <c:v>2.5</c:v>
                </c:pt>
                <c:pt idx="41">
                  <c:v>2.549999999999999</c:v>
                </c:pt>
                <c:pt idx="42">
                  <c:v>2.599999999999999</c:v>
                </c:pt>
                <c:pt idx="43">
                  <c:v>2.649999999999999</c:v>
                </c:pt>
                <c:pt idx="44">
                  <c:v>2.699999999999999</c:v>
                </c:pt>
                <c:pt idx="45">
                  <c:v>2.749999999999999</c:v>
                </c:pt>
                <c:pt idx="46">
                  <c:v>2.799999999999998</c:v>
                </c:pt>
                <c:pt idx="47">
                  <c:v>2.849999999999998</c:v>
                </c:pt>
                <c:pt idx="48">
                  <c:v>2.899999999999998</c:v>
                </c:pt>
                <c:pt idx="49">
                  <c:v>2.949999999999998</c:v>
                </c:pt>
                <c:pt idx="50">
                  <c:v>2.999999999999998</c:v>
                </c:pt>
              </c:numCache>
            </c:numRef>
          </c:xVal>
          <c:yVal>
            <c:numRef>
              <c:f>CondCostCurves!$B$15:$B$65</c:f>
              <c:numCache>
                <c:formatCode>#,##0</c:formatCode>
                <c:ptCount val="51"/>
                <c:pt idx="0">
                  <c:v>133314.7011825394</c:v>
                </c:pt>
                <c:pt idx="1">
                  <c:v>131164.1996625754</c:v>
                </c:pt>
                <c:pt idx="2">
                  <c:v>129418.539157533</c:v>
                </c:pt>
                <c:pt idx="3">
                  <c:v>127996.2098623404</c:v>
                </c:pt>
                <c:pt idx="4">
                  <c:v>126840.7157256366</c:v>
                </c:pt>
                <c:pt idx="5">
                  <c:v>125912.2683310762</c:v>
                </c:pt>
                <c:pt idx="6">
                  <c:v>125182.5621781695</c:v>
                </c:pt>
                <c:pt idx="7">
                  <c:v>124631.3583016177</c:v>
                </c:pt>
                <c:pt idx="8">
                  <c:v>124244.1698639489</c:v>
                </c:pt>
                <c:pt idx="9">
                  <c:v>124010.6420584353</c:v>
                </c:pt>
                <c:pt idx="10">
                  <c:v>123923.3833420771</c:v>
                </c:pt>
                <c:pt idx="11">
                  <c:v>123977.0994231093</c:v>
                </c:pt>
                <c:pt idx="12">
                  <c:v>124167.9373679929</c:v>
                </c:pt>
                <c:pt idx="13">
                  <c:v>124492.9812208656</c:v>
                </c:pt>
                <c:pt idx="14">
                  <c:v>124949.8615823294</c:v>
                </c:pt>
                <c:pt idx="15">
                  <c:v>125536.4546801324</c:v>
                </c:pt>
                <c:pt idx="16">
                  <c:v>126250.6545001721</c:v>
                </c:pt>
                <c:pt idx="17">
                  <c:v>127090.2063181726</c:v>
                </c:pt>
                <c:pt idx="18">
                  <c:v>128052.592637056</c:v>
                </c:pt>
                <c:pt idx="19">
                  <c:v>129134.9638847747</c:v>
                </c:pt>
                <c:pt idx="20">
                  <c:v>130334.1068262107</c:v>
                </c:pt>
                <c:pt idx="21">
                  <c:v>131646.4438935969</c:v>
                </c:pt>
                <c:pt idx="22">
                  <c:v>133068.0568182621</c:v>
                </c:pt>
                <c:pt idx="23">
                  <c:v>134594.7282207258</c:v>
                </c:pt>
                <c:pt idx="24">
                  <c:v>136221.9952656168</c:v>
                </c:pt>
                <c:pt idx="25">
                  <c:v>137945.2101228762</c:v>
                </c:pt>
                <c:pt idx="26">
                  <c:v>139759.602760437</c:v>
                </c:pt>
                <c:pt idx="27">
                  <c:v>141660.3424637466</c:v>
                </c:pt>
                <c:pt idx="28">
                  <c:v>143642.5953649085</c:v>
                </c:pt>
                <c:pt idx="29">
                  <c:v>145701.5761065288</c:v>
                </c:pt>
                <c:pt idx="30">
                  <c:v>147832.5925152361</c:v>
                </c:pt>
                <c:pt idx="31">
                  <c:v>150031.0827881059</c:v>
                </c:pt>
                <c:pt idx="32">
                  <c:v>152292.6451900045</c:v>
                </c:pt>
                <c:pt idx="33">
                  <c:v>154613.0606234923</c:v>
                </c:pt>
                <c:pt idx="34">
                  <c:v>156988.3086776931</c:v>
                </c:pt>
                <c:pt idx="35">
                  <c:v>159414.5779065866</c:v>
                </c:pt>
                <c:pt idx="36">
                  <c:v>161888.2711509178</c:v>
                </c:pt>
                <c:pt idx="37">
                  <c:v>164406.0067214541</c:v>
                </c:pt>
                <c:pt idx="38">
                  <c:v>166964.6162227498</c:v>
                </c:pt>
                <c:pt idx="39">
                  <c:v>169561.139731119</c:v>
                </c:pt>
                <c:pt idx="40">
                  <c:v>172192.8189602624</c:v>
                </c:pt>
                <c:pt idx="41">
                  <c:v>174857.0889619775</c:v>
                </c:pt>
                <c:pt idx="42">
                  <c:v>177551.568824027</c:v>
                </c:pt>
                <c:pt idx="43">
                  <c:v>180274.0517467501</c:v>
                </c:pt>
                <c:pt idx="44">
                  <c:v>183022.4948068791</c:v>
                </c:pt>
                <c:pt idx="45">
                  <c:v>185795.0086524972</c:v>
                </c:pt>
                <c:pt idx="46">
                  <c:v>188589.8473174713</c:v>
                </c:pt>
                <c:pt idx="47">
                  <c:v>191405.3982967499</c:v>
                </c:pt>
                <c:pt idx="48">
                  <c:v>194240.1729849954</c:v>
                </c:pt>
                <c:pt idx="49">
                  <c:v>197092.7975492911</c:v>
                </c:pt>
                <c:pt idx="50">
                  <c:v>199962.0042812208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CondCostCurves!$C$14</c:f>
              <c:strCache>
                <c:ptCount val="1"/>
                <c:pt idx="0">
                  <c:v>Uninsured</c:v>
                </c:pt>
              </c:strCache>
            </c:strRef>
          </c:tx>
          <c:marker>
            <c:symbol val="none"/>
          </c:marker>
          <c:xVal>
            <c:numRef>
              <c:f>CondCostCurves!$A$15:$A$65</c:f>
              <c:numCache>
                <c:formatCode>General</c:formatCode>
                <c:ptCount val="5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  <c:pt idx="12">
                  <c:v>1.100000000000001</c:v>
                </c:pt>
                <c:pt idx="13">
                  <c:v>1.150000000000001</c:v>
                </c:pt>
                <c:pt idx="14">
                  <c:v>1.200000000000001</c:v>
                </c:pt>
                <c:pt idx="15">
                  <c:v>1.250000000000001</c:v>
                </c:pt>
                <c:pt idx="16">
                  <c:v>1.300000000000001</c:v>
                </c:pt>
                <c:pt idx="17">
                  <c:v>1.350000000000001</c:v>
                </c:pt>
                <c:pt idx="18">
                  <c:v>1.400000000000001</c:v>
                </c:pt>
                <c:pt idx="19">
                  <c:v>1.450000000000001</c:v>
                </c:pt>
                <c:pt idx="20">
                  <c:v>1.500000000000001</c:v>
                </c:pt>
                <c:pt idx="21">
                  <c:v>1.550000000000001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</c:v>
                </c:pt>
                <c:pt idx="25">
                  <c:v>1.750000000000001</c:v>
                </c:pt>
                <c:pt idx="26">
                  <c:v>1.800000000000001</c:v>
                </c:pt>
                <c:pt idx="27">
                  <c:v>1.850000000000001</c:v>
                </c:pt>
                <c:pt idx="28">
                  <c:v>1.900000000000001</c:v>
                </c:pt>
                <c:pt idx="29">
                  <c:v>1.950000000000001</c:v>
                </c:pt>
                <c:pt idx="30">
                  <c:v>2.000000000000001</c:v>
                </c:pt>
                <c:pt idx="31">
                  <c:v>2.050000000000001</c:v>
                </c:pt>
                <c:pt idx="32">
                  <c:v>2.100000000000001</c:v>
                </c:pt>
                <c:pt idx="33">
                  <c:v>2.150000000000001</c:v>
                </c:pt>
                <c:pt idx="34">
                  <c:v>2.200000000000001</c:v>
                </c:pt>
                <c:pt idx="35">
                  <c:v>2.25</c:v>
                </c:pt>
                <c:pt idx="36">
                  <c:v>2.3</c:v>
                </c:pt>
                <c:pt idx="37">
                  <c:v>2.35</c:v>
                </c:pt>
                <c:pt idx="38">
                  <c:v>2.4</c:v>
                </c:pt>
                <c:pt idx="39">
                  <c:v>2.45</c:v>
                </c:pt>
                <c:pt idx="40">
                  <c:v>2.5</c:v>
                </c:pt>
                <c:pt idx="41">
                  <c:v>2.549999999999999</c:v>
                </c:pt>
                <c:pt idx="42">
                  <c:v>2.599999999999999</c:v>
                </c:pt>
                <c:pt idx="43">
                  <c:v>2.649999999999999</c:v>
                </c:pt>
                <c:pt idx="44">
                  <c:v>2.699999999999999</c:v>
                </c:pt>
                <c:pt idx="45">
                  <c:v>2.749999999999999</c:v>
                </c:pt>
                <c:pt idx="46">
                  <c:v>2.799999999999998</c:v>
                </c:pt>
                <c:pt idx="47">
                  <c:v>2.849999999999998</c:v>
                </c:pt>
                <c:pt idx="48">
                  <c:v>2.899999999999998</c:v>
                </c:pt>
                <c:pt idx="49">
                  <c:v>2.949999999999998</c:v>
                </c:pt>
                <c:pt idx="50">
                  <c:v>2.999999999999998</c:v>
                </c:pt>
              </c:numCache>
            </c:numRef>
          </c:xVal>
          <c:yVal>
            <c:numRef>
              <c:f>CondCostCurves!$C$15:$C$65</c:f>
              <c:numCache>
                <c:formatCode>#,##0</c:formatCode>
                <c:ptCount val="51"/>
                <c:pt idx="0">
                  <c:v>190777.8098354821</c:v>
                </c:pt>
                <c:pt idx="1">
                  <c:v>186770.4863902357</c:v>
                </c:pt>
                <c:pt idx="2">
                  <c:v>183495.7016423397</c:v>
                </c:pt>
                <c:pt idx="3">
                  <c:v>180800.7696033538</c:v>
                </c:pt>
                <c:pt idx="4">
                  <c:v>178578.9590899915</c:v>
                </c:pt>
                <c:pt idx="5">
                  <c:v>176754.2136515606</c:v>
                </c:pt>
                <c:pt idx="6">
                  <c:v>175271.5560946106</c:v>
                </c:pt>
                <c:pt idx="7">
                  <c:v>174090.8312210171</c:v>
                </c:pt>
                <c:pt idx="8">
                  <c:v>173182.4844697732</c:v>
                </c:pt>
                <c:pt idx="9">
                  <c:v>172524.6242608824</c:v>
                </c:pt>
                <c:pt idx="10">
                  <c:v>172100.918931218</c:v>
                </c:pt>
                <c:pt idx="11">
                  <c:v>171899.0527457844</c:v>
                </c:pt>
                <c:pt idx="12">
                  <c:v>171909.5682464545</c:v>
                </c:pt>
                <c:pt idx="13">
                  <c:v>172124.984718375</c:v>
                </c:pt>
                <c:pt idx="14">
                  <c:v>172539.1213266924</c:v>
                </c:pt>
                <c:pt idx="15">
                  <c:v>173146.5777534319</c:v>
                </c:pt>
                <c:pt idx="16">
                  <c:v>173942.340325736</c:v>
                </c:pt>
                <c:pt idx="17">
                  <c:v>174921.4909377802</c:v>
                </c:pt>
                <c:pt idx="18">
                  <c:v>176079.0016109667</c:v>
                </c:pt>
                <c:pt idx="19">
                  <c:v>177409.6007032273</c:v>
                </c:pt>
                <c:pt idx="20">
                  <c:v>178907.6985340951</c:v>
                </c:pt>
                <c:pt idx="21">
                  <c:v>180567.3612124602</c:v>
                </c:pt>
                <c:pt idx="22">
                  <c:v>182382.322195004</c:v>
                </c:pt>
                <c:pt idx="23">
                  <c:v>184346.021847512</c:v>
                </c:pt>
                <c:pt idx="24">
                  <c:v>186451.6661716368</c:v>
                </c:pt>
                <c:pt idx="25">
                  <c:v>188692.296933967</c:v>
                </c:pt>
                <c:pt idx="26">
                  <c:v>191060.8666589039</c:v>
                </c:pt>
                <c:pt idx="27">
                  <c:v>193550.3132490594</c:v>
                </c:pt>
                <c:pt idx="28">
                  <c:v>196153.6302916097</c:v>
                </c:pt>
                <c:pt idx="29">
                  <c:v>198863.9303185712</c:v>
                </c:pt>
                <c:pt idx="30">
                  <c:v>201674.4993546356</c:v>
                </c:pt>
                <c:pt idx="31">
                  <c:v>204578.8419728965</c:v>
                </c:pt>
                <c:pt idx="32">
                  <c:v>207570.7167740508</c:v>
                </c:pt>
                <c:pt idx="33">
                  <c:v>210644.162714504</c:v>
                </c:pt>
                <c:pt idx="34">
                  <c:v>213793.5170521737</c:v>
                </c:pt>
                <c:pt idx="35">
                  <c:v>217013.4258819629</c:v>
                </c:pt>
                <c:pt idx="36">
                  <c:v>220298.848324795</c:v>
                </c:pt>
                <c:pt idx="37">
                  <c:v>223645.0554428956</c:v>
                </c:pt>
                <c:pt idx="38">
                  <c:v>227047.6249048142</c:v>
                </c:pt>
                <c:pt idx="39">
                  <c:v>230502.4323375268</c:v>
                </c:pt>
                <c:pt idx="40">
                  <c:v>234005.6401964513</c:v>
                </c:pt>
                <c:pt idx="41">
                  <c:v>237553.684869756</c:v>
                </c:pt>
                <c:pt idx="42">
                  <c:v>241143.2626196899</c:v>
                </c:pt>
                <c:pt idx="43">
                  <c:v>244771.314856546</c:v>
                </c:pt>
                <c:pt idx="44">
                  <c:v>248435.0131436746</c:v>
                </c:pt>
                <c:pt idx="45">
                  <c:v>252131.7442463451</c:v>
                </c:pt>
                <c:pt idx="46">
                  <c:v>255859.0954636469</c:v>
                </c:pt>
                <c:pt idx="47">
                  <c:v>259614.8404206457</c:v>
                </c:pt>
                <c:pt idx="48">
                  <c:v>263396.9254467981</c:v>
                </c:pt>
                <c:pt idx="49">
                  <c:v>267203.4566250442</c:v>
                </c:pt>
                <c:pt idx="50">
                  <c:v>271032.6875628203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CondCostCurves!$D$14</c:f>
              <c:strCache>
                <c:ptCount val="1"/>
                <c:pt idx="0">
                  <c:v>ESI</c:v>
                </c:pt>
              </c:strCache>
            </c:strRef>
          </c:tx>
          <c:marker>
            <c:symbol val="none"/>
          </c:marker>
          <c:xVal>
            <c:numRef>
              <c:f>CondCostCurves!$A$15:$A$65</c:f>
              <c:numCache>
                <c:formatCode>General</c:formatCode>
                <c:ptCount val="5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  <c:pt idx="12">
                  <c:v>1.100000000000001</c:v>
                </c:pt>
                <c:pt idx="13">
                  <c:v>1.150000000000001</c:v>
                </c:pt>
                <c:pt idx="14">
                  <c:v>1.200000000000001</c:v>
                </c:pt>
                <c:pt idx="15">
                  <c:v>1.250000000000001</c:v>
                </c:pt>
                <c:pt idx="16">
                  <c:v>1.300000000000001</c:v>
                </c:pt>
                <c:pt idx="17">
                  <c:v>1.350000000000001</c:v>
                </c:pt>
                <c:pt idx="18">
                  <c:v>1.400000000000001</c:v>
                </c:pt>
                <c:pt idx="19">
                  <c:v>1.450000000000001</c:v>
                </c:pt>
                <c:pt idx="20">
                  <c:v>1.500000000000001</c:v>
                </c:pt>
                <c:pt idx="21">
                  <c:v>1.550000000000001</c:v>
                </c:pt>
                <c:pt idx="22">
                  <c:v>1.600000000000001</c:v>
                </c:pt>
                <c:pt idx="23">
                  <c:v>1.650000000000001</c:v>
                </c:pt>
                <c:pt idx="24">
                  <c:v>1.700000000000001</c:v>
                </c:pt>
                <c:pt idx="25">
                  <c:v>1.750000000000001</c:v>
                </c:pt>
                <c:pt idx="26">
                  <c:v>1.800000000000001</c:v>
                </c:pt>
                <c:pt idx="27">
                  <c:v>1.850000000000001</c:v>
                </c:pt>
                <c:pt idx="28">
                  <c:v>1.900000000000001</c:v>
                </c:pt>
                <c:pt idx="29">
                  <c:v>1.950000000000001</c:v>
                </c:pt>
                <c:pt idx="30">
                  <c:v>2.000000000000001</c:v>
                </c:pt>
                <c:pt idx="31">
                  <c:v>2.050000000000001</c:v>
                </c:pt>
                <c:pt idx="32">
                  <c:v>2.100000000000001</c:v>
                </c:pt>
                <c:pt idx="33">
                  <c:v>2.150000000000001</c:v>
                </c:pt>
                <c:pt idx="34">
                  <c:v>2.200000000000001</c:v>
                </c:pt>
                <c:pt idx="35">
                  <c:v>2.25</c:v>
                </c:pt>
                <c:pt idx="36">
                  <c:v>2.3</c:v>
                </c:pt>
                <c:pt idx="37">
                  <c:v>2.35</c:v>
                </c:pt>
                <c:pt idx="38">
                  <c:v>2.4</c:v>
                </c:pt>
                <c:pt idx="39">
                  <c:v>2.45</c:v>
                </c:pt>
                <c:pt idx="40">
                  <c:v>2.5</c:v>
                </c:pt>
                <c:pt idx="41">
                  <c:v>2.549999999999999</c:v>
                </c:pt>
                <c:pt idx="42">
                  <c:v>2.599999999999999</c:v>
                </c:pt>
                <c:pt idx="43">
                  <c:v>2.649999999999999</c:v>
                </c:pt>
                <c:pt idx="44">
                  <c:v>2.699999999999999</c:v>
                </c:pt>
                <c:pt idx="45">
                  <c:v>2.749999999999999</c:v>
                </c:pt>
                <c:pt idx="46">
                  <c:v>2.799999999999998</c:v>
                </c:pt>
                <c:pt idx="47">
                  <c:v>2.849999999999998</c:v>
                </c:pt>
                <c:pt idx="48">
                  <c:v>2.899999999999998</c:v>
                </c:pt>
                <c:pt idx="49">
                  <c:v>2.949999999999998</c:v>
                </c:pt>
                <c:pt idx="50">
                  <c:v>2.999999999999998</c:v>
                </c:pt>
              </c:numCache>
            </c:numRef>
          </c:xVal>
          <c:yVal>
            <c:numRef>
              <c:f>CondCostCurves!$D$15:$D$65</c:f>
              <c:numCache>
                <c:formatCode>#,##0</c:formatCode>
                <c:ptCount val="51"/>
                <c:pt idx="0">
                  <c:v>132627.9011027189</c:v>
                </c:pt>
                <c:pt idx="1">
                  <c:v>130061.4850699716</c:v>
                </c:pt>
                <c:pt idx="2">
                  <c:v>127968.171246629</c:v>
                </c:pt>
                <c:pt idx="3">
                  <c:v>126250.3192841217</c:v>
                </c:pt>
                <c:pt idx="4">
                  <c:v>124839.83876591</c:v>
                </c:pt>
                <c:pt idx="5">
                  <c:v>123688.367508891</c:v>
                </c:pt>
                <c:pt idx="6">
                  <c:v>122761.1008622242</c:v>
                </c:pt>
                <c:pt idx="7">
                  <c:v>122032.7646141606</c:v>
                </c:pt>
                <c:pt idx="8">
                  <c:v>121484.8949371414</c:v>
                </c:pt>
                <c:pt idx="9">
                  <c:v>121103.9422868653</c:v>
                </c:pt>
                <c:pt idx="10">
                  <c:v>120879.910966246</c:v>
                </c:pt>
                <c:pt idx="11">
                  <c:v>120805.357661094</c:v>
                </c:pt>
                <c:pt idx="12">
                  <c:v>120874.6383421783</c:v>
                </c:pt>
                <c:pt idx="13">
                  <c:v>121083.3331283651</c:v>
                </c:pt>
                <c:pt idx="14">
                  <c:v>121427.8036200358</c:v>
                </c:pt>
                <c:pt idx="15">
                  <c:v>121904.8527792764</c:v>
                </c:pt>
                <c:pt idx="16">
                  <c:v>122511.4671092525</c:v>
                </c:pt>
                <c:pt idx="17">
                  <c:v>123244.626772385</c:v>
                </c:pt>
                <c:pt idx="18">
                  <c:v>124101.1727318452</c:v>
                </c:pt>
                <c:pt idx="19">
                  <c:v>125077.7219106459</c:v>
                </c:pt>
                <c:pt idx="20">
                  <c:v>126170.6223711041</c:v>
                </c:pt>
                <c:pt idx="21">
                  <c:v>127375.9410706695</c:v>
                </c:pt>
                <c:pt idx="22">
                  <c:v>128689.4771506374</c:v>
                </c:pt>
                <c:pt idx="23">
                  <c:v>130106.7941486121</c:v>
                </c:pt>
                <c:pt idx="24">
                  <c:v>131623.2650862308</c:v>
                </c:pt>
                <c:pt idx="25">
                  <c:v>133234.1250914124</c:v>
                </c:pt>
                <c:pt idx="26">
                  <c:v>134934.5270414322</c:v>
                </c:pt>
                <c:pt idx="27">
                  <c:v>136719.5966049724</c:v>
                </c:pt>
                <c:pt idx="28">
                  <c:v>138584.4839555273</c:v>
                </c:pt>
                <c:pt idx="29">
                  <c:v>140524.4102684225</c:v>
                </c:pt>
                <c:pt idx="30">
                  <c:v>142534.7078563115</c:v>
                </c:pt>
                <c:pt idx="31">
                  <c:v>144610.8534173592</c:v>
                </c:pt>
                <c:pt idx="32">
                  <c:v>146748.4943566796</c:v>
                </c:pt>
                <c:pt idx="33">
                  <c:v>148943.4684985158</c:v>
                </c:pt>
                <c:pt idx="34">
                  <c:v>151191.8177469903</c:v>
                </c:pt>
                <c:pt idx="35">
                  <c:v>153489.7963951966</c:v>
                </c:pt>
                <c:pt idx="36">
                  <c:v>155833.8748461414</c:v>
                </c:pt>
                <c:pt idx="37">
                  <c:v>158220.7395142762</c:v>
                </c:pt>
                <c:pt idx="38">
                  <c:v>160647.2896407446</c:v>
                </c:pt>
                <c:pt idx="39">
                  <c:v>163110.6316938011</c:v>
                </c:pt>
                <c:pt idx="40">
                  <c:v>165608.0719498471</c:v>
                </c:pt>
                <c:pt idx="41">
                  <c:v>168137.1077689226</c:v>
                </c:pt>
                <c:pt idx="42">
                  <c:v>170695.4179974785</c:v>
                </c:pt>
                <c:pt idx="43">
                  <c:v>173280.852854882</c:v>
                </c:pt>
                <c:pt idx="44">
                  <c:v>175891.4235907816</c:v>
                </c:pt>
                <c:pt idx="45">
                  <c:v>178525.2921393524</c:v>
                </c:pt>
                <c:pt idx="46">
                  <c:v>181180.760943859</c:v>
                </c:pt>
                <c:pt idx="47">
                  <c:v>183856.2630806672</c:v>
                </c:pt>
                <c:pt idx="48">
                  <c:v>186550.3527751681</c:v>
                </c:pt>
                <c:pt idx="49">
                  <c:v>189261.696372272</c:v>
                </c:pt>
                <c:pt idx="50">
                  <c:v>191989.0638003008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2090320"/>
        <c:axId val="-1432088000"/>
      </c:scatterChart>
      <c:valAx>
        <c:axId val="-1432090320"/>
        <c:scaling>
          <c:orientation val="minMax"/>
          <c:max val="1.5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-1432088000"/>
        <c:crosses val="autoZero"/>
        <c:crossBetween val="midCat"/>
      </c:valAx>
      <c:valAx>
        <c:axId val="-1432088000"/>
        <c:scaling>
          <c:orientation val="minMax"/>
          <c:max val="170000.0"/>
          <c:min val="70000.0"/>
        </c:scaling>
        <c:delete val="0"/>
        <c:axPos val="l"/>
        <c:numFmt formatCode="#,##0" sourceLinked="1"/>
        <c:majorTickMark val="out"/>
        <c:minorTickMark val="none"/>
        <c:tickLblPos val="nextTo"/>
        <c:crossAx val="-143209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ESI-NGI</a:t>
            </a:r>
            <a:r>
              <a:rPr lang="en-US" baseline="0"/>
              <a:t> indifference for the marginal ESI firm</a:t>
            </a:r>
          </a:p>
          <a:p>
            <a:pPr>
              <a:defRPr/>
            </a:pPr>
            <a:r>
              <a:rPr lang="en-US" sz="1400" b="0" baseline="0"/>
              <a:t>as a function of the per-employee NGI penalty and subsidy amounts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ACA</c:v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NGIindiff!$N$40</c:f>
              <c:numCache>
                <c:formatCode>#,##0</c:formatCode>
                <c:ptCount val="1"/>
                <c:pt idx="0">
                  <c:v>652.0</c:v>
                </c:pt>
              </c:numCache>
            </c:numRef>
          </c:xVal>
          <c:yVal>
            <c:numRef>
              <c:f>NGIindiff!$O$40</c:f>
              <c:numCache>
                <c:formatCode>#,##0</c:formatCode>
                <c:ptCount val="1"/>
                <c:pt idx="0">
                  <c:v>9152.0</c:v>
                </c:pt>
              </c:numCache>
            </c:numRef>
          </c:yVal>
          <c:smooth val="0"/>
        </c:ser>
        <c:ser>
          <c:idx val="0"/>
          <c:order val="1"/>
          <c:tx>
            <c:v>indifference curve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NGIindiff!$N$9:$N$38</c:f>
              <c:numCache>
                <c:formatCode>#,##0</c:formatCode>
                <c:ptCount val="3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300.0000000000001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799.9999999999999</c:v>
                </c:pt>
                <c:pt idx="9">
                  <c:v>899.9999999999999</c:v>
                </c:pt>
                <c:pt idx="10">
                  <c:v>999.9999999999999</c:v>
                </c:pt>
                <c:pt idx="11">
                  <c:v>11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1900.000000000001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2300.000000000001</c:v>
                </c:pt>
                <c:pt idx="24">
                  <c:v>2400.000000000001</c:v>
                </c:pt>
                <c:pt idx="25">
                  <c:v>2500.000000000001</c:v>
                </c:pt>
                <c:pt idx="26">
                  <c:v>2600.000000000001</c:v>
                </c:pt>
                <c:pt idx="27">
                  <c:v>2700.000000000001</c:v>
                </c:pt>
                <c:pt idx="28">
                  <c:v>2800.000000000001</c:v>
                </c:pt>
                <c:pt idx="29">
                  <c:v>2900.000000000001</c:v>
                </c:pt>
              </c:numCache>
            </c:numRef>
          </c:xVal>
          <c:yVal>
            <c:numRef>
              <c:f>NGIindiff!$O$9:$O$38</c:f>
              <c:numCache>
                <c:formatCode>#,##0</c:formatCode>
                <c:ptCount val="30"/>
                <c:pt idx="0">
                  <c:v>3438.652026238744</c:v>
                </c:pt>
                <c:pt idx="1">
                  <c:v>3693.456846900353</c:v>
                </c:pt>
                <c:pt idx="2">
                  <c:v>3947.754262305333</c:v>
                </c:pt>
                <c:pt idx="3">
                  <c:v>4201.541687488787</c:v>
                </c:pt>
                <c:pt idx="4">
                  <c:v>4454.816517935904</c:v>
                </c:pt>
                <c:pt idx="5">
                  <c:v>4707.576129374937</c:v>
                </c:pt>
                <c:pt idx="6">
                  <c:v>4959.817877567277</c:v>
                </c:pt>
                <c:pt idx="7">
                  <c:v>5211.539098094528</c:v>
                </c:pt>
                <c:pt idx="8">
                  <c:v>5462.737106142555</c:v>
                </c:pt>
                <c:pt idx="9">
                  <c:v>5713.409196282457</c:v>
                </c:pt>
                <c:pt idx="10">
                  <c:v>5963.552642248384</c:v>
                </c:pt>
                <c:pt idx="11">
                  <c:v>6213.164696712156</c:v>
                </c:pt>
                <c:pt idx="12">
                  <c:v>6462.24259105462</c:v>
                </c:pt>
                <c:pt idx="13">
                  <c:v>6710.783535133697</c:v>
                </c:pt>
                <c:pt idx="14">
                  <c:v>6958.784717049033</c:v>
                </c:pt>
                <c:pt idx="15">
                  <c:v>7206.243302903218</c:v>
                </c:pt>
                <c:pt idx="16">
                  <c:v>7453.156436559484</c:v>
                </c:pt>
                <c:pt idx="17">
                  <c:v>7699.521239395838</c:v>
                </c:pt>
                <c:pt idx="18">
                  <c:v>7945.334810055546</c:v>
                </c:pt>
                <c:pt idx="19">
                  <c:v>8190.59422419391</c:v>
                </c:pt>
                <c:pt idx="20">
                  <c:v>8435.296534221261</c:v>
                </c:pt>
                <c:pt idx="21">
                  <c:v>8679.43876904209</c:v>
                </c:pt>
                <c:pt idx="22">
                  <c:v>8923.017933790263</c:v>
                </c:pt>
                <c:pt idx="23">
                  <c:v>9166.031009560233</c:v>
                </c:pt>
                <c:pt idx="24">
                  <c:v>9408.47495313415</c:v>
                </c:pt>
                <c:pt idx="25">
                  <c:v>9650.346696704835</c:v>
                </c:pt>
                <c:pt idx="26">
                  <c:v>9891.643147594497</c:v>
                </c:pt>
                <c:pt idx="27">
                  <c:v>10132.36118796913</c:v>
                </c:pt>
                <c:pt idx="28">
                  <c:v>10372.49767454849</c:v>
                </c:pt>
                <c:pt idx="29">
                  <c:v>10612.0494383116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0177856"/>
        <c:axId val="-1400174464"/>
      </c:scatterChart>
      <c:valAx>
        <c:axId val="-1400177856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Penalty per</a:t>
                </a:r>
                <a:r>
                  <a:rPr lang="en-US" sz="1400" baseline="0"/>
                  <a:t> </a:t>
                </a:r>
                <a:r>
                  <a:rPr lang="en-US" sz="1400"/>
                  <a:t>employee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174464"/>
        <c:crosses val="autoZero"/>
        <c:crossBetween val="midCat"/>
      </c:valAx>
      <c:valAx>
        <c:axId val="-1400174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Value of subsidy per low-skill employee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0017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92338453469"/>
          <c:y val="0.225249975832384"/>
          <c:w val="0.193730880834169"/>
          <c:h val="0.0862224234776946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3.  Compensation</a:t>
            </a:r>
            <a:r>
              <a:rPr lang="en-US" baseline="0"/>
              <a:t> Ratios and the Surplus from ESI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9478155956429"/>
          <c:y val="0.177089799230707"/>
          <c:w val="0.861435292835176"/>
          <c:h val="0.751195820019945"/>
        </c:manualLayout>
      </c:layout>
      <c:scatterChart>
        <c:scatterStyle val="lineMarker"/>
        <c:varyColors val="0"/>
        <c:ser>
          <c:idx val="0"/>
          <c:order val="0"/>
          <c:tx>
            <c:v>model distribution w/o ACA</c:v>
          </c:tx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Sectors!$W$17:$W$217</c:f>
              <c:numCache>
                <c:formatCode>#,##0.00</c:formatCode>
                <c:ptCount val="201"/>
                <c:pt idx="0">
                  <c:v>0.0116526788261996</c:v>
                </c:pt>
                <c:pt idx="1">
                  <c:v>0.0231754232372907</c:v>
                </c:pt>
                <c:pt idx="2">
                  <c:v>0.0345698890808175</c:v>
                </c:pt>
                <c:pt idx="3">
                  <c:v>0.0458377113813324</c:v>
                </c:pt>
                <c:pt idx="4">
                  <c:v>0.056980504588615</c:v>
                </c:pt>
                <c:pt idx="5">
                  <c:v>0.0679998628226589</c:v>
                </c:pt>
                <c:pt idx="6">
                  <c:v>0.0788973601154644</c:v>
                </c:pt>
                <c:pt idx="7">
                  <c:v>0.0896745506496773</c:v>
                </c:pt>
                <c:pt idx="8">
                  <c:v>0.100332968994113</c:v>
                </c:pt>
                <c:pt idx="9">
                  <c:v>0.110874130336206</c:v>
                </c:pt>
                <c:pt idx="10">
                  <c:v>0.121299530711414</c:v>
                </c:pt>
                <c:pt idx="11">
                  <c:v>0.131610647229634</c:v>
                </c:pt>
                <c:pt idx="12">
                  <c:v>0.141808938298642</c:v>
                </c:pt>
                <c:pt idx="13">
                  <c:v>0.151895843844617</c:v>
                </c:pt>
                <c:pt idx="14">
                  <c:v>0.161872785529767</c:v>
                </c:pt>
                <c:pt idx="15">
                  <c:v>0.171741166967113</c:v>
                </c:pt>
                <c:pt idx="16">
                  <c:v>0.181502373932447</c:v>
                </c:pt>
                <c:pt idx="17">
                  <c:v>0.191157774573509</c:v>
                </c:pt>
                <c:pt idx="18">
                  <c:v>0.200708719616429</c:v>
                </c:pt>
                <c:pt idx="19">
                  <c:v>0.210156542569443</c:v>
                </c:pt>
                <c:pt idx="20">
                  <c:v>0.2194622025282</c:v>
                </c:pt>
                <c:pt idx="21">
                  <c:v>0.228707713957158</c:v>
                </c:pt>
                <c:pt idx="22">
                  <c:v>0.237854002510898</c:v>
                </c:pt>
                <c:pt idx="23">
                  <c:v>0.246902334810341</c:v>
                </c:pt>
                <c:pt idx="24">
                  <c:v>0.255853961237693</c:v>
                </c:pt>
                <c:pt idx="25">
                  <c:v>0.264710116124623</c:v>
                </c:pt>
                <c:pt idx="26">
                  <c:v>0.273472017937977</c:v>
                </c:pt>
                <c:pt idx="27">
                  <c:v>0.282140869463048</c:v>
                </c:pt>
                <c:pt idx="28">
                  <c:v>0.29071785798444</c:v>
                </c:pt>
                <c:pt idx="29">
                  <c:v>0.299204155464556</c:v>
                </c:pt>
                <c:pt idx="30">
                  <c:v>0.30760091871975</c:v>
                </c:pt>
                <c:pt idx="31">
                  <c:v>0.315909289594161</c:v>
                </c:pt>
                <c:pt idx="32">
                  <c:v>0.324130395131274</c:v>
                </c:pt>
                <c:pt idx="33">
                  <c:v>0.332265347743236</c:v>
                </c:pt>
                <c:pt idx="34">
                  <c:v>0.340315245377954</c:v>
                </c:pt>
                <c:pt idx="35">
                  <c:v>0.348281171684008</c:v>
                </c:pt>
                <c:pt idx="36">
                  <c:v>0.356164196173416</c:v>
                </c:pt>
                <c:pt idx="37">
                  <c:v>0.363965374382279</c:v>
                </c:pt>
                <c:pt idx="38">
                  <c:v>0.371685748029324</c:v>
                </c:pt>
                <c:pt idx="39">
                  <c:v>0.379326345172404</c:v>
                </c:pt>
                <c:pt idx="40">
                  <c:v>0.386888180362956</c:v>
                </c:pt>
                <c:pt idx="41">
                  <c:v>0.394372254798461</c:v>
                </c:pt>
                <c:pt idx="42">
                  <c:v>0.401779556472944</c:v>
                </c:pt>
                <c:pt idx="43">
                  <c:v>0.409111060325524</c:v>
                </c:pt>
                <c:pt idx="44">
                  <c:v>0.416367728387066</c:v>
                </c:pt>
                <c:pt idx="45">
                  <c:v>0.423550509924942</c:v>
                </c:pt>
                <c:pt idx="46">
                  <c:v>0.430660341585954</c:v>
                </c:pt>
                <c:pt idx="47">
                  <c:v>0.437698147537433</c:v>
                </c:pt>
                <c:pt idx="48">
                  <c:v>0.444664839606546</c:v>
                </c:pt>
                <c:pt idx="49">
                  <c:v>0.451561317417845</c:v>
                </c:pt>
                <c:pt idx="50">
                  <c:v>0.458388468529083</c:v>
                </c:pt>
                <c:pt idx="51">
                  <c:v>0.46514716856533</c:v>
                </c:pt>
                <c:pt idx="52">
                  <c:v>0.471838281351413</c:v>
                </c:pt>
                <c:pt idx="53">
                  <c:v>0.478462659042715</c:v>
                </c:pt>
                <c:pt idx="54">
                  <c:v>0.485021142254358</c:v>
                </c:pt>
                <c:pt idx="55">
                  <c:v>0.491514560188795</c:v>
                </c:pt>
                <c:pt idx="56">
                  <c:v>0.497943730761855</c:v>
                </c:pt>
                <c:pt idx="57">
                  <c:v>0.504309460727248</c:v>
                </c:pt>
                <c:pt idx="58">
                  <c:v>0.510612545799575</c:v>
                </c:pt>
                <c:pt idx="59">
                  <c:v>0.516853770775868</c:v>
                </c:pt>
                <c:pt idx="60">
                  <c:v>0.523033909655681</c:v>
                </c:pt>
                <c:pt idx="61">
                  <c:v>0.529153725759774</c:v>
                </c:pt>
                <c:pt idx="62">
                  <c:v>0.5352139718474</c:v>
                </c:pt>
                <c:pt idx="63">
                  <c:v>0.541215390232242</c:v>
                </c:pt>
                <c:pt idx="64">
                  <c:v>0.547158712897015</c:v>
                </c:pt>
                <c:pt idx="65">
                  <c:v>0.553044661606768</c:v>
                </c:pt>
                <c:pt idx="66">
                  <c:v>0.558873948020909</c:v>
                </c:pt>
                <c:pt idx="67">
                  <c:v>0.564647273803981</c:v>
                </c:pt>
                <c:pt idx="68">
                  <c:v>0.570365330735226</c:v>
                </c:pt>
                <c:pt idx="69">
                  <c:v>0.576028800816948</c:v>
                </c:pt>
                <c:pt idx="70">
                  <c:v>0.581638356381721</c:v>
                </c:pt>
                <c:pt idx="71">
                  <c:v>0.58719466019845</c:v>
                </c:pt>
                <c:pt idx="72">
                  <c:v>0.592698365577332</c:v>
                </c:pt>
                <c:pt idx="73">
                  <c:v>0.598150116473725</c:v>
                </c:pt>
                <c:pt idx="74">
                  <c:v>0.603550547590972</c:v>
                </c:pt>
                <c:pt idx="75">
                  <c:v>0.608900284482182</c:v>
                </c:pt>
                <c:pt idx="76">
                  <c:v>0.614199943651023</c:v>
                </c:pt>
                <c:pt idx="77">
                  <c:v>0.619450132651525</c:v>
                </c:pt>
                <c:pt idx="78">
                  <c:v>0.624651450186948</c:v>
                </c:pt>
                <c:pt idx="79">
                  <c:v>0.629804486207713</c:v>
                </c:pt>
                <c:pt idx="80">
                  <c:v>0.634909822008445</c:v>
                </c:pt>
                <c:pt idx="81">
                  <c:v>0.639968030324134</c:v>
                </c:pt>
                <c:pt idx="82">
                  <c:v>0.644979675425461</c:v>
                </c:pt>
                <c:pt idx="83">
                  <c:v>0.649945313213293</c:v>
                </c:pt>
                <c:pt idx="84">
                  <c:v>0.654865491312385</c:v>
                </c:pt>
                <c:pt idx="85">
                  <c:v>0.659740749164311</c:v>
                </c:pt>
                <c:pt idx="86">
                  <c:v>0.664571618119648</c:v>
                </c:pt>
                <c:pt idx="87">
                  <c:v>0.669358621529432</c:v>
                </c:pt>
                <c:pt idx="88">
                  <c:v>0.674102274835919</c:v>
                </c:pt>
                <c:pt idx="89">
                  <c:v>0.678803085662669</c:v>
                </c:pt>
                <c:pt idx="90">
                  <c:v>0.683461553903978</c:v>
                </c:pt>
                <c:pt idx="91">
                  <c:v>0.688078171813675</c:v>
                </c:pt>
                <c:pt idx="92">
                  <c:v>0.692653424093321</c:v>
                </c:pt>
                <c:pt idx="93">
                  <c:v>0.697187787979809</c:v>
                </c:pt>
                <c:pt idx="94">
                  <c:v>0.701681733332411</c:v>
                </c:pt>
                <c:pt idx="95">
                  <c:v>0.706135722719281</c:v>
                </c:pt>
                <c:pt idx="96">
                  <c:v>0.710550211503426</c:v>
                </c:pt>
                <c:pt idx="97">
                  <c:v>0.714925647928188</c:v>
                </c:pt>
                <c:pt idx="98">
                  <c:v>0.719262473202234</c:v>
                </c:pt>
                <c:pt idx="99">
                  <c:v>0.723561121584089</c:v>
                </c:pt>
                <c:pt idx="100">
                  <c:v>0.727822020466222</c:v>
                </c:pt>
                <c:pt idx="101">
                  <c:v>0.732045590458705</c:v>
                </c:pt>
                <c:pt idx="102">
                  <c:v>0.736232245472468</c:v>
                </c:pt>
                <c:pt idx="103">
                  <c:v>0.740382392802155</c:v>
                </c:pt>
                <c:pt idx="104">
                  <c:v>0.744496433208614</c:v>
                </c:pt>
                <c:pt idx="105">
                  <c:v>0.748574761001022</c:v>
                </c:pt>
                <c:pt idx="106">
                  <c:v>0.752617764118665</c:v>
                </c:pt>
                <c:pt idx="107">
                  <c:v>0.756625824212394</c:v>
                </c:pt>
                <c:pt idx="108">
                  <c:v>0.760599316725762</c:v>
                </c:pt>
                <c:pt idx="109">
                  <c:v>0.764538610975852</c:v>
                </c:pt>
                <c:pt idx="110">
                  <c:v>0.768444070233833</c:v>
                </c:pt>
                <c:pt idx="111">
                  <c:v>0.772316051805212</c:v>
                </c:pt>
                <c:pt idx="112">
                  <c:v>0.776154907109844</c:v>
                </c:pt>
                <c:pt idx="113">
                  <c:v>0.779960981761663</c:v>
                </c:pt>
                <c:pt idx="114">
                  <c:v>0.783734615648181</c:v>
                </c:pt>
                <c:pt idx="115">
                  <c:v>0.787476143009737</c:v>
                </c:pt>
                <c:pt idx="116">
                  <c:v>0.790986261656983</c:v>
                </c:pt>
                <c:pt idx="117">
                  <c:v>0.794465901648288</c:v>
                </c:pt>
                <c:pt idx="118">
                  <c:v>0.797915378045953</c:v>
                </c:pt>
                <c:pt idx="119">
                  <c:v>0.801335000750672</c:v>
                </c:pt>
                <c:pt idx="120">
                  <c:v>0.804725074575448</c:v>
                </c:pt>
                <c:pt idx="121">
                  <c:v>0.808085899319275</c:v>
                </c:pt>
                <c:pt idx="122">
                  <c:v>0.81141776984059</c:v>
                </c:pt>
                <c:pt idx="123">
                  <c:v>0.81472097613049</c:v>
                </c:pt>
                <c:pt idx="124">
                  <c:v>0.817995803385728</c:v>
                </c:pt>
                <c:pt idx="125">
                  <c:v>0.821242532081479</c:v>
                </c:pt>
                <c:pt idx="126">
                  <c:v>0.824461438043879</c:v>
                </c:pt>
                <c:pt idx="127">
                  <c:v>0.827652792522346</c:v>
                </c:pt>
                <c:pt idx="128">
                  <c:v>0.830816862261671</c:v>
                </c:pt>
                <c:pt idx="129">
                  <c:v>0.83395390957388</c:v>
                </c:pt>
                <c:pt idx="130">
                  <c:v>0.837064192409868</c:v>
                </c:pt>
                <c:pt idx="131">
                  <c:v>0.840147964430804</c:v>
                </c:pt>
                <c:pt idx="132">
                  <c:v>0.843205475079294</c:v>
                </c:pt>
                <c:pt idx="133">
                  <c:v>0.846236969650299</c:v>
                </c:pt>
                <c:pt idx="134">
                  <c:v>0.849242689361821</c:v>
                </c:pt>
                <c:pt idx="135">
                  <c:v>0.852222871425317</c:v>
                </c:pt>
                <c:pt idx="136">
                  <c:v>0.855177749115864</c:v>
                </c:pt>
                <c:pt idx="137">
                  <c:v>0.858107551842054</c:v>
                </c:pt>
                <c:pt idx="138">
                  <c:v>0.861012505215612</c:v>
                </c:pt>
                <c:pt idx="139">
                  <c:v>0.863892831120726</c:v>
                </c:pt>
                <c:pt idx="140">
                  <c:v>0.866748747783083</c:v>
                </c:pt>
                <c:pt idx="141">
                  <c:v>0.8695804698386</c:v>
                </c:pt>
                <c:pt idx="142">
                  <c:v>0.872388208401838</c:v>
                </c:pt>
                <c:pt idx="143">
                  <c:v>0.875172171134083</c:v>
                </c:pt>
                <c:pt idx="144">
                  <c:v>0.877932562311088</c:v>
                </c:pt>
                <c:pt idx="145">
                  <c:v>0.880669582890463</c:v>
                </c:pt>
                <c:pt idx="146">
                  <c:v>0.88338343057869</c:v>
                </c:pt>
                <c:pt idx="147">
                  <c:v>0.886074299897766</c:v>
                </c:pt>
                <c:pt idx="148">
                  <c:v>0.888742382251439</c:v>
                </c:pt>
                <c:pt idx="149">
                  <c:v>0.891387865991038</c:v>
                </c:pt>
                <c:pt idx="150">
                  <c:v>0.894010936480876</c:v>
                </c:pt>
                <c:pt idx="151">
                  <c:v>0.896611776163206</c:v>
                </c:pt>
                <c:pt idx="152">
                  <c:v>0.899190564622725</c:v>
                </c:pt>
                <c:pt idx="153">
                  <c:v>0.901747478650595</c:v>
                </c:pt>
                <c:pt idx="154">
                  <c:v>0.904282692307976</c:v>
                </c:pt>
                <c:pt idx="155">
                  <c:v>0.906796376989047</c:v>
                </c:pt>
                <c:pt idx="156">
                  <c:v>0.909288701483502</c:v>
                </c:pt>
                <c:pt idx="157">
                  <c:v>0.911759832038502</c:v>
                </c:pt>
                <c:pt idx="158">
                  <c:v>0.914209932420064</c:v>
                </c:pt>
                <c:pt idx="159">
                  <c:v>0.916639163973869</c:v>
                </c:pt>
                <c:pt idx="160">
                  <c:v>0.919047685685478</c:v>
                </c:pt>
                <c:pt idx="161">
                  <c:v>0.921435654239926</c:v>
                </c:pt>
                <c:pt idx="162">
                  <c:v>0.92380322408069</c:v>
                </c:pt>
                <c:pt idx="163">
                  <c:v>0.926150547468</c:v>
                </c:pt>
                <c:pt idx="164">
                  <c:v>0.928477774536488</c:v>
                </c:pt>
                <c:pt idx="165">
                  <c:v>0.93078505335215</c:v>
                </c:pt>
                <c:pt idx="166">
                  <c:v>0.933072529968597</c:v>
                </c:pt>
                <c:pt idx="167">
                  <c:v>0.935340348482605</c:v>
                </c:pt>
                <c:pt idx="168">
                  <c:v>0.937588651088905</c:v>
                </c:pt>
                <c:pt idx="169">
                  <c:v>0.939817578134242</c:v>
                </c:pt>
                <c:pt idx="170">
                  <c:v>0.942027268170647</c:v>
                </c:pt>
                <c:pt idx="171">
                  <c:v>0.944217858007939</c:v>
                </c:pt>
                <c:pt idx="172">
                  <c:v>0.946389482765415</c:v>
                </c:pt>
                <c:pt idx="173">
                  <c:v>0.948542275922733</c:v>
                </c:pt>
                <c:pt idx="174">
                  <c:v>0.95067636936996</c:v>
                </c:pt>
                <c:pt idx="175">
                  <c:v>0.952791893456783</c:v>
                </c:pt>
                <c:pt idx="176">
                  <c:v>0.954888977040857</c:v>
                </c:pt>
                <c:pt idx="177">
                  <c:v>0.956967747535288</c:v>
                </c:pt>
                <c:pt idx="178">
                  <c:v>0.959028330955232</c:v>
                </c:pt>
                <c:pt idx="179">
                  <c:v>0.961070851963603</c:v>
                </c:pt>
                <c:pt idx="180">
                  <c:v>0.963095433915877</c:v>
                </c:pt>
                <c:pt idx="181">
                  <c:v>0.965102198903979</c:v>
                </c:pt>
                <c:pt idx="182">
                  <c:v>0.96709126779925</c:v>
                </c:pt>
                <c:pt idx="183">
                  <c:v>0.969062760294486</c:v>
                </c:pt>
                <c:pt idx="184">
                  <c:v>0.971016794945022</c:v>
                </c:pt>
                <c:pt idx="185">
                  <c:v>0.972953489208888</c:v>
                </c:pt>
                <c:pt idx="186">
                  <c:v>0.974872959485998</c:v>
                </c:pt>
                <c:pt idx="187">
                  <c:v>0.976775321156385</c:v>
                </c:pt>
                <c:pt idx="188">
                  <c:v>0.978660688617472</c:v>
                </c:pt>
                <c:pt idx="189">
                  <c:v>0.980529175320373</c:v>
                </c:pt>
                <c:pt idx="190">
                  <c:v>0.982380893805223</c:v>
                </c:pt>
                <c:pt idx="191">
                  <c:v>0.98421595573554</c:v>
                </c:pt>
                <c:pt idx="192">
                  <c:v>0.986034471931605</c:v>
                </c:pt>
                <c:pt idx="193">
                  <c:v>0.987836552402871</c:v>
                </c:pt>
                <c:pt idx="194">
                  <c:v>0.989622306379395</c:v>
                </c:pt>
                <c:pt idx="195">
                  <c:v>0.991391842342297</c:v>
                </c:pt>
                <c:pt idx="196">
                  <c:v>0.993145268053244</c:v>
                </c:pt>
                <c:pt idx="197">
                  <c:v>0.994882690582971</c:v>
                </c:pt>
                <c:pt idx="198">
                  <c:v>0.996604216338829</c:v>
                </c:pt>
                <c:pt idx="199">
                  <c:v>0.998309951091374</c:v>
                </c:pt>
                <c:pt idx="200">
                  <c:v>1.0</c:v>
                </c:pt>
              </c:numCache>
            </c:numRef>
          </c:xVal>
          <c:yVal>
            <c:numRef>
              <c:f>Sectors!$V$17:$V$217</c:f>
              <c:numCache>
                <c:formatCode>#,##0.00</c:formatCode>
                <c:ptCount val="201"/>
                <c:pt idx="0">
                  <c:v>-2.952062043131429</c:v>
                </c:pt>
                <c:pt idx="1">
                  <c:v>-2.934791417835344</c:v>
                </c:pt>
                <c:pt idx="2">
                  <c:v>-2.917520792539261</c:v>
                </c:pt>
                <c:pt idx="3">
                  <c:v>-2.900250167243177</c:v>
                </c:pt>
                <c:pt idx="4">
                  <c:v>-2.882979541947094</c:v>
                </c:pt>
                <c:pt idx="5">
                  <c:v>-2.86570891665101</c:v>
                </c:pt>
                <c:pt idx="6">
                  <c:v>-2.848438291354927</c:v>
                </c:pt>
                <c:pt idx="7">
                  <c:v>-2.831167666058842</c:v>
                </c:pt>
                <c:pt idx="8">
                  <c:v>-2.81389704076276</c:v>
                </c:pt>
                <c:pt idx="9">
                  <c:v>-2.796626415466675</c:v>
                </c:pt>
                <c:pt idx="10">
                  <c:v>-2.779355790170593</c:v>
                </c:pt>
                <c:pt idx="11">
                  <c:v>-2.762085164874509</c:v>
                </c:pt>
                <c:pt idx="12">
                  <c:v>-2.744814539578425</c:v>
                </c:pt>
                <c:pt idx="13">
                  <c:v>-2.727543914282342</c:v>
                </c:pt>
                <c:pt idx="14">
                  <c:v>-2.710273288986258</c:v>
                </c:pt>
                <c:pt idx="15">
                  <c:v>-2.693002663690175</c:v>
                </c:pt>
                <c:pt idx="16">
                  <c:v>-2.67573203839409</c:v>
                </c:pt>
                <c:pt idx="17">
                  <c:v>-2.658461413098007</c:v>
                </c:pt>
                <c:pt idx="18">
                  <c:v>-2.641190787801923</c:v>
                </c:pt>
                <c:pt idx="19">
                  <c:v>-2.623920162505841</c:v>
                </c:pt>
                <c:pt idx="20">
                  <c:v>-2.599741287091323</c:v>
                </c:pt>
                <c:pt idx="21">
                  <c:v>-2.589378911913673</c:v>
                </c:pt>
                <c:pt idx="22">
                  <c:v>-2.572108286617589</c:v>
                </c:pt>
                <c:pt idx="23">
                  <c:v>-2.554837661321506</c:v>
                </c:pt>
                <c:pt idx="24">
                  <c:v>-2.537567036025422</c:v>
                </c:pt>
                <c:pt idx="25">
                  <c:v>-2.52029641072934</c:v>
                </c:pt>
                <c:pt idx="26">
                  <c:v>-2.503025785433256</c:v>
                </c:pt>
                <c:pt idx="27">
                  <c:v>-2.485755160137172</c:v>
                </c:pt>
                <c:pt idx="28">
                  <c:v>-2.468484534841088</c:v>
                </c:pt>
                <c:pt idx="29">
                  <c:v>-2.451213909545005</c:v>
                </c:pt>
                <c:pt idx="30">
                  <c:v>-2.433943284248921</c:v>
                </c:pt>
                <c:pt idx="31">
                  <c:v>-2.416672658952838</c:v>
                </c:pt>
                <c:pt idx="32">
                  <c:v>-2.399402033656754</c:v>
                </c:pt>
                <c:pt idx="33">
                  <c:v>-2.38213140836067</c:v>
                </c:pt>
                <c:pt idx="34">
                  <c:v>-2.364860783064587</c:v>
                </c:pt>
                <c:pt idx="35">
                  <c:v>-2.347590157768503</c:v>
                </c:pt>
                <c:pt idx="36">
                  <c:v>-2.33031953247242</c:v>
                </c:pt>
                <c:pt idx="37">
                  <c:v>-2.313048907176336</c:v>
                </c:pt>
                <c:pt idx="38">
                  <c:v>-2.295778281880253</c:v>
                </c:pt>
                <c:pt idx="39">
                  <c:v>-2.278507656584169</c:v>
                </c:pt>
                <c:pt idx="40">
                  <c:v>-2.261237031288086</c:v>
                </c:pt>
                <c:pt idx="41">
                  <c:v>-2.243966405992001</c:v>
                </c:pt>
                <c:pt idx="42">
                  <c:v>-2.226695780695918</c:v>
                </c:pt>
                <c:pt idx="43">
                  <c:v>-2.209425155399835</c:v>
                </c:pt>
                <c:pt idx="44">
                  <c:v>-2.192154530103751</c:v>
                </c:pt>
                <c:pt idx="45">
                  <c:v>-2.174883904807668</c:v>
                </c:pt>
                <c:pt idx="46">
                  <c:v>-2.157613279511584</c:v>
                </c:pt>
                <c:pt idx="47">
                  <c:v>-2.1403426542155</c:v>
                </c:pt>
                <c:pt idx="48">
                  <c:v>-2.123072028919416</c:v>
                </c:pt>
                <c:pt idx="49">
                  <c:v>-2.105801403623333</c:v>
                </c:pt>
                <c:pt idx="50">
                  <c:v>-2.08853077832725</c:v>
                </c:pt>
                <c:pt idx="51">
                  <c:v>-2.071260153031166</c:v>
                </c:pt>
                <c:pt idx="52">
                  <c:v>-2.053989527735083</c:v>
                </c:pt>
                <c:pt idx="53">
                  <c:v>-2.036718902438999</c:v>
                </c:pt>
                <c:pt idx="54">
                  <c:v>-2.019448277142915</c:v>
                </c:pt>
                <c:pt idx="55">
                  <c:v>-2.002177651846832</c:v>
                </c:pt>
                <c:pt idx="56">
                  <c:v>-1.984907026550748</c:v>
                </c:pt>
                <c:pt idx="57">
                  <c:v>-1.967636401254664</c:v>
                </c:pt>
                <c:pt idx="58">
                  <c:v>-1.950365775958581</c:v>
                </c:pt>
                <c:pt idx="59">
                  <c:v>-1.933095150662498</c:v>
                </c:pt>
                <c:pt idx="60">
                  <c:v>-1.915824525366414</c:v>
                </c:pt>
                <c:pt idx="61">
                  <c:v>-1.89855390007033</c:v>
                </c:pt>
                <c:pt idx="62">
                  <c:v>-1.881283274774246</c:v>
                </c:pt>
                <c:pt idx="63">
                  <c:v>-1.864012649478163</c:v>
                </c:pt>
                <c:pt idx="64">
                  <c:v>-1.84674202418208</c:v>
                </c:pt>
                <c:pt idx="65">
                  <c:v>-1.829471398885996</c:v>
                </c:pt>
                <c:pt idx="66">
                  <c:v>-1.812200773589912</c:v>
                </c:pt>
                <c:pt idx="67">
                  <c:v>-1.79493014829383</c:v>
                </c:pt>
                <c:pt idx="68">
                  <c:v>-1.777659522997745</c:v>
                </c:pt>
                <c:pt idx="69">
                  <c:v>-1.760388897701662</c:v>
                </c:pt>
                <c:pt idx="70">
                  <c:v>-1.743118272405578</c:v>
                </c:pt>
                <c:pt idx="71">
                  <c:v>-1.725847647109494</c:v>
                </c:pt>
                <c:pt idx="72">
                  <c:v>-1.708577021813411</c:v>
                </c:pt>
                <c:pt idx="73">
                  <c:v>-1.691306396517327</c:v>
                </c:pt>
                <c:pt idx="74">
                  <c:v>-1.674035771221243</c:v>
                </c:pt>
                <c:pt idx="75">
                  <c:v>-1.65676514592516</c:v>
                </c:pt>
                <c:pt idx="76">
                  <c:v>-1.639494520629077</c:v>
                </c:pt>
                <c:pt idx="77">
                  <c:v>-1.622223895332993</c:v>
                </c:pt>
                <c:pt idx="78">
                  <c:v>-1.604953270036909</c:v>
                </c:pt>
                <c:pt idx="79">
                  <c:v>-1.587682644740826</c:v>
                </c:pt>
                <c:pt idx="80">
                  <c:v>-1.570412019444742</c:v>
                </c:pt>
                <c:pt idx="81">
                  <c:v>-1.553141394148659</c:v>
                </c:pt>
                <c:pt idx="82">
                  <c:v>-1.535870768852575</c:v>
                </c:pt>
                <c:pt idx="83">
                  <c:v>-1.518600143556491</c:v>
                </c:pt>
                <c:pt idx="84">
                  <c:v>-1.501329518260408</c:v>
                </c:pt>
                <c:pt idx="85">
                  <c:v>-1.484058892964324</c:v>
                </c:pt>
                <c:pt idx="86">
                  <c:v>-1.466788267668241</c:v>
                </c:pt>
                <c:pt idx="87">
                  <c:v>-1.449517642372157</c:v>
                </c:pt>
                <c:pt idx="88">
                  <c:v>-1.432247017076074</c:v>
                </c:pt>
                <c:pt idx="89">
                  <c:v>-1.41497639177999</c:v>
                </c:pt>
                <c:pt idx="90">
                  <c:v>-1.397705766483906</c:v>
                </c:pt>
                <c:pt idx="91">
                  <c:v>-1.380435141187823</c:v>
                </c:pt>
                <c:pt idx="92">
                  <c:v>-1.36316451589174</c:v>
                </c:pt>
                <c:pt idx="93">
                  <c:v>-1.345893890595656</c:v>
                </c:pt>
                <c:pt idx="94">
                  <c:v>-1.328623265299572</c:v>
                </c:pt>
                <c:pt idx="95">
                  <c:v>-1.311352640003488</c:v>
                </c:pt>
                <c:pt idx="96">
                  <c:v>-1.294082014707405</c:v>
                </c:pt>
                <c:pt idx="97">
                  <c:v>-1.276811389411322</c:v>
                </c:pt>
                <c:pt idx="98">
                  <c:v>-1.259540764115238</c:v>
                </c:pt>
                <c:pt idx="99">
                  <c:v>-1.242270138819154</c:v>
                </c:pt>
                <c:pt idx="100">
                  <c:v>-1.224999513523071</c:v>
                </c:pt>
                <c:pt idx="101">
                  <c:v>-1.207728888226987</c:v>
                </c:pt>
                <c:pt idx="102">
                  <c:v>-1.190458262930904</c:v>
                </c:pt>
                <c:pt idx="103">
                  <c:v>-1.17318763763482</c:v>
                </c:pt>
                <c:pt idx="104">
                  <c:v>-1.155917012338736</c:v>
                </c:pt>
                <c:pt idx="105">
                  <c:v>-1.138646387042653</c:v>
                </c:pt>
                <c:pt idx="106">
                  <c:v>-1.12137576174657</c:v>
                </c:pt>
                <c:pt idx="107">
                  <c:v>-1.104105136450485</c:v>
                </c:pt>
                <c:pt idx="108">
                  <c:v>-1.086834511154402</c:v>
                </c:pt>
                <c:pt idx="109">
                  <c:v>-1.069563885858319</c:v>
                </c:pt>
                <c:pt idx="110">
                  <c:v>-1.052293260562235</c:v>
                </c:pt>
                <c:pt idx="111">
                  <c:v>-1.035022635266151</c:v>
                </c:pt>
                <c:pt idx="112">
                  <c:v>-1.017752009970068</c:v>
                </c:pt>
                <c:pt idx="113">
                  <c:v>-1.000481384673984</c:v>
                </c:pt>
                <c:pt idx="114">
                  <c:v>-0.983210759377901</c:v>
                </c:pt>
                <c:pt idx="115">
                  <c:v>-0.965940134081817</c:v>
                </c:pt>
                <c:pt idx="116">
                  <c:v>-0.970122711798941</c:v>
                </c:pt>
                <c:pt idx="117">
                  <c:v>-0.952852086502858</c:v>
                </c:pt>
                <c:pt idx="118">
                  <c:v>-0.935581461206774</c:v>
                </c:pt>
                <c:pt idx="119">
                  <c:v>-0.91831083591069</c:v>
                </c:pt>
                <c:pt idx="120">
                  <c:v>-0.901040210614607</c:v>
                </c:pt>
                <c:pt idx="121">
                  <c:v>-0.883769585318523</c:v>
                </c:pt>
                <c:pt idx="122">
                  <c:v>-0.866498960022439</c:v>
                </c:pt>
                <c:pt idx="123">
                  <c:v>-0.849228334726355</c:v>
                </c:pt>
                <c:pt idx="124">
                  <c:v>-0.831957709430272</c:v>
                </c:pt>
                <c:pt idx="125">
                  <c:v>-0.814687084134189</c:v>
                </c:pt>
                <c:pt idx="126">
                  <c:v>-0.797416458838105</c:v>
                </c:pt>
                <c:pt idx="127">
                  <c:v>-0.780145833542021</c:v>
                </c:pt>
                <c:pt idx="128">
                  <c:v>-0.762875208245937</c:v>
                </c:pt>
                <c:pt idx="129">
                  <c:v>-0.745604582949854</c:v>
                </c:pt>
                <c:pt idx="130">
                  <c:v>-0.728333957653771</c:v>
                </c:pt>
                <c:pt idx="131">
                  <c:v>-0.711063332357687</c:v>
                </c:pt>
                <c:pt idx="132">
                  <c:v>-0.693792707061603</c:v>
                </c:pt>
                <c:pt idx="133">
                  <c:v>-0.67652208176552</c:v>
                </c:pt>
                <c:pt idx="134">
                  <c:v>-0.659251456469436</c:v>
                </c:pt>
                <c:pt idx="135">
                  <c:v>-0.641980831173353</c:v>
                </c:pt>
                <c:pt idx="136">
                  <c:v>-0.624710205877269</c:v>
                </c:pt>
                <c:pt idx="137">
                  <c:v>-0.607439580581185</c:v>
                </c:pt>
                <c:pt idx="138">
                  <c:v>-0.590168955285102</c:v>
                </c:pt>
                <c:pt idx="139">
                  <c:v>-0.572898329989019</c:v>
                </c:pt>
                <c:pt idx="140">
                  <c:v>-0.555627704692935</c:v>
                </c:pt>
                <c:pt idx="141">
                  <c:v>-0.538357079396852</c:v>
                </c:pt>
                <c:pt idx="142">
                  <c:v>-0.521086454100768</c:v>
                </c:pt>
                <c:pt idx="143">
                  <c:v>-0.503815828804684</c:v>
                </c:pt>
                <c:pt idx="144">
                  <c:v>-0.486545203508601</c:v>
                </c:pt>
                <c:pt idx="145">
                  <c:v>-0.469274578212517</c:v>
                </c:pt>
                <c:pt idx="146">
                  <c:v>-0.452003952916433</c:v>
                </c:pt>
                <c:pt idx="147">
                  <c:v>-0.43473332762035</c:v>
                </c:pt>
                <c:pt idx="148">
                  <c:v>-0.417462702324266</c:v>
                </c:pt>
                <c:pt idx="149">
                  <c:v>-0.400192077028183</c:v>
                </c:pt>
                <c:pt idx="150">
                  <c:v>-0.382921451732099</c:v>
                </c:pt>
                <c:pt idx="151">
                  <c:v>-0.365650826436016</c:v>
                </c:pt>
                <c:pt idx="152">
                  <c:v>-0.348380201139932</c:v>
                </c:pt>
                <c:pt idx="153">
                  <c:v>-0.331109575843848</c:v>
                </c:pt>
                <c:pt idx="154">
                  <c:v>-0.313838950547765</c:v>
                </c:pt>
                <c:pt idx="155">
                  <c:v>-0.296568325251681</c:v>
                </c:pt>
                <c:pt idx="156">
                  <c:v>-0.279297699955598</c:v>
                </c:pt>
                <c:pt idx="157">
                  <c:v>-0.262027074659514</c:v>
                </c:pt>
                <c:pt idx="158">
                  <c:v>-0.24475644936343</c:v>
                </c:pt>
                <c:pt idx="159">
                  <c:v>-0.227485824067347</c:v>
                </c:pt>
                <c:pt idx="160">
                  <c:v>-0.210215198771263</c:v>
                </c:pt>
                <c:pt idx="161">
                  <c:v>-0.19294457347518</c:v>
                </c:pt>
                <c:pt idx="162">
                  <c:v>-0.175673948179096</c:v>
                </c:pt>
                <c:pt idx="163">
                  <c:v>-0.158403322883012</c:v>
                </c:pt>
                <c:pt idx="164">
                  <c:v>-0.14113269758693</c:v>
                </c:pt>
                <c:pt idx="165">
                  <c:v>-0.123862072290846</c:v>
                </c:pt>
                <c:pt idx="166">
                  <c:v>-0.106591446994762</c:v>
                </c:pt>
                <c:pt idx="167">
                  <c:v>-0.0893208216986786</c:v>
                </c:pt>
                <c:pt idx="168">
                  <c:v>-0.0720501964025955</c:v>
                </c:pt>
                <c:pt idx="169">
                  <c:v>-0.0547795711065114</c:v>
                </c:pt>
                <c:pt idx="170">
                  <c:v>-0.037508945810428</c:v>
                </c:pt>
                <c:pt idx="171">
                  <c:v>-0.020238320514344</c:v>
                </c:pt>
                <c:pt idx="172">
                  <c:v>-0.00296769521826068</c:v>
                </c:pt>
                <c:pt idx="173">
                  <c:v>0.0143029300778228</c:v>
                </c:pt>
                <c:pt idx="174">
                  <c:v>0.0315735553739064</c:v>
                </c:pt>
                <c:pt idx="175">
                  <c:v>0.0488441806699902</c:v>
                </c:pt>
                <c:pt idx="176">
                  <c:v>0.0661148059660734</c:v>
                </c:pt>
                <c:pt idx="177">
                  <c:v>0.0833854312621575</c:v>
                </c:pt>
                <c:pt idx="178">
                  <c:v>0.100656056558241</c:v>
                </c:pt>
                <c:pt idx="179">
                  <c:v>0.117926681854324</c:v>
                </c:pt>
                <c:pt idx="180">
                  <c:v>0.135197307150408</c:v>
                </c:pt>
                <c:pt idx="181">
                  <c:v>0.152467932446492</c:v>
                </c:pt>
                <c:pt idx="182">
                  <c:v>0.169738557742575</c:v>
                </c:pt>
                <c:pt idx="183">
                  <c:v>0.187009183038659</c:v>
                </c:pt>
                <c:pt idx="184">
                  <c:v>0.204279808334743</c:v>
                </c:pt>
                <c:pt idx="185">
                  <c:v>0.221550433630826</c:v>
                </c:pt>
                <c:pt idx="186">
                  <c:v>0.23882105892691</c:v>
                </c:pt>
                <c:pt idx="187">
                  <c:v>0.256091684222993</c:v>
                </c:pt>
                <c:pt idx="188">
                  <c:v>0.273362309519077</c:v>
                </c:pt>
                <c:pt idx="189">
                  <c:v>0.29063293481516</c:v>
                </c:pt>
                <c:pt idx="190">
                  <c:v>0.307903560111244</c:v>
                </c:pt>
                <c:pt idx="191">
                  <c:v>0.325174185407327</c:v>
                </c:pt>
                <c:pt idx="192">
                  <c:v>0.342444810703411</c:v>
                </c:pt>
                <c:pt idx="193">
                  <c:v>0.359715435999494</c:v>
                </c:pt>
                <c:pt idx="194">
                  <c:v>0.376986061295578</c:v>
                </c:pt>
                <c:pt idx="195">
                  <c:v>0.394256686591661</c:v>
                </c:pt>
                <c:pt idx="196">
                  <c:v>0.411527311887745</c:v>
                </c:pt>
                <c:pt idx="197">
                  <c:v>0.428797937183829</c:v>
                </c:pt>
                <c:pt idx="198">
                  <c:v>0.446068562479912</c:v>
                </c:pt>
                <c:pt idx="199">
                  <c:v>0.463339187775996</c:v>
                </c:pt>
                <c:pt idx="200">
                  <c:v>0.48060981307208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chartcomponents!$A$6</c:f>
              <c:strCache>
                <c:ptCount val="1"/>
                <c:pt idx="0">
                  <c:v>ACA log critical ratio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chartcomponents!$B$6:$B$7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chartcomponents!$C$6:$C$7</c:f>
              <c:numCache>
                <c:formatCode>0.00</c:formatCode>
                <c:ptCount val="2"/>
                <c:pt idx="0">
                  <c:v>-1.13011291612841</c:v>
                </c:pt>
                <c:pt idx="1">
                  <c:v>-1.13011291612841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chartcomponents!$A$10</c:f>
              <c:strCache>
                <c:ptCount val="1"/>
                <c:pt idx="0">
                  <c:v>ACA ESI margin (prices constant)</c:v>
                </c:pt>
              </c:strCache>
            </c:strRef>
          </c:tx>
          <c:spPr>
            <a:ln w="44450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chartcomponents!$B$10:$B$11</c:f>
              <c:numCache>
                <c:formatCode>0.00</c:formatCode>
                <c:ptCount val="2"/>
                <c:pt idx="0">
                  <c:v>0.748574761001022</c:v>
                </c:pt>
                <c:pt idx="1">
                  <c:v>0.748574761001022</c:v>
                </c:pt>
              </c:numCache>
            </c:numRef>
          </c:xVal>
          <c:yVal>
            <c:numRef>
              <c:f>chartcomponents!$C$10:$C$11</c:f>
              <c:numCache>
                <c:formatCode>General</c:formatCode>
                <c:ptCount val="2"/>
                <c:pt idx="0">
                  <c:v>-2.9</c:v>
                </c:pt>
                <c:pt idx="1">
                  <c:v>1.4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chartcomponents!$A$8</c:f>
              <c:strCache>
                <c:ptCount val="1"/>
                <c:pt idx="0">
                  <c:v>pre-ACA ESI margin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chartcomponents!$B$8:$B$9</c:f>
              <c:numCache>
                <c:formatCode>0.00</c:formatCode>
                <c:ptCount val="2"/>
                <c:pt idx="0">
                  <c:v>0.787476143009737</c:v>
                </c:pt>
                <c:pt idx="1">
                  <c:v>0.787476143009737</c:v>
                </c:pt>
              </c:numCache>
            </c:numRef>
          </c:xVal>
          <c:yVal>
            <c:numRef>
              <c:f>chartcomponents!$C$8:$C$9</c:f>
              <c:numCache>
                <c:formatCode>General</c:formatCode>
                <c:ptCount val="2"/>
                <c:pt idx="0">
                  <c:v>-2.9</c:v>
                </c:pt>
                <c:pt idx="1">
                  <c:v>1.4</c:v>
                </c:pt>
              </c:numCache>
            </c:numRef>
          </c:yVal>
          <c:smooth val="0"/>
        </c:ser>
        <c:ser>
          <c:idx val="1"/>
          <c:order val="4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chartcomponents!$B$2:$B$3</c:f>
              <c:numCache>
                <c:formatCode>0.00</c:formatCode>
                <c:ptCount val="2"/>
                <c:pt idx="0" formatCode="General">
                  <c:v>0.0</c:v>
                </c:pt>
                <c:pt idx="1">
                  <c:v>0.787476143009737</c:v>
                </c:pt>
              </c:numCache>
            </c:numRef>
          </c:xVal>
          <c:yVal>
            <c:numRef>
              <c:f>chartcomponents!$C$2:$C$3</c:f>
              <c:numCache>
                <c:formatCode>0.00</c:formatCode>
                <c:ptCount val="2"/>
                <c:pt idx="0">
                  <c:v>-2.030005400641124</c:v>
                </c:pt>
                <c:pt idx="1">
                  <c:v>-2.030005400641124</c:v>
                </c:pt>
              </c:numCache>
            </c:numRef>
          </c:yVal>
          <c:smooth val="0"/>
        </c:ser>
        <c:ser>
          <c:idx val="2"/>
          <c:order val="5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chartcomponents!$B$4:$B$5</c:f>
              <c:numCache>
                <c:formatCode>General</c:formatCode>
                <c:ptCount val="2"/>
                <c:pt idx="0" formatCode="0.00">
                  <c:v>0.787476143009737</c:v>
                </c:pt>
                <c:pt idx="1">
                  <c:v>1.0</c:v>
                </c:pt>
              </c:numCache>
            </c:numRef>
          </c:xVal>
          <c:yVal>
            <c:numRef>
              <c:f>chartcomponents!$C$4:$C$5</c:f>
              <c:numCache>
                <c:formatCode>0.00</c:formatCode>
                <c:ptCount val="2"/>
                <c:pt idx="0">
                  <c:v>-0.359159751381391</c:v>
                </c:pt>
                <c:pt idx="1">
                  <c:v>-0.359159751381391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757808"/>
        <c:axId val="-1428677296"/>
      </c:scatterChart>
      <c:valAx>
        <c:axId val="-14287578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Workforce</a:t>
                </a:r>
                <a:r>
                  <a:rPr lang="en-US" sz="1400" baseline="0"/>
                  <a:t> quantiles according to pre-ACA cost of ESI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265870893300409"/>
              <c:y val="0.100385759677222"/>
            </c:manualLayout>
          </c:layout>
          <c:overlay val="0"/>
        </c:title>
        <c:numFmt formatCode="General" sourceLinked="0"/>
        <c:majorTickMark val="in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-1428677296"/>
        <c:crosses val="autoZero"/>
        <c:crossBetween val="midCat"/>
      </c:valAx>
      <c:valAx>
        <c:axId val="-1428677296"/>
        <c:scaling>
          <c:orientation val="minMax"/>
          <c:max val="0.0"/>
          <c:min val="-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Low-skill/high-skill</a:t>
                </a:r>
                <a:r>
                  <a:rPr lang="en-US" sz="1400" baseline="0"/>
                  <a:t> comepsation at employer, log</a:t>
                </a:r>
                <a:endParaRPr lang="en-US" sz="1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1428757808"/>
        <c:crosses val="autoZero"/>
        <c:crossBetween val="midCat"/>
        <c:majorUnit val="1.0"/>
      </c:valAx>
    </c:plotArea>
    <c:legend>
      <c:legendPos val="r"/>
      <c:layout>
        <c:manualLayout>
          <c:xMode val="edge"/>
          <c:yMode val="edge"/>
          <c:x val="0.127111954245341"/>
          <c:y val="0.199871911633019"/>
          <c:w val="0.468549792188044"/>
          <c:h val="0.21706971466948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7"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8"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9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0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1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2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3"/>
  <sheetViews>
    <sheetView zoomScale="80" workbookViewId="0"/>
  </sheetViews>
  <pageMargins left="0.7" right="0.7" top="0.75" bottom="0.75" header="0.3" footer="0.3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4"/>
  <sheetViews>
    <sheetView zoomScale="122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374650</xdr:colOff>
      <xdr:row>78</xdr:row>
      <xdr:rowOff>76200</xdr:rowOff>
    </xdr:from>
    <xdr:to>
      <xdr:col>28</xdr:col>
      <xdr:colOff>819150</xdr:colOff>
      <xdr:row>111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0.12007</cdr:x>
      <cdr:y>0.34335</cdr:y>
    </cdr:from>
    <cdr:to>
      <cdr:x>0.555</cdr:x>
      <cdr:y>0.41672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39769" y="2157679"/>
          <a:ext cx="3766358" cy="46107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0.77498</cdr:x>
      <cdr:y>0.2289</cdr:y>
    </cdr:from>
    <cdr:to>
      <cdr:x>0.93283</cdr:x>
      <cdr:y>0.2867</cdr:y>
    </cdr:to>
    <cdr:sp macro="" textlink="chartcomponents!$A$4">
      <cdr:nvSpPr>
        <cdr:cNvPr id="3" name="TextBox 2"/>
        <cdr:cNvSpPr txBox="1"/>
      </cdr:nvSpPr>
      <cdr:spPr>
        <a:xfrm xmlns:a="http://schemas.openxmlformats.org/drawingml/2006/main">
          <a:off x="6711099" y="1439628"/>
          <a:ext cx="1366942" cy="363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6BC9BBD-9CCC-4802-946A-0D01AC34CD58}" type="TxLink">
            <a:rPr lang="en-US" sz="1200"/>
            <a:pPr/>
            <a:t>measured log non-ESI avg.</a:t>
          </a:fld>
          <a:endParaRPr lang="en-US" sz="1200"/>
        </a:p>
      </cdr:txBody>
    </cdr:sp>
  </cdr:relSizeAnchor>
  <cdr:relSizeAnchor xmlns:cdr="http://schemas.openxmlformats.org/drawingml/2006/chartDrawing">
    <cdr:from>
      <cdr:x>0.16373</cdr:x>
      <cdr:y>0.64509</cdr:y>
    </cdr:from>
    <cdr:to>
      <cdr:x>0.40806</cdr:x>
      <cdr:y>0.70405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417858" y="4057230"/>
          <a:ext cx="2115837" cy="370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measured log ESI average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3625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CBMTRom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BMThemeTR">
      <a:majorFont>
        <a:latin typeface="Cambria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DB74"/>
  <sheetViews>
    <sheetView workbookViewId="0">
      <selection activeCell="B32" sqref="B32"/>
    </sheetView>
  </sheetViews>
  <sheetFormatPr baseColWidth="10" defaultColWidth="8.83203125" defaultRowHeight="14" x14ac:dyDescent="0.15"/>
  <cols>
    <col min="1" max="1" width="46.6640625" customWidth="1"/>
    <col min="2" max="2" width="11.6640625" customWidth="1"/>
    <col min="3" max="3" width="10.6640625" customWidth="1"/>
    <col min="4" max="4" width="9.6640625" customWidth="1"/>
  </cols>
  <sheetData>
    <row r="1" spans="1:106" x14ac:dyDescent="0.15">
      <c r="A1" s="1" t="s">
        <v>0</v>
      </c>
    </row>
    <row r="2" spans="1:106" x14ac:dyDescent="0.15">
      <c r="A2" s="1"/>
    </row>
    <row r="3" spans="1:106" x14ac:dyDescent="0.15">
      <c r="A3" s="113" t="s">
        <v>1</v>
      </c>
      <c r="B3" s="113"/>
      <c r="C3" s="113"/>
      <c r="D3" s="113"/>
      <c r="F3" s="109" t="s">
        <v>2</v>
      </c>
      <c r="G3" s="109"/>
      <c r="H3" s="109"/>
      <c r="I3" s="69"/>
    </row>
    <row r="4" spans="1:106" x14ac:dyDescent="0.15">
      <c r="B4" s="3" t="s">
        <v>3</v>
      </c>
      <c r="C4" s="4" t="str">
        <f>TEXT($G$6,"0%")&amp;"/"&amp;TEXT($H$6,"0%")</f>
        <v>100%/100%</v>
      </c>
      <c r="D4" s="4" t="str">
        <f>TEXT($G$7,"0%")&amp;"/"&amp;TEXT($H$7,"0%")</f>
        <v>80%/50%</v>
      </c>
      <c r="F4" s="4" t="s">
        <v>4</v>
      </c>
      <c r="G4" s="2" t="s">
        <v>5</v>
      </c>
      <c r="DB4">
        <v>121286.81795709363</v>
      </c>
    </row>
    <row r="5" spans="1:106" x14ac:dyDescent="0.15">
      <c r="A5" s="1" t="s">
        <v>86</v>
      </c>
      <c r="B5" s="3"/>
      <c r="C5" s="4"/>
      <c r="D5" s="4"/>
      <c r="F5" s="4"/>
      <c r="G5" s="44" t="s">
        <v>110</v>
      </c>
      <c r="H5" s="44" t="s">
        <v>172</v>
      </c>
      <c r="I5" s="44" t="s">
        <v>243</v>
      </c>
      <c r="J5" t="s">
        <v>173</v>
      </c>
      <c r="DB5">
        <v>582199.73606049165</v>
      </c>
    </row>
    <row r="6" spans="1:106" ht="15" customHeight="1" x14ac:dyDescent="0.15">
      <c r="A6" s="5" t="s">
        <v>6</v>
      </c>
      <c r="B6" s="67">
        <f>1.03*65.564742</f>
        <v>67.531684259999992</v>
      </c>
      <c r="C6" s="110" t="s">
        <v>7</v>
      </c>
      <c r="D6" s="108"/>
      <c r="E6" s="7"/>
      <c r="F6" s="8">
        <v>1.5</v>
      </c>
      <c r="G6" s="9">
        <v>1</v>
      </c>
      <c r="H6" s="9">
        <v>1</v>
      </c>
      <c r="I6" s="70">
        <v>1</v>
      </c>
      <c r="J6" s="9">
        <v>0.52</v>
      </c>
      <c r="K6" s="45">
        <f>H6*(1-$J$6)+G6*$J$6</f>
        <v>1</v>
      </c>
      <c r="DB6">
        <v>465621.91829837672</v>
      </c>
    </row>
    <row r="7" spans="1:106" x14ac:dyDescent="0.15">
      <c r="A7" s="10" t="s">
        <v>8</v>
      </c>
      <c r="B7" s="67">
        <f>1.03*7.512929</f>
        <v>7.7383168700000002</v>
      </c>
      <c r="C7" s="110"/>
      <c r="D7" s="108"/>
      <c r="G7" s="9">
        <v>0.8</v>
      </c>
      <c r="H7" s="9">
        <v>0.5</v>
      </c>
      <c r="K7" s="45">
        <f>H7*(1-$J$6)+G7*$J$6</f>
        <v>0.65600000000000003</v>
      </c>
      <c r="DB7">
        <v>2240966.42155611</v>
      </c>
    </row>
    <row r="8" spans="1:106" x14ac:dyDescent="0.15">
      <c r="A8" s="12" t="s">
        <v>9</v>
      </c>
      <c r="B8" s="67">
        <f>1.03*32.914903</f>
        <v>33.902350090000006</v>
      </c>
      <c r="C8" s="110"/>
      <c r="D8" s="108"/>
      <c r="E8" s="7"/>
      <c r="DB8">
        <v>19299.334088991774</v>
      </c>
    </row>
    <row r="9" spans="1:106" x14ac:dyDescent="0.15">
      <c r="A9" s="5" t="s">
        <v>10</v>
      </c>
      <c r="B9" s="67">
        <f>1.03*13.41636</f>
        <v>13.8188508</v>
      </c>
      <c r="C9" s="111"/>
      <c r="D9" s="112"/>
      <c r="DB9">
        <v>-96026.691871379837</v>
      </c>
    </row>
    <row r="10" spans="1:106" x14ac:dyDescent="0.15">
      <c r="A10" s="1" t="s">
        <v>87</v>
      </c>
      <c r="B10" s="3"/>
      <c r="C10" s="4"/>
      <c r="D10" s="4"/>
      <c r="DB10">
        <v>70266.651605095612</v>
      </c>
    </row>
    <row r="11" spans="1:106" x14ac:dyDescent="0.15">
      <c r="A11" s="5" t="s">
        <v>20</v>
      </c>
      <c r="B11">
        <v>0</v>
      </c>
      <c r="C11" s="13">
        <v>0</v>
      </c>
      <c r="D11" s="14">
        <f>C11*$G$7/$G$6</f>
        <v>0</v>
      </c>
      <c r="DB11">
        <v>-253959.47918953956</v>
      </c>
    </row>
    <row r="12" spans="1:106" x14ac:dyDescent="0.15">
      <c r="A12" s="5" t="s">
        <v>78</v>
      </c>
      <c r="B12">
        <v>0</v>
      </c>
      <c r="C12" s="30">
        <f>2000*$H$6/((1+0.0765)*(1-0.39))</f>
        <v>3045.6930093731203</v>
      </c>
      <c r="D12" s="105">
        <f>C12*$H$7/$H$6</f>
        <v>1522.8465046865601</v>
      </c>
    </row>
    <row r="13" spans="1:106" x14ac:dyDescent="0.15">
      <c r="A13" s="5" t="s">
        <v>79</v>
      </c>
      <c r="B13" s="8">
        <f>47.3282*0.82806/52</f>
        <v>0.75366517869230776</v>
      </c>
      <c r="C13" s="24">
        <f>B13</f>
        <v>0.75366517869230776</v>
      </c>
      <c r="D13" s="24">
        <f>C13</f>
        <v>0.75366517869230776</v>
      </c>
      <c r="H13" s="85"/>
    </row>
    <row r="14" spans="1:106" x14ac:dyDescent="0.15">
      <c r="A14" s="5" t="s">
        <v>80</v>
      </c>
      <c r="B14" s="8">
        <f>49.924*0.921222/52</f>
        <v>0.88444398323076912</v>
      </c>
      <c r="C14" s="24">
        <f>B14</f>
        <v>0.88444398323076912</v>
      </c>
      <c r="D14" s="24">
        <f>C14</f>
        <v>0.88444398323076912</v>
      </c>
    </row>
    <row r="15" spans="1:106" x14ac:dyDescent="0.15">
      <c r="A15" s="5" t="s">
        <v>81</v>
      </c>
      <c r="B15">
        <v>0</v>
      </c>
      <c r="C15" s="30">
        <f>7968.16*$G$6/(1-C19)</f>
        <v>10624.213333333333</v>
      </c>
      <c r="D15" s="30">
        <f>C15*$G$7/$G$6</f>
        <v>8499.3706666666676</v>
      </c>
    </row>
    <row r="16" spans="1:106" x14ac:dyDescent="0.15">
      <c r="A16" s="5" t="s">
        <v>82</v>
      </c>
      <c r="B16">
        <v>0</v>
      </c>
      <c r="C16" s="30">
        <f>680.6917*$G$6/(1-C20)</f>
        <v>907.58893333333333</v>
      </c>
      <c r="D16" s="30">
        <f>C16*$G$7/$G$6</f>
        <v>726.07114666666666</v>
      </c>
    </row>
    <row r="17" spans="1:9" x14ac:dyDescent="0.15">
      <c r="A17" s="5" t="s">
        <v>185</v>
      </c>
      <c r="B17" s="8">
        <f>47.3282/52</f>
        <v>0.91015769230769239</v>
      </c>
      <c r="C17" s="24">
        <f>B17</f>
        <v>0.91015769230769239</v>
      </c>
      <c r="D17" s="24">
        <f>C17</f>
        <v>0.91015769230769239</v>
      </c>
    </row>
    <row r="18" spans="1:9" x14ac:dyDescent="0.15">
      <c r="A18" s="5" t="s">
        <v>186</v>
      </c>
      <c r="B18" s="8">
        <f>49.924/52</f>
        <v>0.96007692307692305</v>
      </c>
      <c r="C18" s="24">
        <f>B18</f>
        <v>0.96007692307692305</v>
      </c>
      <c r="D18" s="24">
        <f>C18</f>
        <v>0.96007692307692305</v>
      </c>
    </row>
    <row r="19" spans="1:9" x14ac:dyDescent="0.15">
      <c r="A19" s="5" t="s">
        <v>239</v>
      </c>
      <c r="B19" s="8">
        <v>0.25</v>
      </c>
      <c r="C19" s="24">
        <f>B19</f>
        <v>0.25</v>
      </c>
      <c r="D19" s="24">
        <f>B19</f>
        <v>0.25</v>
      </c>
    </row>
    <row r="20" spans="1:9" x14ac:dyDescent="0.15">
      <c r="A20" s="5" t="s">
        <v>240</v>
      </c>
      <c r="B20" s="8">
        <f>B19</f>
        <v>0.25</v>
      </c>
      <c r="C20" s="24">
        <f>B20</f>
        <v>0.25</v>
      </c>
      <c r="D20" s="24">
        <f>B20</f>
        <v>0.25</v>
      </c>
    </row>
    <row r="21" spans="1:9" x14ac:dyDescent="0.15">
      <c r="A21" s="5" t="s">
        <v>242</v>
      </c>
      <c r="B21">
        <v>0</v>
      </c>
      <c r="C21" s="13">
        <f>0.025*$H$6</f>
        <v>2.5000000000000001E-2</v>
      </c>
      <c r="D21" s="17">
        <f>C21*$H$7/$H$6</f>
        <v>1.2500000000000001E-2</v>
      </c>
    </row>
    <row r="22" spans="1:9" x14ac:dyDescent="0.15">
      <c r="A22" s="5" t="s">
        <v>241</v>
      </c>
      <c r="B22">
        <v>0</v>
      </c>
      <c r="C22" s="13">
        <f>0.042*$H$6*0.8</f>
        <v>3.3600000000000005E-2</v>
      </c>
      <c r="D22" s="17">
        <f>C22*$H$7/$H$6</f>
        <v>1.6800000000000002E-2</v>
      </c>
      <c r="E22" s="72"/>
    </row>
    <row r="23" spans="1:9" x14ac:dyDescent="0.15">
      <c r="A23" s="5" t="s">
        <v>84</v>
      </c>
      <c r="B23" s="13">
        <v>7.6499999999999999E-2</v>
      </c>
      <c r="C23" s="17">
        <f>(1+$B23)*SQRT((1+(C13*C$12/$B$32))/(1-(C13*C$12/$B$32)))-1</f>
        <v>0.15571813762960329</v>
      </c>
      <c r="D23" s="17">
        <f>(1+$B23)*SQRT((1+(D13*D$12/$B$32))/(1-(D13*D$12/$B$32)))-1</f>
        <v>0.11535616105563706</v>
      </c>
      <c r="F23" s="51"/>
    </row>
    <row r="24" spans="1:9" x14ac:dyDescent="0.15">
      <c r="A24" s="5" t="s">
        <v>11</v>
      </c>
      <c r="B24" s="73">
        <f>B23</f>
        <v>7.6499999999999999E-2</v>
      </c>
      <c r="C24" s="17">
        <f>(1+$B24)*SQRT((1+((C13*C$12+C17*C$15)/$B$32)+C17*C22/((1+B24)*(1-C19)))/(1-((C13*C$12+C17*C$15)/$B$32)-C17*C22/((1+B24)*(1-C19))))-1</f>
        <v>0.6589556007041486</v>
      </c>
      <c r="D24" s="17">
        <f>(1+$B24)*SQRT((1+((D13*D$12+D17*D$15)/$B$32)+D17*D22/((1+B24)*(1-D19)))/(1-((D13*D$12+D17*D$15)/$B$32)-D17*D22/((1+B24)*(1-D19))))-1</f>
        <v>0.45625124773503489</v>
      </c>
      <c r="F24" s="51">
        <f>B32*(0.0765-B24)</f>
        <v>0</v>
      </c>
    </row>
    <row r="25" spans="1:9" x14ac:dyDescent="0.15">
      <c r="A25" s="5" t="s">
        <v>12</v>
      </c>
      <c r="B25" s="13">
        <f>B23-B19*7978*B17/($B$32*(1-B19))</f>
        <v>1.7525788174877349E-3</v>
      </c>
      <c r="C25" s="17">
        <f>(1+$B25)*SQRT((1+((1-C$11)*(C17*63*$H$6*$B$34+C17*C$15)/$B$32+C$11*C13*C$12/$B$32))/(1-((1-C$11)*(C17*63*$H$6*$B$34+C17*C$15)/$B$32)-C$11*C13*C$12/$B$32))-1</f>
        <v>0.36840544995609315</v>
      </c>
      <c r="D25" s="17">
        <f>(1+$B25)*SQRT((1+((1-D$11)*(D17*63*$H$7*$B$34+D17*D$15)/$B$32+D$11*D13*D$12/$B$32))/(1-((1-D$11)*(D17*63*$H$7*$B$34+D17*D$15)/$B$32)-D$11*D13*D$12/$B$32))-1</f>
        <v>0.28047661499631182</v>
      </c>
      <c r="E25" s="38"/>
      <c r="F25" s="51"/>
      <c r="H25" s="51"/>
      <c r="I25" s="51"/>
    </row>
    <row r="26" spans="1:9" x14ac:dyDescent="0.15">
      <c r="A26" s="5" t="s">
        <v>85</v>
      </c>
      <c r="B26" s="13">
        <f>B23</f>
        <v>7.6499999999999999E-2</v>
      </c>
      <c r="C26" s="17">
        <f>(1+$B26)*SQRT((1+(C14*C$12/$B$33))/(1-(C14*C$12/$B$33)))-1</f>
        <v>0.11210483828151419</v>
      </c>
      <c r="D26" s="17">
        <f>(1+$B26)*SQRT((1+(D14*D$12/$B$33))/(1-(D14*D$12/$B$33)))-1</f>
        <v>9.4152891280268491E-2</v>
      </c>
      <c r="F26" s="51"/>
    </row>
    <row r="27" spans="1:9" x14ac:dyDescent="0.15">
      <c r="A27" s="5" t="s">
        <v>13</v>
      </c>
      <c r="B27" s="17">
        <f>B26</f>
        <v>7.6499999999999999E-2</v>
      </c>
      <c r="C27" s="17">
        <f>(1+$B27)*SQRT((1+((C14*C$12+C18*C$16)/$B$33)+C18*C21/(1.0765*(1-C20)))/(1-((C14*C$12+C18*C$16)/$B$33)-C18*C21/(1.0765*(1-C20))))-1</f>
        <v>0.1579163879894796</v>
      </c>
      <c r="D27" s="17">
        <f>(1+$B27)*SQRT((1+((D14*D$12+D18*D$16)/$B$33)+D18*D21/(1.0765*(1-D20)))/(1-((D14*D$12+D18*D$16)/$B$33)-D18*D21/(1.0765*(1-D20))))-1</f>
        <v>0.1199470047067912</v>
      </c>
    </row>
    <row r="28" spans="1:9" x14ac:dyDescent="0.15">
      <c r="A28" s="5" t="s">
        <v>14</v>
      </c>
      <c r="B28" s="13">
        <f>B26-B20*7978*B18/($B$33*(1-B20))</f>
        <v>4.5669605338391414E-2</v>
      </c>
      <c r="C28" s="17">
        <f>(1+$B28)*SQRT((1+((C18*63*$H$6*$B$34+C18*C$16)/$B$33))/(1-((C18*63*$H$6*$B$34+C18*C$16)/$B$33)))-1</f>
        <v>5.8274510167289462E-2</v>
      </c>
      <c r="D28" s="17">
        <f>(1+$B28)*SQRT((1+((D18*63*$H$7*$B$34+D18*D$16)/$B$33))/(1-((D18*63*$H$7*$B$34+D18*D$16)/$B$33)))-1</f>
        <v>5.5278965370562538E-2</v>
      </c>
    </row>
    <row r="29" spans="1:9" x14ac:dyDescent="0.15">
      <c r="A29" s="1" t="s">
        <v>88</v>
      </c>
      <c r="B29" s="3"/>
      <c r="C29" s="4"/>
      <c r="D29" s="4"/>
    </row>
    <row r="30" spans="1:9" x14ac:dyDescent="0.15">
      <c r="A30" s="5" t="s">
        <v>15</v>
      </c>
      <c r="B30" s="11">
        <v>1</v>
      </c>
      <c r="C30">
        <f>B30</f>
        <v>1</v>
      </c>
      <c r="D30">
        <f>C30</f>
        <v>1</v>
      </c>
    </row>
    <row r="31" spans="1:9" x14ac:dyDescent="0.15">
      <c r="A31" s="5" t="s">
        <v>16</v>
      </c>
      <c r="B31" s="11">
        <v>1</v>
      </c>
      <c r="C31">
        <f>B31</f>
        <v>1</v>
      </c>
      <c r="D31">
        <f>C31</f>
        <v>1</v>
      </c>
    </row>
    <row r="32" spans="1:9" ht="15" customHeight="1" x14ac:dyDescent="0.15">
      <c r="A32" s="5" t="s">
        <v>17</v>
      </c>
      <c r="B32" s="6">
        <v>32381.22</v>
      </c>
      <c r="C32" s="110" t="s">
        <v>7</v>
      </c>
      <c r="D32" s="108"/>
    </row>
    <row r="33" spans="1:8" x14ac:dyDescent="0.15">
      <c r="A33" s="5" t="s">
        <v>18</v>
      </c>
      <c r="B33" s="6">
        <v>82813.23</v>
      </c>
      <c r="C33" s="110"/>
      <c r="D33" s="108"/>
    </row>
    <row r="34" spans="1:8" x14ac:dyDescent="0.15">
      <c r="A34" s="15" t="s">
        <v>19</v>
      </c>
      <c r="B34" s="16">
        <f>1.03*155/($B$6+$B$8-$B$7-$B$9)</f>
        <v>1.9987013341370097</v>
      </c>
      <c r="D34" s="14"/>
    </row>
    <row r="35" spans="1:8" x14ac:dyDescent="0.15">
      <c r="A35" s="1" t="s">
        <v>90</v>
      </c>
      <c r="B35" s="3"/>
      <c r="C35" s="4"/>
      <c r="D35" s="4"/>
    </row>
    <row r="36" spans="1:8" x14ac:dyDescent="0.15">
      <c r="A36" s="20" t="s">
        <v>91</v>
      </c>
      <c r="B36" s="31">
        <v>0</v>
      </c>
      <c r="C36" s="32">
        <v>0</v>
      </c>
      <c r="D36">
        <f>C36*$G$7/$G$6</f>
        <v>0</v>
      </c>
    </row>
    <row r="37" spans="1:8" x14ac:dyDescent="0.15">
      <c r="A37" s="20" t="s">
        <v>92</v>
      </c>
      <c r="B37" s="31">
        <v>0</v>
      </c>
      <c r="C37" s="32">
        <v>0</v>
      </c>
      <c r="D37">
        <f>C37*$G$7/$G$6</f>
        <v>0</v>
      </c>
    </row>
    <row r="38" spans="1:8" x14ac:dyDescent="0.15">
      <c r="A38" s="33" t="s">
        <v>93</v>
      </c>
      <c r="B38" s="34">
        <v>0</v>
      </c>
      <c r="C38" s="43">
        <f>0.103</f>
        <v>0.10299999999999999</v>
      </c>
      <c r="D38" s="17">
        <f>C38*$K$7/$K$6</f>
        <v>6.7568000000000003E-2</v>
      </c>
      <c r="E38" t="s">
        <v>201</v>
      </c>
    </row>
    <row r="39" spans="1:8" x14ac:dyDescent="0.15">
      <c r="A39" s="33" t="s">
        <v>94</v>
      </c>
      <c r="B39" s="34">
        <v>0</v>
      </c>
      <c r="C39" s="43">
        <f>0.015</f>
        <v>1.4999999999999999E-2</v>
      </c>
      <c r="D39" s="17">
        <f>C39*$K$7/$K$6</f>
        <v>9.8399999999999998E-3</v>
      </c>
    </row>
    <row r="40" spans="1:8" x14ac:dyDescent="0.15">
      <c r="A40" s="33" t="s">
        <v>95</v>
      </c>
      <c r="B40">
        <f>(1-B13*(1-$B$9/$B$8))*B38</f>
        <v>0</v>
      </c>
      <c r="C40" s="17">
        <f>(1-C13*(1-$B$9/$B$8))*C38</f>
        <v>5.7014040141133981E-2</v>
      </c>
      <c r="D40" s="17">
        <f>(1-D13*(1-$B$9/$B$8))*D38</f>
        <v>3.7401210332583895E-2</v>
      </c>
    </row>
    <row r="41" spans="1:8" x14ac:dyDescent="0.15">
      <c r="A41" s="33" t="s">
        <v>96</v>
      </c>
      <c r="B41">
        <f>(1-B14*(1-$B$7/$B$6))*B39</f>
        <v>0</v>
      </c>
      <c r="C41" s="17">
        <f>(1-C14*(1-$B$7/$B$6))*C39</f>
        <v>3.2535395189640776E-3</v>
      </c>
      <c r="D41" s="17">
        <f>(1-D14*(1-$B$7/$B$6))*D39</f>
        <v>2.134321924440435E-3</v>
      </c>
    </row>
    <row r="42" spans="1:8" x14ac:dyDescent="0.15">
      <c r="A42" s="5" t="s">
        <v>97</v>
      </c>
      <c r="B42" s="11">
        <v>0.5</v>
      </c>
      <c r="C42" s="17">
        <f>B42</f>
        <v>0.5</v>
      </c>
      <c r="D42" s="17">
        <f>C42</f>
        <v>0.5</v>
      </c>
      <c r="E42" s="17">
        <f>LN(1-C42)-LN(1-B42)</f>
        <v>0</v>
      </c>
    </row>
    <row r="43" spans="1:8" x14ac:dyDescent="0.15">
      <c r="A43" s="5" t="s">
        <v>98</v>
      </c>
      <c r="B43" s="11">
        <v>0.44</v>
      </c>
      <c r="C43" s="17">
        <f>B43</f>
        <v>0.44</v>
      </c>
      <c r="D43" s="17">
        <f>C43</f>
        <v>0.44</v>
      </c>
      <c r="E43" s="17">
        <f>LN(1-C43)-LN(1-B43)</f>
        <v>0</v>
      </c>
    </row>
    <row r="44" spans="1:8" x14ac:dyDescent="0.15">
      <c r="A44" s="1" t="s">
        <v>89</v>
      </c>
      <c r="B44" s="3"/>
      <c r="C44" s="4"/>
      <c r="D44" s="4"/>
      <c r="E44" s="17"/>
    </row>
    <row r="45" spans="1:8" x14ac:dyDescent="0.15">
      <c r="A45" s="5" t="s">
        <v>33</v>
      </c>
      <c r="B45" s="8">
        <v>0.33333332999999998</v>
      </c>
      <c r="C45" s="24">
        <f>B45</f>
        <v>0.33333332999999998</v>
      </c>
      <c r="D45" s="24">
        <f>C45</f>
        <v>0.33333332999999998</v>
      </c>
      <c r="E45" s="17"/>
    </row>
    <row r="46" spans="1:8" x14ac:dyDescent="0.15">
      <c r="A46" s="5" t="s">
        <v>51</v>
      </c>
      <c r="B46" s="8">
        <f>0.75*7964*(B6+B8)/(B32*B8+B33*B6)</f>
        <v>9.0558570743215633E-2</v>
      </c>
      <c r="C46" s="23"/>
      <c r="D46" s="23"/>
      <c r="E46" s="17"/>
      <c r="H46" s="7"/>
    </row>
    <row r="47" spans="1:8" x14ac:dyDescent="0.15">
      <c r="A47" s="5" t="s">
        <v>36</v>
      </c>
      <c r="B47" s="16">
        <v>0.999</v>
      </c>
      <c r="C47" s="23"/>
      <c r="D47" s="23"/>
      <c r="E47" s="17"/>
    </row>
    <row r="48" spans="1:8" x14ac:dyDescent="0.15">
      <c r="A48" s="5" t="s">
        <v>99</v>
      </c>
      <c r="B48" s="11">
        <v>0.5</v>
      </c>
    </row>
    <row r="49" spans="1:5" x14ac:dyDescent="0.15">
      <c r="A49" s="5" t="s">
        <v>171</v>
      </c>
      <c r="B49" s="11">
        <v>5.0000000000000001E-3</v>
      </c>
    </row>
    <row r="50" spans="1:5" x14ac:dyDescent="0.15">
      <c r="A50" s="5"/>
    </row>
    <row r="51" spans="1:5" x14ac:dyDescent="0.15">
      <c r="A51" s="106" t="s">
        <v>21</v>
      </c>
      <c r="B51" s="107"/>
      <c r="C51" s="107"/>
      <c r="D51" s="18"/>
    </row>
    <row r="52" spans="1:5" x14ac:dyDescent="0.15">
      <c r="A52" s="15" t="s">
        <v>128</v>
      </c>
      <c r="B52" s="28">
        <f>(1+B28)*(1+B23)/((1+B26)*(1+B25))</f>
        <v>1.0438401931270744</v>
      </c>
      <c r="C52" s="19">
        <f>(1+C28)*(1+C23)/((1+C26)*(1+C25))</f>
        <v>0.8036921741231472</v>
      </c>
      <c r="D52" s="19">
        <f>(1+D28)*(1+D23)/((1+D26)*(1+D25))</f>
        <v>0.84010039392732705</v>
      </c>
      <c r="E52" s="20" t="s">
        <v>22</v>
      </c>
    </row>
    <row r="53" spans="1:5" x14ac:dyDescent="0.15">
      <c r="A53" s="15" t="s">
        <v>129</v>
      </c>
      <c r="B53" s="28">
        <f>(1+B28)*(1+B24)/((1+B27)*(1+B25))</f>
        <v>1.0438401931270744</v>
      </c>
      <c r="C53" s="28">
        <f>(1+C28)*(1+C24)/((1+C27)*(1+C25))</f>
        <v>1.1080034253392927</v>
      </c>
      <c r="D53" s="28">
        <f>(1+D28)*(1+D24)/((1+D27)*(1+D25))</f>
        <v>1.0716043502033887</v>
      </c>
      <c r="E53" s="20"/>
    </row>
    <row r="54" spans="1:5" x14ac:dyDescent="0.15">
      <c r="A54" s="15" t="s">
        <v>130</v>
      </c>
      <c r="B54" s="28">
        <f>(1+B26)*(1+B24)/((1+B27)*(1+B23))</f>
        <v>1</v>
      </c>
      <c r="C54" s="28">
        <f>(1+C26)*(1+C24)/((1+C27)*(1+C23))</f>
        <v>1.3786415508501848</v>
      </c>
      <c r="D54" s="28">
        <f>(1+D26)*(1+D24)/((1+D27)*(1+D23))</f>
        <v>1.275567013120682</v>
      </c>
      <c r="E54" s="20"/>
    </row>
    <row r="55" spans="1:5" ht="15" customHeight="1" x14ac:dyDescent="0.15">
      <c r="A55" s="15" t="s">
        <v>23</v>
      </c>
      <c r="B55" s="19">
        <f>(B8/B9-1)/(B6/B7-1)</f>
        <v>0.18808794193794495</v>
      </c>
      <c r="C55" s="108" t="s">
        <v>7</v>
      </c>
      <c r="D55" s="108"/>
    </row>
    <row r="56" spans="1:5" x14ac:dyDescent="0.15">
      <c r="A56" s="15" t="s">
        <v>24</v>
      </c>
      <c r="B56" s="19">
        <f>(B7+B9)/(B6+B8)</f>
        <v>0.21252400940316143</v>
      </c>
      <c r="C56" s="108"/>
      <c r="D56" s="108"/>
    </row>
    <row r="57" spans="1:5" x14ac:dyDescent="0.15">
      <c r="A57" s="15" t="s">
        <v>25</v>
      </c>
      <c r="B57" s="19">
        <f>(B7+B9)/B8</f>
        <v>0.63586057051421341</v>
      </c>
      <c r="C57" s="108"/>
      <c r="D57" s="108"/>
    </row>
    <row r="58" spans="1:5" x14ac:dyDescent="0.15">
      <c r="A58" s="15" t="s">
        <v>26</v>
      </c>
      <c r="B58" s="19">
        <f>B6/B8</f>
        <v>1.9919469913066425</v>
      </c>
      <c r="C58" s="108"/>
      <c r="D58" s="108"/>
    </row>
    <row r="59" spans="1:5" x14ac:dyDescent="0.15">
      <c r="A59" s="21" t="s">
        <v>181</v>
      </c>
      <c r="B59" s="19">
        <f>B7/B9</f>
        <v>0.559982662957762</v>
      </c>
      <c r="C59" s="49"/>
      <c r="D59" s="49"/>
    </row>
    <row r="60" spans="1:5" x14ac:dyDescent="0.15">
      <c r="A60" s="21" t="s">
        <v>182</v>
      </c>
      <c r="B60" s="19">
        <f>(B6-B7)/(B8-B9)</f>
        <v>2.9772385044359457</v>
      </c>
      <c r="C60" s="49"/>
      <c r="D60" s="49"/>
    </row>
    <row r="61" spans="1:5" x14ac:dyDescent="0.15">
      <c r="A61" s="21" t="s">
        <v>135</v>
      </c>
      <c r="B61" s="24">
        <f>LN($B$32*$B$9/($B$33*$B$7))</f>
        <v>-0.35915975138139061</v>
      </c>
    </row>
    <row r="62" spans="1:5" x14ac:dyDescent="0.15">
      <c r="A62" s="21" t="s">
        <v>136</v>
      </c>
      <c r="B62" s="24">
        <f>LN($B$32*($B$8-$B$9)/($B$33*($B$6-$B$7)))</f>
        <v>-2.0300054006411243</v>
      </c>
    </row>
    <row r="63" spans="1:5" x14ac:dyDescent="0.15">
      <c r="A63" s="15"/>
      <c r="B63" s="15"/>
    </row>
    <row r="64" spans="1:5" x14ac:dyDescent="0.15">
      <c r="A64" s="106" t="s">
        <v>27</v>
      </c>
      <c r="B64" s="107"/>
    </row>
    <row r="65" spans="1:6" ht="15" customHeight="1" x14ac:dyDescent="0.15">
      <c r="A65" s="5" t="s">
        <v>28</v>
      </c>
      <c r="B65" s="19">
        <f>((1+B25)/(1+B28))*B32/B33</f>
        <v>0.3745928365283252</v>
      </c>
      <c r="C65" s="108" t="s">
        <v>7</v>
      </c>
      <c r="D65" s="108"/>
    </row>
    <row r="66" spans="1:6" x14ac:dyDescent="0.15">
      <c r="A66" s="5" t="s">
        <v>29</v>
      </c>
      <c r="B66" s="19">
        <f>(B32*B9+(B33*B7))/(B32*B8+(B33*B6))</f>
        <v>0.1626688790910322</v>
      </c>
      <c r="C66" s="108"/>
      <c r="D66" s="108"/>
      <c r="E66" s="20" t="s">
        <v>30</v>
      </c>
    </row>
    <row r="67" spans="1:6" x14ac:dyDescent="0.15">
      <c r="A67" s="21" t="s">
        <v>31</v>
      </c>
      <c r="C67" s="17">
        <f>(C23*$B$32*$B$9+C26*$B$33*$B$7)/($B$32*$B$9+$B$33*$B$7)</f>
        <v>0.13003701248083377</v>
      </c>
      <c r="D67" s="17">
        <f>(D23*$B$32*$B$9+D26*$B$33*$B$7)/($B$32*$B$9+$B$33*$B$7)</f>
        <v>0.10287089090172424</v>
      </c>
    </row>
    <row r="68" spans="1:6" x14ac:dyDescent="0.15">
      <c r="A68" s="21" t="s">
        <v>133</v>
      </c>
      <c r="B68" s="19">
        <f>VLOOKUP(B65,Sectors!$I$17:$W$217,14)</f>
        <v>-0.965940134081817</v>
      </c>
      <c r="C68" s="19">
        <f>LN((1-((1+C$28)/(1+C$26))^($F$6-1))/(((1+C$28)*(1+$B$25)/((1+C$23)*(1+$B$28)))^($F$6-1)-((1+C$28)*(1+$B$25)/((1+C$25)*(1+$B$28)))^($F$6-1)))</f>
        <v>-1.1301129161284098</v>
      </c>
      <c r="D68" s="19">
        <f>LN((1-((1+D$28)/(1+D$26))^($F$6-1))/(((1+D$28)*(1+$B$25)/((1+D$23)*(1+$B$28)))^($F$6-1)-((1+D$28)*(1+$B$25)/((1+D$25)*(1+$B$28)))^($F$6-1)))</f>
        <v>-1.2648782636302272</v>
      </c>
      <c r="F68" s="73"/>
    </row>
    <row r="69" spans="1:6" x14ac:dyDescent="0.15">
      <c r="A69" s="21" t="s">
        <v>134</v>
      </c>
      <c r="B69" s="24">
        <f>1-($B$7+$B$9)/($B$6+$B$8)</f>
        <v>0.78747599059683859</v>
      </c>
      <c r="C69" s="75">
        <f>MIN(VLOOKUP(C68,Sectors!$V$17:$W$217,2),$B69)</f>
        <v>0.74857476100102172</v>
      </c>
      <c r="D69" s="24">
        <f>MIN(VLOOKUP(D68,Sectors!$V$17:$W$217,2),$B69)</f>
        <v>0.71492564792818769</v>
      </c>
      <c r="F69" s="22"/>
    </row>
    <row r="70" spans="1:6" x14ac:dyDescent="0.15">
      <c r="A70" s="21" t="s">
        <v>183</v>
      </c>
      <c r="C70" s="24">
        <f>EXP(C68)</f>
        <v>0.32299678281685801</v>
      </c>
      <c r="D70" s="24">
        <f>EXP(D68)</f>
        <v>0.28227365701928459</v>
      </c>
      <c r="F70" s="22"/>
    </row>
    <row r="71" spans="1:6" x14ac:dyDescent="0.15">
      <c r="A71" s="21" t="s">
        <v>184</v>
      </c>
      <c r="C71" s="24">
        <f>(1+$B$25)*(C$26-C$28)/((1+$B$28)*(C$25-C$23))</f>
        <v>0.24246632409396968</v>
      </c>
      <c r="D71" s="24">
        <f>(1+$B$25)*(D$26-D$28)/((1+$B$28)*(D$25-D$23))</f>
        <v>0.22553996740751514</v>
      </c>
    </row>
    <row r="72" spans="1:6" x14ac:dyDescent="0.15">
      <c r="A72" s="21" t="s">
        <v>187</v>
      </c>
      <c r="B72" s="17"/>
      <c r="C72" s="17">
        <f>SQRT(($B$32/(C17*C$15)+1)/($B$32/(C17*C$15)-1))-1</f>
        <v>0.3607075364298542</v>
      </c>
      <c r="D72" s="17">
        <f>SQRT(($B$32/(D17*D$15)+1)/($B$32/(D17*D$15)-1))-1</f>
        <v>0.27583866542895685</v>
      </c>
    </row>
    <row r="73" spans="1:6" x14ac:dyDescent="0.15">
      <c r="A73" s="21" t="s">
        <v>188</v>
      </c>
      <c r="B73" s="17"/>
      <c r="C73" s="17">
        <f>SQRT(($B$33/(C18*C$16)+1)/($B$33/(C18*C$16)-1))-1</f>
        <v>1.0577874811235066E-2</v>
      </c>
      <c r="D73" s="17">
        <f>SQRT(($B$33/(D18*D$16)+1)/($B$33/(D18*D$16)-1))-1</f>
        <v>8.4532734021673939E-3</v>
      </c>
    </row>
    <row r="74" spans="1:6" x14ac:dyDescent="0.15">
      <c r="C74" s="52"/>
    </row>
  </sheetData>
  <mergeCells count="8">
    <mergeCell ref="A64:B64"/>
    <mergeCell ref="C65:D66"/>
    <mergeCell ref="F3:H3"/>
    <mergeCell ref="C6:D9"/>
    <mergeCell ref="C32:D33"/>
    <mergeCell ref="A51:C51"/>
    <mergeCell ref="C55:D58"/>
    <mergeCell ref="A3:D3"/>
  </mergeCells>
  <phoneticPr fontId="27" type="noConversion"/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view="pageLayout" workbookViewId="0">
      <selection activeCell="A2" sqref="A2"/>
    </sheetView>
  </sheetViews>
  <sheetFormatPr baseColWidth="10" defaultColWidth="11.5" defaultRowHeight="14" x14ac:dyDescent="0.15"/>
  <cols>
    <col min="1" max="1" width="47.33203125" customWidth="1"/>
    <col min="2" max="2" width="7.1640625" customWidth="1"/>
    <col min="3" max="3" width="1.1640625" customWidth="1"/>
    <col min="4" max="4" width="28.1640625" customWidth="1"/>
  </cols>
  <sheetData>
    <row r="1" spans="1:6" ht="16" x14ac:dyDescent="0.2">
      <c r="A1" s="56" t="s">
        <v>305</v>
      </c>
      <c r="B1" s="54"/>
      <c r="C1" s="54"/>
      <c r="D1" s="54"/>
      <c r="E1" s="54"/>
      <c r="F1" s="54"/>
    </row>
    <row r="2" spans="1:6" ht="16" x14ac:dyDescent="0.2">
      <c r="A2" s="54"/>
      <c r="B2" s="54"/>
      <c r="C2" s="54"/>
      <c r="D2" s="54"/>
      <c r="E2" s="54"/>
      <c r="F2" s="54"/>
    </row>
    <row r="3" spans="1:6" ht="16" x14ac:dyDescent="0.2">
      <c r="A3" s="55" t="s">
        <v>202</v>
      </c>
      <c r="B3" s="54"/>
      <c r="C3" s="54"/>
      <c r="D3" s="54"/>
      <c r="E3" s="54"/>
      <c r="F3" s="54"/>
    </row>
    <row r="4" spans="1:6" ht="16" x14ac:dyDescent="0.2">
      <c r="A4" s="54" t="s">
        <v>205</v>
      </c>
      <c r="B4" s="58">
        <f>B5-FixedParams!$B$9</f>
        <v>20.083499290000006</v>
      </c>
      <c r="C4" s="54"/>
      <c r="D4" s="120" t="s">
        <v>207</v>
      </c>
      <c r="E4" s="54"/>
      <c r="F4" s="54"/>
    </row>
    <row r="5" spans="1:6" ht="16" x14ac:dyDescent="0.2">
      <c r="A5" s="54" t="s">
        <v>206</v>
      </c>
      <c r="B5" s="58">
        <f>FixedParams!$B$8</f>
        <v>33.902350090000006</v>
      </c>
      <c r="C5" s="54"/>
      <c r="D5" s="120"/>
      <c r="E5" s="54"/>
      <c r="F5" s="54"/>
    </row>
    <row r="6" spans="1:6" ht="16" x14ac:dyDescent="0.2">
      <c r="A6" s="54" t="s">
        <v>208</v>
      </c>
      <c r="B6" s="58">
        <f>B7-FixedParams!$B$7</f>
        <v>59.793367389999993</v>
      </c>
      <c r="C6" s="54"/>
      <c r="D6" s="120"/>
      <c r="E6" s="54"/>
      <c r="F6" s="54"/>
    </row>
    <row r="7" spans="1:6" ht="16" x14ac:dyDescent="0.2">
      <c r="A7" s="54" t="s">
        <v>209</v>
      </c>
      <c r="B7" s="58">
        <f>FixedParams!$B$6</f>
        <v>67.531684259999992</v>
      </c>
      <c r="C7" s="54"/>
      <c r="D7" s="120"/>
      <c r="E7" s="54"/>
      <c r="F7" s="54"/>
    </row>
    <row r="8" spans="1:6" ht="16" x14ac:dyDescent="0.2">
      <c r="A8" s="54" t="s">
        <v>203</v>
      </c>
      <c r="B8" s="60">
        <f>FixedParams!$B$34</f>
        <v>1.9987013341370097</v>
      </c>
      <c r="C8" s="54"/>
      <c r="D8" s="121" t="s">
        <v>210</v>
      </c>
      <c r="E8" s="54"/>
      <c r="F8" s="54"/>
    </row>
    <row r="9" spans="1:6" ht="16" x14ac:dyDescent="0.2">
      <c r="A9" s="54"/>
      <c r="B9" s="60"/>
      <c r="C9" s="54"/>
      <c r="D9" s="122"/>
      <c r="E9" s="54"/>
      <c r="F9" s="54"/>
    </row>
    <row r="10" spans="1:6" ht="16" x14ac:dyDescent="0.2">
      <c r="A10" s="54"/>
      <c r="B10" s="54"/>
      <c r="C10" s="54"/>
      <c r="D10" s="54"/>
      <c r="E10" s="54"/>
      <c r="F10" s="54"/>
    </row>
    <row r="11" spans="1:6" ht="16" x14ac:dyDescent="0.2">
      <c r="A11" s="55" t="s">
        <v>204</v>
      </c>
      <c r="B11" s="54"/>
      <c r="C11" s="54"/>
      <c r="D11" s="54"/>
      <c r="E11" s="54"/>
      <c r="F11" s="54"/>
    </row>
    <row r="12" spans="1:6" ht="16" x14ac:dyDescent="0.2">
      <c r="A12" s="64" t="s">
        <v>228</v>
      </c>
      <c r="B12" s="54">
        <f>FixedParams!B45</f>
        <v>0.33333332999999998</v>
      </c>
      <c r="C12" s="54"/>
      <c r="D12" s="54"/>
      <c r="E12" s="54"/>
      <c r="F12" s="54"/>
    </row>
    <row r="13" spans="1:6" ht="16" x14ac:dyDescent="0.2">
      <c r="A13" s="54" t="s">
        <v>218</v>
      </c>
      <c r="B13" s="60">
        <f>FixedParams!$F$6</f>
        <v>1.5</v>
      </c>
      <c r="C13" s="54"/>
      <c r="D13" s="54"/>
      <c r="E13" s="54"/>
      <c r="F13" s="54"/>
    </row>
    <row r="14" spans="1:6" ht="16" x14ac:dyDescent="0.2">
      <c r="A14" s="54" t="s">
        <v>219</v>
      </c>
      <c r="B14" s="60">
        <f>FixedParams!B47</f>
        <v>0.999</v>
      </c>
      <c r="C14" s="54"/>
      <c r="D14" s="65" t="s">
        <v>229</v>
      </c>
      <c r="E14" s="54"/>
      <c r="F14" s="54"/>
    </row>
    <row r="15" spans="1:6" ht="16" x14ac:dyDescent="0.2">
      <c r="A15" s="54" t="s">
        <v>99</v>
      </c>
      <c r="B15" s="54">
        <f>FixedParams!B48</f>
        <v>0.5</v>
      </c>
      <c r="C15" s="54"/>
      <c r="D15" s="65" t="s">
        <v>230</v>
      </c>
      <c r="E15" s="54"/>
      <c r="F15" s="54"/>
    </row>
    <row r="16" spans="1:6" ht="16" x14ac:dyDescent="0.2">
      <c r="A16" s="54"/>
      <c r="B16" s="54"/>
      <c r="C16" s="54"/>
      <c r="D16" s="54"/>
      <c r="E16" s="54"/>
      <c r="F16" s="54"/>
    </row>
    <row r="17" spans="1:6" ht="16" x14ac:dyDescent="0.2">
      <c r="A17" s="55" t="s">
        <v>211</v>
      </c>
      <c r="B17" s="54"/>
      <c r="C17" s="54"/>
      <c r="D17" s="54"/>
      <c r="E17" s="54"/>
      <c r="F17" s="54"/>
    </row>
    <row r="18" spans="1:6" ht="16" x14ac:dyDescent="0.2">
      <c r="A18" s="54" t="s">
        <v>222</v>
      </c>
      <c r="B18" s="57">
        <f>FixedParams!B32</f>
        <v>32381.22</v>
      </c>
      <c r="C18" s="54"/>
      <c r="D18" s="122" t="s">
        <v>223</v>
      </c>
      <c r="E18" s="54"/>
      <c r="F18" s="54"/>
    </row>
    <row r="19" spans="1:6" ht="16" x14ac:dyDescent="0.2">
      <c r="A19" s="54" t="s">
        <v>221</v>
      </c>
      <c r="B19" s="57">
        <f>FixedParams!B33</f>
        <v>82813.23</v>
      </c>
      <c r="C19" s="54"/>
      <c r="D19" s="122"/>
      <c r="E19" s="54"/>
      <c r="F19" s="54"/>
    </row>
    <row r="20" spans="1:6" ht="16" x14ac:dyDescent="0.2">
      <c r="A20" s="65" t="s">
        <v>234</v>
      </c>
      <c r="B20" s="59">
        <f>FixedParams!B46</f>
        <v>9.0558570743215633E-2</v>
      </c>
      <c r="C20" s="54"/>
      <c r="D20" s="54"/>
      <c r="E20" s="54"/>
      <c r="F20" s="54"/>
    </row>
    <row r="21" spans="1:6" ht="16" x14ac:dyDescent="0.2">
      <c r="A21" s="54" t="s">
        <v>217</v>
      </c>
      <c r="B21" s="54">
        <v>1</v>
      </c>
      <c r="C21" s="54"/>
      <c r="D21" s="54"/>
      <c r="E21" s="54"/>
      <c r="F21" s="54"/>
    </row>
    <row r="22" spans="1:6" ht="16" x14ac:dyDescent="0.2">
      <c r="A22" s="65" t="s">
        <v>231</v>
      </c>
      <c r="B22" s="54"/>
      <c r="C22" s="54"/>
      <c r="D22" s="54"/>
      <c r="E22" s="54"/>
      <c r="F22" s="54"/>
    </row>
    <row r="23" spans="1:6" ht="16" x14ac:dyDescent="0.2">
      <c r="A23" s="66" t="s">
        <v>232</v>
      </c>
      <c r="B23" s="59">
        <f>Sectors!$B$17</f>
        <v>9.1509090377227806E-2</v>
      </c>
      <c r="C23" s="54"/>
      <c r="D23" s="122" t="s">
        <v>220</v>
      </c>
      <c r="E23" s="54"/>
      <c r="F23" s="54"/>
    </row>
    <row r="24" spans="1:6" ht="16" x14ac:dyDescent="0.2">
      <c r="A24" s="66" t="s">
        <v>233</v>
      </c>
      <c r="B24" s="59">
        <f>Sectors!$B$217</f>
        <v>0.50185085988153577</v>
      </c>
      <c r="C24" s="54"/>
      <c r="D24" s="122"/>
      <c r="E24" s="54"/>
      <c r="F24" s="54"/>
    </row>
    <row r="25" spans="1:6" ht="16" x14ac:dyDescent="0.2">
      <c r="A25" s="54"/>
      <c r="B25" s="54"/>
      <c r="C25" s="54"/>
      <c r="D25" s="54"/>
      <c r="E25" s="54"/>
      <c r="F25" s="54"/>
    </row>
    <row r="26" spans="1:6" ht="16" x14ac:dyDescent="0.2">
      <c r="A26" s="55" t="s">
        <v>224</v>
      </c>
      <c r="B26" s="54"/>
      <c r="C26" s="54"/>
      <c r="D26" s="54"/>
      <c r="E26" s="54"/>
      <c r="F26" s="54"/>
    </row>
    <row r="27" spans="1:6" ht="16" x14ac:dyDescent="0.2">
      <c r="A27" s="62" t="s">
        <v>225</v>
      </c>
      <c r="B27" s="60">
        <f>Sectors!B9</f>
        <v>-3.0418232393879703</v>
      </c>
      <c r="C27" s="54"/>
      <c r="D27" s="123" t="s">
        <v>226</v>
      </c>
      <c r="E27" s="54"/>
      <c r="F27" s="54"/>
    </row>
    <row r="28" spans="1:6" ht="16" x14ac:dyDescent="0.2">
      <c r="A28" s="78" t="s">
        <v>273</v>
      </c>
      <c r="B28" s="60">
        <f>Calibrations!H20</f>
        <v>0.99678494269231432</v>
      </c>
      <c r="C28" s="54"/>
      <c r="D28" s="124"/>
      <c r="E28" s="54"/>
      <c r="F28" s="54"/>
    </row>
    <row r="29" spans="1:6" ht="16" x14ac:dyDescent="0.2">
      <c r="A29" s="78" t="s">
        <v>274</v>
      </c>
      <c r="B29" s="59">
        <f>Calibrations!H21</f>
        <v>0.4342633732955089</v>
      </c>
      <c r="C29" s="54"/>
      <c r="D29" s="125"/>
      <c r="E29" s="54"/>
      <c r="F29" s="54"/>
    </row>
    <row r="30" spans="1:6" ht="16" x14ac:dyDescent="0.2">
      <c r="A30" s="55"/>
      <c r="B30" s="54"/>
      <c r="C30" s="54"/>
      <c r="D30" s="54"/>
      <c r="E30" s="54"/>
      <c r="F30" s="54"/>
    </row>
    <row r="31" spans="1:6" ht="16" x14ac:dyDescent="0.2">
      <c r="A31" s="55" t="s">
        <v>212</v>
      </c>
      <c r="B31" s="54"/>
      <c r="C31" s="54"/>
      <c r="D31" s="54"/>
      <c r="E31" s="54"/>
      <c r="F31" s="54"/>
    </row>
    <row r="32" spans="1:6" ht="16" x14ac:dyDescent="0.2">
      <c r="A32" s="54" t="s">
        <v>213</v>
      </c>
      <c r="B32" s="54"/>
      <c r="C32" s="54"/>
      <c r="D32" s="54"/>
      <c r="E32" s="54"/>
      <c r="F32" s="54"/>
    </row>
    <row r="33" spans="1:6" ht="16" x14ac:dyDescent="0.2">
      <c r="A33" s="54"/>
      <c r="B33" s="54"/>
      <c r="C33" s="54"/>
      <c r="D33" s="54"/>
      <c r="E33" s="54"/>
      <c r="F33" s="54"/>
    </row>
    <row r="34" spans="1:6" ht="16" x14ac:dyDescent="0.2">
      <c r="A34" s="55" t="s">
        <v>215</v>
      </c>
      <c r="B34" s="54"/>
      <c r="C34" s="54"/>
      <c r="D34" s="54"/>
      <c r="E34" s="54"/>
      <c r="F34" s="54"/>
    </row>
    <row r="35" spans="1:6" ht="16" x14ac:dyDescent="0.2">
      <c r="A35" s="54" t="s">
        <v>214</v>
      </c>
      <c r="B35" s="61">
        <f>FixedParams!B42</f>
        <v>0.5</v>
      </c>
      <c r="C35" s="54"/>
      <c r="D35" s="63" t="s">
        <v>227</v>
      </c>
      <c r="E35" s="54"/>
      <c r="F35" s="54"/>
    </row>
    <row r="36" spans="1:6" ht="16" x14ac:dyDescent="0.2">
      <c r="A36" s="54" t="s">
        <v>216</v>
      </c>
      <c r="B36" s="61">
        <f>FixedParams!B43</f>
        <v>0.44</v>
      </c>
      <c r="C36" s="54"/>
      <c r="D36" s="63" t="s">
        <v>227</v>
      </c>
      <c r="E36" s="54"/>
      <c r="F36" s="54"/>
    </row>
    <row r="37" spans="1:6" ht="16" x14ac:dyDescent="0.2">
      <c r="A37" s="54"/>
      <c r="B37" s="54"/>
      <c r="C37" s="54"/>
      <c r="D37" s="54"/>
      <c r="E37" s="54"/>
      <c r="F37" s="54"/>
    </row>
    <row r="38" spans="1:6" ht="16" x14ac:dyDescent="0.2">
      <c r="A38" s="54"/>
      <c r="B38" s="54"/>
      <c r="C38" s="54"/>
      <c r="D38" s="54"/>
      <c r="E38" s="54"/>
      <c r="F38" s="54"/>
    </row>
    <row r="39" spans="1:6" ht="16" x14ac:dyDescent="0.2">
      <c r="A39" s="54"/>
      <c r="B39" s="54"/>
      <c r="C39" s="54"/>
      <c r="D39" s="54"/>
      <c r="E39" s="54"/>
      <c r="F39" s="54"/>
    </row>
    <row r="40" spans="1:6" ht="16" x14ac:dyDescent="0.2">
      <c r="A40" s="54"/>
      <c r="B40" s="54"/>
      <c r="C40" s="54"/>
      <c r="D40" s="54"/>
      <c r="E40" s="54"/>
      <c r="F40" s="54"/>
    </row>
    <row r="41" spans="1:6" ht="16" x14ac:dyDescent="0.2">
      <c r="A41" s="54"/>
      <c r="B41" s="54"/>
      <c r="C41" s="54"/>
      <c r="D41" s="54"/>
      <c r="E41" s="54"/>
      <c r="F41" s="54"/>
    </row>
    <row r="42" spans="1:6" ht="16" x14ac:dyDescent="0.2">
      <c r="A42" s="54"/>
      <c r="B42" s="54"/>
      <c r="C42" s="54"/>
      <c r="D42" s="54"/>
      <c r="E42" s="54"/>
      <c r="F42" s="54"/>
    </row>
    <row r="43" spans="1:6" ht="16" x14ac:dyDescent="0.2">
      <c r="A43" s="54"/>
      <c r="B43" s="54"/>
      <c r="C43" s="54"/>
      <c r="D43" s="54"/>
      <c r="E43" s="54"/>
      <c r="F43" s="54"/>
    </row>
    <row r="44" spans="1:6" ht="16" x14ac:dyDescent="0.2">
      <c r="A44" s="54"/>
      <c r="B44" s="54"/>
      <c r="C44" s="54"/>
      <c r="D44" s="54"/>
      <c r="E44" s="54"/>
      <c r="F44" s="54"/>
    </row>
    <row r="45" spans="1:6" ht="16" x14ac:dyDescent="0.2">
      <c r="A45" s="54"/>
      <c r="B45" s="54"/>
      <c r="C45" s="54"/>
      <c r="D45" s="54"/>
      <c r="E45" s="54"/>
      <c r="F45" s="54"/>
    </row>
    <row r="46" spans="1:6" ht="16" x14ac:dyDescent="0.2">
      <c r="A46" s="54"/>
      <c r="B46" s="54"/>
      <c r="C46" s="54"/>
      <c r="D46" s="54"/>
      <c r="E46" s="54"/>
      <c r="F46" s="54"/>
    </row>
    <row r="47" spans="1:6" ht="16" x14ac:dyDescent="0.2">
      <c r="A47" s="54"/>
      <c r="B47" s="54"/>
      <c r="C47" s="54"/>
      <c r="D47" s="54"/>
      <c r="E47" s="54"/>
      <c r="F47" s="54"/>
    </row>
    <row r="48" spans="1:6" ht="16" x14ac:dyDescent="0.2">
      <c r="A48" s="54"/>
      <c r="B48" s="54"/>
      <c r="C48" s="54"/>
      <c r="D48" s="54"/>
      <c r="E48" s="54"/>
      <c r="F48" s="54"/>
    </row>
    <row r="49" spans="1:6" ht="16" x14ac:dyDescent="0.2">
      <c r="A49" s="54"/>
      <c r="B49" s="54"/>
      <c r="C49" s="54"/>
      <c r="D49" s="54"/>
      <c r="E49" s="54"/>
      <c r="F49" s="54"/>
    </row>
    <row r="50" spans="1:6" ht="16" x14ac:dyDescent="0.2">
      <c r="A50" s="54"/>
      <c r="B50" s="54"/>
      <c r="C50" s="54"/>
      <c r="D50" s="54"/>
      <c r="E50" s="54"/>
      <c r="F50" s="54"/>
    </row>
    <row r="51" spans="1:6" ht="16" x14ac:dyDescent="0.2">
      <c r="A51" s="54"/>
      <c r="B51" s="54"/>
      <c r="C51" s="54"/>
      <c r="D51" s="54"/>
      <c r="E51" s="54"/>
      <c r="F51" s="54"/>
    </row>
    <row r="52" spans="1:6" ht="16" x14ac:dyDescent="0.2">
      <c r="A52" s="54"/>
      <c r="B52" s="54"/>
      <c r="C52" s="54"/>
      <c r="D52" s="54"/>
      <c r="E52" s="54"/>
      <c r="F52" s="54"/>
    </row>
    <row r="53" spans="1:6" ht="16" x14ac:dyDescent="0.2">
      <c r="A53" s="54"/>
      <c r="B53" s="54"/>
      <c r="C53" s="54"/>
      <c r="D53" s="54"/>
      <c r="E53" s="54"/>
      <c r="F53" s="54"/>
    </row>
    <row r="54" spans="1:6" ht="16" x14ac:dyDescent="0.2">
      <c r="A54" s="54"/>
      <c r="B54" s="54"/>
      <c r="C54" s="54"/>
      <c r="D54" s="54"/>
      <c r="E54" s="54"/>
      <c r="F54" s="54"/>
    </row>
    <row r="55" spans="1:6" ht="16" x14ac:dyDescent="0.2">
      <c r="A55" s="54"/>
      <c r="B55" s="54"/>
      <c r="C55" s="54"/>
      <c r="D55" s="54"/>
      <c r="E55" s="54"/>
      <c r="F55" s="54"/>
    </row>
    <row r="56" spans="1:6" ht="16" x14ac:dyDescent="0.2">
      <c r="A56" s="54"/>
      <c r="B56" s="54"/>
      <c r="C56" s="54"/>
      <c r="D56" s="54"/>
      <c r="E56" s="54"/>
      <c r="F56" s="54"/>
    </row>
    <row r="57" spans="1:6" ht="16" x14ac:dyDescent="0.2">
      <c r="A57" s="54"/>
      <c r="B57" s="54"/>
      <c r="C57" s="54"/>
      <c r="D57" s="54"/>
      <c r="E57" s="54"/>
      <c r="F57" s="54"/>
    </row>
    <row r="58" spans="1:6" ht="16" x14ac:dyDescent="0.2">
      <c r="A58" s="54"/>
      <c r="B58" s="54"/>
      <c r="C58" s="54"/>
      <c r="D58" s="54"/>
      <c r="E58" s="54"/>
      <c r="F58" s="54"/>
    </row>
    <row r="59" spans="1:6" ht="16" x14ac:dyDescent="0.2">
      <c r="A59" s="54"/>
      <c r="B59" s="54"/>
      <c r="C59" s="54"/>
      <c r="D59" s="54"/>
      <c r="E59" s="54"/>
      <c r="F59" s="54"/>
    </row>
    <row r="60" spans="1:6" ht="16" x14ac:dyDescent="0.2">
      <c r="A60" s="54"/>
      <c r="B60" s="54"/>
      <c r="C60" s="54"/>
      <c r="D60" s="54"/>
      <c r="E60" s="54"/>
      <c r="F60" s="54"/>
    </row>
    <row r="61" spans="1:6" ht="16" x14ac:dyDescent="0.2">
      <c r="A61" s="54"/>
      <c r="B61" s="54"/>
      <c r="C61" s="54"/>
      <c r="D61" s="54"/>
      <c r="E61" s="54"/>
      <c r="F61" s="54"/>
    </row>
  </sheetData>
  <mergeCells count="5">
    <mergeCell ref="D4:D7"/>
    <mergeCell ref="D8:D9"/>
    <mergeCell ref="D18:D19"/>
    <mergeCell ref="D23:D24"/>
    <mergeCell ref="D27:D29"/>
  </mergeCells>
  <phoneticPr fontId="2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2" sqref="G12"/>
    </sheetView>
  </sheetViews>
  <sheetFormatPr baseColWidth="10" defaultRowHeight="14" x14ac:dyDescent="0.15"/>
  <cols>
    <col min="1" max="1" width="33.33203125" bestFit="1" customWidth="1"/>
  </cols>
  <sheetData>
    <row r="1" spans="1:3" ht="16" x14ac:dyDescent="0.2">
      <c r="A1" s="56" t="s">
        <v>306</v>
      </c>
      <c r="B1" s="68"/>
      <c r="C1" s="68"/>
    </row>
    <row r="2" spans="1:3" ht="16" x14ac:dyDescent="0.2">
      <c r="A2" s="56"/>
      <c r="B2" s="68"/>
      <c r="C2" s="68"/>
    </row>
    <row r="3" spans="1:3" x14ac:dyDescent="0.15">
      <c r="B3" s="2" t="s">
        <v>46</v>
      </c>
      <c r="C3" s="2" t="s">
        <v>45</v>
      </c>
    </row>
    <row r="4" spans="1:3" x14ac:dyDescent="0.15">
      <c r="A4" t="s">
        <v>307</v>
      </c>
    </row>
    <row r="5" spans="1:3" x14ac:dyDescent="0.15">
      <c r="A5" t="s">
        <v>308</v>
      </c>
      <c r="B5" s="24">
        <f>Sectors!J6</f>
        <v>67.531684259999992</v>
      </c>
      <c r="C5" s="24">
        <f>Sectors!I6</f>
        <v>67.531701807915468</v>
      </c>
    </row>
    <row r="6" spans="1:3" x14ac:dyDescent="0.15">
      <c r="A6" t="s">
        <v>309</v>
      </c>
      <c r="B6" s="24">
        <f>Sectors!J7</f>
        <v>0.78747599059683859</v>
      </c>
      <c r="C6" s="24">
        <f>Sectors!I7</f>
        <v>0.78747614300973667</v>
      </c>
    </row>
    <row r="7" spans="1:3" x14ac:dyDescent="0.15">
      <c r="A7" t="s">
        <v>310</v>
      </c>
      <c r="B7" s="24">
        <f>Sectors!J8</f>
        <v>0.59239254024233345</v>
      </c>
      <c r="C7" s="24">
        <f>Sectors!I8</f>
        <v>0.59239248365657804</v>
      </c>
    </row>
  </sheetData>
  <phoneticPr fontId="27" type="noConversion"/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150" zoomScaleNormal="150" zoomScalePageLayoutView="150" workbookViewId="0">
      <selection activeCell="C21" sqref="C21"/>
    </sheetView>
  </sheetViews>
  <sheetFormatPr baseColWidth="10" defaultRowHeight="14" x14ac:dyDescent="0.15"/>
  <cols>
    <col min="2" max="2" width="7.1640625" customWidth="1"/>
    <col min="3" max="3" width="14.33203125" customWidth="1"/>
    <col min="4" max="5" width="19.1640625" customWidth="1"/>
  </cols>
  <sheetData>
    <row r="1" spans="1:15" x14ac:dyDescent="0.15">
      <c r="A1" s="1" t="s">
        <v>296</v>
      </c>
    </row>
    <row r="2" spans="1:15" ht="13" customHeight="1" x14ac:dyDescent="0.15">
      <c r="A2" s="126" t="s">
        <v>297</v>
      </c>
      <c r="B2" s="126"/>
      <c r="C2" s="126"/>
      <c r="D2" s="126"/>
      <c r="E2" s="126"/>
    </row>
    <row r="3" spans="1:15" ht="15" thickBot="1" x14ac:dyDescent="0.2">
      <c r="A3" s="127"/>
      <c r="B3" s="127"/>
      <c r="C3" s="127"/>
      <c r="D3" s="127"/>
      <c r="E3" s="127"/>
    </row>
    <row r="4" spans="1:15" ht="14" customHeight="1" thickTop="1" x14ac:dyDescent="0.15">
      <c r="B4" s="97"/>
      <c r="C4" s="104" t="s">
        <v>301</v>
      </c>
      <c r="D4" s="104" t="s">
        <v>303</v>
      </c>
      <c r="E4" s="133" t="s">
        <v>300</v>
      </c>
      <c r="O4" s="87"/>
    </row>
    <row r="5" spans="1:15" x14ac:dyDescent="0.15">
      <c r="A5" s="98"/>
      <c r="B5" s="98"/>
      <c r="C5" s="98" t="s">
        <v>302</v>
      </c>
      <c r="D5" s="98" t="s">
        <v>302</v>
      </c>
      <c r="E5" s="134"/>
      <c r="O5" t="s">
        <v>290</v>
      </c>
    </row>
    <row r="6" spans="1:15" ht="13" customHeight="1" x14ac:dyDescent="0.15">
      <c r="A6" s="130" t="s">
        <v>298</v>
      </c>
      <c r="B6" s="24">
        <f>HLOOKUP(Table_Robustness!O6,Calibrations!$H$1:$ZP$49,13)</f>
        <v>0.09</v>
      </c>
      <c r="C6" s="23">
        <f>HLOOKUP(Table_Robustness!O6,Calibrations!$H$1:$ZP$49,40)</f>
        <v>-10.180343488360641</v>
      </c>
      <c r="D6" s="23">
        <f>HLOOKUP(Table_Robustness!O6,Calibrations!$H$1:$ZP$49,41)</f>
        <v>2.719483010673688</v>
      </c>
      <c r="E6" s="24">
        <f>HLOOKUP(Table_Robustness!O6,Calibrations!$H$1:$ZP$49,43)</f>
        <v>-0.16749656220307985</v>
      </c>
      <c r="O6">
        <f>O7+5</f>
        <v>5154</v>
      </c>
    </row>
    <row r="7" spans="1:15" x14ac:dyDescent="0.15">
      <c r="A7" s="131"/>
      <c r="B7" s="24">
        <f>HLOOKUP(Table_Robustness!O7,Calibrations!$H$1:$ZP$49,13)</f>
        <v>0.21</v>
      </c>
      <c r="C7" s="23">
        <f>HLOOKUP(Table_Robustness!O7,Calibrations!$H$1:$ZP$49,40)</f>
        <v>-10.522247076182431</v>
      </c>
      <c r="D7" s="23">
        <f>HLOOKUP(Table_Robustness!O7,Calibrations!$H$1:$ZP$49,41)</f>
        <v>5.7709751023018532</v>
      </c>
      <c r="E7" s="24">
        <f>HLOOKUP(Table_Robustness!O7,Calibrations!$H$1:$ZP$49,43)</f>
        <v>-0.1574924978455664</v>
      </c>
      <c r="O7">
        <v>5149</v>
      </c>
    </row>
    <row r="8" spans="1:15" x14ac:dyDescent="0.15">
      <c r="A8" s="131"/>
      <c r="B8" s="88">
        <v>0.33</v>
      </c>
      <c r="C8" s="99">
        <f>HLOOKUP(Table_Robustness!O8,Calibrations!$H$1:$ZP$49,40)</f>
        <v>-11.458921309148778</v>
      </c>
      <c r="D8" s="99">
        <f>HLOOKUP(Table_Robustness!O8,Calibrations!$H$1:$ZP$49,41)</f>
        <v>9.6407809919119387</v>
      </c>
      <c r="E8" s="88">
        <f>HLOOKUP(Table_Robustness!O8,Calibrations!$H$1:$ZP$49,43)</f>
        <v>-0.14384944929368093</v>
      </c>
      <c r="O8" s="1">
        <v>4749</v>
      </c>
    </row>
    <row r="9" spans="1:15" x14ac:dyDescent="0.15">
      <c r="A9" s="131"/>
      <c r="B9" s="24">
        <f>HLOOKUP(Table_Robustness!O9,Calibrations!$H$1:$ZP$49,13)</f>
        <v>0.45666659999999998</v>
      </c>
      <c r="C9" s="23">
        <f>HLOOKUP(Table_Robustness!O9,Calibrations!$H$1:$ZP$49,40)</f>
        <v>-12.177280767022374</v>
      </c>
      <c r="D9" s="23">
        <f>HLOOKUP(Table_Robustness!O9,Calibrations!$H$1:$ZP$49,41)</f>
        <v>15.65923621175847</v>
      </c>
      <c r="E9" s="24">
        <f>HLOOKUP(Table_Robustness!O9,Calibrations!$H$1:$ZP$49,43)</f>
        <v>-0.12025275321356069</v>
      </c>
      <c r="O9">
        <f>O6+5</f>
        <v>5159</v>
      </c>
    </row>
    <row r="10" spans="1:15" x14ac:dyDescent="0.15">
      <c r="A10" s="132"/>
      <c r="B10" s="92">
        <f>HLOOKUP(Table_Robustness!O10,Calibrations!$H$1:$ZP$49,13)</f>
        <v>0.57666660000000003</v>
      </c>
      <c r="C10" s="100">
        <f>HLOOKUP(Table_Robustness!O10,Calibrations!$H$1:$ZP$49,40)</f>
        <v>-12.967774836943683</v>
      </c>
      <c r="D10" s="100">
        <f>HLOOKUP(Table_Robustness!O10,Calibrations!$H$1:$ZP$49,41)</f>
        <v>21.557167669999991</v>
      </c>
      <c r="E10" s="92">
        <f>HLOOKUP(Table_Robustness!O10,Calibrations!$H$1:$ZP$49,43)</f>
        <v>-9.3570322889921453E-2</v>
      </c>
      <c r="O10">
        <f>O9+5</f>
        <v>5164</v>
      </c>
    </row>
    <row r="11" spans="1:15" x14ac:dyDescent="0.15">
      <c r="B11" s="100"/>
      <c r="C11" s="100"/>
      <c r="D11" s="100"/>
      <c r="E11" s="92"/>
      <c r="O11" t="s">
        <v>290</v>
      </c>
    </row>
    <row r="12" spans="1:15" ht="13" customHeight="1" x14ac:dyDescent="0.15">
      <c r="A12" s="130" t="s">
        <v>291</v>
      </c>
      <c r="B12" s="48">
        <f>HLOOKUP(Table_Robustness!O12,Calibrations!$H$1:$ZP$49,14)</f>
        <v>1.0001</v>
      </c>
      <c r="C12" s="101">
        <f>HLOOKUP(Table_Robustness!O12,Calibrations!$H$1:$ZP$49,40)</f>
        <v>-10.888005631930909</v>
      </c>
      <c r="D12" s="101">
        <f>HLOOKUP(Table_Robustness!O12,Calibrations!$H$1:$ZP$49,41)</f>
        <v>9.3941461602075105</v>
      </c>
      <c r="E12" s="75">
        <f>HLOOKUP(Table_Robustness!O12,Calibrations!$H$1:$ZP$49,43)</f>
        <v>-0.13206587961085406</v>
      </c>
      <c r="O12">
        <v>5084</v>
      </c>
    </row>
    <row r="13" spans="1:15" x14ac:dyDescent="0.15">
      <c r="A13" s="131"/>
      <c r="B13" s="48">
        <f>HLOOKUP(Table_Robustness!O13,Calibrations!$H$1:$ZP$49,14)</f>
        <v>1.25</v>
      </c>
      <c r="C13" s="101">
        <f>HLOOKUP(Table_Robustness!O13,Calibrations!$H$1:$ZP$49,40)</f>
        <v>-11.301625601196427</v>
      </c>
      <c r="D13" s="101">
        <f>HLOOKUP(Table_Robustness!O13,Calibrations!$H$1:$ZP$49,41)</f>
        <v>9.5881374948593709</v>
      </c>
      <c r="E13" s="75">
        <f>HLOOKUP(Table_Robustness!O13,Calibrations!$H$1:$ZP$49,43)</f>
        <v>-0.13866620784615852</v>
      </c>
      <c r="O13">
        <v>5119</v>
      </c>
    </row>
    <row r="14" spans="1:15" x14ac:dyDescent="0.15">
      <c r="A14" s="131"/>
      <c r="B14" s="1">
        <f>HLOOKUP(Table_Robustness!O14,Calibrations!$H$1:$ZP$49,14)</f>
        <v>1.5</v>
      </c>
      <c r="C14" s="99">
        <f>HLOOKUP(Table_Robustness!O14,Calibrations!$H$1:$ZP$49,40)</f>
        <v>-11.458921309148778</v>
      </c>
      <c r="D14" s="99">
        <f>HLOOKUP(Table_Robustness!O14,Calibrations!$H$1:$ZP$49,41)</f>
        <v>9.6407809919119387</v>
      </c>
      <c r="E14" s="88">
        <f>HLOOKUP(Table_Robustness!O14,Calibrations!$H$1:$ZP$49,43)</f>
        <v>-0.14384944929368093</v>
      </c>
      <c r="O14" s="1">
        <v>4749</v>
      </c>
    </row>
    <row r="15" spans="1:15" x14ac:dyDescent="0.15">
      <c r="A15" s="131"/>
      <c r="B15" s="48">
        <f>HLOOKUP(Table_Robustness!O15,Calibrations!$H$1:$ZP$49,14)</f>
        <v>1.75</v>
      </c>
      <c r="C15" s="101">
        <f>HLOOKUP(Table_Robustness!O15,Calibrations!$H$1:$ZP$49,40)</f>
        <v>-11.625933835474719</v>
      </c>
      <c r="D15" s="101">
        <f>HLOOKUP(Table_Robustness!O15,Calibrations!$H$1:$ZP$49,41)</f>
        <v>9.9750244273460282</v>
      </c>
      <c r="E15" s="75">
        <f>HLOOKUP(Table_Robustness!O15,Calibrations!$H$1:$ZP$49,43)</f>
        <v>-0.14686001613183353</v>
      </c>
      <c r="O15">
        <v>5124</v>
      </c>
    </row>
    <row r="16" spans="1:15" x14ac:dyDescent="0.15">
      <c r="A16" s="132"/>
      <c r="B16" s="93">
        <f>HLOOKUP(Table_Robustness!O16,Calibrations!$H$1:$ZP$49,14)</f>
        <v>2</v>
      </c>
      <c r="C16" s="102">
        <f>HLOOKUP(Table_Robustness!O16,Calibrations!$H$1:$ZP$49,40)</f>
        <v>-12.212456868199688</v>
      </c>
      <c r="D16" s="102">
        <f>HLOOKUP(Table_Robustness!O16,Calibrations!$H$1:$ZP$49,41)</f>
        <v>10.034554566328532</v>
      </c>
      <c r="E16" s="94">
        <f>HLOOKUP(Table_Robustness!O16,Calibrations!$H$1:$ZP$49,43)</f>
        <v>-0.14919679854514489</v>
      </c>
      <c r="O16">
        <v>5099</v>
      </c>
    </row>
    <row r="17" spans="1:15" x14ac:dyDescent="0.15">
      <c r="B17" s="100"/>
      <c r="C17" s="100"/>
      <c r="D17" s="100"/>
      <c r="E17" s="92"/>
      <c r="O17" t="s">
        <v>290</v>
      </c>
    </row>
    <row r="18" spans="1:15" ht="13" customHeight="1" x14ac:dyDescent="0.15">
      <c r="A18" s="130" t="s">
        <v>292</v>
      </c>
      <c r="B18">
        <f>HLOOKUP(Table_Robustness!O18,Calibrations!$H$1:$XW$49,16)</f>
        <v>0</v>
      </c>
      <c r="C18" s="23">
        <f>HLOOKUP(Table_Robustness!O18,Calibrations!$H$1:$XW$49,40)</f>
        <v>-10.1578145551224</v>
      </c>
      <c r="D18" s="23">
        <f>HLOOKUP(Table_Robustness!O18,Calibrations!$H$1:$ZP$49,41)</f>
        <v>9.6407809919119405</v>
      </c>
      <c r="E18" s="24">
        <f>HLOOKUP(Table_Robustness!O18,Calibrations!$H$1:$ZP$49,43)</f>
        <v>-0.19087094265878299</v>
      </c>
      <c r="O18">
        <v>4750</v>
      </c>
    </row>
    <row r="19" spans="1:15" x14ac:dyDescent="0.15">
      <c r="A19" s="131"/>
      <c r="B19">
        <f>HLOOKUP(Table_Robustness!O19,Calibrations!$H$1:$XW$49,16)</f>
        <v>0.25</v>
      </c>
      <c r="C19" s="23">
        <f>HLOOKUP(Table_Robustness!O19,Calibrations!$H$1:$XW$49,40)</f>
        <v>-11.209944906011422</v>
      </c>
      <c r="D19" s="23">
        <f>HLOOKUP(Table_Robustness!O19,Calibrations!$H$1:$ZP$49,41)</f>
        <v>9.6407820966208888</v>
      </c>
      <c r="E19" s="24">
        <f>HLOOKUP(Table_Robustness!O19,Calibrations!$H$1:$ZP$49,43)</f>
        <v>-0.16317845632711031</v>
      </c>
      <c r="O19">
        <v>5104</v>
      </c>
    </row>
    <row r="20" spans="1:15" x14ac:dyDescent="0.15">
      <c r="A20" s="131"/>
      <c r="B20" s="1">
        <f>HLOOKUP(Table_Robustness!O20,Calibrations!$H$1:$XW$49,16)</f>
        <v>0.5</v>
      </c>
      <c r="C20" s="99">
        <f>HLOOKUP(Table_Robustness!O20,Calibrations!$H$1:$XW$49,40)</f>
        <v>-11.458921309148778</v>
      </c>
      <c r="D20" s="99">
        <f>HLOOKUP(Table_Robustness!O20,Calibrations!$H$1:$ZP$49,41)</f>
        <v>9.6407809919119387</v>
      </c>
      <c r="E20" s="88">
        <f>HLOOKUP(Table_Robustness!O20,Calibrations!$H$1:$ZP$49,43)</f>
        <v>-0.14384944929368093</v>
      </c>
      <c r="O20" s="1">
        <v>4749</v>
      </c>
    </row>
    <row r="21" spans="1:15" x14ac:dyDescent="0.15">
      <c r="A21" s="131"/>
      <c r="B21">
        <f>HLOOKUP(Table_Robustness!O21,Calibrations!$H$1:$XW$49,16)</f>
        <v>0.75</v>
      </c>
      <c r="C21" s="23">
        <f>HLOOKUP(Table_Robustness!O21,Calibrations!$H$1:$XW$49,40)</f>
        <v>-11.973360890370344</v>
      </c>
      <c r="D21" s="23">
        <f>HLOOKUP(Table_Robustness!O21,Calibrations!$H$1:$ZP$49,41)</f>
        <v>9.6407841443885367</v>
      </c>
      <c r="E21" s="24">
        <f>HLOOKUP(Table_Robustness!O21,Calibrations!$H$1:$ZP$49,43)</f>
        <v>-0.12749172182185656</v>
      </c>
      <c r="O21">
        <f>O19+5</f>
        <v>5109</v>
      </c>
    </row>
    <row r="22" spans="1:15" x14ac:dyDescent="0.15">
      <c r="A22" s="132"/>
      <c r="B22" s="91">
        <f>HLOOKUP(Table_Robustness!O22,Calibrations!$H$1:$XW$49,16)</f>
        <v>1</v>
      </c>
      <c r="C22" s="100">
        <f>HLOOKUP(Table_Robustness!O22,Calibrations!$H$1:$XW$49,40)</f>
        <v>-11.920375539052422</v>
      </c>
      <c r="D22" s="100">
        <f>HLOOKUP(Table_Robustness!O22,Calibrations!$H$1:$ZP$49,41)</f>
        <v>9.6407821719772819</v>
      </c>
      <c r="E22" s="92">
        <f>HLOOKUP(Table_Robustness!O22,Calibrations!$H$1:$ZP$49,43)</f>
        <v>-0.11494439410285569</v>
      </c>
      <c r="O22">
        <f>O21+5</f>
        <v>5114</v>
      </c>
    </row>
    <row r="23" spans="1:15" x14ac:dyDescent="0.15">
      <c r="A23" s="100"/>
      <c r="B23" s="100"/>
      <c r="C23" s="100"/>
      <c r="D23" s="100"/>
      <c r="E23" s="92"/>
      <c r="O23" t="s">
        <v>293</v>
      </c>
    </row>
    <row r="24" spans="1:15" ht="17" customHeight="1" x14ac:dyDescent="0.15">
      <c r="A24" s="128" t="s">
        <v>299</v>
      </c>
      <c r="B24" s="48">
        <f>HLOOKUP(Table_Robustness!O24-3,Calibrations!$H$1:$ZP$49,8)-0.0765</f>
        <v>1.2240000000000001E-2</v>
      </c>
      <c r="C24" s="101">
        <f>HLOOKUP(Table_Robustness!O24,Calibrations!$H$1:$XW$49,40)</f>
        <v>-11.667553861542196</v>
      </c>
      <c r="D24" s="101">
        <f>HLOOKUP(Table_Robustness!O24,Calibrations!$H$1:$XW$49,41)</f>
        <v>10.420460793225478</v>
      </c>
      <c r="E24" s="90">
        <f>HLOOKUP(Table_Robustness!O24,Calibrations!$H$1:$XW$49,43)</f>
        <v>-0.14090594576861673</v>
      </c>
      <c r="O24">
        <v>5134</v>
      </c>
    </row>
    <row r="25" spans="1:15" x14ac:dyDescent="0.15">
      <c r="A25" s="128"/>
      <c r="B25" s="48">
        <f>HLOOKUP(Table_Robustness!O25-3,Calibrations!$H$1:$ZP$49,8)-0.0765</f>
        <v>9.1800000000000076E-3</v>
      </c>
      <c r="C25" s="101">
        <f>HLOOKUP(Table_Robustness!O25,Calibrations!$H$1:$XW$49,40)</f>
        <v>-11.647268923625482</v>
      </c>
      <c r="D25" s="101">
        <f>HLOOKUP(Table_Robustness!O25,Calibrations!$H$1:$XW$49,41)</f>
        <v>10.139637257656149</v>
      </c>
      <c r="E25" s="90">
        <f>HLOOKUP(Table_Robustness!O25,Calibrations!$H$1:$XW$49,43)</f>
        <v>-0.14194499576654476</v>
      </c>
      <c r="O25">
        <v>5139</v>
      </c>
    </row>
    <row r="26" spans="1:15" x14ac:dyDescent="0.15">
      <c r="A26" s="128"/>
      <c r="B26" s="1">
        <f>HLOOKUP(Table_Robustness!O26-3,Calibrations!$H$1:$ZP$49,8)-0.0765</f>
        <v>0</v>
      </c>
      <c r="C26" s="99">
        <f>HLOOKUP(Table_Robustness!O26,Calibrations!$H$1:$XW$49,40)</f>
        <v>-11.458921309148778</v>
      </c>
      <c r="D26" s="99">
        <f>HLOOKUP(Table_Robustness!O26,Calibrations!$H$1:$XW$49,41)</f>
        <v>9.6407809919119387</v>
      </c>
      <c r="E26" s="89">
        <f>HLOOKUP(Table_Robustness!O26,Calibrations!$H$1:$XW$49,43)</f>
        <v>-0.14384944929368093</v>
      </c>
      <c r="O26" s="1">
        <v>4749</v>
      </c>
    </row>
    <row r="27" spans="1:15" x14ac:dyDescent="0.15">
      <c r="A27" s="128"/>
      <c r="B27" s="48">
        <f>HLOOKUP(Table_Robustness!O27-3,Calibrations!$H$1:$ZP$49,8)-0.0765</f>
        <v>-9.1800000000000076E-3</v>
      </c>
      <c r="C27" s="101">
        <f>HLOOKUP(Table_Robustness!O27,Calibrations!$H$1:$XW$49,40)</f>
        <v>-11.324189376300296</v>
      </c>
      <c r="D27" s="101">
        <f>HLOOKUP(Table_Robustness!O27,Calibrations!$H$1:$XW$49,41)</f>
        <v>9.3915551479593873</v>
      </c>
      <c r="E27" s="90">
        <f>HLOOKUP(Table_Robustness!O27,Calibrations!$H$1:$XW$49,43)</f>
        <v>-0.14472400506099459</v>
      </c>
      <c r="O27">
        <v>5144</v>
      </c>
    </row>
    <row r="28" spans="1:15" ht="15" thickBot="1" x14ac:dyDescent="0.2">
      <c r="A28" s="129"/>
      <c r="B28" s="95">
        <f>HLOOKUP(Table_Robustness!O28-3,Calibrations!$H$1:$ZP$49,8)-0.0765</f>
        <v>-1.8360000000000001E-2</v>
      </c>
      <c r="C28" s="103">
        <f>HLOOKUP(Table_Robustness!O28,Calibrations!$H$1:$XW$49,40)</f>
        <v>-11.174065395625668</v>
      </c>
      <c r="D28" s="103">
        <f>HLOOKUP(Table_Robustness!O28,Calibrations!$H$1:$XW$49,41)</f>
        <v>8.866968045176753</v>
      </c>
      <c r="E28" s="96">
        <f>HLOOKUP(Table_Robustness!O28,Calibrations!$H$1:$XW$49,43)</f>
        <v>-0.14646162879149863</v>
      </c>
      <c r="O28">
        <v>5059</v>
      </c>
    </row>
    <row r="29" spans="1:15" ht="15" thickTop="1" x14ac:dyDescent="0.15"/>
  </sheetData>
  <mergeCells count="6">
    <mergeCell ref="A2:E3"/>
    <mergeCell ref="A24:A28"/>
    <mergeCell ref="A18:A22"/>
    <mergeCell ref="A12:A16"/>
    <mergeCell ref="A6:A10"/>
    <mergeCell ref="E4:E5"/>
  </mergeCells>
  <phoneticPr fontId="2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DD217"/>
  <sheetViews>
    <sheetView tabSelected="1" topLeftCell="A182" workbookViewId="0">
      <selection activeCell="J117" sqref="A117:XFD118"/>
    </sheetView>
  </sheetViews>
  <sheetFormatPr baseColWidth="10" defaultColWidth="8.83203125" defaultRowHeight="14" x14ac:dyDescent="0.15"/>
  <cols>
    <col min="1" max="1" width="15.5" customWidth="1"/>
    <col min="2" max="2" width="7.6640625" customWidth="1"/>
    <col min="5" max="5" width="0" hidden="1" customWidth="1"/>
    <col min="7" max="8" width="5.6640625" customWidth="1"/>
    <col min="9" max="10" width="6.6640625" customWidth="1"/>
    <col min="12" max="15" width="6.6640625" customWidth="1"/>
    <col min="16" max="16" width="5.6640625" customWidth="1"/>
    <col min="17" max="19" width="6.6640625" customWidth="1"/>
    <col min="20" max="22" width="6.1640625" customWidth="1"/>
    <col min="23" max="23" width="7.33203125" customWidth="1"/>
    <col min="24" max="24" width="13.33203125" customWidth="1"/>
    <col min="27" max="31" width="5.6640625" customWidth="1"/>
    <col min="32" max="32" width="9.1640625" customWidth="1"/>
    <col min="33" max="33" width="13.6640625" bestFit="1" customWidth="1"/>
    <col min="34" max="34" width="15.1640625" customWidth="1"/>
    <col min="35" max="35" width="13.6640625" bestFit="1" customWidth="1"/>
    <col min="36" max="37" width="5.6640625" customWidth="1"/>
    <col min="38" max="43" width="6.6640625" customWidth="1"/>
    <col min="44" max="44" width="2.6640625" customWidth="1"/>
    <col min="45" max="46" width="6.6640625" customWidth="1"/>
    <col min="47" max="51" width="5.6640625" customWidth="1"/>
    <col min="52" max="55" width="6.6640625" customWidth="1"/>
    <col min="56" max="57" width="5.6640625" customWidth="1"/>
    <col min="58" max="60" width="6.6640625" customWidth="1"/>
    <col min="61" max="61" width="2.6640625" customWidth="1"/>
    <col min="62" max="62" width="8.33203125" customWidth="1"/>
    <col min="63" max="63" width="7.6640625" customWidth="1"/>
    <col min="64" max="68" width="5.6640625" customWidth="1"/>
    <col min="69" max="69" width="9.1640625" customWidth="1"/>
    <col min="70" max="71" width="6.6640625" customWidth="1"/>
    <col min="72" max="72" width="8" customWidth="1"/>
    <col min="73" max="74" width="5.6640625" customWidth="1"/>
    <col min="75" max="83" width="6.6640625" customWidth="1"/>
    <col min="84" max="88" width="5.6640625" customWidth="1"/>
    <col min="89" max="89" width="9.1640625" customWidth="1"/>
    <col min="90" max="92" width="6.6640625" customWidth="1"/>
    <col min="93" max="94" width="5.6640625" customWidth="1"/>
    <col min="95" max="97" width="6.6640625" customWidth="1"/>
    <col min="100" max="100" width="26.83203125" bestFit="1" customWidth="1"/>
    <col min="107" max="108" width="12.5" bestFit="1" customWidth="1"/>
  </cols>
  <sheetData>
    <row r="1" spans="1:108" x14ac:dyDescent="0.15">
      <c r="A1" s="1" t="s">
        <v>60</v>
      </c>
    </row>
    <row r="3" spans="1:108" x14ac:dyDescent="0.15">
      <c r="A3" s="114" t="s">
        <v>61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40"/>
      <c r="W3" s="40"/>
      <c r="Y3" s="117" t="str">
        <f>"Simulate ACA, "&amp;FixedParams!$C$4&amp;" Implementation"</f>
        <v>Simulate ACA, 100%/100% Implementation</v>
      </c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50"/>
      <c r="AO3" s="53"/>
      <c r="AP3" s="53"/>
      <c r="AQ3" s="80"/>
      <c r="AS3" s="117" t="str">
        <f>"Simulate ACA, "&amp;FixedParams!$D$4&amp;" Implementation"</f>
        <v>Simulate ACA, 80%/50% Implementation</v>
      </c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50"/>
      <c r="BJ3" s="117" t="str">
        <f>"Simulate ACA, "&amp;FixedParams!$C$4&amp;" Implementation, Minimal supply response"</f>
        <v>Simulate ACA, 100%/100% Implementation, Minimal supply response</v>
      </c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50"/>
      <c r="BZ3" s="53"/>
      <c r="CA3" s="53"/>
      <c r="CB3" s="53"/>
      <c r="CD3" s="117" t="str">
        <f>"Simulate ACA, "&amp;FixedParams!$D$4&amp;" Implementation, Minimal supply response"</f>
        <v>Simulate ACA, 80%/50% Implementation, Minimal supply response</v>
      </c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50"/>
      <c r="DC3" s="74">
        <f>Z4+AT4+BK4+CE4</f>
        <v>1.6304580887530458E-13</v>
      </c>
    </row>
    <row r="4" spans="1:108" x14ac:dyDescent="0.15">
      <c r="A4" s="109" t="s">
        <v>42</v>
      </c>
      <c r="B4" s="109"/>
      <c r="C4" s="109"/>
      <c r="F4" s="109" t="s">
        <v>43</v>
      </c>
      <c r="G4" s="109"/>
      <c r="H4" s="109"/>
      <c r="I4" s="109"/>
      <c r="Y4" t="s">
        <v>49</v>
      </c>
      <c r="Z4" s="25">
        <f>(1-AA5/Z5)^2+(1-AA6/Z6)^2</f>
        <v>1.0287711908194319E-14</v>
      </c>
      <c r="AT4" s="25">
        <f>(1-AU5/AT5)^2+(1-AU6/AT6)^2</f>
        <v>2.4027560643268528E-16</v>
      </c>
      <c r="BJ4" t="s">
        <v>49</v>
      </c>
      <c r="BK4" s="25">
        <f>(1-BL5/BK5)^2+(1-BL6/BK6)^2</f>
        <v>1.1487048396942876E-13</v>
      </c>
      <c r="CD4" t="s">
        <v>49</v>
      </c>
      <c r="CE4" s="25">
        <f>(1-CF5/CE5)^2+(1-CF6/CE6)^2</f>
        <v>3.7647337391248821E-14</v>
      </c>
      <c r="CV4" s="2" t="s">
        <v>53</v>
      </c>
      <c r="DA4" t="s">
        <v>177</v>
      </c>
      <c r="DB4" t="s">
        <v>68</v>
      </c>
      <c r="DC4" s="8">
        <v>255.3288603604081</v>
      </c>
      <c r="DD4">
        <f>Z4</f>
        <v>1.0287711908194319E-14</v>
      </c>
    </row>
    <row r="5" spans="1:108" x14ac:dyDescent="0.15">
      <c r="I5" s="4" t="s">
        <v>45</v>
      </c>
      <c r="J5" s="4" t="s">
        <v>46</v>
      </c>
      <c r="K5" s="4" t="s">
        <v>50</v>
      </c>
      <c r="Y5" t="s">
        <v>68</v>
      </c>
      <c r="Z5" s="11">
        <f>DC4</f>
        <v>255.3288603604081</v>
      </c>
      <c r="AA5">
        <f>$AL$15</f>
        <v>255.32883930411583</v>
      </c>
      <c r="AB5" s="24">
        <f>LN(Z5/$Q$15)</f>
        <v>0.16634351226413335</v>
      </c>
      <c r="AT5" s="11">
        <f>DC6</f>
        <v>254.45117743338125</v>
      </c>
      <c r="AU5">
        <f>$BF$15</f>
        <v>254.45117781297512</v>
      </c>
      <c r="AV5" s="24">
        <f>LN(AT5/$Q$15)</f>
        <v>0.1629001299063606</v>
      </c>
      <c r="BJ5" t="s">
        <v>68</v>
      </c>
      <c r="BK5" s="8">
        <f>DC8</f>
        <v>270.67106483035116</v>
      </c>
      <c r="BL5">
        <f>$BW$15</f>
        <v>270.67113527474527</v>
      </c>
      <c r="BM5" s="24">
        <f>LN(BK5/$Q$15)</f>
        <v>0.22469545025058935</v>
      </c>
      <c r="CD5" t="s">
        <v>68</v>
      </c>
      <c r="CE5" s="11">
        <f>DC10</f>
        <v>265.37119145497638</v>
      </c>
      <c r="CF5">
        <f>$CQ$15</f>
        <v>265.37124004195903</v>
      </c>
      <c r="CG5" s="24">
        <f>LN(CE5/$Q$15)</f>
        <v>0.20492071787705429</v>
      </c>
      <c r="CV5" t="s">
        <v>54</v>
      </c>
      <c r="CY5">
        <v>1.5</v>
      </c>
      <c r="CZ5" s="2"/>
      <c r="DA5" s="2"/>
      <c r="DB5" s="48" t="s">
        <v>64</v>
      </c>
      <c r="DC5" s="8">
        <v>67.237889266879236</v>
      </c>
      <c r="DD5" s="2"/>
    </row>
    <row r="6" spans="1:108" x14ac:dyDescent="0.15">
      <c r="A6" t="s">
        <v>39</v>
      </c>
      <c r="B6" s="24">
        <f>D6/(D6+1)</f>
        <v>0.5</v>
      </c>
      <c r="C6" s="116" t="s">
        <v>35</v>
      </c>
      <c r="D6" s="24">
        <v>1</v>
      </c>
      <c r="H6" s="22" t="s">
        <v>44</v>
      </c>
      <c r="I6" s="26">
        <f>M15</f>
        <v>67.531701807915468</v>
      </c>
      <c r="J6" s="29">
        <f>FixedParams!$B$6</f>
        <v>67.531684259999992</v>
      </c>
      <c r="K6">
        <f>((I6-J6)/AVERAGE(I6:J6))^2</f>
        <v>6.7520522175843602E-14</v>
      </c>
      <c r="L6" s="11">
        <v>0.2</v>
      </c>
      <c r="P6" s="24"/>
      <c r="Y6" t="s">
        <v>64</v>
      </c>
      <c r="Z6" s="11">
        <f>DC5</f>
        <v>67.237889266879236</v>
      </c>
      <c r="AA6">
        <f>$AH$15</f>
        <v>67.237893237246439</v>
      </c>
      <c r="AB6" s="24">
        <f>LN(Z6/$M$15)</f>
        <v>-4.3602270242065607E-3</v>
      </c>
      <c r="AC6" s="24"/>
      <c r="AT6" s="11">
        <f>DC7</f>
        <v>66.89131463157635</v>
      </c>
      <c r="AU6">
        <f>$BB$15</f>
        <v>66.89131566363389</v>
      </c>
      <c r="AV6" s="24">
        <f>LN(AT6/$M$15)</f>
        <v>-9.5280114668349625E-3</v>
      </c>
      <c r="AW6" s="24"/>
      <c r="BJ6" t="s">
        <v>64</v>
      </c>
      <c r="BK6" s="11">
        <f>DC9</f>
        <v>67.526024813761126</v>
      </c>
      <c r="BL6">
        <f>$BS$15</f>
        <v>67.526010153287956</v>
      </c>
      <c r="BM6" s="24">
        <f>LN(BK6/$M$15)</f>
        <v>-8.4067669428334089E-5</v>
      </c>
      <c r="BN6" s="24"/>
      <c r="CD6" t="s">
        <v>64</v>
      </c>
      <c r="CE6" s="11">
        <f>DC11</f>
        <v>67.526940418434876</v>
      </c>
      <c r="CF6">
        <f>$CM$15</f>
        <v>67.52693608135813</v>
      </c>
      <c r="CG6" s="24">
        <f>LN(CE6/$M$15)</f>
        <v>-7.0508475489968386E-5</v>
      </c>
      <c r="CV6" t="s">
        <v>33</v>
      </c>
      <c r="CY6">
        <v>0.5</v>
      </c>
      <c r="DA6" t="s">
        <v>179</v>
      </c>
      <c r="DB6" t="s">
        <v>68</v>
      </c>
      <c r="DC6" s="8">
        <v>254.45117743338125</v>
      </c>
      <c r="DD6">
        <f>AT4</f>
        <v>2.4027560643268528E-16</v>
      </c>
    </row>
    <row r="7" spans="1:108" x14ac:dyDescent="0.15">
      <c r="A7" s="48" t="s">
        <v>251</v>
      </c>
      <c r="B7" s="24">
        <f>D7</f>
        <v>0.99678494269231432</v>
      </c>
      <c r="C7" s="116"/>
      <c r="D7" s="24">
        <v>0.99678494269231432</v>
      </c>
      <c r="H7" s="22" t="s">
        <v>47</v>
      </c>
      <c r="I7" s="27">
        <f>SUMPRODUCT($H$17:$H$217,$N$17:$N$217)/SUM($N$17:$N$217)</f>
        <v>0.78747614300973667</v>
      </c>
      <c r="J7" s="24">
        <f>1-(FixedParams!$B$7+FixedParams!$B$9)/(FixedParams!$B$6+FixedParams!$B$8)</f>
        <v>0.78747599059683859</v>
      </c>
      <c r="K7">
        <f>((I7-J7)/AVERAGE(I7:J7))^2</f>
        <v>3.7460081276970645E-14</v>
      </c>
      <c r="L7" s="11">
        <v>0.4</v>
      </c>
      <c r="P7" s="24"/>
      <c r="Y7" t="s">
        <v>70</v>
      </c>
      <c r="Z7">
        <f>FixedParams!B42</f>
        <v>0.5</v>
      </c>
      <c r="AA7">
        <f>FixedParams!C42</f>
        <v>0.5</v>
      </c>
      <c r="AB7">
        <f>LN((1-AA7)/(1-Z7))</f>
        <v>0</v>
      </c>
      <c r="AT7">
        <f>FixedParams!B42</f>
        <v>0.5</v>
      </c>
      <c r="AU7">
        <f>FixedParams!D42</f>
        <v>0.5</v>
      </c>
      <c r="AV7">
        <f>LN((1-AU7)/(1-AT7))</f>
        <v>0</v>
      </c>
      <c r="BJ7" t="s">
        <v>70</v>
      </c>
      <c r="BK7">
        <f>FixedParams!B42</f>
        <v>0.5</v>
      </c>
      <c r="BL7">
        <f>FixedParams!C42</f>
        <v>0.5</v>
      </c>
      <c r="BM7">
        <f>LN((1-BL7)/(1-BK7))</f>
        <v>0</v>
      </c>
      <c r="CD7" t="s">
        <v>70</v>
      </c>
      <c r="CE7">
        <f>FixedParams!B42</f>
        <v>0.5</v>
      </c>
      <c r="CF7">
        <f>FixedParams!D42</f>
        <v>0.5</v>
      </c>
      <c r="CG7">
        <f>LN((1-CF7)/(1-CE7))</f>
        <v>0</v>
      </c>
      <c r="CV7" t="s">
        <v>51</v>
      </c>
      <c r="CY7" t="s">
        <v>295</v>
      </c>
      <c r="DB7" s="48" t="s">
        <v>64</v>
      </c>
      <c r="DC7" s="8">
        <v>66.89131463157635</v>
      </c>
    </row>
    <row r="8" spans="1:108" x14ac:dyDescent="0.15">
      <c r="A8" t="s">
        <v>252</v>
      </c>
      <c r="B8" s="24">
        <f>D8</f>
        <v>0.4342633732955089</v>
      </c>
      <c r="C8" s="116"/>
      <c r="D8" s="24">
        <v>0.4342633732955089</v>
      </c>
      <c r="H8" s="22" t="s">
        <v>48</v>
      </c>
      <c r="I8" s="27">
        <f>SUMPRODUCT($H$17:$H$217,$L$17:$L$217)/SUM($L$17:$L$217)</f>
        <v>0.59239248365657804</v>
      </c>
      <c r="J8" s="24">
        <f>1-FixedParams!$B$9/FixedParams!$B$8</f>
        <v>0.59239254024233345</v>
      </c>
      <c r="K8">
        <f>((I8-J8)/AVERAGE(I8:J8))^2</f>
        <v>9.1242067079373163E-15</v>
      </c>
      <c r="L8">
        <f>1-L6-L7</f>
        <v>0.4</v>
      </c>
      <c r="P8" s="24"/>
      <c r="Y8" t="s">
        <v>71</v>
      </c>
      <c r="Z8">
        <f>FixedParams!B43</f>
        <v>0.44</v>
      </c>
      <c r="AA8">
        <f>FixedParams!C43</f>
        <v>0.44</v>
      </c>
      <c r="AB8">
        <f>LN((1-AA8)/(1-Z8))</f>
        <v>0</v>
      </c>
      <c r="AT8">
        <f>FixedParams!B43</f>
        <v>0.44</v>
      </c>
      <c r="AU8">
        <f>FixedParams!D43</f>
        <v>0.44</v>
      </c>
      <c r="AV8">
        <f>LN((1-AU8)/(1-AT8))</f>
        <v>0</v>
      </c>
      <c r="BJ8" t="s">
        <v>71</v>
      </c>
      <c r="BK8">
        <f>FixedParams!B43</f>
        <v>0.44</v>
      </c>
      <c r="BL8">
        <f>FixedParams!C43</f>
        <v>0.44</v>
      </c>
      <c r="BM8">
        <f>LN((1-BL8)/(1-BK8))</f>
        <v>0</v>
      </c>
      <c r="CD8" t="s">
        <v>71</v>
      </c>
      <c r="CE8">
        <f>FixedParams!B43</f>
        <v>0.44</v>
      </c>
      <c r="CF8">
        <f>FixedParams!D43</f>
        <v>0.44</v>
      </c>
      <c r="CG8">
        <f>LN((1-CF8)/(1-CE8))</f>
        <v>0</v>
      </c>
      <c r="CV8" t="s">
        <v>66</v>
      </c>
      <c r="CY8">
        <v>3.8698192794396499E-2</v>
      </c>
      <c r="DA8" t="s">
        <v>180</v>
      </c>
      <c r="DB8" t="s">
        <v>68</v>
      </c>
      <c r="DC8" s="8">
        <v>270.67106483035116</v>
      </c>
      <c r="DD8">
        <f>BK4</f>
        <v>1.1487048396942876E-13</v>
      </c>
    </row>
    <row r="9" spans="1:108" x14ac:dyDescent="0.15">
      <c r="A9" t="s">
        <v>52</v>
      </c>
      <c r="B9">
        <f>D9-3</f>
        <v>-3.0418232393879703</v>
      </c>
      <c r="C9" s="24"/>
      <c r="D9" s="24">
        <v>-4.1823239387970383E-2</v>
      </c>
      <c r="J9">
        <v>0</v>
      </c>
      <c r="K9" s="25">
        <f>SUMPRODUCT(K6:K8,L6:L8)</f>
        <v>3.2137819629131911E-14</v>
      </c>
      <c r="L9" t="s">
        <v>253</v>
      </c>
      <c r="Y9" t="s">
        <v>63</v>
      </c>
      <c r="Z9" s="23">
        <f>((1-AA7)*$Q$15/(Z5*(1-Z7)))^FixedParams!$B$48*FixedParams!$B$8</f>
        <v>31.196708112690729</v>
      </c>
      <c r="AB9" s="24">
        <f>LN(Z9/$L$15)</f>
        <v>-8.317175613206737E-2</v>
      </c>
      <c r="AT9" s="23">
        <f>((1-AU7)*$Q$15/(AT5*(1-AT7)))^FixedParams!$B$48*FixedParams!$B$8</f>
        <v>31.250465473366422</v>
      </c>
      <c r="AV9" s="24">
        <f>LN(AT9/$L$15)</f>
        <v>-8.1450064953180967E-2</v>
      </c>
      <c r="BJ9" t="s">
        <v>63</v>
      </c>
      <c r="BK9" s="23">
        <f>((1-BL7)*$Q$15/(BK5*(1-BK7)))^FixedParams!$B$49*FixedParams!$B$8</f>
        <v>33.864282958691931</v>
      </c>
      <c r="BM9" s="24">
        <f>LN(BK9/$L$15)</f>
        <v>-1.1234772512536157E-3</v>
      </c>
      <c r="CD9" t="s">
        <v>63</v>
      </c>
      <c r="CE9" s="23">
        <f>((1-CF7)*$Q$15/(CE5*(1-CE7)))^FixedParams!$B$49*FixedParams!$B$8</f>
        <v>33.867631409888673</v>
      </c>
      <c r="CG9" s="24">
        <f>LN(CE9/$L$15)</f>
        <v>-1.0246035893857726E-3</v>
      </c>
      <c r="CV9" t="s">
        <v>36</v>
      </c>
      <c r="CY9">
        <v>0.999</v>
      </c>
      <c r="DB9" s="48" t="s">
        <v>64</v>
      </c>
      <c r="DC9" s="8">
        <v>67.526024813761126</v>
      </c>
    </row>
    <row r="10" spans="1:108" x14ac:dyDescent="0.15">
      <c r="A10" t="s">
        <v>4</v>
      </c>
      <c r="B10" s="24">
        <f>FixedParams!F6</f>
        <v>1.5</v>
      </c>
      <c r="C10" t="s">
        <v>124</v>
      </c>
      <c r="H10" s="23"/>
      <c r="I10" s="23"/>
      <c r="Y10" t="s">
        <v>72</v>
      </c>
      <c r="Z10" s="23">
        <f>SUMPRODUCT($AB$17:$AB$217,AI$17:AI$217)/COUNT($AB$17:$AB$217)</f>
        <v>70.794666585869905</v>
      </c>
      <c r="AB10" s="23">
        <f>Z10-FixedParams!$B$6-FixedParams!$B$8+FixedParams!$B$7+FixedParams!$B$9-FixedParams!$C$11*SUMPRODUCT($AB$17:$AB$217,AG$17:AG$217)/COUNT($AB$17:$AB$217)</f>
        <v>-9.0822000941300942</v>
      </c>
      <c r="AC10">
        <f>AB10*FixedParams!$B$34</f>
        <v>-18.152605445037093</v>
      </c>
      <c r="AH10" t="s">
        <v>77</v>
      </c>
      <c r="AI10" s="23">
        <f>AB10+SUMPRODUCT($AC$17:$AC$217,AI$17:AI$217)/COUNT($AC$17:$AC$217)+FixedParams!$B$6-$Z$6+FixedParams!$B$8-$Z$9</f>
        <v>17.590305797233519</v>
      </c>
      <c r="AJ10" s="23">
        <f>AI10*FixedParams!$B$34</f>
        <v>35.15776766480861</v>
      </c>
      <c r="AT10" s="23">
        <f>SUMPRODUCT($AV$17:$AV$217,BC$17:BC$217)/COUNT($AV$17:$AV$217)</f>
        <v>68.417137621460085</v>
      </c>
      <c r="AV10" s="23">
        <f>AT10-FixedParams!$B$6-FixedParams!$B$8+FixedParams!$B$7+FixedParams!$B$9-FixedParams!$D$11*SUMPRODUCT($AV$17:$AV$217,BA$17:BA$217)/COUNT($AV$17:$AV$217)</f>
        <v>-11.459729058539914</v>
      </c>
      <c r="AW10">
        <f>AV10*FixedParams!$B$34</f>
        <v>-22.904575758152383</v>
      </c>
      <c r="BB10" t="s">
        <v>77</v>
      </c>
      <c r="BC10" s="23">
        <f>AV10+SUMPRODUCT($AW$17:$AW$217,BB$17:BB$217)/COUNT($AW$17:$AW$217)+FixedParams!$B$6-$AT$6+FixedParams!$B$8-$AT$9</f>
        <v>0.2073805219493785</v>
      </c>
      <c r="BD10" s="23">
        <f>BC10*FixedParams!$B$34</f>
        <v>0.41449172589425226</v>
      </c>
      <c r="BJ10" t="s">
        <v>72</v>
      </c>
      <c r="BK10" s="23">
        <f>SUMPRODUCT($BM$17:$BM$217,BT$17:BT$217)/COUNT($BM$17:$BM$217)</f>
        <v>71.876021607997629</v>
      </c>
      <c r="BM10" s="23">
        <f>BK10-FixedParams!$B$6-FixedParams!$B$8+FixedParams!$B$7+FixedParams!$B$9-FixedParams!$C$11*SUMPRODUCT($BM$17:$BM$217,BR$17:BR$217)/COUNT($BM$17:$BM$217)</f>
        <v>-8.0008450720023703</v>
      </c>
      <c r="BN10">
        <f>BM10*FixedParams!$B$34</f>
        <v>-15.991299719634657</v>
      </c>
      <c r="BS10" t="s">
        <v>77</v>
      </c>
      <c r="BT10" s="23">
        <f>BM10+SUMPRODUCT($BN$17:$BN$217,BT$17:BT$217)/COUNT($BN$17:$BN$217)+FixedParams!$B$6-$BK$6+FixedParams!$B$8-$BK$9</f>
        <v>17.750777737290072</v>
      </c>
      <c r="BU10" s="23">
        <f>BT10*FixedParams!$B$34</f>
        <v>35.478503145491196</v>
      </c>
      <c r="CD10" t="s">
        <v>72</v>
      </c>
      <c r="CE10" s="23">
        <f>SUMPRODUCT($CG$17:$CG$217,CN$17:CN$217)/COUNT($CG$17:$CG$217)</f>
        <v>69.719048398366795</v>
      </c>
      <c r="CG10" s="23">
        <f>CE10-FixedParams!$B$6-FixedParams!$B$8+FixedParams!$B$7+FixedParams!$B$9-FixedParams!$C$11*SUMPRODUCT($CG$17:$CG$217,CL$17:CL$217)/COUNT($CG$17:$CG$217)</f>
        <v>-10.157818281633205</v>
      </c>
      <c r="CH10">
        <f>CG10*FixedParams!$B$34</f>
        <v>-20.302444951421592</v>
      </c>
      <c r="CM10" t="s">
        <v>77</v>
      </c>
      <c r="CN10" s="23">
        <f>CG10+SUMPRODUCT($CH$17:$CH$217,CN$17:CN$217)/COUNT($CH$17:$CH$217)+FixedParams!$B$6-$CE$6+FixedParams!$B$8-$CE$9</f>
        <v>9.6407769882552188</v>
      </c>
      <c r="CO10" s="23">
        <f>CN10*FixedParams!$B$34</f>
        <v>19.269033828543087</v>
      </c>
      <c r="CV10" t="s">
        <v>38</v>
      </c>
      <c r="CY10">
        <v>0.5</v>
      </c>
      <c r="DA10" t="s">
        <v>178</v>
      </c>
      <c r="DB10" t="s">
        <v>68</v>
      </c>
      <c r="DC10" s="8">
        <v>265.37119145497638</v>
      </c>
      <c r="DD10">
        <f>CE4</f>
        <v>3.7647337391248821E-14</v>
      </c>
    </row>
    <row r="11" spans="1:108" x14ac:dyDescent="0.15">
      <c r="A11" t="s">
        <v>56</v>
      </c>
      <c r="B11" s="25">
        <f>(FixedParams!$B$32/FixedParams!$B$33)</f>
        <v>0.39101505882574561</v>
      </c>
      <c r="Y11" t="s">
        <v>73</v>
      </c>
      <c r="Z11" s="23">
        <f>AI15</f>
        <v>98.434601349937026</v>
      </c>
      <c r="AB11" s="23">
        <f>Z11-FixedParams!$B$6-FixedParams!$B$8</f>
        <v>-2.9994330000629716</v>
      </c>
      <c r="AT11" s="23">
        <f>BC15</f>
        <v>98.141781137000351</v>
      </c>
      <c r="AV11" s="23">
        <f>AT11-FixedParams!$B$6-FixedParams!$B$8</f>
        <v>-3.2922532129996469</v>
      </c>
      <c r="BJ11" t="s">
        <v>73</v>
      </c>
      <c r="BK11" s="23">
        <f>BT15</f>
        <v>101.39029311197989</v>
      </c>
      <c r="BM11" s="23">
        <f>BK11-FixedParams!$B$6-FixedParams!$B$8</f>
        <v>-4.3741238020110984E-2</v>
      </c>
      <c r="CD11" t="s">
        <v>73</v>
      </c>
      <c r="CE11" s="23">
        <f>CN15</f>
        <v>101.39456749124676</v>
      </c>
      <c r="CG11" s="23">
        <f>CE11-FixedParams!$B$6-FixedParams!$B$8</f>
        <v>-3.9466858753236522E-2</v>
      </c>
      <c r="CV11" t="s">
        <v>44</v>
      </c>
      <c r="CY11">
        <v>0.35537325572590217</v>
      </c>
      <c r="DB11" s="48" t="s">
        <v>64</v>
      </c>
      <c r="DC11" s="8">
        <v>67.526940418434876</v>
      </c>
    </row>
    <row r="12" spans="1:108" x14ac:dyDescent="0.15">
      <c r="A12" t="s">
        <v>57</v>
      </c>
      <c r="B12" s="27">
        <f>FixedParams!B65</f>
        <v>0.3745928365283252</v>
      </c>
      <c r="Y12" t="s">
        <v>56</v>
      </c>
      <c r="Z12" s="25">
        <f>$B$11*((1-$Z$7)/(1-$Z$8))*((1-$AA$8)/(1-$AA$7))*(Z9*FixedParams!$B$6/(FixedParams!$B$8*Z6))^(1/FixedParams!$B$48)</f>
        <v>0.33399382171776881</v>
      </c>
      <c r="AB12" s="24">
        <f>LN(Z12/$B11)</f>
        <v>-0.15762357790994655</v>
      </c>
      <c r="AT12" s="25">
        <f>$B$11*((1-$AT$7)/(1-$AT$8))*((1-$AU$8)/(1-$AU$7))*(AT9*FixedParams!$B$6/(FixedParams!$B$8*AT6))^(1/FixedParams!$B$48)</f>
        <v>0.33862775838018322</v>
      </c>
      <c r="AV12" s="24">
        <f>LN(AT12/$B11)</f>
        <v>-0.14384462666691714</v>
      </c>
      <c r="BJ12" t="s">
        <v>56</v>
      </c>
      <c r="BK12" s="25">
        <f>$B$11*((1-$BK$7)/(1-$BK$8))*((1-$BL$8)/(1-$BL$7))*(BK9*FixedParams!$B$6/(FixedParams!$B$8*BK6))^(1/FixedParams!$B$49)</f>
        <v>0.31760617982692968</v>
      </c>
      <c r="BM12" s="24">
        <f>LN(BK12/$B11)</f>
        <v>-0.20793388578753441</v>
      </c>
      <c r="CD12" t="s">
        <v>56</v>
      </c>
      <c r="CE12" s="25">
        <f>$B$11*((1-$CE$7)/(1-$CE$8))*((1-$CF$8)/(1-$CF$7))*(CE9*FixedParams!$B$6/(FixedParams!$B$8*CE6))^(1/FixedParams!$B$49)</f>
        <v>0.32307195866757576</v>
      </c>
      <c r="CG12" s="24">
        <f>LN(CE12/$B11)</f>
        <v>-0.19087099220163592</v>
      </c>
      <c r="CV12" t="s">
        <v>47</v>
      </c>
      <c r="CY12">
        <v>0.11389584432752305</v>
      </c>
      <c r="DC12">
        <v>0</v>
      </c>
    </row>
    <row r="13" spans="1:108" x14ac:dyDescent="0.15">
      <c r="G13" t="s">
        <v>294</v>
      </c>
      <c r="S13" s="25">
        <f>S14/B11</f>
        <v>0.80042846768153675</v>
      </c>
      <c r="T13" t="s">
        <v>191</v>
      </c>
      <c r="Y13" t="s">
        <v>57</v>
      </c>
      <c r="Z13" s="27">
        <f>Z12*(1+FixedParams!$C$25)/(1+FixedParams!$C$28)</f>
        <v>0.43187184563106507</v>
      </c>
      <c r="AD13" s="24"/>
      <c r="AN13" s="25">
        <f>AN14/Z12</f>
        <v>0.76740191776365929</v>
      </c>
      <c r="AT13" s="27">
        <f>AT12*(1+FixedParams!$D$25)/(1+FixedParams!$D$28)</f>
        <v>0.41089128090616783</v>
      </c>
      <c r="AX13" s="24"/>
      <c r="BH13" s="25">
        <f>BH14/AT12</f>
        <v>0.77778793761801501</v>
      </c>
      <c r="BJ13" t="s">
        <v>57</v>
      </c>
      <c r="BK13" s="27">
        <f>BK12*(1+FixedParams!$C$25)/(1+FixedParams!$C$28)</f>
        <v>0.41068174962109105</v>
      </c>
      <c r="BO13" s="24"/>
      <c r="BY13" s="25">
        <f>BY14/BK12</f>
        <v>0.77360150396943084</v>
      </c>
      <c r="CD13" t="s">
        <v>57</v>
      </c>
      <c r="CE13" s="27">
        <f>CE12*(1+FixedParams!$D$25)/(1+FixedParams!$D$28)</f>
        <v>0.39201585704839609</v>
      </c>
      <c r="CS13" s="25">
        <f>CS14/CE12</f>
        <v>0.78385850295947745</v>
      </c>
      <c r="CV13" t="s">
        <v>48</v>
      </c>
      <c r="CY13">
        <v>1.6947018372363287</v>
      </c>
    </row>
    <row r="14" spans="1:108" x14ac:dyDescent="0.15">
      <c r="S14" s="25">
        <f>S15/Q15</f>
        <v>0.31297958437629753</v>
      </c>
      <c r="T14" t="s">
        <v>190</v>
      </c>
      <c r="AD14" s="24"/>
      <c r="AN14" s="25">
        <f>AN15/AL15</f>
        <v>0.25630749930742952</v>
      </c>
      <c r="AO14" s="25">
        <f>CORREL(AB17:AB217,AO17:AO217)</f>
        <v>-0.13129325999770486</v>
      </c>
      <c r="BH14" s="25">
        <f>BH15/BF15</f>
        <v>0.2633805858107342</v>
      </c>
      <c r="BY14" s="25">
        <f>BY15/BW15</f>
        <v>0.24570061838409832</v>
      </c>
      <c r="CS14" s="25">
        <f>CS15/CQ15</f>
        <v>0.2532427018693521</v>
      </c>
    </row>
    <row r="15" spans="1:108" x14ac:dyDescent="0.15">
      <c r="C15">
        <f>AVERAGE(E17:E217)</f>
        <v>0.36812846758188555</v>
      </c>
      <c r="F15" t="s">
        <v>75</v>
      </c>
      <c r="K15">
        <f>AVERAGE(K17:K217)</f>
        <v>1.1661059810135599</v>
      </c>
      <c r="L15">
        <f>AVERAGE(L17:L217)</f>
        <v>33.902350090000027</v>
      </c>
      <c r="M15">
        <f>AVERAGE(M17:M217)</f>
        <v>67.531701807915468</v>
      </c>
      <c r="N15">
        <f>AVERAGE(N17:N217)</f>
        <v>101.43405189791544</v>
      </c>
      <c r="P15" s="24"/>
      <c r="Q15">
        <f>AVERAGE(Q17:Q217)</f>
        <v>216.20106917197859</v>
      </c>
      <c r="R15" s="24"/>
      <c r="S15">
        <f>(AVERAGE(S17:S217)/$C$15)^(FixedParams!$B$47/(FixedParams!$B$47-1))</f>
        <v>67.66652077115701</v>
      </c>
      <c r="Y15" s="115" t="s">
        <v>75</v>
      </c>
      <c r="Z15" s="115"/>
      <c r="AA15" s="115"/>
      <c r="AC15" s="22" t="str">
        <f>IF(MAX(AC17:AC217)&gt;1,"WARNING","OK")</f>
        <v>OK</v>
      </c>
      <c r="AF15">
        <f>AVERAGE(AF17:AF217)</f>
        <v>1.3281714637984829</v>
      </c>
      <c r="AG15">
        <f>AVERAGE(AG17:AG217)</f>
        <v>31.196708112690732</v>
      </c>
      <c r="AH15">
        <f>AVERAGE(AH17:AH217)</f>
        <v>67.237893237246439</v>
      </c>
      <c r="AI15">
        <f>AVERAGE(AI17:AI217)</f>
        <v>98.434601349937026</v>
      </c>
      <c r="AL15">
        <f>AVERAGE(AL17:AL217)</f>
        <v>255.32883930411583</v>
      </c>
      <c r="AN15">
        <f>(AVERAGE(AN17:AN217)/$C$15)^(FixedParams!$B$47/(FixedParams!$B$47-1))</f>
        <v>65.442696303106459</v>
      </c>
      <c r="AO15" s="115" t="s">
        <v>198</v>
      </c>
      <c r="AP15" s="115"/>
      <c r="AQ15" s="79"/>
      <c r="AS15" s="115" t="s">
        <v>75</v>
      </c>
      <c r="AT15" s="115"/>
      <c r="AU15" s="115"/>
      <c r="AW15" s="22" t="str">
        <f>IF(MAX(AW17:AW217)&gt;1,"WARNING","OK")</f>
        <v>OK</v>
      </c>
      <c r="AZ15">
        <f>AVERAGE(AZ17:AZ217)</f>
        <v>1.2420759774318846</v>
      </c>
      <c r="BA15">
        <f>AVERAGE(BA17:BA217)</f>
        <v>31.250465473366418</v>
      </c>
      <c r="BB15">
        <f>AVERAGE(BB17:BB217)</f>
        <v>66.89131566363389</v>
      </c>
      <c r="BC15">
        <f>AVERAGE(BC17:BC217)</f>
        <v>98.141781137000351</v>
      </c>
      <c r="BF15">
        <f>AVERAGE(BF17:BF217)</f>
        <v>254.45117781297512</v>
      </c>
      <c r="BH15">
        <f>(AVERAGE(BH17:BH217)/$C$15)^(FixedParams!$B$47/(FixedParams!$B$47-1))</f>
        <v>67.017500272612679</v>
      </c>
      <c r="BJ15" s="115" t="s">
        <v>75</v>
      </c>
      <c r="BK15" s="115"/>
      <c r="BL15" s="115"/>
      <c r="BN15" s="22" t="str">
        <f>IF(MAX(BN17:BN217)&gt;1,"WARNING","OK")</f>
        <v>OK</v>
      </c>
      <c r="BQ15">
        <f>AVERAGE(BQ17:BQ217)</f>
        <v>1.3277945435163869</v>
      </c>
      <c r="BR15">
        <f>AVERAGE(BR17:BR217)</f>
        <v>33.864282958691916</v>
      </c>
      <c r="BS15">
        <f>AVERAGE(BS17:BS217)</f>
        <v>67.526010153287956</v>
      </c>
      <c r="BT15">
        <f>AVERAGE(BT17:BT217)</f>
        <v>101.39029311197989</v>
      </c>
      <c r="BW15" s="23">
        <f>AVERAGE(BW17:BW217)</f>
        <v>270.67113527474527</v>
      </c>
      <c r="BY15">
        <f>(AVERAGE(BY17:BY217)/$C$15)^(FixedParams!$B$47/(FixedParams!$B$47-1))</f>
        <v>66.504065315730841</v>
      </c>
      <c r="BZ15" s="115" t="s">
        <v>198</v>
      </c>
      <c r="CA15" s="115"/>
      <c r="CB15" s="115"/>
      <c r="CD15" s="115" t="s">
        <v>75</v>
      </c>
      <c r="CE15" s="115"/>
      <c r="CF15" s="115"/>
      <c r="CH15" s="22" t="str">
        <f>IF(MAX(CH17:CH217)&gt;1,"WARNING","OK")</f>
        <v>OK</v>
      </c>
      <c r="CK15">
        <f>AVERAGE(CK17:CK217)</f>
        <v>1.2396516142942355</v>
      </c>
      <c r="CL15">
        <f>AVERAGE(CL17:CL217)</f>
        <v>33.867631409888673</v>
      </c>
      <c r="CM15">
        <f>AVERAGE(CM17:CM217)</f>
        <v>67.52693608135813</v>
      </c>
      <c r="CN15">
        <f>AVERAGE(CN17:CN217)</f>
        <v>101.39456749124676</v>
      </c>
      <c r="CQ15">
        <f>AVERAGE(CQ17:CQ217)</f>
        <v>265.37124004195903</v>
      </c>
      <c r="CS15">
        <f>(AVERAGE(CS17:CS217)/$C$15)^(FixedParams!$B$47/(FixedParams!$B$47-1))</f>
        <v>67.203329826646097</v>
      </c>
      <c r="CV15" t="s">
        <v>55</v>
      </c>
      <c r="CY15">
        <v>4.8343693455296002</v>
      </c>
    </row>
    <row r="16" spans="1:108" x14ac:dyDescent="0.15">
      <c r="A16" s="4" t="s">
        <v>32</v>
      </c>
      <c r="B16" s="4" t="s">
        <v>34</v>
      </c>
      <c r="C16" s="2" t="s">
        <v>59</v>
      </c>
      <c r="D16" s="4" t="s">
        <v>58</v>
      </c>
      <c r="E16" s="4" t="s">
        <v>189</v>
      </c>
      <c r="F16" s="4">
        <v>0</v>
      </c>
      <c r="G16" s="4">
        <v>1</v>
      </c>
      <c r="H16" s="4" t="s">
        <v>41</v>
      </c>
      <c r="I16" s="4" t="s">
        <v>40</v>
      </c>
      <c r="J16" s="4" t="s">
        <v>37</v>
      </c>
      <c r="K16" s="4" t="s">
        <v>62</v>
      </c>
      <c r="L16" s="4" t="s">
        <v>63</v>
      </c>
      <c r="M16" s="4" t="s">
        <v>64</v>
      </c>
      <c r="N16" s="4" t="s">
        <v>65</v>
      </c>
      <c r="O16" s="4" t="s">
        <v>26</v>
      </c>
      <c r="P16" s="4" t="s">
        <v>83</v>
      </c>
      <c r="Q16" s="4" t="s">
        <v>68</v>
      </c>
      <c r="R16" s="4" t="s">
        <v>67</v>
      </c>
      <c r="S16" s="4" t="s">
        <v>69</v>
      </c>
      <c r="T16" s="109" t="s">
        <v>123</v>
      </c>
      <c r="U16" s="109"/>
      <c r="V16" s="39" t="s">
        <v>132</v>
      </c>
      <c r="W16" s="39" t="s">
        <v>131</v>
      </c>
      <c r="X16" s="4"/>
      <c r="Y16" s="4" t="s">
        <v>76</v>
      </c>
      <c r="Z16" s="4" t="s">
        <v>41</v>
      </c>
      <c r="AA16" s="4" t="s">
        <v>74</v>
      </c>
      <c r="AB16" s="4" t="s">
        <v>41</v>
      </c>
      <c r="AC16" s="4" t="s">
        <v>74</v>
      </c>
      <c r="AD16" s="4" t="s">
        <v>40</v>
      </c>
      <c r="AE16" s="4" t="s">
        <v>37</v>
      </c>
      <c r="AF16" s="4" t="s">
        <v>62</v>
      </c>
      <c r="AG16" s="4" t="s">
        <v>63</v>
      </c>
      <c r="AH16" s="4" t="s">
        <v>64</v>
      </c>
      <c r="AI16" s="4" t="s">
        <v>65</v>
      </c>
      <c r="AJ16" s="4" t="s">
        <v>26</v>
      </c>
      <c r="AK16" s="4" t="s">
        <v>83</v>
      </c>
      <c r="AL16" s="4" t="s">
        <v>68</v>
      </c>
      <c r="AM16" s="4" t="s">
        <v>67</v>
      </c>
      <c r="AN16" s="4" t="s">
        <v>69</v>
      </c>
      <c r="AO16" s="4" t="s">
        <v>199</v>
      </c>
      <c r="AP16" s="4" t="s">
        <v>67</v>
      </c>
      <c r="AQ16" s="83" t="s">
        <v>132</v>
      </c>
      <c r="AS16" s="4" t="s">
        <v>76</v>
      </c>
      <c r="AT16" s="4" t="s">
        <v>41</v>
      </c>
      <c r="AU16" s="4" t="s">
        <v>74</v>
      </c>
      <c r="AV16" s="4" t="s">
        <v>41</v>
      </c>
      <c r="AW16" s="4" t="s">
        <v>74</v>
      </c>
      <c r="AX16" s="4" t="s">
        <v>40</v>
      </c>
      <c r="AY16" s="4" t="s">
        <v>37</v>
      </c>
      <c r="AZ16" s="4" t="s">
        <v>62</v>
      </c>
      <c r="BA16" s="4" t="s">
        <v>63</v>
      </c>
      <c r="BB16" s="4" t="s">
        <v>64</v>
      </c>
      <c r="BC16" s="4" t="s">
        <v>65</v>
      </c>
      <c r="BD16" s="4" t="s">
        <v>26</v>
      </c>
      <c r="BE16" s="4" t="s">
        <v>83</v>
      </c>
      <c r="BF16" s="4" t="s">
        <v>68</v>
      </c>
      <c r="BG16" s="4" t="s">
        <v>67</v>
      </c>
      <c r="BH16" s="4" t="s">
        <v>69</v>
      </c>
      <c r="BI16" s="37"/>
      <c r="BJ16" s="4" t="s">
        <v>76</v>
      </c>
      <c r="BK16" s="4" t="s">
        <v>41</v>
      </c>
      <c r="BL16" s="4" t="s">
        <v>74</v>
      </c>
      <c r="BM16" s="4" t="s">
        <v>41</v>
      </c>
      <c r="BN16" s="4" t="s">
        <v>74</v>
      </c>
      <c r="BO16" s="4" t="s">
        <v>40</v>
      </c>
      <c r="BP16" s="4" t="s">
        <v>37</v>
      </c>
      <c r="BQ16" s="4" t="s">
        <v>62</v>
      </c>
      <c r="BR16" s="4" t="s">
        <v>63</v>
      </c>
      <c r="BS16" s="4" t="s">
        <v>64</v>
      </c>
      <c r="BT16" s="4" t="s">
        <v>65</v>
      </c>
      <c r="BU16" s="4" t="s">
        <v>26</v>
      </c>
      <c r="BV16" s="4" t="s">
        <v>83</v>
      </c>
      <c r="BW16" s="4" t="s">
        <v>68</v>
      </c>
      <c r="BX16" s="4" t="s">
        <v>67</v>
      </c>
      <c r="BY16" s="4" t="s">
        <v>69</v>
      </c>
      <c r="BZ16" s="4" t="s">
        <v>199</v>
      </c>
      <c r="CA16" s="4" t="s">
        <v>67</v>
      </c>
      <c r="CB16" s="4" t="s">
        <v>200</v>
      </c>
      <c r="CC16" s="4"/>
      <c r="CD16" s="4" t="s">
        <v>76</v>
      </c>
      <c r="CE16" s="4" t="s">
        <v>41</v>
      </c>
      <c r="CF16" s="4" t="s">
        <v>74</v>
      </c>
      <c r="CG16" s="4" t="s">
        <v>41</v>
      </c>
      <c r="CH16" s="4" t="s">
        <v>74</v>
      </c>
      <c r="CI16" s="4" t="s">
        <v>40</v>
      </c>
      <c r="CJ16" s="4" t="s">
        <v>37</v>
      </c>
      <c r="CK16" s="4" t="s">
        <v>62</v>
      </c>
      <c r="CL16" s="4" t="s">
        <v>63</v>
      </c>
      <c r="CM16" s="4" t="s">
        <v>64</v>
      </c>
      <c r="CN16" s="4" t="s">
        <v>65</v>
      </c>
      <c r="CO16" s="4" t="s">
        <v>26</v>
      </c>
      <c r="CP16" s="4" t="s">
        <v>83</v>
      </c>
      <c r="CQ16" s="4" t="s">
        <v>68</v>
      </c>
      <c r="CR16" s="4" t="s">
        <v>67</v>
      </c>
      <c r="CS16" s="4" t="s">
        <v>69</v>
      </c>
      <c r="CT16" s="4"/>
    </row>
    <row r="17" spans="1:104" x14ac:dyDescent="0.15">
      <c r="A17">
        <v>0</v>
      </c>
      <c r="B17">
        <f>1/(1+EXP(-($A17-$B$7)/$B$8))</f>
        <v>9.1509090377227806E-2</v>
      </c>
      <c r="C17">
        <f>(D17-$D$17)*FixedParams!$B$47+$A17*$B$9</f>
        <v>0</v>
      </c>
      <c r="D17">
        <f>(A17-$B$6)*FixedParams!$B$46/(FixedParams!$B$45*Sectors!$B$6)</f>
        <v>-0.27167571494640408</v>
      </c>
      <c r="E17">
        <f>EXP(C17)</f>
        <v>1</v>
      </c>
      <c r="F17" s="24">
        <f>EXP(-$D$17)*(($B17*FixedParams!$B$30)^$B$10*(1+FixedParams!$B$23)^(1-$B$10)+(1-$B17)^$B$10*((1+FixedParams!$B$26)/$B$11)^(1-$B$10))^(1/(1-$B$10))</f>
        <v>4.3605246318909812</v>
      </c>
      <c r="G17" s="24">
        <f>EXP($D17-$D$17)*(($B17*FixedParams!$B$31)^$B$10*(1+FixedParams!$B$25)^(1-$B$10)+(1-$B17)^$B$10*((1+FixedParams!$B$28)/$B$11)^(1-$B$10))^(1/(1-$B$10))</f>
        <v>3.2211898565834756</v>
      </c>
      <c r="H17">
        <f>IF(G17&lt;=F17,1,0)</f>
        <v>1</v>
      </c>
      <c r="I17" s="24">
        <f>$B$12*IF(H17=1,1,FixedParams!$B$52)</f>
        <v>0.3745928365283252</v>
      </c>
      <c r="J17">
        <f>EXP($C17*FixedParams!$B$47)*EXP(IF(H17=1,(1-FixedParams!$B$47)*$D17,0))*($B17^((FixedParams!$B$47-1)*$B$10/($B$10-1)))*((1/$B17-1)^$B$10*(I17)^($B$10-1)+1)^((FixedParams!$B$47-$B$10)/($B$10-1))/((1+IF(H17=1,FixedParams!$B$25,FixedParams!$B$24))^FixedParams!$B$47)</f>
        <v>4.9596821446026319E-2</v>
      </c>
      <c r="K17">
        <f>J17/J$17</f>
        <v>1</v>
      </c>
      <c r="L17">
        <f>K17*FixedParams!$B$8/K$15</f>
        <v>29.073129408471644</v>
      </c>
      <c r="M17">
        <f t="shared" ref="M17:M80" si="0">(I17*(1/$B17-1))^$B$10*L17</f>
        <v>208.50453478162947</v>
      </c>
      <c r="N17">
        <f>L17+M17</f>
        <v>237.57766419010113</v>
      </c>
      <c r="O17" s="24">
        <f>M17/L17</f>
        <v>7.1717265744661516</v>
      </c>
      <c r="P17" s="24">
        <f t="shared" ref="P17:P80" si="1">(H17*(G17-F17)+F17)*$B$11</f>
        <v>1.2595337412608827</v>
      </c>
      <c r="Q17" s="23">
        <f>IF(H17=1,L17*(1+FixedParams!$B$25)+M17*FixedParams!$B$33*(1+FixedParams!$B$28)/FixedParams!$B$32,L17*(1+FixedParams!$B$23)+M17*FixedParams!$B$33*(1+FixedParams!$B$26)/FixedParams!$B$32)</f>
        <v>586.71604633915092</v>
      </c>
      <c r="R17" s="24">
        <f t="shared" ref="R17:R80" si="2">Q17*$B$11/P17</f>
        <v>182.14264680488151</v>
      </c>
      <c r="S17" s="24">
        <f>R17^((FixedParams!$B$47-1)/FixedParams!$B$47)*EXP($C17)</f>
        <v>0.99480354835744744</v>
      </c>
      <c r="T17" s="7">
        <f>(L17*FixedParams!$B$32*(FixedParams!$C$25-FixedParams!$C$23)+FixedParams!$B$33*(FixedParams!$C$28-FixedParams!$C$26)*M17)/N17</f>
        <v>-3069.5474356379545</v>
      </c>
      <c r="U17" s="7">
        <f>(L17*FixedParams!$B$32*(FixedParams!$C$25-FixedParams!$C$23)*$Z$12/$B$11+FixedParams!$B$33*(FixedParams!$C$28-FixedParams!$C$26)*M17)/N17</f>
        <v>-3192.4508974439877</v>
      </c>
      <c r="V17" s="14">
        <f>LN(I17/O17)</f>
        <v>-2.9520620431314288</v>
      </c>
      <c r="W17" s="14">
        <f>N17/(N$15*COUNT($N$17:$N$217))</f>
        <v>1.1652678826199627E-2</v>
      </c>
      <c r="X17" s="73">
        <f>AM17/R17</f>
        <v>0.98993583812296038</v>
      </c>
      <c r="Y17" s="24">
        <f>EXP(-$D$17)*(($B17*FixedParams!$B$30)^$B$10*(1+FixedParams!$C$24)^(1-$B$10)+(1-$B17)^$B$10*((1+FixedParams!$C$27)/$Z$12)^(1-$B$10))^(1/(1-$B$10))</f>
        <v>5.5427304063722769</v>
      </c>
      <c r="Z17" s="24">
        <f>EXP($D17-$D$17)*(($B17*FixedParams!$C$31)^$B$10*(1+FixedParams!$C$25)^(1-$B$10)+(1-$B17)^$B$10*((1+FixedParams!$C$28)/$Z$12)^(1-$B$10))^(1/(1-$B$10))</f>
        <v>3.8427415796442679</v>
      </c>
      <c r="AA17" s="24">
        <f>EXP($D17-$D$17)*(($B17*FixedParams!$C$30)^$B$10*(1+FixedParams!$C$23)^(1-$B$10)+(1-$B17)^$B$10*((1+FixedParams!$C$26)/$Z$12)^(1-$B$10))^(1/(1-$B$10))</f>
        <v>3.9952936388664524</v>
      </c>
      <c r="AB17">
        <f>IF(FixedParams!$I$6=1,IF(Z17&lt;=MIN(Y17:AA17),1,0),$H17)</f>
        <v>1</v>
      </c>
      <c r="AC17">
        <f>IF(FixedParams!$I$6=1,IF(AA17&lt;=MIN(Y17:AA17),1,0),IF(AA17&lt;=Y17,1,0)*(1-$H17))</f>
        <v>0</v>
      </c>
      <c r="AD17" s="24">
        <f>$Z$13*IF(AB17=1,1,IF(AC17=1,FixedParams!$C$52,FixedParams!$C$53))</f>
        <v>0.43187184563106507</v>
      </c>
      <c r="AE17">
        <f>EXP($C17*FixedParams!$B$47)*EXP(IF(AB17+AC17=1,(1-FixedParams!$B$47)*$D17,0))*($B17^((FixedParams!$B$47-1)*$B$10/($B$10-1)))*((1/$B17-1)^$B$10*(AD17)^($B$10-1)+1)^((FixedParams!$B$47-$B$10)/($B$10-1))/((1+IF(AB17=1,FixedParams!$C$25,IF(AC17=1,FixedParams!$C$23,FixedParams!$C$24)))^FixedParams!$B$47)</f>
        <v>3.3936059178539306E-2</v>
      </c>
      <c r="AF17">
        <f>AE17/AE$17</f>
        <v>1</v>
      </c>
      <c r="AG17">
        <f>AF17*$Z$9/$AF$15</f>
        <v>23.488464376030333</v>
      </c>
      <c r="AH17">
        <f t="shared" ref="AH17:AH80" si="3">(AD17*(1/$B17-1))^$B$10*AG17</f>
        <v>208.53141255929475</v>
      </c>
      <c r="AI17">
        <f>AG17+AH17</f>
        <v>232.01987693532507</v>
      </c>
      <c r="AJ17" s="24">
        <f>AH17/AG17</f>
        <v>8.878035158913935</v>
      </c>
      <c r="AK17" s="24">
        <f>IF(AB17=1,Z17,IF(AC17=1,AA17,Y17))*$Z$12</f>
        <v>1.2834519460591649</v>
      </c>
      <c r="AL17" s="23">
        <f>IF(AB17=1,AG17*(1+FixedParams!$C$25)+AH17*(1+FixedParams!$C$28)/$Z$12,IF(AC17=1,AG17*(1+FixedParams!$C$23)+AH17*(1+FixedParams!$C$26)/$Z$12,AG17*(1+FixedParams!$C$24)+AH17*(1+FixedParams!$C$27)/$Z$12))</f>
        <v>692.88294244258464</v>
      </c>
      <c r="AM17" s="24">
        <f>AL17*$Z$12/AK17</f>
        <v>180.30953372272472</v>
      </c>
      <c r="AN17" s="24">
        <f>AM17^((FixedParams!$B$47-1)/FixedParams!$B$47)*EXP($C17)</f>
        <v>0.99481362106615279</v>
      </c>
      <c r="AO17" s="24">
        <f>LN(AI17/$N17)</f>
        <v>-2.3671532694077711E-2</v>
      </c>
      <c r="AP17" s="24">
        <f>LN(AM17/$R17)</f>
        <v>-1.0115147930566434E-2</v>
      </c>
      <c r="AQ17" s="14">
        <f>LN(AD17/AJ17)</f>
        <v>-3.0232066550133134</v>
      </c>
      <c r="AS17" s="24">
        <f>EXP(-$D$17)*(($B17*FixedParams!$B$30)^$B$10*(1+FixedParams!$D$24)^(1-$B$10)+(1-$B17)^$B$10*((1+FixedParams!$D$27)/$AT$12)^(1-$B$10))^(1/(1-$B$10))</f>
        <v>5.2678285022764992</v>
      </c>
      <c r="AT17" s="24">
        <f>EXP($D17-$D$17)*(($B17*FixedParams!$C$31)^$B$10*(1+FixedParams!$D$25)^(1-$B$10)+(1-$B17)^$B$10*((1+FixedParams!$D$28)/$AT$12)^(1-$B$10))^(1/(1-$B$10))</f>
        <v>3.770602178071091</v>
      </c>
      <c r="AU17" s="24">
        <f>EXP($D17-$D$17)*(($B17*FixedParams!$C$30)^$B$10*(1+FixedParams!$D$23)^(1-$B$10)+(1-$B17)^$B$10*((1+FixedParams!$D$26)/$AT$12)^(1-$B$10))^(1/(1-$B$10))</f>
        <v>3.8759116761701473</v>
      </c>
      <c r="AV17">
        <f>IF(FixedParams!$I$6=1,IF(AT17&lt;=MIN(AS17:AU17),1,0),$H17)</f>
        <v>1</v>
      </c>
      <c r="AW17">
        <f>IF(FixedParams!$I$6=1,IF(AU17&lt;=MIN(AS17:AU17),1,0),IF(AU17&lt;=AS17,1,0)*(1-$H17))</f>
        <v>0</v>
      </c>
      <c r="AX17" s="24">
        <f>$AT$13*IF(AV17=1,1,IF(AW17=1,FixedParams!$D$52,FixedParams!$D$53))</f>
        <v>0.41089128090616783</v>
      </c>
      <c r="AY17">
        <f>EXP($C17*FixedParams!$B$47)*EXP(IF(AV17+AW17=1,(1-FixedParams!$B$47)*$D17,0))*($B17^((FixedParams!$B$47-1)*$B$10/($B$10-1)))*((1/$B17-1)^$B$10*(AX17)^($B$10-1)+1)^((FixedParams!$B$47-$B$10)/($B$10-1))/((1+IF(AV17=1,FixedParams!$D$25,IF(AW17=1,FixedParams!$D$23,FixedParams!$D$24)))^FixedParams!$B$47)</f>
        <v>3.7136644547653197E-2</v>
      </c>
      <c r="AZ17">
        <f t="shared" ref="AZ17:AZ80" si="4">AY17/AY$17</f>
        <v>1</v>
      </c>
      <c r="BA17">
        <f>AZ17*$AT$9/$AZ$15</f>
        <v>25.159866257118878</v>
      </c>
      <c r="BB17">
        <f t="shared" ref="BB17:BB80" si="5">(AX17*(1/$B17-1))^$B$10*BA17</f>
        <v>207.29233245756686</v>
      </c>
      <c r="BC17">
        <f>BA17+BB17</f>
        <v>232.45219871468572</v>
      </c>
      <c r="BD17" s="24">
        <f>BB17/BA17</f>
        <v>8.2390077252065819</v>
      </c>
      <c r="BE17" s="24">
        <f>IF(AV17=1,AT17,IF(AW17=1,AU17,AS17))*$AT$12</f>
        <v>1.2768305633036501</v>
      </c>
      <c r="BF17" s="23">
        <f>IF(AV17=1,BA17*(1+FixedParams!$C$25)+BB17*(1+FixedParams!$C$28)/$AT$12,IF(AW17=1,BA17*(1+FixedParams!$C$23)+BB17*(1+FixedParams!$C$26)/$AT$12,BA17*(1+FixedParams!$C$24)+BB17*(1+FixedParams!$C$27)/$AT$12))</f>
        <v>682.25585902162493</v>
      </c>
      <c r="BG17" s="24">
        <f>BF17*$AT$12/BE17</f>
        <v>180.94082239422121</v>
      </c>
      <c r="BH17" s="24">
        <f>BG17^((FixedParams!$B$47-1)/FixedParams!$B$47)*EXP($C17)</f>
        <v>0.99481014069448226</v>
      </c>
      <c r="BI17" s="7"/>
      <c r="BJ17" s="24">
        <f>EXP(-$D$17)*(($B17*FixedParams!$B$30)^$B$10*(1+FixedParams!$C$24)^(1-$B$10)+(1-$B17)^$B$10*((1+FixedParams!$C$27)/$BK$12)^(1-$B$10))^(1/(1-$B$10))</f>
        <v>5.8156252902823535</v>
      </c>
      <c r="BK17" s="24">
        <f>EXP($D17-$D$17)*(($B17*FixedParams!$C$31)^$B$10*(1+FixedParams!$C$25)^(1-$B$10)+(1-$B17)^$B$10*((1+FixedParams!$C$28)/$BK$12)^(1-$B$10))^(1/(1-$B$10))</f>
        <v>4.0314832128687605</v>
      </c>
      <c r="BL17" s="24">
        <f>EXP($D17-$D$17)*(($B17*FixedParams!$C$30)^$B$10*(1+FixedParams!$C$23)^(1-$B$10)+(1-$B17)^$B$10*((1+FixedParams!$C$26)/$BK$12)^(1-$B$10))^(1/(1-$B$10))</f>
        <v>4.1904446281196126</v>
      </c>
      <c r="BM17">
        <f>IF(FixedParams!$I$6=1,IF(BK17&lt;=MIN(BJ17:BL17),1,0),$H17)</f>
        <v>1</v>
      </c>
      <c r="BN17">
        <f>IF(FixedParams!$I$6=1,IF(BL17&lt;=MIN(BJ17:BL17),1,0),IF(BL17&lt;=BJ17,1,0)*(1-$H17))</f>
        <v>0</v>
      </c>
      <c r="BO17" s="24">
        <f>$BK$13*IF(BM17=1,1,IF(BN17=1,FixedParams!$C$52,FixedParams!$C$53))</f>
        <v>0.41068174962109105</v>
      </c>
      <c r="BP17">
        <f>EXP($C17*FixedParams!$B$47)*EXP(IF(BM17+BN17=1,(1-FixedParams!$B$47)*$D17,0))*($B17^((FixedParams!$B$47-1)*$B$10/($B$10-1)))*((1/$B17-1)^$B$10*(BO17)^($B$10-1)+1)^((FixedParams!$B$47-$B$10)/($B$10-1))/((1+IF(BM17=1,FixedParams!$C$25,IF(BN17=1,FixedParams!$C$23,FixedParams!$C$24)))^FixedParams!$B$47)</f>
        <v>3.4761144758274895E-2</v>
      </c>
      <c r="BQ17">
        <f>BP17/BP$17</f>
        <v>1</v>
      </c>
      <c r="BR17">
        <f>BQ17*$BK$9/$BQ$15</f>
        <v>25.504158850517218</v>
      </c>
      <c r="BS17">
        <f t="shared" ref="BS17:BS80" si="6">(BO17*(1/$B17-1))^$B$10*BR17</f>
        <v>209.96825148013235</v>
      </c>
      <c r="BT17">
        <f>BR17+BS17</f>
        <v>235.47241033064958</v>
      </c>
      <c r="BU17" s="24">
        <f>BS17/BR17</f>
        <v>8.2327063876436863</v>
      </c>
      <c r="BV17" s="24">
        <f>IF(BM17=1,BK17,IF(BN17=1,BL17,BJ17))*$BK$12</f>
        <v>1.2804239822756438</v>
      </c>
      <c r="BW17" s="23">
        <f>IF(BM17=1,BR17*(1+FixedParams!$C$25)+BS17*(1+FixedParams!$C$28)/$BK$12,IF(BN17=1,BR17*(1+FixedParams!$C$23)+BS17*(1+FixedParams!$C$26)/$BK$12,BR17*(1+FixedParams!$C$24)+BS17*(1+FixedParams!$C$27)/$BK$12))</f>
        <v>734.52133017939377</v>
      </c>
      <c r="BX17" s="24">
        <f>BW17*$BK$12/BV17</f>
        <v>182.19630131033492</v>
      </c>
      <c r="BY17" s="24">
        <f>BX17^((FixedParams!$B$47-1)/FixedParams!$B$47)*EXP($C17)</f>
        <v>0.99480325506399447</v>
      </c>
      <c r="BZ17" s="24">
        <f>LN(BT17/$N17)</f>
        <v>-8.9008241276343335E-3</v>
      </c>
      <c r="CA17" s="24">
        <f>LN(BX17/$R17)</f>
        <v>2.9453071717340415E-4</v>
      </c>
      <c r="CB17" s="24">
        <f>CA17-LN($BY$15/$S$15)</f>
        <v>1.7622986636580656E-2</v>
      </c>
      <c r="CC17" s="24"/>
      <c r="CD17" s="24">
        <f>EXP(-$D$17)*(($B17*FixedParams!$B$30)^$B$10*(1+FixedParams!$D$24)^(1-$B$10)+(1-$B17)^$B$10*((1+FixedParams!$D$27)/$CE$12)^(1-$B$10))^(1/(1-$B$10))</f>
        <v>5.5094166402834164</v>
      </c>
      <c r="CE17" s="24">
        <f>EXP($D17-$D$17)*(($B17*FixedParams!$D$31)^$B$10*(1+FixedParams!$D$25)^(1-$B$10)+(1-$B17)^$B$10*((1+FixedParams!$D$28)/$CE$12)^(1-$B$10))^(1/(1-$B$10))</f>
        <v>3.9432372492490901</v>
      </c>
      <c r="CF17" s="24">
        <f>EXP($D17-$D$17)*(($B17*FixedParams!$D$30)^$B$10*(1+FixedParams!$D$23)^(1-$B$10)+(1-$B17)^$B$10*((1+FixedParams!$D$26)/$CE$12)^(1-$B$10))^(1/(1-$B$10))</f>
        <v>4.0525783695829567</v>
      </c>
      <c r="CG17">
        <f>IF(FixedParams!$I$6=1,IF(CE17&lt;=MIN(CD17:CF17),1,0),$H17)</f>
        <v>1</v>
      </c>
      <c r="CH17">
        <f>IF(FixedParams!$I$6=1,IF(CF17&lt;=MIN(CD17:CF17),1,0),IF(CF17&lt;=CD17,1,0)*(1-$H17))</f>
        <v>0</v>
      </c>
      <c r="CI17" s="24">
        <f>$CE$13*IF(CG17=1,1,IF(CH17=1,FixedParams!$D$52,FixedParams!$D$53))</f>
        <v>0.39201585704839609</v>
      </c>
      <c r="CJ17">
        <f>EXP($C17*FixedParams!$B$47)*EXP(IF(CG17+CH17=1,(1-FixedParams!$B$47)*$D17,0))*($B17^((FixedParams!$B$47-1)*$B$10/($B$10-1)))*((1/$B17-1)^$B$10*(CI17)^($B$10-1)+1)^((FixedParams!$B$47-$B$10)/($B$10-1))/((1+IF(CG17=1,FixedParams!$D$25,IF(CH17=1,FixedParams!$D$23,FixedParams!$D$24)))^FixedParams!$B$47)</f>
        <v>3.7978971527033091E-2</v>
      </c>
      <c r="CK17">
        <f>CJ17/CJ$17</f>
        <v>1</v>
      </c>
      <c r="CL17">
        <f>CK17*$CE$9/$CK$15</f>
        <v>27.320281778659528</v>
      </c>
      <c r="CM17">
        <f t="shared" ref="CM17:CM80" si="7">(CI17*(1/$B17-1))^$B$10*CL17</f>
        <v>209.76119465170692</v>
      </c>
      <c r="CN17">
        <f>CL17+CM17</f>
        <v>237.08147643036645</v>
      </c>
      <c r="CO17" s="24">
        <f>CM17/CL17</f>
        <v>7.6778561931069103</v>
      </c>
      <c r="CP17" s="24">
        <f>IF(CG17=1,CE17,IF(CH17=1,CF17,CD17))*$CE$12</f>
        <v>1.2739493816058471</v>
      </c>
      <c r="CQ17" s="23">
        <f>IF(CG17=1,CL17*(1+FixedParams!$D$25)+CM17*(1+FixedParams!$D$28)/$CE$12,IF(CH17=1,CL17*(1+FixedParams!$D$23)+CM17*(1+FixedParams!$D$26)/$CE$12,CL17*(1+FixedParams!$D$24)+CM17*(1+FixedParams!$D$27)/$CE$12))</f>
        <v>720.14481826126075</v>
      </c>
      <c r="CR17" s="24">
        <f>CQ17*$CE$12/CP17</f>
        <v>182.62781890650831</v>
      </c>
      <c r="CS17" s="24">
        <f>CR17^((FixedParams!$B$47-1)/FixedParams!$B$47)*EXP($C17)</f>
        <v>0.9948008993836438</v>
      </c>
      <c r="CT17" s="24"/>
    </row>
    <row r="18" spans="1:104" x14ac:dyDescent="0.15">
      <c r="A18">
        <v>5.0000000000000001E-3</v>
      </c>
      <c r="B18">
        <f t="shared" ref="B18:B81" si="8">1/(1+EXP(-($A18-$B$7)/$B$8))</f>
        <v>9.2470800586183052E-2</v>
      </c>
      <c r="C18">
        <f>(D18-$D$17)*FixedParams!$B$47+$A18*$B$9</f>
        <v>-1.249507580462525E-2</v>
      </c>
      <c r="D18">
        <f>(A18-$B$6)*FixedParams!$B$46/(FixedParams!$B$45*Sectors!$B$6)</f>
        <v>-0.26895895779694001</v>
      </c>
      <c r="E18">
        <f t="shared" ref="E18:E81" si="9">EXP(C18)</f>
        <v>0.98758266353189206</v>
      </c>
      <c r="F18" s="24">
        <f>EXP(-$D$17)*(($B18*FixedParams!$B$30)^$B$10*(1+FixedParams!$B$23)^(1-$B$10)+(1-$B18)^$B$10*((1+FixedParams!$B$26)/$B$11)^(1-$B$10))^(1/(1-$B$10))</f>
        <v>4.3669985852513902</v>
      </c>
      <c r="G18" s="24">
        <f>EXP($D18-$D$17)*(($B18*FixedParams!$B$31)^$B$10*(1+FixedParams!$B$25)^(1-$B$10)+(1-$B18)^$B$10*((1+FixedParams!$B$28)/$B$11)^(1-$B$10))^(1/(1-$B$10))</f>
        <v>3.2346355022446964</v>
      </c>
      <c r="H18">
        <f t="shared" ref="H18:H81" si="10">IF(G18&lt;=F18,1,0)</f>
        <v>1</v>
      </c>
      <c r="I18" s="24">
        <f>$B$12*IF(H18=1,1,FixedParams!$B$52)</f>
        <v>0.3745928365283252</v>
      </c>
      <c r="J18">
        <f>EXP($C18*FixedParams!$B$47)*EXP(IF(H18=1,(1-FixedParams!$B$47)*$D18,0))*($B18^((FixedParams!$B$47-1)*$B$10/($B$10-1)))*((1/$B18-1)^$B$10*(I18)^($B$10-1)+1)^((FixedParams!$B$47-$B$10)/($B$10-1))/((1+IF(H18=1,FixedParams!$B$25,FixedParams!$B$24))^FixedParams!$B$47)</f>
        <v>4.9792012853622461E-2</v>
      </c>
      <c r="K18">
        <f>J18/J$17</f>
        <v>1.0039355628426423</v>
      </c>
      <c r="L18">
        <f>K18*FixedParams!$B$8/K$15</f>
        <v>29.187548536290954</v>
      </c>
      <c r="M18">
        <f t="shared" si="0"/>
        <v>205.74098103851594</v>
      </c>
      <c r="N18">
        <f t="shared" ref="N18:N81" si="11">L18+M18</f>
        <v>234.9285295748069</v>
      </c>
      <c r="O18" s="24">
        <f t="shared" ref="O18:O81" si="12">M18/L18</f>
        <v>7.0489298127488693</v>
      </c>
      <c r="P18" s="24">
        <f t="shared" si="1"/>
        <v>1.2647911911900551</v>
      </c>
      <c r="Q18" s="23">
        <f>IF(H18=1,L18*(1+FixedParams!$B$25)+M18*FixedParams!$B$33*(1+FixedParams!$B$28)/FixedParams!$B$32,L18*(1+FixedParams!$B$23)+M18*FixedParams!$B$33*(1+FixedParams!$B$26)/FixedParams!$B$32)</f>
        <v>579.44024947147329</v>
      </c>
      <c r="R18" s="24">
        <f t="shared" si="2"/>
        <v>179.13618058954924</v>
      </c>
      <c r="S18" s="24">
        <f>R18^((FixedParams!$B$47-1)/FixedParams!$B$47)*EXP($C18)</f>
        <v>0.98246710624672717</v>
      </c>
      <c r="T18" s="7">
        <f>(L18*FixedParams!$B$32*(FixedParams!$C$25-FixedParams!$C$23)+FixedParams!$B$33*(FixedParams!$C$28-FixedParams!$C$26)*M18)/N18</f>
        <v>-3048.3668934239145</v>
      </c>
      <c r="U18" s="7">
        <f>(L18*FixedParams!$B$32*(FixedParams!$C$25-FixedParams!$C$23)*$Z$12/$B$11+FixedParams!$B$33*(FixedParams!$C$28-FixedParams!$C$26)*M18)/N18</f>
        <v>-3173.1454053875123</v>
      </c>
      <c r="V18" s="14">
        <f t="shared" ref="V18:V80" si="13">LN(I18/O18)</f>
        <v>-2.9347914178353443</v>
      </c>
      <c r="W18" s="14">
        <f t="shared" ref="W18:W49" si="14">N18/(N$15*COUNT($N$17:$N$217))+W17</f>
        <v>2.3175423237290722E-2</v>
      </c>
      <c r="X18" s="73">
        <f t="shared" ref="X18:X81" si="15">AM18/R18</f>
        <v>0.98982393063327767</v>
      </c>
      <c r="Y18" s="24">
        <f>EXP(-$D$17)*(($B18*FixedParams!$B$30)^$B$10*(1+FixedParams!$C$24)^(1-$B$10)+(1-$B18)^$B$10*((1+FixedParams!$C$27)/$Z$12)^(1-$B$10))^(1/(1-$B$10))</f>
        <v>5.5518224200120816</v>
      </c>
      <c r="Z18" s="24">
        <f>EXP($D18-$D$17)*(($B18*FixedParams!$C$31)^$B$10*(1+FixedParams!$C$25)^(1-$B$10)+(1-$B18)^$B$10*((1+FixedParams!$C$28)/$Z$12)^(1-$B$10))^(1/(1-$B$10))</f>
        <v>3.8592183619957035</v>
      </c>
      <c r="AA18" s="24">
        <f>EXP($D18-$D$17)*(($B18*FixedParams!$C$30)^$B$10*(1+FixedParams!$C$23)^(1-$B$10)+(1-$B18)^$B$10*((1+FixedParams!$C$26)/$Z$12)^(1-$B$10))^(1/(1-$B$10))</f>
        <v>4.0117149581207538</v>
      </c>
      <c r="AB18">
        <f>IF(FixedParams!$I$6=1,IF(Z18&lt;=MIN(Y18:AA18),1,0),$H18)</f>
        <v>1</v>
      </c>
      <c r="AC18">
        <f>IF(FixedParams!$I$6=1,IF(AA18&lt;=MIN(Y18:AA18),1,0),IF(AA18&lt;=Y18,1,0)*(1-$H18))</f>
        <v>0</v>
      </c>
      <c r="AD18" s="24">
        <f>$Z$13*IF(AB18=1,1,IF(AC18=1,FixedParams!$C$52,FixedParams!$C$53))</f>
        <v>0.43187184563106507</v>
      </c>
      <c r="AE18">
        <f>EXP($C18*FixedParams!$B$47)*EXP(IF(AB18+AC18=1,(1-FixedParams!$B$47)*$D18,0))*($B18^((FixedParams!$B$47-1)*$B$10/($B$10-1)))*((1/$B18-1)^$B$10*(AD18)^($B$10-1)+1)^((FixedParams!$B$47-$B$10)/($B$10-1))/((1+IF(AB18=1,FixedParams!$C$25,IF(AC18=1,FixedParams!$C$23,FixedParams!$C$24)))^FixedParams!$B$47)</f>
        <v>3.4071548322126055E-2</v>
      </c>
      <c r="AF18">
        <f>AE18/AE$17</f>
        <v>1.0039924831246296</v>
      </c>
      <c r="AG18">
        <f>AF18*$Z$9/$AF$15</f>
        <v>23.582241673675099</v>
      </c>
      <c r="AH18">
        <f t="shared" si="3"/>
        <v>205.77916900395161</v>
      </c>
      <c r="AI18">
        <f t="shared" ref="AI18:AI81" si="16">AG18+AH18</f>
        <v>229.36141067762671</v>
      </c>
      <c r="AJ18" s="24">
        <f t="shared" ref="AJ18:AJ81" si="17">AH18/AG18</f>
        <v>8.7260223964909702</v>
      </c>
      <c r="AK18" s="24">
        <f t="shared" ref="AK18:AK81" si="18">IF(AB18=1,Z18,IF(AC18=1,AA18,Y18))*$Z$12</f>
        <v>1.2889550895663329</v>
      </c>
      <c r="AL18" s="23">
        <f>IF(AB18=1,AG18*(1+FixedParams!$C$25)+AH18*(1+FixedParams!$C$28)/$Z$12,IF(AC18=1,AG18*(1+FixedParams!$C$23)+AH18*(1+FixedParams!$C$26)/$Z$12,AG18*(1+FixedParams!$C$24)+AH18*(1+FixedParams!$C$27)/$Z$12))</f>
        <v>684.29065978749611</v>
      </c>
      <c r="AM18" s="24">
        <f t="shared" ref="AM18:AM81" si="19">AL18*$Z$12/AK18</f>
        <v>177.31327838978029</v>
      </c>
      <c r="AN18" s="24">
        <f>AM18^((FixedParams!$B$47-1)/FixedParams!$B$47)*EXP($C18)</f>
        <v>0.98247716522672979</v>
      </c>
      <c r="AO18" s="24">
        <f t="shared" ref="AO18:AO81" si="20">LN(AI18/$N18)</f>
        <v>-2.3982366366898399E-2</v>
      </c>
      <c r="AP18" s="24">
        <f t="shared" ref="AP18:AP81" si="21">LN(AM18/$R18)</f>
        <v>-1.0228199515478879E-2</v>
      </c>
      <c r="AQ18" s="14">
        <f t="shared" ref="AQ18:AQ81" si="22">LN(AD18/AJ18)</f>
        <v>-3.0059360297172293</v>
      </c>
      <c r="AS18" s="24">
        <f>EXP(-$D$17)*(($B18*FixedParams!$B$30)^$B$10*(1+FixedParams!$D$24)^(1-$B$10)+(1-$B18)^$B$10*((1+FixedParams!$D$27)/$AT$12)^(1-$B$10))^(1/(1-$B$10))</f>
        <v>5.2761407522019841</v>
      </c>
      <c r="AT18" s="24">
        <f>EXP($D18-$D$17)*(($B18*FixedParams!$C$31)^$B$10*(1+FixedParams!$D$25)^(1-$B$10)+(1-$B18)^$B$10*((1+FixedParams!$D$28)/$AT$12)^(1-$B$10))^(1/(1-$B$10))</f>
        <v>3.7866227872768836</v>
      </c>
      <c r="AU18" s="24">
        <f>EXP($D18-$D$17)*(($B18*FixedParams!$C$30)^$B$10*(1+FixedParams!$D$23)^(1-$B$10)+(1-$B18)^$B$10*((1+FixedParams!$D$26)/$AT$12)^(1-$B$10))^(1/(1-$B$10))</f>
        <v>3.8918241212600959</v>
      </c>
      <c r="AV18">
        <f>IF(FixedParams!$I$6=1,IF(AT18&lt;=MIN(AS18:AU18),1,0),$H18)</f>
        <v>1</v>
      </c>
      <c r="AW18">
        <f>IF(FixedParams!$I$6=1,IF(AU18&lt;=MIN(AS18:AU18),1,0),IF(AU18&lt;=AS18,1,0)*(1-$H18))</f>
        <v>0</v>
      </c>
      <c r="AX18" s="24">
        <f>$AT$13*IF(AV18=1,1,IF(AW18=1,FixedParams!$D$52,FixedParams!$D$53))</f>
        <v>0.41089128090616783</v>
      </c>
      <c r="AY18">
        <f>EXP($C18*FixedParams!$B$47)*EXP(IF(AV18+AW18=1,(1-FixedParams!$B$47)*$D18,0))*($B18^((FixedParams!$B$47-1)*$B$10/($B$10-1)))*((1/$B18-1)^$B$10*(AX18)^($B$10-1)+1)^((FixedParams!$B$47-$B$10)/($B$10-1))/((1+IF(AV18=1,FixedParams!$D$25,IF(AW18=1,FixedParams!$D$23,FixedParams!$D$24)))^FixedParams!$B$47)</f>
        <v>3.7284187541108446E-2</v>
      </c>
      <c r="AZ18">
        <f t="shared" si="4"/>
        <v>1.0039729758908595</v>
      </c>
      <c r="BA18">
        <f t="shared" ref="BA18:BA81" si="23">AZ18*$AT$9/$AZ$15</f>
        <v>25.259825799175662</v>
      </c>
      <c r="BB18">
        <f t="shared" si="5"/>
        <v>204.55246809220108</v>
      </c>
      <c r="BC18">
        <f t="shared" ref="BC18:BC81" si="24">BA18+BB18</f>
        <v>229.81229389137675</v>
      </c>
      <c r="BD18" s="24">
        <f t="shared" ref="BD18:BD81" si="25">BB18/BA18</f>
        <v>8.0979366096371308</v>
      </c>
      <c r="BE18" s="24">
        <f t="shared" ref="BE18:BE81" si="26">IF(AV18=1,AT18,IF(AW18=1,AU18,AS18))*$AT$12</f>
        <v>1.2822555862868925</v>
      </c>
      <c r="BF18" s="23">
        <f>IF(AV18=1,BA18*(1+FixedParams!$C$25)+BB18*(1+FixedParams!$C$28)/$AT$12,IF(AW18=1,BA18*(1+FixedParams!$C$23)+BB18*(1+FixedParams!$C$26)/$AT$12,BA18*(1+FixedParams!$C$24)+BB18*(1+FixedParams!$C$27)/$AT$12))</f>
        <v>673.83006022347627</v>
      </c>
      <c r="BG18" s="24">
        <f t="shared" ref="BG18:BG81" si="27">BF18*$AT$12/BE18</f>
        <v>177.95014134694287</v>
      </c>
      <c r="BH18" s="24">
        <f>BG18^((FixedParams!$B$47-1)/FixedParams!$B$47)*EXP($C18)</f>
        <v>0.98247363922796582</v>
      </c>
      <c r="BI18" s="7"/>
      <c r="BJ18" s="24">
        <f>EXP(-$D$17)*(($B18*FixedParams!$B$30)^$B$10*(1+FixedParams!$C$24)^(1-$B$10)+(1-$B18)^$B$10*((1+FixedParams!$C$27)/$BK$12)^(1-$B$10))^(1/(1-$B$10))</f>
        <v>5.8249470780313226</v>
      </c>
      <c r="BK18" s="24">
        <f>EXP($D18-$D$17)*(($B18*FixedParams!$C$31)^$B$10*(1+FixedParams!$C$25)^(1-$B$10)+(1-$B18)^$B$10*((1+FixedParams!$C$28)/$BK$12)^(1-$B$10))^(1/(1-$B$10))</f>
        <v>4.0486106320101918</v>
      </c>
      <c r="BL18" s="24">
        <f>EXP($D18-$D$17)*(($B18*FixedParams!$C$30)^$B$10*(1+FixedParams!$C$23)^(1-$B$10)+(1-$B18)^$B$10*((1+FixedParams!$C$26)/$BK$12)^(1-$B$10))^(1/(1-$B$10))</f>
        <v>4.20748613887001</v>
      </c>
      <c r="BM18">
        <f>IF(FixedParams!$I$6=1,IF(BK18&lt;=MIN(BJ18:BL18),1,0),$H18)</f>
        <v>1</v>
      </c>
      <c r="BN18">
        <f>IF(FixedParams!$I$6=1,IF(BL18&lt;=MIN(BJ18:BL18),1,0),IF(BL18&lt;=BJ18,1,0)*(1-$H18))</f>
        <v>0</v>
      </c>
      <c r="BO18" s="24">
        <f>$BK$13*IF(BM18=1,1,IF(BN18=1,FixedParams!$C$52,FixedParams!$C$53))</f>
        <v>0.41068174962109105</v>
      </c>
      <c r="BP18">
        <f>EXP($C18*FixedParams!$B$47)*EXP(IF(BM18+BN18=1,(1-FixedParams!$B$47)*$D18,0))*($B18^((FixedParams!$B$47-1)*$B$10/($B$10-1)))*((1/$B18-1)^$B$10*(BO18)^($B$10-1)+1)^((FixedParams!$B$47-$B$10)/($B$10-1))/((1+IF(BM18=1,FixedParams!$C$25,IF(BN18=1,FixedParams!$C$23,FixedParams!$C$24)))^FixedParams!$B$47)</f>
        <v>3.4899242923750969E-2</v>
      </c>
      <c r="BQ18">
        <f t="shared" ref="BQ18:BQ81" si="28">BP18/BP$17</f>
        <v>1.0039727738092745</v>
      </c>
      <c r="BR18">
        <f t="shared" ref="BR18:BR81" si="29">BQ18*$BK$9/$BQ$15</f>
        <v>25.605481104826133</v>
      </c>
      <c r="BS18">
        <f t="shared" si="6"/>
        <v>207.19297673538028</v>
      </c>
      <c r="BT18">
        <f t="shared" ref="BT18:BT81" si="30">BR18+BS18</f>
        <v>232.79845784020642</v>
      </c>
      <c r="BU18" s="24">
        <f t="shared" ref="BU18:BU81" si="31">BS18/BR18</f>
        <v>8.0917431657368262</v>
      </c>
      <c r="BV18" s="24">
        <f t="shared" ref="BV18:BV81" si="32">IF(BM18=1,BK18,IF(BN18=1,BL18,BJ18))*$BK$12</f>
        <v>1.2858637564394484</v>
      </c>
      <c r="BW18" s="23">
        <f>IF(BM18=1,BR18*(1+FixedParams!$C$25)+BS18*(1+FixedParams!$C$28)/$BK$12,IF(BN18=1,BR18*(1+FixedParams!$C$23)+BS18*(1+FixedParams!$C$26)/$BK$12,BR18*(1+FixedParams!$C$24)+BS18*(1+FixedParams!$C$27)/$BK$12))</f>
        <v>725.41267099131801</v>
      </c>
      <c r="BX18" s="24">
        <f t="shared" ref="BX18:BX81" si="33">BW18*$BK$12/BV18</f>
        <v>179.17570666239655</v>
      </c>
      <c r="BY18" s="24">
        <f>BX18^((FixedParams!$B$47-1)/FixedParams!$B$47)*EXP($C18)</f>
        <v>0.98246688927410875</v>
      </c>
      <c r="BZ18" s="24">
        <f t="shared" ref="BZ18:BZ81" si="34">LN(BT18/$N18)</f>
        <v>-9.1082469809036903E-3</v>
      </c>
      <c r="CA18" s="24">
        <f t="shared" ref="CA18:CA81" si="35">LN(BX18/$R18)</f>
        <v>2.2062384427585236E-4</v>
      </c>
      <c r="CB18" s="24">
        <f t="shared" ref="CB18:CB81" si="36">CA18-LN($BY$15/$S$15)</f>
        <v>1.7549079763683105E-2</v>
      </c>
      <c r="CC18" s="24"/>
      <c r="CD18" s="24">
        <f>EXP(-$D$17)*(($B18*FixedParams!$B$30)^$B$10*(1+FixedParams!$D$24)^(1-$B$10)+(1-$B18)^$B$10*((1+FixedParams!$D$27)/$CE$12)^(1-$B$10))^(1/(1-$B$10))</f>
        <v>5.5179099083018084</v>
      </c>
      <c r="CE18" s="24">
        <f>EXP($D18-$D$17)*(($B18*FixedParams!$D$31)^$B$10*(1+FixedParams!$D$25)^(1-$B$10)+(1-$B18)^$B$10*((1+FixedParams!$D$28)/$CE$12)^(1-$B$10))^(1/(1-$B$10))</f>
        <v>3.9598431248287356</v>
      </c>
      <c r="CF18" s="24">
        <f>EXP($D18-$D$17)*(($B18*FixedParams!$D$30)^$B$10*(1+FixedParams!$D$23)^(1-$B$10)+(1-$B18)^$B$10*((1+FixedParams!$D$26)/$CE$12)^(1-$B$10))^(1/(1-$B$10))</f>
        <v>4.0690513888029729</v>
      </c>
      <c r="CG18">
        <f>IF(FixedParams!$I$6=1,IF(CE18&lt;=MIN(CD18:CF18),1,0),$H18)</f>
        <v>1</v>
      </c>
      <c r="CH18">
        <f>IF(FixedParams!$I$6=1,IF(CF18&lt;=MIN(CD18:CF18),1,0),IF(CF18&lt;=CD18,1,0)*(1-$H18))</f>
        <v>0</v>
      </c>
      <c r="CI18" s="24">
        <f>$CE$13*IF(CG18=1,1,IF(CH18=1,FixedParams!$D$52,FixedParams!$D$53))</f>
        <v>0.39201585704839609</v>
      </c>
      <c r="CJ18">
        <f>EXP($C18*FixedParams!$B$47)*EXP(IF(CG18+CH18=1,(1-FixedParams!$B$47)*$D18,0))*($B18^((FixedParams!$B$47-1)*$B$10/($B$10-1)))*((1/$B18-1)^$B$10*(CI18)^($B$10-1)+1)^((FixedParams!$B$47-$B$10)/($B$10-1))/((1+IF(CG18=1,FixedParams!$D$25,IF(CH18=1,FixedParams!$D$23,FixedParams!$D$24)))^FixedParams!$B$47)</f>
        <v>3.8129145999882576E-2</v>
      </c>
      <c r="CK18">
        <f t="shared" ref="CK18:CK81" si="37">CJ18/CJ$17</f>
        <v>1.003954147961658</v>
      </c>
      <c r="CL18">
        <f>CK18*$CE$9/$CK$15</f>
        <v>27.42831021516654</v>
      </c>
      <c r="CM18">
        <f t="shared" si="7"/>
        <v>206.98481661630137</v>
      </c>
      <c r="CN18">
        <f>CL18+CM18</f>
        <v>234.41312683146791</v>
      </c>
      <c r="CO18" s="24">
        <f>CM18/CL18</f>
        <v>7.5463933064986515</v>
      </c>
      <c r="CP18" s="24">
        <f>IF(CG18=1,CE18,IF(CH18=1,CF18,CD18))*$CE$12</f>
        <v>1.2793142743547534</v>
      </c>
      <c r="CQ18" s="23">
        <f>IF(CG18=1,CL18*(1+FixedParams!$D$25)+CM18*(1+FixedParams!$D$28)/$CE$12,IF(CH18=1,CL18*(1+FixedParams!$D$23)+CM18*(1+FixedParams!$D$26)/$CE$12,CL18*(1+FixedParams!$D$24)+CM18*(1+FixedParams!$D$27)/$CE$12))</f>
        <v>711.21441312401419</v>
      </c>
      <c r="CR18" s="24">
        <f>CQ18*$CE$12/CP18</f>
        <v>179.60671438335686</v>
      </c>
      <c r="CS18" s="24">
        <f>CR18^((FixedParams!$B$47-1)/FixedParams!$B$47)*EXP($C18)</f>
        <v>0.98246452642487825</v>
      </c>
      <c r="CT18" s="24"/>
    </row>
    <row r="19" spans="1:104" x14ac:dyDescent="0.15">
      <c r="A19">
        <v>0.01</v>
      </c>
      <c r="B19">
        <f t="shared" si="8"/>
        <v>9.3441578294288397E-2</v>
      </c>
      <c r="C19">
        <f>(D19-$D$17)*FixedParams!$B$47+$A19*$B$9</f>
        <v>-2.4990151609250555E-2</v>
      </c>
      <c r="D19">
        <f>(A19-$B$6)*FixedParams!$B$46/(FixedParams!$B$45*Sectors!$B$6)</f>
        <v>-0.266242200647476</v>
      </c>
      <c r="E19">
        <f t="shared" si="9"/>
        <v>0.97531951730874633</v>
      </c>
      <c r="F19" s="24">
        <f>EXP(-$D$17)*(($B19*FixedParams!$B$30)^$B$10*(1+FixedParams!$B$23)^(1-$B$10)+(1-$B19)^$B$10*((1+FixedParams!$B$26)/$B$11)^(1-$B$10))^(1/(1-$B$10))</f>
        <v>4.3735054968048637</v>
      </c>
      <c r="G19" s="24">
        <f>EXP($D19-$D$17)*(($B19*FixedParams!$B$31)^$B$10*(1+FixedParams!$B$25)^(1-$B$10)+(1-$B19)^$B$10*((1+FixedParams!$B$28)/$B$11)^(1-$B$10))^(1/(1-$B$10))</f>
        <v>3.2481528352718403</v>
      </c>
      <c r="H19">
        <f t="shared" si="10"/>
        <v>1</v>
      </c>
      <c r="I19" s="24">
        <f>$B$12*IF(H19=1,1,FixedParams!$B$52)</f>
        <v>0.3745928365283252</v>
      </c>
      <c r="J19">
        <f>EXP($C19*FixedParams!$B$47)*EXP(IF(H19=1,(1-FixedParams!$B$47)*$D19,0))*($B19^((FixedParams!$B$47-1)*$B$10/($B$10-1)))*((1/$B19-1)^$B$10*(I19)^($B$10-1)+1)^((FixedParams!$B$47-$B$10)/($B$10-1))/((1+IF(H19=1,FixedParams!$B$25,FixedParams!$B$24))^FixedParams!$B$47)</f>
        <v>4.9987258276667924E-2</v>
      </c>
      <c r="K19">
        <f t="shared" ref="K19:K82" si="38">J19/J$17</f>
        <v>1.0078722147762331</v>
      </c>
      <c r="L19">
        <f>K19*FixedParams!$B$8/K$15</f>
        <v>29.301999327392352</v>
      </c>
      <c r="M19">
        <f t="shared" si="0"/>
        <v>203.01115545659357</v>
      </c>
      <c r="N19">
        <f t="shared" si="11"/>
        <v>232.31315478398591</v>
      </c>
      <c r="O19" s="24">
        <f t="shared" si="12"/>
        <v>6.9282356192948544</v>
      </c>
      <c r="P19" s="24">
        <f t="shared" si="1"/>
        <v>1.270076671958831</v>
      </c>
      <c r="Q19" s="23">
        <f>IF(H19=1,L19*(1+FixedParams!$B$25)+M19*FixedParams!$B$33*(1+FixedParams!$B$28)/FixedParams!$B$32,L19*(1+FixedParams!$B$23)+M19*FixedParams!$B$33*(1+FixedParams!$B$26)/FixedParams!$B$32)</f>
        <v>572.25468164925985</v>
      </c>
      <c r="R19" s="24">
        <f t="shared" si="2"/>
        <v>176.17849610865599</v>
      </c>
      <c r="S19" s="24">
        <f>R19^((FixedParams!$B$47-1)/FixedParams!$B$47)*EXP($C19)</f>
        <v>0.97028365155667284</v>
      </c>
      <c r="T19" s="7">
        <f>(L19*FixedParams!$B$32*(FixedParams!$C$25-FixedParams!$C$23)+FixedParams!$B$33*(FixedParams!$C$28-FixedParams!$C$26)*M19)/N19</f>
        <v>-3026.9096556047216</v>
      </c>
      <c r="U19" s="7">
        <f>(L19*FixedParams!$B$32*(FixedParams!$C$25-FixedParams!$C$23)*$Z$12/$B$11+FixedParams!$B$33*(FixedParams!$C$28-FixedParams!$C$26)*M19)/N19</f>
        <v>-3153.5877127616018</v>
      </c>
      <c r="V19" s="14">
        <f t="shared" si="13"/>
        <v>-2.9175207925392606</v>
      </c>
      <c r="W19" s="14">
        <f>N19/(N$15*COUNT($N$17:$N$217))+W18</f>
        <v>3.4569889080817526E-2</v>
      </c>
      <c r="X19" s="73">
        <f t="shared" si="15"/>
        <v>0.98971027839740877</v>
      </c>
      <c r="Y19" s="24">
        <f>EXP(-$D$17)*(($B19*FixedParams!$B$30)^$B$10*(1+FixedParams!$C$24)^(1-$B$10)+(1-$B19)^$B$10*((1+FixedParams!$C$27)/$Z$12)^(1-$B$10))^(1/(1-$B$10))</f>
        <v>5.560972658845067</v>
      </c>
      <c r="Z19" s="24">
        <f>EXP($D19-$D$17)*(($B19*FixedParams!$C$31)^$B$10*(1+FixedParams!$C$25)^(1-$B$10)+(1-$B19)^$B$10*((1+FixedParams!$C$28)/$Z$12)^(1-$B$10))^(1/(1-$B$10))</f>
        <v>3.8757912528343303</v>
      </c>
      <c r="AA19" s="24">
        <f>EXP($D19-$D$17)*(($B19*FixedParams!$C$30)^$B$10*(1+FixedParams!$C$23)^(1-$B$10)+(1-$B19)^$B$10*((1+FixedParams!$C$26)/$Z$12)^(1-$B$10))^(1/(1-$B$10))</f>
        <v>4.028219066297563</v>
      </c>
      <c r="AB19">
        <f>IF(FixedParams!$I$6=1,IF(Z19&lt;=MIN(Y19:AA19),1,0),$H19)</f>
        <v>1</v>
      </c>
      <c r="AC19">
        <f>IF(FixedParams!$I$6=1,IF(AA19&lt;=MIN(Y19:AA19),1,0),IF(AA19&lt;=Y19,1,0)*(1-$H19))</f>
        <v>0</v>
      </c>
      <c r="AD19" s="24">
        <f>$Z$13*IF(AB19=1,1,IF(AC19=1,FixedParams!$C$52,FixedParams!$C$53))</f>
        <v>0.43187184563106507</v>
      </c>
      <c r="AE19">
        <f>EXP($C19*FixedParams!$B$47)*EXP(IF(AB19+AC19=1,(1-FixedParams!$B$47)*$D19,0))*($B19^((FixedParams!$B$47-1)*$B$10/($B$10-1)))*((1/$B19-1)^$B$10*(AD19)^($B$10-1)+1)^((FixedParams!$B$47-$B$10)/($B$10-1))/((1+IF(AB19=1,FixedParams!$C$25,IF(AC19=1,FixedParams!$C$23,FixedParams!$C$24)))^FixedParams!$B$47)</f>
        <v>3.4207120145369044E-2</v>
      </c>
      <c r="AF19">
        <f t="shared" ref="AF19:AF81" si="39">AE19/AE$17</f>
        <v>1.0079874025856588</v>
      </c>
      <c r="AG19">
        <f t="shared" ref="AG19:AG81" si="40">AF19*$Z$9/$AF$15</f>
        <v>23.676076197120594</v>
      </c>
      <c r="AH19">
        <f t="shared" si="3"/>
        <v>203.06052984892634</v>
      </c>
      <c r="AI19">
        <f t="shared" si="16"/>
        <v>226.73660604604692</v>
      </c>
      <c r="AJ19" s="24">
        <f t="shared" si="17"/>
        <v>8.5766124487140267</v>
      </c>
      <c r="AK19" s="24">
        <f t="shared" si="18"/>
        <v>1.2944903327144373</v>
      </c>
      <c r="AL19" s="23">
        <f>IF(AB19=1,AG19*(1+FixedParams!$C$25)+AH19*(1+FixedParams!$C$28)/$Z$12,IF(AC19=1,AG19*(1+FixedParams!$C$23)+AH19*(1+FixedParams!$C$26)/$Z$12,AG19*(1+FixedParams!$C$24)+AH19*(1+FixedParams!$C$27)/$Z$12))</f>
        <v>675.80493250077825</v>
      </c>
      <c r="AM19" s="24">
        <f t="shared" si="19"/>
        <v>174.36566843133471</v>
      </c>
      <c r="AN19" s="24">
        <f>AM19^((FixedParams!$B$47-1)/FixedParams!$B$47)*EXP($C19)</f>
        <v>0.97029369732417159</v>
      </c>
      <c r="AO19" s="24">
        <f t="shared" si="20"/>
        <v>-2.4297248607824971E-2</v>
      </c>
      <c r="AP19" s="24">
        <f t="shared" si="21"/>
        <v>-1.0343026766733536E-2</v>
      </c>
      <c r="AQ19" s="14">
        <f t="shared" si="22"/>
        <v>-2.9886654044211456</v>
      </c>
      <c r="AS19" s="24">
        <f>EXP(-$D$17)*(($B19*FixedParams!$B$30)^$B$10*(1+FixedParams!$D$24)^(1-$B$10)+(1-$B19)^$B$10*((1+FixedParams!$D$27)/$AT$12)^(1-$B$10))^(1/(1-$B$10))</f>
        <v>5.2845020687209949</v>
      </c>
      <c r="AT19" s="24">
        <f>EXP($D19-$D$17)*(($B19*FixedParams!$C$31)^$B$10*(1+FixedParams!$D$25)^(1-$B$10)+(1-$B19)^$B$10*((1+FixedParams!$D$28)/$AT$12)^(1-$B$10))^(1/(1-$B$10))</f>
        <v>3.8027341231374421</v>
      </c>
      <c r="AU19" s="24">
        <f>EXP($D19-$D$17)*(($B19*FixedParams!$C$30)^$B$10*(1+FixedParams!$D$23)^(1-$B$10)+(1-$B19)^$B$10*((1+FixedParams!$D$26)/$AT$12)^(1-$B$10))^(1/(1-$B$10))</f>
        <v>3.9078164472115215</v>
      </c>
      <c r="AV19">
        <f>IF(FixedParams!$I$6=1,IF(AT19&lt;=MIN(AS19:AU19),1,0),$H19)</f>
        <v>1</v>
      </c>
      <c r="AW19">
        <f>IF(FixedParams!$I$6=1,IF(AU19&lt;=MIN(AS19:AU19),1,0),IF(AU19&lt;=AS19,1,0)*(1-$H19))</f>
        <v>0</v>
      </c>
      <c r="AX19" s="24">
        <f>$AT$13*IF(AV19=1,1,IF(AW19=1,FixedParams!$D$52,FixedParams!$D$53))</f>
        <v>0.41089128090616783</v>
      </c>
      <c r="AY19">
        <f>EXP($C19*FixedParams!$B$47)*EXP(IF(AV19+AW19=1,(1-FixedParams!$B$47)*$D19,0))*($B19^((FixedParams!$B$47-1)*$B$10/($B$10-1)))*((1/$B19-1)^$B$10*(AX19)^($B$10-1)+1)^((FixedParams!$B$47-$B$10)/($B$10-1))/((1+IF(AV19=1,FixedParams!$D$25,IF(AW19=1,FixedParams!$D$23,FixedParams!$D$24)))^FixedParams!$B$47)</f>
        <v>3.7431803809887261E-2</v>
      </c>
      <c r="AZ19">
        <f t="shared" si="4"/>
        <v>1.0079479249089216</v>
      </c>
      <c r="BA19">
        <f t="shared" si="23"/>
        <v>25.35983498484897</v>
      </c>
      <c r="BB19">
        <f t="shared" si="5"/>
        <v>201.84605179650501</v>
      </c>
      <c r="BC19">
        <f t="shared" si="24"/>
        <v>227.20588678135397</v>
      </c>
      <c r="BD19" s="24">
        <f t="shared" si="25"/>
        <v>7.9592809620841898</v>
      </c>
      <c r="BE19" s="24">
        <f t="shared" si="26"/>
        <v>1.2877113318338635</v>
      </c>
      <c r="BF19" s="23">
        <f>IF(AV19=1,BA19*(1+FixedParams!$C$25)+BB19*(1+FixedParams!$C$28)/$AT$12,IF(AW19=1,BA19*(1+FixedParams!$C$23)+BB19*(1+FixedParams!$C$26)/$AT$12,BA19*(1+FixedParams!$C$24)+BB19*(1+FixedParams!$C$27)/$AT$12))</f>
        <v>665.50886077529753</v>
      </c>
      <c r="BG19" s="24">
        <f t="shared" si="27"/>
        <v>175.00799141492968</v>
      </c>
      <c r="BH19" s="24">
        <f>BG19^((FixedParams!$B$47-1)/FixedParams!$B$47)*EXP($C19)</f>
        <v>0.97029012598817843</v>
      </c>
      <c r="BI19" s="7"/>
      <c r="BJ19" s="24">
        <f>EXP(-$D$17)*(($B19*FixedParams!$B$30)^$B$10*(1+FixedParams!$C$24)^(1-$B$10)+(1-$B19)^$B$10*((1+FixedParams!$C$27)/$BK$12)^(1-$B$10))^(1/(1-$B$10))</f>
        <v>5.8343257945310061</v>
      </c>
      <c r="BK19" s="24">
        <f>EXP($D19-$D$17)*(($B19*FixedParams!$C$31)^$B$10*(1+FixedParams!$C$25)^(1-$B$10)+(1-$B19)^$B$10*((1+FixedParams!$C$28)/$BK$12)^(1-$B$10))^(1/(1-$B$10))</f>
        <v>4.0658350154898901</v>
      </c>
      <c r="BL19" s="24">
        <f>EXP($D19-$D$17)*(($B19*FixedParams!$C$30)^$B$10*(1+FixedParams!$C$23)^(1-$B$10)+(1-$B19)^$B$10*((1+FixedParams!$C$26)/$BK$12)^(1-$B$10))^(1/(1-$B$10))</f>
        <v>4.2246101512571208</v>
      </c>
      <c r="BM19">
        <f>IF(FixedParams!$I$6=1,IF(BK19&lt;=MIN(BJ19:BL19),1,0),$H19)</f>
        <v>1</v>
      </c>
      <c r="BN19">
        <f>IF(FixedParams!$I$6=1,IF(BL19&lt;=MIN(BJ19:BL19),1,0),IF(BL19&lt;=BJ19,1,0)*(1-$H19))</f>
        <v>0</v>
      </c>
      <c r="BO19" s="24">
        <f>$BK$13*IF(BM19=1,1,IF(BN19=1,FixedParams!$C$52,FixedParams!$C$53))</f>
        <v>0.41068174962109105</v>
      </c>
      <c r="BP19">
        <f>EXP($C19*FixedParams!$B$47)*EXP(IF(BM19+BN19=1,(1-FixedParams!$B$47)*$D19,0))*($B19^((FixedParams!$B$47-1)*$B$10/($B$10-1)))*((1/$B19-1)^$B$10*(BO19)^($B$10-1)+1)^((FixedParams!$B$47-$B$10)/($B$10-1))/((1+IF(BM19=1,FixedParams!$C$25,IF(BN19=1,FixedParams!$C$23,FixedParams!$C$24)))^FixedParams!$B$47)</f>
        <v>3.503740951086818E-2</v>
      </c>
      <c r="BQ19">
        <f t="shared" si="28"/>
        <v>1.007947515955369</v>
      </c>
      <c r="BR19">
        <f t="shared" si="29"/>
        <v>25.70685355990997</v>
      </c>
      <c r="BS19">
        <f t="shared" si="6"/>
        <v>204.45158229504221</v>
      </c>
      <c r="BT19">
        <f t="shared" si="30"/>
        <v>230.15843585495219</v>
      </c>
      <c r="BU19" s="24">
        <f t="shared" si="31"/>
        <v>7.953193564454188</v>
      </c>
      <c r="BV19" s="24">
        <f t="shared" si="32"/>
        <v>1.2913343270763096</v>
      </c>
      <c r="BW19" s="23">
        <f>IF(BM19=1,BR19*(1+FixedParams!$C$25)+BS19*(1+FixedParams!$C$28)/$BK$12,IF(BN19=1,BR19*(1+FixedParams!$C$23)+BS19*(1+FixedParams!$C$26)/$BK$12,BR19*(1+FixedParams!$C$24)+BS19*(1+FixedParams!$C$27)/$BK$12))</f>
        <v>716.41697081600012</v>
      </c>
      <c r="BX19" s="24">
        <f t="shared" si="33"/>
        <v>176.2041420979005</v>
      </c>
      <c r="BY19" s="24">
        <f>BX19^((FixedParams!$B$47-1)/FixedParams!$B$47)*EXP($C19)</f>
        <v>0.97028351018312953</v>
      </c>
      <c r="BZ19" s="24">
        <f t="shared" si="34"/>
        <v>-9.3183432845875061E-3</v>
      </c>
      <c r="CA19" s="24">
        <f t="shared" si="35"/>
        <v>1.4555762122857717E-4</v>
      </c>
      <c r="CB19" s="24">
        <f t="shared" si="36"/>
        <v>1.7474013540635828E-2</v>
      </c>
      <c r="CC19" s="24"/>
      <c r="CD19" s="24">
        <f>EXP(-$D$17)*(($B19*FixedParams!$B$30)^$B$10*(1+FixedParams!$D$24)^(1-$B$10)+(1-$B19)^$B$10*((1+FixedParams!$D$27)/$CE$12)^(1-$B$10))^(1/(1-$B$10))</f>
        <v>5.5264507058577133</v>
      </c>
      <c r="CE19" s="24">
        <f>EXP($D19-$D$17)*(($B19*FixedParams!$D$31)^$B$10*(1+FixedParams!$D$25)^(1-$B$10)+(1-$B19)^$B$10*((1+FixedParams!$D$28)/$CE$12)^(1-$B$10))^(1/(1-$B$10))</f>
        <v>3.9765402873177393</v>
      </c>
      <c r="CF19" s="24">
        <f>EXP($D19-$D$17)*(($B19*FixedParams!$D$30)^$B$10*(1+FixedParams!$D$23)^(1-$B$10)+(1-$B19)^$B$10*((1+FixedParams!$D$26)/$CE$12)^(1-$B$10))^(1/(1-$B$10))</f>
        <v>4.0856040096239337</v>
      </c>
      <c r="CG19">
        <f>IF(FixedParams!$I$6=1,IF(CE19&lt;=MIN(CD19:CF19),1,0),$H19)</f>
        <v>1</v>
      </c>
      <c r="CH19">
        <f>IF(FixedParams!$I$6=1,IF(CF19&lt;=MIN(CD19:CF19),1,0),IF(CF19&lt;=CD19,1,0)*(1-$H19))</f>
        <v>0</v>
      </c>
      <c r="CI19" s="24">
        <f>$CE$13*IF(CG19=1,1,IF(CH19=1,FixedParams!$D$52,FixedParams!$D$53))</f>
        <v>0.39201585704839609</v>
      </c>
      <c r="CJ19">
        <f>EXP($C19*FixedParams!$B$47)*EXP(IF(CG19+CH19=1,(1-FixedParams!$B$47)*$D19,0))*($B19^((FixedParams!$B$47-1)*$B$10/($B$10-1)))*((1/$B19-1)^$B$10*(CI19)^($B$10-1)+1)^((FixedParams!$B$47-$B$10)/($B$10-1))/((1+IF(CG19=1,FixedParams!$D$25,IF(CH19=1,FixedParams!$D$23,FixedParams!$D$24)))^FixedParams!$B$47)</f>
        <v>3.8279378486549796E-2</v>
      </c>
      <c r="CK19">
        <f t="shared" si="37"/>
        <v>1.007909823448033</v>
      </c>
      <c r="CL19">
        <f t="shared" ref="CL19:CL82" si="41">CK19*$CE$9/$CK$15</f>
        <v>27.536380384079241</v>
      </c>
      <c r="CM19">
        <f t="shared" si="7"/>
        <v>204.24232765130211</v>
      </c>
      <c r="CN19">
        <f t="shared" ref="CN19:CN82" si="42">CL19+CM19</f>
        <v>231.77870803538136</v>
      </c>
      <c r="CO19" s="24">
        <f t="shared" ref="CO19:CO82" si="43">CM19/CL19</f>
        <v>7.4171813725158033</v>
      </c>
      <c r="CP19" s="24">
        <f t="shared" ref="CP19:CP82" si="44">IF(CG19=1,CE19,IF(CH19=1,CF19,CD19))*$CE$12</f>
        <v>1.2847086593442665</v>
      </c>
      <c r="CQ19" s="23">
        <f>IF(CG19=1,CL19*(1+FixedParams!$D$25)+CM19*(1+FixedParams!$D$28)/$CE$12,IF(CH19=1,CL19*(1+FixedParams!$D$23)+CM19*(1+FixedParams!$D$26)/$CE$12,CL19*(1+FixedParams!$D$24)+CM19*(1+FixedParams!$D$27)/$CE$12))</f>
        <v>702.39475633960808</v>
      </c>
      <c r="CR19" s="24">
        <f t="shared" ref="CR19:CR82" si="45">CQ19*$CE$12/CP19</f>
        <v>176.63463855244586</v>
      </c>
      <c r="CS19" s="24">
        <f>CR19^((FixedParams!$B$47-1)/FixedParams!$B$47)*EXP($C19)</f>
        <v>0.97028114014076161</v>
      </c>
      <c r="CT19" s="24"/>
    </row>
    <row r="20" spans="1:104" x14ac:dyDescent="0.15">
      <c r="A20">
        <v>1.4999999999999999E-2</v>
      </c>
      <c r="B20">
        <f t="shared" si="8"/>
        <v>9.4421487088658301E-2</v>
      </c>
      <c r="C20">
        <f>(D20-$D$17)*FixedParams!$B$47+$A20*$B$9</f>
        <v>-3.7485227413875798E-2</v>
      </c>
      <c r="D20">
        <f>(A20-$B$6)*FixedParams!$B$46/(FixedParams!$B$45*Sectors!$B$6)</f>
        <v>-0.26352544349801194</v>
      </c>
      <c r="E20">
        <f t="shared" si="9"/>
        <v>0.963208646698411</v>
      </c>
      <c r="F20" s="24">
        <f>EXP(-$D$17)*(($B20*FixedParams!$B$30)^$B$10*(1+FixedParams!$B$23)^(1-$B$10)+(1-$B20)^$B$10*((1+FixedParams!$B$26)/$B$11)^(1-$B$10))^(1/(1-$B$10))</f>
        <v>4.3800449374952262</v>
      </c>
      <c r="G20" s="24">
        <f>EXP($D20-$D$17)*(($B20*FixedParams!$B$31)^$B$10*(1+FixedParams!$B$25)^(1-$B$10)+(1-$B20)^$B$10*((1+FixedParams!$B$28)/$B$11)^(1-$B$10))^(1/(1-$B$10))</f>
        <v>3.2617418526131878</v>
      </c>
      <c r="H20">
        <f t="shared" si="10"/>
        <v>1</v>
      </c>
      <c r="I20" s="24">
        <f>$B$12*IF(H20=1,1,FixedParams!$B$52)</f>
        <v>0.3745928365283252</v>
      </c>
      <c r="J20">
        <f>EXP($C20*FixedParams!$B$47)*EXP(IF(H20=1,(1-FixedParams!$B$47)*$D20,0))*($B20^((FixedParams!$B$47-1)*$B$10/($B$10-1)))*((1/$B20-1)^$B$10*(I20)^($B$10-1)+1)^((FixedParams!$B$47-$B$10)/($B$10-1))/((1+IF(H20=1,FixedParams!$B$25,FixedParams!$B$24))^FixedParams!$B$47)</f>
        <v>5.0182541117703032E-2</v>
      </c>
      <c r="K20">
        <f t="shared" si="38"/>
        <v>1.0118096211531242</v>
      </c>
      <c r="L20">
        <f>K20*FixedParams!$B$8/K$15</f>
        <v>29.416472052521449</v>
      </c>
      <c r="M20">
        <f t="shared" si="0"/>
        <v>200.31464322086774</v>
      </c>
      <c r="N20">
        <f t="shared" si="11"/>
        <v>229.73111527338918</v>
      </c>
      <c r="O20" s="24">
        <f t="shared" si="12"/>
        <v>6.8096079932092897</v>
      </c>
      <c r="P20" s="24">
        <f t="shared" si="1"/>
        <v>1.2753901823739422</v>
      </c>
      <c r="Q20" s="23">
        <f>IF(H20=1,L20*(1+FixedParams!$B$25)+M20*FixedParams!$B$33*(1+FixedParams!$B$28)/FixedParams!$B$32,L20*(1+FixedParams!$B$23)+M20*FixedParams!$B$33*(1+FixedParams!$B$26)/FixedParams!$B$32)</f>
        <v>565.15822380976851</v>
      </c>
      <c r="R20" s="24">
        <f t="shared" si="2"/>
        <v>173.26883896620589</v>
      </c>
      <c r="S20" s="24">
        <f>R20^((FixedParams!$B$47-1)/FixedParams!$B$47)*EXP($C20)</f>
        <v>0.95825128686587613</v>
      </c>
      <c r="T20" s="7">
        <f>(L20*FixedParams!$B$32*(FixedParams!$C$25-FixedParams!$C$23)+FixedParams!$B$33*(FixedParams!$C$28-FixedParams!$C$26)*M20)/N20</f>
        <v>-3005.1735276027266</v>
      </c>
      <c r="U20" s="7">
        <f>(L20*FixedParams!$B$32*(FixedParams!$C$25-FixedParams!$C$23)*$Z$12/$B$11+FixedParams!$B$33*(FixedParams!$C$28-FixedParams!$C$26)*M20)/N20</f>
        <v>-3133.7758192680121</v>
      </c>
      <c r="V20" s="14">
        <f t="shared" si="13"/>
        <v>-2.9002501672431773</v>
      </c>
      <c r="W20" s="14">
        <f t="shared" si="14"/>
        <v>4.5837711381332372E-2</v>
      </c>
      <c r="X20" s="73">
        <f t="shared" si="15"/>
        <v>0.98959485764112975</v>
      </c>
      <c r="Y20" s="24">
        <f>EXP(-$D$17)*(($B20*FixedParams!$B$30)^$B$10*(1+FixedParams!$C$24)^(1-$B$10)+(1-$B20)^$B$10*((1+FixedParams!$C$27)/$Z$12)^(1-$B$10))^(1/(1-$B$10))</f>
        <v>5.5701808559970107</v>
      </c>
      <c r="Z20" s="24">
        <f>EXP($D20-$D$17)*(($B20*FixedParams!$C$31)^$B$10*(1+FixedParams!$C$25)^(1-$B$10)+(1-$B20)^$B$10*((1+FixedParams!$C$28)/$Z$12)^(1-$B$10))^(1/(1-$B$10))</f>
        <v>3.8924604630150177</v>
      </c>
      <c r="AA20" s="24">
        <f>EXP($D20-$D$17)*(($B20*FixedParams!$C$30)^$B$10*(1+FixedParams!$C$23)^(1-$B$10)+(1-$B20)^$B$10*((1+FixedParams!$C$26)/$Z$12)^(1-$B$10))^(1/(1-$B$10))</f>
        <v>4.0448058382811025</v>
      </c>
      <c r="AB20">
        <f>IF(FixedParams!$I$6=1,IF(Z20&lt;=MIN(Y20:AA20),1,0),$H20)</f>
        <v>1</v>
      </c>
      <c r="AC20">
        <f>IF(FixedParams!$I$6=1,IF(AA20&lt;=MIN(Y20:AA20),1,0),IF(AA20&lt;=Y20,1,0)*(1-$H20))</f>
        <v>0</v>
      </c>
      <c r="AD20" s="24">
        <f>$Z$13*IF(AB20=1,1,IF(AC20=1,FixedParams!$C$52,FixedParams!$C$53))</f>
        <v>0.43187184563106507</v>
      </c>
      <c r="AE20">
        <f>EXP($C20*FixedParams!$B$47)*EXP(IF(AB20+AC20=1,(1-FixedParams!$B$47)*$D20,0))*($B20^((FixedParams!$B$47-1)*$B$10/($B$10-1)))*((1/$B20-1)^$B$10*(AD20)^($B$10-1)+1)^((FixedParams!$B$47-$B$10)/($B$10-1))/((1+IF(AB20=1,FixedParams!$C$25,IF(AC20=1,FixedParams!$C$23,FixedParams!$C$24)))^FixedParams!$B$47)</f>
        <v>3.4342764083863365E-2</v>
      </c>
      <c r="AF20">
        <f t="shared" si="39"/>
        <v>1.0119844470798558</v>
      </c>
      <c r="AG20">
        <f t="shared" si="40"/>
        <v>23.769960634331948</v>
      </c>
      <c r="AH20">
        <f t="shared" si="3"/>
        <v>200.37508116765434</v>
      </c>
      <c r="AI20">
        <f t="shared" si="16"/>
        <v>224.14504180198628</v>
      </c>
      <c r="AJ20" s="24">
        <f t="shared" si="17"/>
        <v>8.4297607492981808</v>
      </c>
      <c r="AK20" s="24">
        <f t="shared" si="18"/>
        <v>1.3000577459277016</v>
      </c>
      <c r="AL20" s="23">
        <f>IF(AB20=1,AG20*(1+FixedParams!$C$25)+AH20*(1+FixedParams!$C$28)/$Z$12,IF(AC20=1,AG20*(1+FixedParams!$C$23)+AH20*(1+FixedParams!$C$26)/$Z$12,AG20*(1+FixedParams!$C$24)+AH20*(1+FixedParams!$C$27)/$Z$12))</f>
        <v>667.4244390315863</v>
      </c>
      <c r="AM20" s="24">
        <f t="shared" si="19"/>
        <v>171.46595203040636</v>
      </c>
      <c r="AN20" s="24">
        <f>AM20^((FixedParams!$B$47-1)/FixedParams!$B$47)*EXP($C20)</f>
        <v>0.95826131992862118</v>
      </c>
      <c r="AO20" s="24">
        <f t="shared" si="20"/>
        <v>-2.4616210649306299E-2</v>
      </c>
      <c r="AP20" s="24">
        <f t="shared" si="21"/>
        <v>-1.0459654318805526E-2</v>
      </c>
      <c r="AQ20" s="14">
        <f t="shared" si="22"/>
        <v>-2.9713947791250623</v>
      </c>
      <c r="AS20" s="24">
        <f>EXP(-$D$17)*(($B20*FixedParams!$B$30)^$B$10*(1+FixedParams!$D$24)^(1-$B$10)+(1-$B20)^$B$10*((1+FixedParams!$D$27)/$AT$12)^(1-$B$10))^(1/(1-$B$10))</f>
        <v>5.2929120895975554</v>
      </c>
      <c r="AT20" s="24">
        <f>EXP($D20-$D$17)*(($B20*FixedParams!$C$31)^$B$10*(1+FixedParams!$D$25)^(1-$B$10)+(1-$B20)^$B$10*((1+FixedParams!$D$28)/$AT$12)^(1-$B$10))^(1/(1-$B$10))</f>
        <v>3.8189363194028521</v>
      </c>
      <c r="AU20" s="24">
        <f>EXP($D20-$D$17)*(($B20*FixedParams!$C$30)^$B$10*(1+FixedParams!$D$23)^(1-$B$10)+(1-$B20)^$B$10*((1+FixedParams!$D$26)/$AT$12)^(1-$B$10))^(1/(1-$B$10))</f>
        <v>3.9238885241224</v>
      </c>
      <c r="AV20">
        <f>IF(FixedParams!$I$6=1,IF(AT20&lt;=MIN(AS20:AU20),1,0),$H20)</f>
        <v>1</v>
      </c>
      <c r="AW20">
        <f>IF(FixedParams!$I$6=1,IF(AU20&lt;=MIN(AS20:AU20),1,0),IF(AU20&lt;=AS20,1,0)*(1-$H20))</f>
        <v>0</v>
      </c>
      <c r="AX20" s="24">
        <f>$AT$13*IF(AV20=1,1,IF(AW20=1,FixedParams!$D$52,FixedParams!$D$53))</f>
        <v>0.41089128090616783</v>
      </c>
      <c r="AY20">
        <f>EXP($C20*FixedParams!$B$47)*EXP(IF(AV20+AW20=1,(1-FixedParams!$B$47)*$D20,0))*($B20^((FixedParams!$B$47-1)*$B$10/($B$10-1)))*((1/$B20-1)^$B$10*(AX20)^($B$10-1)+1)^((FixedParams!$B$47-$B$10)/($B$10-1))/((1+IF(AV20=1,FixedParams!$D$25,IF(AW20=1,FixedParams!$D$23,FixedParams!$D$24)))^FixedParams!$B$47)</f>
        <v>3.7579481492835978E-2</v>
      </c>
      <c r="AZ20">
        <f t="shared" si="4"/>
        <v>1.0119245276620115</v>
      </c>
      <c r="BA20">
        <f t="shared" si="23"/>
        <v>25.459885778274401</v>
      </c>
      <c r="BB20">
        <f t="shared" si="5"/>
        <v>199.17267178048345</v>
      </c>
      <c r="BC20">
        <f t="shared" si="24"/>
        <v>224.63255755875787</v>
      </c>
      <c r="BD20" s="24">
        <f t="shared" si="25"/>
        <v>7.8229994240760812</v>
      </c>
      <c r="BE20" s="24">
        <f t="shared" si="26"/>
        <v>1.2931978452360553</v>
      </c>
      <c r="BF20" s="23">
        <f>IF(AV20=1,BA20*(1+FixedParams!$C$25)+BB20*(1+FixedParams!$C$28)/$AT$12,IF(AW20=1,BA20*(1+FixedParams!$C$23)+BB20*(1+FixedParams!$C$26)/$AT$12,BA20*(1+FixedParams!$C$24)+BB20*(1+FixedParams!$C$27)/$AT$12))</f>
        <v>657.29096276070686</v>
      </c>
      <c r="BG20" s="24">
        <f t="shared" si="27"/>
        <v>172.11362216783027</v>
      </c>
      <c r="BH20" s="24">
        <f>BG20^((FixedParams!$B$47-1)/FixedParams!$B$47)*EXP($C20)</f>
        <v>0.95825770354330897</v>
      </c>
      <c r="BI20" s="7"/>
      <c r="BJ20" s="24">
        <f>EXP(-$D$17)*(($B20*FixedParams!$B$30)^$B$10*(1+FixedParams!$C$24)^(1-$B$10)+(1-$B20)^$B$10*((1+FixedParams!$C$27)/$BK$12)^(1-$B$10))^(1/(1-$B$10))</f>
        <v>5.8437610873761594</v>
      </c>
      <c r="BK20" s="24">
        <f>EXP($D20-$D$17)*(($B20*FixedParams!$C$31)^$B$10*(1+FixedParams!$C$25)^(1-$B$10)+(1-$B20)^$B$10*((1+FixedParams!$C$28)/$BK$12)^(1-$B$10))^(1/(1-$B$10))</f>
        <v>4.0831565055076391</v>
      </c>
      <c r="BL20" s="24">
        <f>EXP($D20-$D$17)*(($B20*FixedParams!$C$30)^$B$10*(1+FixedParams!$C$23)^(1-$B$10)+(1-$B20)^$B$10*((1+FixedParams!$C$26)/$BK$12)^(1-$B$10))^(1/(1-$B$10))</f>
        <v>4.2418164494636157</v>
      </c>
      <c r="BM20">
        <f>IF(FixedParams!$I$6=1,IF(BK20&lt;=MIN(BJ20:BL20),1,0),$H20)</f>
        <v>1</v>
      </c>
      <c r="BN20">
        <f>IF(FixedParams!$I$6=1,IF(BL20&lt;=MIN(BJ20:BL20),1,0),IF(BL20&lt;=BJ20,1,0)*(1-$H20))</f>
        <v>0</v>
      </c>
      <c r="BO20" s="24">
        <f>$BK$13*IF(BM20=1,1,IF(BN20=1,FixedParams!$C$52,FixedParams!$C$53))</f>
        <v>0.41068174962109105</v>
      </c>
      <c r="BP20">
        <f>EXP($C20*FixedParams!$B$47)*EXP(IF(BM20+BN20=1,(1-FixedParams!$B$47)*$D20,0))*($B20^((FixedParams!$B$47-1)*$B$10/($B$10-1)))*((1/$B20-1)^$B$10*(BO20)^($B$10-1)+1)^((FixedParams!$B$47-$B$10)/($B$10-1))/((1+IF(BM20=1,FixedParams!$C$25,IF(BN20=1,FixedParams!$C$23,FixedParams!$C$24)))^FixedParams!$B$47)</f>
        <v>3.517563341429282E-2</v>
      </c>
      <c r="BQ20">
        <f t="shared" si="28"/>
        <v>1.0119239069627952</v>
      </c>
      <c r="BR20">
        <f t="shared" si="29"/>
        <v>25.808268067815138</v>
      </c>
      <c r="BS20">
        <f t="shared" si="6"/>
        <v>201.74365104998353</v>
      </c>
      <c r="BT20">
        <f t="shared" si="30"/>
        <v>227.55191911779866</v>
      </c>
      <c r="BU20" s="24">
        <f t="shared" si="31"/>
        <v>7.8170162569557746</v>
      </c>
      <c r="BV20" s="24">
        <f t="shared" si="32"/>
        <v>1.2968357393497569</v>
      </c>
      <c r="BW20" s="23">
        <f>IF(BM20=1,BR20*(1+FixedParams!$C$25)+BS20*(1+FixedParams!$C$28)/$BK$12,IF(BN20=1,BR20*(1+FixedParams!$C$23)+BS20*(1+FixedParams!$C$26)/$BK$12,BR20*(1+FixedParams!$C$24)+BS20*(1+FixedParams!$C$27)/$BK$12))</f>
        <v>707.532828682022</v>
      </c>
      <c r="BX20" s="24">
        <f t="shared" si="33"/>
        <v>173.28084968765063</v>
      </c>
      <c r="BY20" s="24">
        <f>BX20^((FixedParams!$B$47-1)/FixedParams!$B$47)*EXP($C20)</f>
        <v>0.95825122037723065</v>
      </c>
      <c r="BZ20" s="24">
        <f t="shared" si="34"/>
        <v>-9.531132749913792E-3</v>
      </c>
      <c r="CA20" s="24">
        <f t="shared" si="35"/>
        <v>6.9316013505580889E-5</v>
      </c>
      <c r="CB20" s="24">
        <f t="shared" si="36"/>
        <v>1.7397771932912833E-2</v>
      </c>
      <c r="CC20" s="24"/>
      <c r="CD20" s="24">
        <f>EXP(-$D$17)*(($B20*FixedParams!$B$30)^$B$10*(1+FixedParams!$D$24)^(1-$B$10)+(1-$B20)^$B$10*((1+FixedParams!$D$27)/$CE$12)^(1-$B$10))^(1/(1-$B$10))</f>
        <v>5.5350385895800969</v>
      </c>
      <c r="CE20" s="24">
        <f>EXP($D20-$D$17)*(($B20*FixedParams!$D$31)^$B$10*(1+FixedParams!$D$25)^(1-$B$10)+(1-$B20)^$B$10*((1+FixedParams!$D$28)/$CE$12)^(1-$B$10))^(1/(1-$B$10))</f>
        <v>3.9933288038108596</v>
      </c>
      <c r="CF20" s="24">
        <f>EXP($D20-$D$17)*(($B20*FixedParams!$D$30)^$B$10*(1+FixedParams!$D$23)^(1-$B$10)+(1-$B20)^$B$10*((1+FixedParams!$D$26)/$CE$12)^(1-$B$10))^(1/(1-$B$10))</f>
        <v>4.1022360197233363</v>
      </c>
      <c r="CG20">
        <f>IF(FixedParams!$I$6=1,IF(CE20&lt;=MIN(CD20:CF20),1,0),$H20)</f>
        <v>1</v>
      </c>
      <c r="CH20">
        <f>IF(FixedParams!$I$6=1,IF(CF20&lt;=MIN(CD20:CF20),1,0),IF(CF20&lt;=CD20,1,0)*(1-$H20))</f>
        <v>0</v>
      </c>
      <c r="CI20" s="24">
        <f>$CE$13*IF(CG20=1,1,IF(CH20=1,FixedParams!$D$52,FixedParams!$D$53))</f>
        <v>0.39201585704839609</v>
      </c>
      <c r="CJ20">
        <f>EXP($C20*FixedParams!$B$47)*EXP(IF(CG20+CH20=1,(1-FixedParams!$B$47)*$D20,0))*($B20^((FixedParams!$B$47-1)*$B$10/($B$10-1)))*((1/$B20-1)^$B$10*(CI20)^($B$10-1)+1)^((FixedParams!$B$47-$B$10)/($B$10-1))/((1+IF(CG20=1,FixedParams!$D$25,IF(CH20=1,FixedParams!$D$23,FixedParams!$D$24)))^FixedParams!$B$47)</f>
        <v>3.8429656563665732E-2</v>
      </c>
      <c r="CK20">
        <f t="shared" si="37"/>
        <v>1.011866699347344</v>
      </c>
      <c r="CL20">
        <f t="shared" si="41"/>
        <v>27.644483348611598</v>
      </c>
      <c r="CM20">
        <f t="shared" si="7"/>
        <v>201.53331074894382</v>
      </c>
      <c r="CN20">
        <f t="shared" si="42"/>
        <v>229.17779409755542</v>
      </c>
      <c r="CO20" s="24">
        <f t="shared" si="43"/>
        <v>7.2901818495756237</v>
      </c>
      <c r="CP20" s="24">
        <f t="shared" si="44"/>
        <v>1.2901325582508218</v>
      </c>
      <c r="CQ20" s="23">
        <f>IF(CG20=1,CL20*(1+FixedParams!$D$25)+CM20*(1+FixedParams!$D$28)/$CE$12,IF(CH20=1,CL20*(1+FixedParams!$D$23)+CM20*(1+FixedParams!$D$26)/$CE$12,CL20*(1+FixedParams!$D$24)+CM20*(1+FixedParams!$D$27)/$CE$12))</f>
        <v>693.68447435476651</v>
      </c>
      <c r="CR20" s="24">
        <f t="shared" si="45"/>
        <v>173.71083335105763</v>
      </c>
      <c r="CS20" s="24">
        <f>CR20^((FixedParams!$B$47-1)/FixedParams!$B$47)*EXP($C20)</f>
        <v>0.95824884311843928</v>
      </c>
      <c r="CT20" s="24"/>
      <c r="CW20" s="24">
        <v>266.26736899075291</v>
      </c>
      <c r="CX20" s="24">
        <v>286.88758097404121</v>
      </c>
      <c r="CY20" s="24">
        <v>258.2153633477588</v>
      </c>
      <c r="CZ20" s="24">
        <v>270.51127481766775</v>
      </c>
    </row>
    <row r="21" spans="1:104" x14ac:dyDescent="0.15">
      <c r="A21">
        <v>0.02</v>
      </c>
      <c r="B21">
        <f t="shared" si="8"/>
        <v>9.5410590536366427E-2</v>
      </c>
      <c r="C21">
        <f>(D21-$D$17)*FixedParams!$B$47+$A21*$B$9</f>
        <v>-4.9980303218501054E-2</v>
      </c>
      <c r="D21">
        <f>(A21-$B$6)*FixedParams!$B$46/(FixedParams!$B$45*Sectors!$B$6)</f>
        <v>-0.26080868634854787</v>
      </c>
      <c r="E21">
        <f t="shared" si="9"/>
        <v>0.95124816084336594</v>
      </c>
      <c r="F21" s="24">
        <f>EXP(-$D$17)*(($B21*FixedParams!$B$30)^$B$10*(1+FixedParams!$B$23)^(1-$B$10)+(1-$B21)^$B$10*((1+FixedParams!$B$26)/$B$11)^(1-$B$10))^(1/(1-$B$10))</f>
        <v>4.3866164587325933</v>
      </c>
      <c r="G21" s="24">
        <f>EXP($D21-$D$17)*(($B21*FixedParams!$B$31)^$B$10*(1+FixedParams!$B$25)^(1-$B$10)+(1-$B21)^$B$10*((1+FixedParams!$B$28)/$B$11)^(1-$B$10))^(1/(1-$B$10))</f>
        <v>3.2754025339192507</v>
      </c>
      <c r="H21">
        <f t="shared" si="10"/>
        <v>1</v>
      </c>
      <c r="I21" s="24">
        <f>$B$12*IF(H21=1,1,FixedParams!$B$52)</f>
        <v>0.3745928365283252</v>
      </c>
      <c r="J21">
        <f>EXP($C21*FixedParams!$B$47)*EXP(IF(H21=1,(1-FixedParams!$B$47)*$D21,0))*($B21^((FixedParams!$B$47-1)*$B$10/($B$10-1)))*((1/$B21-1)^$B$10*(I21)^($B$10-1)+1)^((FixedParams!$B$47-$B$10)/($B$10-1))/((1+IF(H21=1,FixedParams!$B$25,FixedParams!$B$24))^FixedParams!$B$47)</f>
        <v>5.0377844426835169E-2</v>
      </c>
      <c r="K21">
        <f t="shared" si="38"/>
        <v>1.0157474402197084</v>
      </c>
      <c r="L21">
        <f>K21*FixedParams!$B$8/K$15</f>
        <v>29.530956775831399</v>
      </c>
      <c r="M21">
        <f t="shared" si="0"/>
        <v>197.65103478369321</v>
      </c>
      <c r="N21">
        <f t="shared" si="11"/>
        <v>227.18199155952459</v>
      </c>
      <c r="O21" s="24">
        <f t="shared" si="12"/>
        <v>6.6930115500170295</v>
      </c>
      <c r="P21" s="24">
        <f t="shared" si="1"/>
        <v>1.280731714478432</v>
      </c>
      <c r="Q21" s="23">
        <f>IF(H21=1,L21*(1+FixedParams!$B$25)+M21*FixedParams!$B$33*(1+FixedParams!$B$28)/FixedParams!$B$32,L21*(1+FixedParams!$B$23)+M21*FixedParams!$B$33*(1+FixedParams!$B$26)/FixedParams!$B$32)</f>
        <v>558.14977076947923</v>
      </c>
      <c r="R21" s="24">
        <f t="shared" si="2"/>
        <v>170.40646607231312</v>
      </c>
      <c r="S21" s="24">
        <f>R21^((FixedParams!$B$47-1)/FixedParams!$B$47)*EXP($C21)</f>
        <v>0.94636813828577671</v>
      </c>
      <c r="T21" s="7">
        <f>(L21*FixedParams!$B$32*(FixedParams!$C$25-FixedParams!$C$23)+FixedParams!$B$33*(FixedParams!$C$28-FixedParams!$C$26)*M21)/N21</f>
        <v>-2983.1563416870131</v>
      </c>
      <c r="U21" s="7">
        <f>(L21*FixedParams!$B$32*(FixedParams!$C$25-FixedParams!$C$23)*$Z$12/$B$11+FixedParams!$B$33*(FixedParams!$C$28-FixedParams!$C$26)*M21)/N21</f>
        <v>-3113.7077490785728</v>
      </c>
      <c r="V21" s="14">
        <f t="shared" si="13"/>
        <v>-2.882979541947094</v>
      </c>
      <c r="W21" s="14">
        <f t="shared" si="14"/>
        <v>5.6980504588615012E-2</v>
      </c>
      <c r="X21" s="73">
        <f t="shared" si="15"/>
        <v>0.98947764438032348</v>
      </c>
      <c r="Y21" s="24">
        <f>EXP(-$D$17)*(($B21*FixedParams!$B$30)^$B$10*(1+FixedParams!$C$24)^(1-$B$10)+(1-$B21)^$B$10*((1+FixedParams!$C$27)/$Z$12)^(1-$B$10))^(1/(1-$B$10))</f>
        <v>5.5794467232970097</v>
      </c>
      <c r="Z21" s="24">
        <f>EXP($D21-$D$17)*(($B21*FixedParams!$C$31)^$B$10*(1+FixedParams!$C$25)^(1-$B$10)+(1-$B21)^$B$10*((1+FixedParams!$C$28)/$Z$12)^(1-$B$10))^(1/(1-$B$10))</f>
        <v>3.9092261863082203</v>
      </c>
      <c r="AA21" s="24">
        <f>EXP($D21-$D$17)*(($B21*FixedParams!$C$30)^$B$10*(1+FixedParams!$C$23)^(1-$B$10)+(1-$B21)^$B$10*((1+FixedParams!$C$26)/$Z$12)^(1-$B$10))^(1/(1-$B$10))</f>
        <v>4.0614751256010786</v>
      </c>
      <c r="AB21">
        <f>IF(FixedParams!$I$6=1,IF(Z21&lt;=MIN(Y21:AA21),1,0),$H21)</f>
        <v>1</v>
      </c>
      <c r="AC21">
        <f>IF(FixedParams!$I$6=1,IF(AA21&lt;=MIN(Y21:AA21),1,0),IF(AA21&lt;=Y21,1,0)*(1-$H21))</f>
        <v>0</v>
      </c>
      <c r="AD21" s="24">
        <f>$Z$13*IF(AB21=1,1,IF(AC21=1,FixedParams!$C$52,FixedParams!$C$53))</f>
        <v>0.43187184563106507</v>
      </c>
      <c r="AE21">
        <f>EXP($C21*FixedParams!$B$47)*EXP(IF(AB21+AC21=1,(1-FixedParams!$B$47)*$D21,0))*($B21^((FixedParams!$B$47-1)*$B$10/($B$10-1)))*((1/$B21-1)^$B$10*(AD21)^($B$10-1)+1)^((FixedParams!$B$47-$B$10)/($B$10-1))/((1+IF(AB21=1,FixedParams!$C$25,IF(AC21=1,FixedParams!$C$23,FixedParams!$C$24)))^FixedParams!$B$47)</f>
        <v>3.4478469340402496E-2</v>
      </c>
      <c r="AF21">
        <f t="shared" si="39"/>
        <v>1.0159832984439809</v>
      </c>
      <c r="AG21">
        <f t="shared" si="40"/>
        <v>23.86388751214324</v>
      </c>
      <c r="AH21">
        <f t="shared" si="3"/>
        <v>197.72241427604891</v>
      </c>
      <c r="AI21">
        <f t="shared" si="16"/>
        <v>221.58630178819215</v>
      </c>
      <c r="AJ21" s="24">
        <f t="shared" si="17"/>
        <v>8.2854234950377226</v>
      </c>
      <c r="AK21" s="24">
        <f t="shared" si="18"/>
        <v>1.3056573939242611</v>
      </c>
      <c r="AL21" s="23">
        <f>IF(AB21=1,AG21*(1+FixedParams!$C$25)+AH21*(1+FixedParams!$C$28)/$Z$12,IF(AC21=1,AG21*(1+FixedParams!$C$23)+AH21*(1+FixedParams!$C$26)/$Z$12,AG21*(1+FixedParams!$C$24)+AH21*(1+FixedParams!$C$27)/$Z$12))</f>
        <v>659.14787421961069</v>
      </c>
      <c r="AM21" s="24">
        <f t="shared" si="19"/>
        <v>168.6133886364079</v>
      </c>
      <c r="AN21" s="24">
        <f>AM21^((FixedParams!$B$47-1)/FixedParams!$B$47)*EXP($C21)</f>
        <v>0.94637815914310008</v>
      </c>
      <c r="AO21" s="24">
        <f t="shared" si="20"/>
        <v>-2.493928327619897E-2</v>
      </c>
      <c r="AP21" s="24">
        <f t="shared" si="21"/>
        <v>-1.0578107039283021E-2</v>
      </c>
      <c r="AQ21" s="14">
        <f t="shared" si="22"/>
        <v>-2.9541241538289786</v>
      </c>
      <c r="AS21" s="24">
        <f>EXP(-$D$17)*(($B21*FixedParams!$B$30)^$B$10*(1+FixedParams!$D$24)^(1-$B$10)+(1-$B21)^$B$10*((1+FixedParams!$D$27)/$AT$12)^(1-$B$10))^(1/(1-$B$10))</f>
        <v>5.3013704309146679</v>
      </c>
      <c r="AT21" s="24">
        <f>EXP($D21-$D$17)*(($B21*FixedParams!$C$31)^$B$10*(1+FixedParams!$D$25)^(1-$B$10)+(1-$B21)^$B$10*((1+FixedParams!$D$28)/$AT$12)^(1-$B$10))^(1/(1-$B$10))</f>
        <v>3.8352294918217491</v>
      </c>
      <c r="AU21" s="24">
        <f>EXP($D21-$D$17)*(($B21*FixedParams!$C$30)^$B$10*(1+FixedParams!$D$23)^(1-$B$10)+(1-$B21)^$B$10*((1+FixedParams!$D$26)/$AT$12)^(1-$B$10))^(1/(1-$B$10))</f>
        <v>3.9400401993035876</v>
      </c>
      <c r="AV21">
        <f>IF(FixedParams!$I$6=1,IF(AT21&lt;=MIN(AS21:AU21),1,0),$H21)</f>
        <v>1</v>
      </c>
      <c r="AW21">
        <f>IF(FixedParams!$I$6=1,IF(AU21&lt;=MIN(AS21:AU21),1,0),IF(AU21&lt;=AS21,1,0)*(1-$H21))</f>
        <v>0</v>
      </c>
      <c r="AX21" s="24">
        <f>$AT$13*IF(AV21=1,1,IF(AW21=1,FixedParams!$D$52,FixedParams!$D$53))</f>
        <v>0.41089128090616783</v>
      </c>
      <c r="AY21">
        <f>EXP($C21*FixedParams!$B$47)*EXP(IF(AV21+AW21=1,(1-FixedParams!$B$47)*$D21,0))*($B21^((FixedParams!$B$47-1)*$B$10/($B$10-1)))*((1/$B21-1)^$B$10*(AX21)^($B$10-1)+1)^((FixedParams!$B$47-$B$10)/($B$10-1))/((1+IF(AV21=1,FixedParams!$D$25,IF(AW21=1,FixedParams!$D$23,FixedParams!$D$24)))^FixedParams!$B$47)</f>
        <v>3.7727208470780531E-2</v>
      </c>
      <c r="AZ21">
        <f t="shared" si="4"/>
        <v>1.0159024578100893</v>
      </c>
      <c r="BA21">
        <f t="shared" si="23"/>
        <v>25.559969968780198</v>
      </c>
      <c r="BB21">
        <f t="shared" si="5"/>
        <v>196.53192147415035</v>
      </c>
      <c r="BC21">
        <f t="shared" si="24"/>
        <v>222.09189144293055</v>
      </c>
      <c r="BD21" s="24">
        <f t="shared" si="25"/>
        <v>7.689051345295046</v>
      </c>
      <c r="BE21" s="24">
        <f t="shared" si="26"/>
        <v>1.2987151656891682</v>
      </c>
      <c r="BF21" s="23">
        <f>IF(AV21=1,BA21*(1+FixedParams!$C$25)+BB21*(1+FixedParams!$C$28)/$AT$12,IF(AW21=1,BA21*(1+FixedParams!$C$23)+BB21*(1+FixedParams!$C$26)/$AT$12,BA21*(1+FixedParams!$C$24)+BB21*(1+FixedParams!$C$27)/$AT$12))</f>
        <v>649.17508433761145</v>
      </c>
      <c r="BG21" s="24">
        <f t="shared" si="27"/>
        <v>169.26629442173243</v>
      </c>
      <c r="BH21" s="24">
        <f>BG21^((FixedParams!$B$47-1)/FixedParams!$B$47)*EXP($C21)</f>
        <v>0.94637449799450801</v>
      </c>
      <c r="BI21" s="7"/>
      <c r="BJ21" s="24">
        <f>EXP(-$D$17)*(($B21*FixedParams!$B$30)^$B$10*(1+FixedParams!$C$24)^(1-$B$10)+(1-$B21)^$B$10*((1+FixedParams!$C$27)/$BK$12)^(1-$B$10))^(1/(1-$B$10))</f>
        <v>5.8532525808449236</v>
      </c>
      <c r="BK21" s="24">
        <f>EXP($D21-$D$17)*(($B21*FixedParams!$C$31)^$B$10*(1+FixedParams!$C$25)^(1-$B$10)+(1-$B21)^$B$10*((1+FixedParams!$C$28)/$BK$12)^(1-$B$10))^(1/(1-$B$10))</f>
        <v>4.1005752250028245</v>
      </c>
      <c r="BL21" s="24">
        <f>EXP($D21-$D$17)*(($B21*FixedParams!$C$30)^$B$10*(1+FixedParams!$C$23)^(1-$B$10)+(1-$B21)^$B$10*((1+FixedParams!$C$26)/$BK$12)^(1-$B$10))^(1/(1-$B$10))</f>
        <v>4.2591047918995129</v>
      </c>
      <c r="BM21">
        <f>IF(FixedParams!$I$6=1,IF(BK21&lt;=MIN(BJ21:BL21),1,0),$H21)</f>
        <v>1</v>
      </c>
      <c r="BN21">
        <f>IF(FixedParams!$I$6=1,IF(BL21&lt;=MIN(BJ21:BL21),1,0),IF(BL21&lt;=BJ21,1,0)*(1-$H21))</f>
        <v>0</v>
      </c>
      <c r="BO21" s="24">
        <f>$BK$13*IF(BM21=1,1,IF(BN21=1,FixedParams!$C$52,FixedParams!$C$53))</f>
        <v>0.41068174962109105</v>
      </c>
      <c r="BP21">
        <f>EXP($C21*FixedParams!$B$47)*EXP(IF(BM21+BN21=1,(1-FixedParams!$B$47)*$D21,0))*($B21^((FixedParams!$B$47-1)*$B$10/($B$10-1)))*((1/$B21-1)^$B$10*(BO21)^($B$10-1)+1)^((FixedParams!$B$47-$B$10)/($B$10-1))/((1+IF(BM21=1,FixedParams!$C$25,IF(BN21=1,FixedParams!$C$23,FixedParams!$C$24)))^FixedParams!$B$47)</f>
        <v>3.53139032871446E-2</v>
      </c>
      <c r="BQ21">
        <f t="shared" si="28"/>
        <v>1.0159016204073119</v>
      </c>
      <c r="BR21">
        <f t="shared" si="29"/>
        <v>25.909716303365926</v>
      </c>
      <c r="BS21">
        <f t="shared" si="6"/>
        <v>199.06877117855524</v>
      </c>
      <c r="BT21">
        <f t="shared" si="30"/>
        <v>224.97848748192115</v>
      </c>
      <c r="BU21" s="24">
        <f t="shared" si="31"/>
        <v>7.683170624013905</v>
      </c>
      <c r="BV21" s="24">
        <f t="shared" si="32"/>
        <v>1.3023680323060998</v>
      </c>
      <c r="BW21" s="23">
        <f>IF(BM21=1,BR21*(1+FixedParams!$C$25)+BS21*(1+FixedParams!$C$28)/$BK$12,IF(BN21=1,BR21*(1+FixedParams!$C$23)+BS21*(1+FixedParams!$C$26)/$BK$12,BR21*(1+FixedParams!$C$24)+BS21*(1+FixedParams!$C$27)/$BK$12))</f>
        <v>698.75886099353511</v>
      </c>
      <c r="BX21" s="24">
        <f t="shared" si="33"/>
        <v>170.4050828607964</v>
      </c>
      <c r="BY21" s="24">
        <f>BX21^((FixedParams!$B$47-1)/FixedParams!$B$47)*EXP($C21)</f>
        <v>0.94636814597529118</v>
      </c>
      <c r="BZ21" s="24">
        <f t="shared" si="34"/>
        <v>-9.7466347615484256E-3</v>
      </c>
      <c r="CA21" s="24">
        <f t="shared" si="35"/>
        <v>-8.1171634063080299E-6</v>
      </c>
      <c r="CB21" s="24">
        <f t="shared" si="36"/>
        <v>1.7320338756000943E-2</v>
      </c>
      <c r="CC21" s="24"/>
      <c r="CD21" s="24">
        <f>EXP(-$D$17)*(($B21*FixedParams!$B$30)^$B$10*(1+FixedParams!$D$24)^(1-$B$10)+(1-$B21)^$B$10*((1+FixedParams!$D$27)/$CE$12)^(1-$B$10))^(1/(1-$B$10))</f>
        <v>5.5436730926066886</v>
      </c>
      <c r="CE21" s="24">
        <f>EXP($D21-$D$17)*(($B21*FixedParams!$D$31)^$B$10*(1+FixedParams!$D$25)^(1-$B$10)+(1-$B21)^$B$10*((1+FixedParams!$D$28)/$CE$12)^(1-$B$10))^(1/(1-$B$10))</f>
        <v>4.0102087213731155</v>
      </c>
      <c r="CF21" s="24">
        <f>EXP($D21-$D$17)*(($B21*FixedParams!$D$30)^$B$10*(1+FixedParams!$D$23)^(1-$B$10)+(1-$B21)^$B$10*((1+FixedParams!$D$26)/$CE$12)^(1-$B$10))^(1/(1-$B$10))</f>
        <v>4.1189471818003591</v>
      </c>
      <c r="CG21">
        <f>IF(FixedParams!$I$6=1,IF(CE21&lt;=MIN(CD21:CF21),1,0),$H21)</f>
        <v>1</v>
      </c>
      <c r="CH21">
        <f>IF(FixedParams!$I$6=1,IF(CF21&lt;=MIN(CD21:CF21),1,0),IF(CF21&lt;=CD21,1,0)*(1-$H21))</f>
        <v>0</v>
      </c>
      <c r="CI21" s="24">
        <f>$CE$13*IF(CG21=1,1,IF(CH21=1,FixedParams!$D$52,FixedParams!$D$53))</f>
        <v>0.39201585704839609</v>
      </c>
      <c r="CJ21">
        <f>EXP($C21*FixedParams!$B$47)*EXP(IF(CG21+CH21=1,(1-FixedParams!$B$47)*$D21,0))*($B21^((FixedParams!$B$47-1)*$B$10/($B$10-1)))*((1/$B21-1)^$B$10*(CI21)^($B$10-1)+1)^((FixedParams!$B$47-$B$10)/($B$10-1))/((1+IF(CG21=1,FixedParams!$D$25,IF(CH21=1,FixedParams!$D$23,FixedParams!$D$24)))^FixedParams!$B$47)</f>
        <v>3.857996754090242E-2</v>
      </c>
      <c r="CK21">
        <f t="shared" si="37"/>
        <v>1.0158244415186848</v>
      </c>
      <c r="CL21">
        <f t="shared" si="41"/>
        <v>27.752609979939919</v>
      </c>
      <c r="CM21">
        <f t="shared" si="7"/>
        <v>198.85735419214376</v>
      </c>
      <c r="CN21">
        <f t="shared" si="42"/>
        <v>226.60996417208366</v>
      </c>
      <c r="CO21" s="24">
        <f t="shared" si="43"/>
        <v>7.1653568560175565</v>
      </c>
      <c r="CP21" s="24">
        <f t="shared" si="44"/>
        <v>1.2955859862798069</v>
      </c>
      <c r="CQ21" s="23">
        <f>IF(CG21=1,CL21*(1+FixedParams!$D$25)+CM21*(1+FixedParams!$D$28)/$CE$12,IF(CH21=1,CL21*(1+FixedParams!$D$23)+CM21*(1+FixedParams!$D$26)/$CE$12,CL21*(1+FixedParams!$D$24)+CM21*(1+FixedParams!$D$27)/$CE$12))</f>
        <v>685.08221065174575</v>
      </c>
      <c r="CR21" s="24">
        <f t="shared" si="45"/>
        <v>170.83455207717225</v>
      </c>
      <c r="CS21" s="24">
        <f>CR21^((FixedParams!$B$47-1)/FixedParams!$B$47)*EXP($C21)</f>
        <v>0.94636576147777385</v>
      </c>
      <c r="CT21" s="24"/>
      <c r="CW21" s="24">
        <v>67.205964109690981</v>
      </c>
      <c r="CX21" s="24">
        <v>67.525204966757059</v>
      </c>
      <c r="CY21" s="24">
        <v>66.856186729614819</v>
      </c>
      <c r="CZ21" s="24">
        <v>67.526697606042944</v>
      </c>
    </row>
    <row r="22" spans="1:104" x14ac:dyDescent="0.15">
      <c r="A22">
        <v>2.5000000000000001E-2</v>
      </c>
      <c r="B22">
        <f t="shared" si="8"/>
        <v>9.6408952172665804E-2</v>
      </c>
      <c r="C22">
        <f>(D22-$D$17)*FixedParams!$B$47+$A22*$B$9</f>
        <v>-6.2475379023126366E-2</v>
      </c>
      <c r="D22">
        <f>(A22-$B$6)*FixedParams!$B$46/(FixedParams!$B$45*Sectors!$B$6)</f>
        <v>-0.25809192919908386</v>
      </c>
      <c r="E22">
        <f t="shared" si="9"/>
        <v>0.93943619236550502</v>
      </c>
      <c r="F22" s="24">
        <f>EXP(-$D$17)*(($B22*FixedParams!$B$30)^$B$10*(1+FixedParams!$B$23)^(1-$B$10)+(1-$B22)^$B$10*((1+FixedParams!$B$26)/$B$11)^(1-$B$10))^(1/(1-$B$10))</f>
        <v>4.3932195919781361</v>
      </c>
      <c r="G22" s="24">
        <f>EXP($D22-$D$17)*(($B22*FixedParams!$B$31)^$B$10*(1+FixedParams!$B$25)^(1-$B$10)+(1-$B22)^$B$10*((1+FixedParams!$B$28)/$B$11)^(1-$B$10))^(1/(1-$B$10))</f>
        <v>3.2891348410110899</v>
      </c>
      <c r="H22">
        <f t="shared" si="10"/>
        <v>1</v>
      </c>
      <c r="I22" s="24">
        <f>$B$12*IF(H22=1,1,FixedParams!$B$52)</f>
        <v>0.3745928365283252</v>
      </c>
      <c r="J22">
        <f>EXP($C22*FixedParams!$B$47)*EXP(IF(H22=1,(1-FixedParams!$B$47)*$D22,0))*($B22^((FixedParams!$B$47-1)*$B$10/($B$10-1)))*((1/$B22-1)^$B$10*(I22)^($B$10-1)+1)^((FixedParams!$B$47-$B$10)/($B$10-1))/((1+IF(H22=1,FixedParams!$B$25,FixedParams!$B$24))^FixedParams!$B$47)</f>
        <v>5.0573150897505498E-2</v>
      </c>
      <c r="K22">
        <f t="shared" si="38"/>
        <v>1.019685323031067</v>
      </c>
      <c r="L22">
        <f>K22*FixedParams!$B$8/K$15</f>
        <v>29.645443352401418</v>
      </c>
      <c r="M22">
        <f t="shared" si="0"/>
        <v>195.01992580133901</v>
      </c>
      <c r="N22">
        <f t="shared" si="11"/>
        <v>224.66536915374044</v>
      </c>
      <c r="O22" s="24">
        <f t="shared" si="12"/>
        <v>6.5784115111080466</v>
      </c>
      <c r="P22" s="24">
        <f t="shared" si="1"/>
        <v>1.2861012533437608</v>
      </c>
      <c r="Q22" s="23">
        <f>IF(H22=1,L22*(1+FixedParams!$B$25)+M22*FixedParams!$B$33*(1+FixedParams!$B$28)/FixedParams!$B$32,L22*(1+FixedParams!$B$23)+M22*FixedParams!$B$33*(1+FixedParams!$B$26)/FixedParams!$B$32)</f>
        <v>551.22823105196642</v>
      </c>
      <c r="R22" s="24">
        <f t="shared" si="2"/>
        <v>167.5906454727521</v>
      </c>
      <c r="S22" s="24">
        <f>R22^((FixedParams!$B$47-1)/FixedParams!$B$47)*EXP($C22)</f>
        <v>0.9346323551688136</v>
      </c>
      <c r="T22" s="7">
        <f>(L22*FixedParams!$B$32*(FixedParams!$C$25-FixedParams!$C$23)+FixedParams!$B$33*(FixedParams!$C$28-FixedParams!$C$26)*M22)/N22</f>
        <v>-2960.8559586194765</v>
      </c>
      <c r="U22" s="7">
        <f>(L22*FixedParams!$B$32*(FixedParams!$C$25-FixedParams!$C$23)*$Z$12/$B$11+FixedParams!$B$33*(FixedParams!$C$28-FixedParams!$C$26)*M22)/N22</f>
        <v>-3093.3815523355402</v>
      </c>
      <c r="V22" s="14">
        <f t="shared" si="13"/>
        <v>-2.8657089166510104</v>
      </c>
      <c r="W22" s="14">
        <f t="shared" si="14"/>
        <v>6.7999862822658935E-2</v>
      </c>
      <c r="X22" s="73">
        <f t="shared" si="15"/>
        <v>0.98935861442314443</v>
      </c>
      <c r="Y22" s="24">
        <f>EXP(-$D$17)*(($B22*FixedParams!$B$30)^$B$10*(1+FixedParams!$C$24)^(1-$B$10)+(1-$B22)^$B$10*((1+FixedParams!$C$27)/$Z$12)^(1-$B$10))^(1/(1-$B$10))</f>
        <v>5.5887699507416544</v>
      </c>
      <c r="Z22" s="24">
        <f>EXP($D22-$D$17)*(($B22*FixedParams!$C$31)^$B$10*(1+FixedParams!$C$25)^(1-$B$10)+(1-$B22)^$B$10*((1+FixedParams!$C$28)/$Z$12)^(1-$B$10))^(1/(1-$B$10))</f>
        <v>3.9260885987913703</v>
      </c>
      <c r="AA22" s="24">
        <f>EXP($D22-$D$17)*(($B22*FixedParams!$C$30)^$B$10*(1+FixedParams!$C$23)^(1-$B$10)+(1-$B22)^$B$10*((1+FixedParams!$C$26)/$Z$12)^(1-$B$10))^(1/(1-$B$10))</f>
        <v>4.0782267557644527</v>
      </c>
      <c r="AB22">
        <f>IF(FixedParams!$I$6=1,IF(Z22&lt;=MIN(Y22:AA22),1,0),$H22)</f>
        <v>1</v>
      </c>
      <c r="AC22">
        <f>IF(FixedParams!$I$6=1,IF(AA22&lt;=MIN(Y22:AA22),1,0),IF(AA22&lt;=Y22,1,0)*(1-$H22))</f>
        <v>0</v>
      </c>
      <c r="AD22" s="24">
        <f>$Z$13*IF(AB22=1,1,IF(AC22=1,FixedParams!$C$52,FixedParams!$C$53))</f>
        <v>0.43187184563106507</v>
      </c>
      <c r="AE22">
        <f>EXP($C22*FixedParams!$B$47)*EXP(IF(AB22+AC22=1,(1-FixedParams!$B$47)*$D22,0))*($B22^((FixedParams!$B$47-1)*$B$10/($B$10-1)))*((1/$B22-1)^$B$10*(AD22)^($B$10-1)+1)^((FixedParams!$B$47-$B$10)/($B$10-1))/((1+IF(AB22=1,FixedParams!$C$25,IF(AC22=1,FixedParams!$C$23,FixedParams!$C$24)))^FixedParams!$B$47)</f>
        <v>3.4614224881966076E-2</v>
      </c>
      <c r="AF22">
        <f t="shared" si="39"/>
        <v>1.0199836315660256</v>
      </c>
      <c r="AG22">
        <f t="shared" si="40"/>
        <v>23.957849194172642</v>
      </c>
      <c r="AH22">
        <f t="shared" si="3"/>
        <v>195.10212566924946</v>
      </c>
      <c r="AI22">
        <f t="shared" si="16"/>
        <v>219.0599748634221</v>
      </c>
      <c r="AJ22" s="24">
        <f t="shared" si="17"/>
        <v>8.1435576327404586</v>
      </c>
      <c r="AK22" s="24">
        <f t="shared" si="18"/>
        <v>1.3112893355128896</v>
      </c>
      <c r="AL22" s="23">
        <f>IF(AB22=1,AG22*(1+FixedParams!$C$25)+AH22*(1+FixedParams!$C$28)/$Z$12,IF(AC22=1,AG22*(1+FixedParams!$C$23)+AH22*(1+FixedParams!$C$26)/$Z$12,AG22*(1+FixedParams!$C$24)+AH22*(1+FixedParams!$C$27)/$Z$12))</f>
        <v>650.97394909180844</v>
      </c>
      <c r="AM22" s="24">
        <f t="shared" si="19"/>
        <v>165.80724879520244</v>
      </c>
      <c r="AN22" s="24">
        <f>AM22^((FixedParams!$B$47-1)/FixedParams!$B$47)*EXP($C22)</f>
        <v>0.93464236431165737</v>
      </c>
      <c r="AO22" s="24">
        <f t="shared" si="20"/>
        <v>-2.5266496799296281E-2</v>
      </c>
      <c r="AP22" s="24">
        <f t="shared" si="21"/>
        <v>-1.0698410027256956E-2</v>
      </c>
      <c r="AQ22" s="14">
        <f t="shared" si="22"/>
        <v>-2.9368535285328954</v>
      </c>
      <c r="AS22" s="24">
        <f>EXP(-$D$17)*(($B22*FixedParams!$B$30)^$B$10*(1+FixedParams!$D$24)^(1-$B$10)+(1-$B22)^$B$10*((1+FixedParams!$D$27)/$AT$12)^(1-$B$10))^(1/(1-$B$10))</f>
        <v>5.3098766865651692</v>
      </c>
      <c r="AT22" s="24">
        <f>EXP($D22-$D$17)*(($B22*FixedParams!$C$31)^$B$10*(1+FixedParams!$D$25)^(1-$B$10)+(1-$B22)^$B$10*((1+FixedParams!$D$28)/$AT$12)^(1-$B$10))^(1/(1-$B$10))</f>
        <v>3.8516137375339539</v>
      </c>
      <c r="AU22" s="24">
        <f>EXP($D22-$D$17)*(($B22*FixedParams!$C$30)^$B$10*(1+FixedParams!$D$23)^(1-$B$10)+(1-$B22)^$B$10*((1+FixedParams!$D$26)/$AT$12)^(1-$B$10))^(1/(1-$B$10))</f>
        <v>3.9562712966301028</v>
      </c>
      <c r="AV22">
        <f>IF(FixedParams!$I$6=1,IF(AT22&lt;=MIN(AS22:AU22),1,0),$H22)</f>
        <v>1</v>
      </c>
      <c r="AW22">
        <f>IF(FixedParams!$I$6=1,IF(AU22&lt;=MIN(AS22:AU22),1,0),IF(AU22&lt;=AS22,1,0)*(1-$H22))</f>
        <v>0</v>
      </c>
      <c r="AX22" s="24">
        <f>$AT$13*IF(AV22=1,1,IF(AW22=1,FixedParams!$D$52,FixedParams!$D$53))</f>
        <v>0.41089128090616783</v>
      </c>
      <c r="AY22">
        <f>EXP($C22*FixedParams!$B$47)*EXP(IF(AV22+AW22=1,(1-FixedParams!$B$47)*$D22,0))*($B22^((FixedParams!$B$47-1)*$B$10/($B$10-1)))*((1/$B22-1)^$B$10*(AX22)^($B$10-1)+1)^((FixedParams!$B$47-$B$10)/($B$10-1))/((1+IF(AV22=1,FixedParams!$D$25,IF(AW22=1,FixedParams!$D$23,FixedParams!$D$24)))^FixedParams!$B$47)</f>
        <v>3.7874972363269394E-2</v>
      </c>
      <c r="AZ22">
        <f t="shared" si="4"/>
        <v>1.0198813819775447</v>
      </c>
      <c r="BA22">
        <f t="shared" si="23"/>
        <v>25.6600791686806</v>
      </c>
      <c r="BB22">
        <f t="shared" si="5"/>
        <v>193.92339946458992</v>
      </c>
      <c r="BC22">
        <f t="shared" si="24"/>
        <v>219.58347863327052</v>
      </c>
      <c r="BD22" s="24">
        <f t="shared" si="25"/>
        <v>7.5573967714520167</v>
      </c>
      <c r="BE22" s="24">
        <f t="shared" si="26"/>
        <v>1.3042633260874421</v>
      </c>
      <c r="BF22" s="23">
        <f>IF(AV22=1,BA22*(1+FixedParams!$C$25)+BB22*(1+FixedParams!$C$28)/$AT$12,IF(AW22=1,BA22*(1+FixedParams!$C$23)+BB22*(1+FixedParams!$C$26)/$AT$12,BA22*(1+FixedParams!$C$24)+BB22*(1+FixedParams!$C$27)/$AT$12))</f>
        <v>641.15995953849188</v>
      </c>
      <c r="BG22" s="24">
        <f t="shared" si="27"/>
        <v>166.46528006959571</v>
      </c>
      <c r="BH22" s="24">
        <f>BG22^((FixedParams!$B$47-1)/FixedParams!$B$47)*EXP($C22)</f>
        <v>0.93463865868403806</v>
      </c>
      <c r="BI22" s="7"/>
      <c r="BJ22" s="24">
        <f>EXP(-$D$17)*(($B22*FixedParams!$B$30)^$B$10*(1+FixedParams!$C$24)^(1-$B$10)+(1-$B22)^$B$10*((1+FixedParams!$C$27)/$BK$12)^(1-$B$10))^(1/(1-$B$10))</f>
        <v>5.8627998753361421</v>
      </c>
      <c r="BK22" s="24">
        <f>EXP($D22-$D$17)*(($B22*FixedParams!$C$31)^$B$10*(1+FixedParams!$C$25)^(1-$B$10)+(1-$B22)^$B$10*((1+FixedParams!$C$28)/$BK$12)^(1-$B$10))^(1/(1-$B$10))</f>
        <v>4.1180912770049556</v>
      </c>
      <c r="BL22" s="24">
        <f>EXP($D22-$D$17)*(($B22*FixedParams!$C$30)^$B$10*(1+FixedParams!$C$23)^(1-$B$10)+(1-$B22)^$B$10*((1+FixedParams!$C$26)/$BK$12)^(1-$B$10))^(1/(1-$B$10))</f>
        <v>4.2764749104976056</v>
      </c>
      <c r="BM22">
        <f>IF(FixedParams!$I$6=1,IF(BK22&lt;=MIN(BJ22:BL22),1,0),$H22)</f>
        <v>1</v>
      </c>
      <c r="BN22">
        <f>IF(FixedParams!$I$6=1,IF(BL22&lt;=MIN(BJ22:BL22),1,0),IF(BL22&lt;=BJ22,1,0)*(1-$H22))</f>
        <v>0</v>
      </c>
      <c r="BO22" s="24">
        <f>$BK$13*IF(BM22=1,1,IF(BN22=1,FixedParams!$C$52,FixedParams!$C$53))</f>
        <v>0.41068174962109105</v>
      </c>
      <c r="BP22">
        <f>EXP($C22*FixedParams!$B$47)*EXP(IF(BM22+BN22=1,(1-FixedParams!$B$47)*$D22,0))*($B22^((FixedParams!$B$47-1)*$B$10/($B$10-1)))*((1/$B22-1)^$B$10*(BO22)^($B$10-1)+1)^((FixedParams!$B$47-$B$10)/($B$10-1))/((1+IF(BM22=1,FixedParams!$C$25,IF(BN22=1,FixedParams!$C$23,FixedParams!$C$24)))^FixedParams!$B$47)</f>
        <v>3.5452207537948158E-2</v>
      </c>
      <c r="BQ22">
        <f t="shared" si="28"/>
        <v>1.0198803228282278</v>
      </c>
      <c r="BR22">
        <f t="shared" si="29"/>
        <v>26.011189761927902</v>
      </c>
      <c r="BS22">
        <f t="shared" si="6"/>
        <v>196.42653608284107</v>
      </c>
      <c r="BT22">
        <f t="shared" si="30"/>
        <v>222.43772584476898</v>
      </c>
      <c r="BU22" s="24">
        <f t="shared" si="31"/>
        <v>7.5516167418972495</v>
      </c>
      <c r="BV22" s="24">
        <f t="shared" si="32"/>
        <v>1.3079312386681463</v>
      </c>
      <c r="BW22" s="23">
        <f>IF(BM22=1,BR22*(1+FixedParams!$C$25)+BS22*(1+FixedParams!$C$28)/$BK$12,IF(BN22=1,BR22*(1+FixedParams!$C$23)+BS22*(1+FixedParams!$C$26)/$BK$12,BR22*(1+FixedParams!$C$24)+BS22*(1+FixedParams!$C$27)/$BK$12))</f>
        <v>690.09370131477169</v>
      </c>
      <c r="BX22" s="24">
        <f t="shared" si="33"/>
        <v>167.57610623353389</v>
      </c>
      <c r="BY22" s="24">
        <f>BX22^((FixedParams!$B$47-1)/FixedParams!$B$47)*EXP($C22)</f>
        <v>0.93463243633704607</v>
      </c>
      <c r="BZ22" s="24">
        <f t="shared" si="34"/>
        <v>-9.964868359666073E-3</v>
      </c>
      <c r="CA22" s="24">
        <f t="shared" si="35"/>
        <v>-8.6758242894420165E-5</v>
      </c>
      <c r="CB22" s="24">
        <f t="shared" si="36"/>
        <v>1.7241697676512832E-2</v>
      </c>
      <c r="CC22" s="24"/>
      <c r="CD22" s="24">
        <f>EXP(-$D$17)*(($B22*FixedParams!$B$30)^$B$10*(1+FixedParams!$D$24)^(1-$B$10)+(1-$B22)^$B$10*((1+FixedParams!$D$27)/$CE$12)^(1-$B$10))^(1/(1-$B$10))</f>
        <v>5.5523537240534822</v>
      </c>
      <c r="CE22" s="24">
        <f>EXP($D22-$D$17)*(($B22*FixedParams!$D$31)^$B$10*(1+FixedParams!$D$25)^(1-$B$10)+(1-$B22)^$B$10*((1+FixedParams!$D$28)/$CE$12)^(1-$B$10))^(1/(1-$B$10))</f>
        <v>4.0271800663959603</v>
      </c>
      <c r="CF22" s="24">
        <f>EXP($D22-$D$17)*(($B22*FixedParams!$D$30)^$B$10*(1+FixedParams!$D$23)^(1-$B$10)+(1-$B22)^$B$10*((1+FixedParams!$D$26)/$CE$12)^(1-$B$10))^(1/(1-$B$10))</f>
        <v>4.1357372328943667</v>
      </c>
      <c r="CG22">
        <f>IF(FixedParams!$I$6=1,IF(CE22&lt;=MIN(CD22:CF22),1,0),$H22)</f>
        <v>1</v>
      </c>
      <c r="CH22">
        <f>IF(FixedParams!$I$6=1,IF(CF22&lt;=MIN(CD22:CF22),1,0),IF(CF22&lt;=CD22,1,0)*(1-$H22))</f>
        <v>0</v>
      </c>
      <c r="CI22" s="24">
        <f>$CE$13*IF(CG22=1,1,IF(CH22=1,FixedParams!$D$52,FixedParams!$D$53))</f>
        <v>0.39201585704839609</v>
      </c>
      <c r="CJ22">
        <f>EXP($C22*FixedParams!$B$47)*EXP(IF(CG22+CH22=1,(1-FixedParams!$B$47)*$D22,0))*($B22^((FixedParams!$B$47-1)*$B$10/($B$10-1)))*((1/$B22-1)^$B$10*(CI22)^($B$10-1)+1)^((FixedParams!$B$47-$B$10)/($B$10-1))/((1+IF(CG22=1,FixedParams!$D$25,IF(CH22=1,FixedParams!$D$23,FixedParams!$D$24)))^FixedParams!$B$47)</f>
        <v>3.8730298457684935E-2</v>
      </c>
      <c r="CK22">
        <f t="shared" si="37"/>
        <v>1.0197827087054492</v>
      </c>
      <c r="CL22">
        <f t="shared" si="41"/>
        <v>27.860750954837538</v>
      </c>
      <c r="CM22">
        <f t="shared" si="7"/>
        <v>196.21405149074917</v>
      </c>
      <c r="CN22">
        <f t="shared" si="42"/>
        <v>224.0748024455867</v>
      </c>
      <c r="CO22" s="24">
        <f t="shared" si="43"/>
        <v>7.0426691588038475</v>
      </c>
      <c r="CP22" s="24">
        <f t="shared" si="44"/>
        <v>1.3010689519575607</v>
      </c>
      <c r="CQ22" s="23">
        <f>IF(CG22=1,CL22*(1+FixedParams!$D$25)+CM22*(1+FixedParams!$D$28)/$CE$12,IF(CH22=1,CL22*(1+FixedParams!$D$23)+CM22*(1+FixedParams!$D$26)/$CE$12,CL22*(1+FixedParams!$D$24)+CM22*(1+FixedParams!$D$27)/$CE$12))</f>
        <v>676.58662553706438</v>
      </c>
      <c r="CR22" s="24">
        <f t="shared" si="45"/>
        <v>168.00505921816438</v>
      </c>
      <c r="CS22" s="24">
        <f>CR22^((FixedParams!$B$47-1)/FixedParams!$B$47)*EXP($C22)</f>
        <v>0.93463004457949717</v>
      </c>
      <c r="CT22" s="24"/>
    </row>
    <row r="23" spans="1:104" x14ac:dyDescent="0.15">
      <c r="A23">
        <v>0.03</v>
      </c>
      <c r="B23">
        <f t="shared" si="8"/>
        <v>9.7416635488966952E-2</v>
      </c>
      <c r="C23">
        <f>(D23-$D$17)*FixedParams!$B$47+$A23*$B$9</f>
        <v>-7.4970454827751595E-2</v>
      </c>
      <c r="D23">
        <f>(A23-$B$6)*FixedParams!$B$46/(FixedParams!$B$45*Sectors!$B$6)</f>
        <v>-0.25537517204961979</v>
      </c>
      <c r="E23">
        <f t="shared" si="9"/>
        <v>0.92777089707458438</v>
      </c>
      <c r="F23" s="24">
        <f>EXP(-$D$17)*(($B23*FixedParams!$B$30)^$B$10*(1+FixedParams!$B$23)^(1-$B$10)+(1-$B23)^$B$10*((1+FixedParams!$B$26)/$B$11)^(1-$B$10))^(1/(1-$B$10))</f>
        <v>4.399853848325348</v>
      </c>
      <c r="G23" s="24">
        <f>EXP($D23-$D$17)*(($B23*FixedParams!$B$31)^$B$10*(1+FixedParams!$B$25)^(1-$B$10)+(1-$B23)^$B$10*((1+FixedParams!$B$28)/$B$11)^(1-$B$10))^(1/(1-$B$10))</f>
        <v>3.3029387173396341</v>
      </c>
      <c r="H23">
        <f t="shared" si="10"/>
        <v>1</v>
      </c>
      <c r="I23" s="24">
        <f>$B$12*IF(H23=1,1,FixedParams!$B$52)</f>
        <v>0.3745928365283252</v>
      </c>
      <c r="J23">
        <f>EXP($C23*FixedParams!$B$47)*EXP(IF(H23=1,(1-FixedParams!$B$47)*$D23,0))*($B23^((FixedParams!$B$47-1)*$B$10/($B$10-1)))*((1/$B23-1)^$B$10*(I23)^($B$10-1)+1)^((FixedParams!$B$47-$B$10)/($B$10-1))/((1+IF(H23=1,FixedParams!$B$25,FixedParams!$B$24))^FixedParams!$B$47)</f>
        <v>5.0768442862289515E-2</v>
      </c>
      <c r="K23">
        <f t="shared" si="38"/>
        <v>1.0236229133662973</v>
      </c>
      <c r="L23">
        <f>K23*FixedParams!$B$8/K$15</f>
        <v>29.759921425775122</v>
      </c>
      <c r="M23">
        <f t="shared" si="0"/>
        <v>192.42091707134463</v>
      </c>
      <c r="N23">
        <f t="shared" si="11"/>
        <v>222.18083849711977</v>
      </c>
      <c r="O23" s="24">
        <f t="shared" si="12"/>
        <v>6.4657736933636034</v>
      </c>
      <c r="P23" s="24">
        <f t="shared" si="1"/>
        <v>1.2914987768583899</v>
      </c>
      <c r="Q23" s="23">
        <f>IF(H23=1,L23*(1+FixedParams!$B$25)+M23*FixedParams!$B$33*(1+FixedParams!$B$28)/FixedParams!$B$32,L23*(1+FixedParams!$B$23)+M23*FixedParams!$B$33*(1+FixedParams!$B$26)/FixedParams!$B$32)</f>
        <v>544.39252671790985</v>
      </c>
      <c r="R23" s="24">
        <f t="shared" si="2"/>
        <v>164.82065618110926</v>
      </c>
      <c r="S23" s="24">
        <f>R23^((FixedParams!$B$47-1)/FixedParams!$B$47)*EXP($C23)</f>
        <v>0.92304210982019552</v>
      </c>
      <c r="T23" s="7">
        <f>(L23*FixedParams!$B$32*(FixedParams!$C$25-FixedParams!$C$23)+FixedParams!$B$33*(FixedParams!$C$28-FixedParams!$C$26)*M23)/N23</f>
        <v>-2938.2702693311785</v>
      </c>
      <c r="U23" s="7">
        <f>(L23*FixedParams!$B$32*(FixedParams!$C$25-FixedParams!$C$23)*$Z$12/$B$11+FixedParams!$B$33*(FixedParams!$C$28-FixedParams!$C$26)*M23)/N23</f>
        <v>-3072.7953066795517</v>
      </c>
      <c r="V23" s="14">
        <f t="shared" si="13"/>
        <v>-2.8484382913549271</v>
      </c>
      <c r="W23" s="14">
        <f t="shared" si="14"/>
        <v>7.8897360115464374E-2</v>
      </c>
      <c r="X23" s="73">
        <f t="shared" si="15"/>
        <v>0.98923774337235071</v>
      </c>
      <c r="Y23" s="24">
        <f>EXP(-$D$17)*(($B23*FixedParams!$B$30)^$B$10*(1+FixedParams!$C$24)^(1-$B$10)+(1-$B23)^$B$10*((1+FixedParams!$C$27)/$Z$12)^(1-$B$10))^(1/(1-$B$10))</f>
        <v>5.5981502059519306</v>
      </c>
      <c r="Z23" s="24">
        <f>EXP($D23-$D$17)*(($B23*FixedParams!$C$31)^$B$10*(1+FixedParams!$C$25)^(1-$B$10)+(1-$B23)^$B$10*((1+FixedParams!$C$28)/$Z$12)^(1-$B$10))^(1/(1-$B$10))</f>
        <v>3.9430478582280544</v>
      </c>
      <c r="AA23" s="24">
        <f>EXP($D23-$D$17)*(($B23*FixedParams!$C$30)^$B$10*(1+FixedParams!$C$23)^(1-$B$10)+(1-$B23)^$B$10*((1+FixedParams!$C$26)/$Z$12)^(1-$B$10))^(1/(1-$B$10))</f>
        <v>4.0950605315770421</v>
      </c>
      <c r="AB23">
        <f>IF(FixedParams!$I$6=1,IF(Z23&lt;=MIN(Y23:AA23),1,0),$H23)</f>
        <v>1</v>
      </c>
      <c r="AC23">
        <f>IF(FixedParams!$I$6=1,IF(AA23&lt;=MIN(Y23:AA23),1,0),IF(AA23&lt;=Y23,1,0)*(1-$H23))</f>
        <v>0</v>
      </c>
      <c r="AD23" s="24">
        <f>$Z$13*IF(AB23=1,1,IF(AC23=1,FixedParams!$C$52,FixedParams!$C$53))</f>
        <v>0.43187184563106507</v>
      </c>
      <c r="AE23">
        <f>EXP($C23*FixedParams!$B$47)*EXP(IF(AB23+AC23=1,(1-FixedParams!$B$47)*$D23,0))*($B23^((FixedParams!$B$47-1)*$B$10/($B$10-1)))*((1/$B23-1)^$B$10*(AD23)^($B$10-1)+1)^((FixedParams!$B$47-$B$10)/($B$10-1))/((1+IF(AB23=1,FixedParams!$C$25,IF(AC23=1,FixedParams!$C$23,FixedParams!$C$24)))^FixedParams!$B$47)</f>
        <v>3.4750019436719917E-2</v>
      </c>
      <c r="AF23">
        <f t="shared" si="39"/>
        <v>1.023985114296811</v>
      </c>
      <c r="AG23">
        <f t="shared" si="40"/>
        <v>24.051837878745996</v>
      </c>
      <c r="AH23">
        <f t="shared" si="3"/>
        <v>192.51381695916021</v>
      </c>
      <c r="AI23">
        <f t="shared" si="16"/>
        <v>216.56565483790621</v>
      </c>
      <c r="AJ23" s="24">
        <f t="shared" si="17"/>
        <v>8.0041208463857068</v>
      </c>
      <c r="AK23" s="24">
        <f t="shared" si="18"/>
        <v>1.3169536233856509</v>
      </c>
      <c r="AL23" s="23">
        <f>IF(AB23=1,AG23*(1+FixedParams!$C$25)+AH23*(1+FixedParams!$C$28)/$Z$12,IF(AC23=1,AG23*(1+FixedParams!$C$23)+AH23*(1+FixedParams!$C$26)/$Z$12,AG23*(1+FixedParams!$C$24)+AH23*(1+FixedParams!$C$27)/$Z$12))</f>
        <v>642.90139066164977</v>
      </c>
      <c r="AM23" s="24">
        <f t="shared" si="19"/>
        <v>163.0468139817506</v>
      </c>
      <c r="AN23" s="24">
        <f>AM23^((FixedParams!$B$47-1)/FixedParams!$B$47)*EXP($C23)</f>
        <v>0.92305210773113944</v>
      </c>
      <c r="AO23" s="24">
        <f t="shared" si="20"/>
        <v>-2.5597881028348573E-2</v>
      </c>
      <c r="AP23" s="24">
        <f t="shared" si="21"/>
        <v>-1.0820588611552698E-2</v>
      </c>
      <c r="AQ23" s="14">
        <f t="shared" si="22"/>
        <v>-2.9195829032368117</v>
      </c>
      <c r="AS23" s="24">
        <f>EXP(-$D$17)*(($B23*FixedParams!$B$30)^$B$10*(1+FixedParams!$D$24)^(1-$B$10)+(1-$B23)^$B$10*((1+FixedParams!$D$27)/$AT$12)^(1-$B$10))^(1/(1-$B$10))</f>
        <v>5.3184304277366774</v>
      </c>
      <c r="AT23" s="24">
        <f>EXP($D23-$D$17)*(($B23*FixedParams!$C$31)^$B$10*(1+FixedParams!$D$25)^(1-$B$10)+(1-$B23)^$B$10*((1+FixedParams!$D$28)/$AT$12)^(1-$B$10))^(1/(1-$B$10))</f>
        <v>3.8680891344515747</v>
      </c>
      <c r="AU23" s="24">
        <f>EXP($D23-$D$17)*(($B23*FixedParams!$C$30)^$B$10*(1+FixedParams!$D$23)^(1-$B$10)+(1-$B23)^$B$10*((1+FixedParams!$D$26)/$AT$12)^(1-$B$10))^(1/(1-$B$10))</f>
        <v>3.9725816158825982</v>
      </c>
      <c r="AV23">
        <f>IF(FixedParams!$I$6=1,IF(AT23&lt;=MIN(AS23:AU23),1,0),$H23)</f>
        <v>1</v>
      </c>
      <c r="AW23">
        <f>IF(FixedParams!$I$6=1,IF(AU23&lt;=MIN(AS23:AU23),1,0),IF(AU23&lt;=AS23,1,0)*(1-$H23))</f>
        <v>0</v>
      </c>
      <c r="AX23" s="24">
        <f>$AT$13*IF(AV23=1,1,IF(AW23=1,FixedParams!$D$52,FixedParams!$D$53))</f>
        <v>0.41089128090616783</v>
      </c>
      <c r="AY23">
        <f>EXP($C23*FixedParams!$B$47)*EXP(IF(AV23+AW23=1,(1-FixedParams!$B$47)*$D23,0))*($B23^((FixedParams!$B$47-1)*$B$10/($B$10-1)))*((1/$B23-1)^$B$10*(AX23)^($B$10-1)+1)^((FixedParams!$B$47-$B$10)/($B$10-1))/((1+IF(AV23=1,FixedParams!$D$25,IF(AW23=1,FixedParams!$D$23,FixedParams!$D$24)))^FixedParams!$B$47)</f>
        <v>3.802276052533398E-2</v>
      </c>
      <c r="AZ23">
        <f t="shared" si="4"/>
        <v>1.0238609596659638</v>
      </c>
      <c r="BA23">
        <f t="shared" si="23"/>
        <v>25.760204811081035</v>
      </c>
      <c r="BB23">
        <f t="shared" si="5"/>
        <v>191.3467094338036</v>
      </c>
      <c r="BC23">
        <f t="shared" si="24"/>
        <v>217.10691424488462</v>
      </c>
      <c r="BD23" s="24">
        <f t="shared" si="25"/>
        <v>7.4279964323689578</v>
      </c>
      <c r="BE23" s="24">
        <f t="shared" si="26"/>
        <v>1.3098423528140799</v>
      </c>
      <c r="BF23" s="23">
        <f>IF(AV23=1,BA23*(1+FixedParams!$C$25)+BB23*(1+FixedParams!$C$28)/$AT$12,IF(AW23=1,BA23*(1+FixedParams!$C$23)+BB23*(1+FixedParams!$C$26)/$AT$12,BA23*(1+FixedParams!$C$24)+BB23*(1+FixedParams!$C$27)/$AT$12))</f>
        <v>633.24433807315927</v>
      </c>
      <c r="BG23" s="24">
        <f t="shared" si="27"/>
        <v>163.70986191427099</v>
      </c>
      <c r="BH23" s="24">
        <f>BG23^((FixedParams!$B$47-1)/FixedParams!$B$47)*EXP($C23)</f>
        <v>0.92304835790704276</v>
      </c>
      <c r="BI23" s="7"/>
      <c r="BJ23" s="24">
        <f>EXP(-$D$17)*(($B23*FixedParams!$B$30)^$B$10*(1+FixedParams!$C$24)^(1-$B$10)+(1-$B23)^$B$10*((1+FixedParams!$C$27)/$BK$12)^(1-$B$10))^(1/(1-$B$10))</f>
        <v>5.8724025467997194</v>
      </c>
      <c r="BK23" s="24">
        <f>EXP($D23-$D$17)*(($B23*FixedParams!$C$31)^$B$10*(1+FixedParams!$C$25)^(1-$B$10)+(1-$B23)^$B$10*((1+FixedParams!$C$28)/$BK$12)^(1-$B$10))^(1/(1-$B$10))</f>
        <v>4.1357047439718464</v>
      </c>
      <c r="BL23" s="24">
        <f>EXP($D23-$D$17)*(($B23*FixedParams!$C$30)^$B$10*(1+FixedParams!$C$23)^(1-$B$10)+(1-$B23)^$B$10*((1+FixedParams!$C$26)/$BK$12)^(1-$B$10))^(1/(1-$B$10))</f>
        <v>4.2939265099990429</v>
      </c>
      <c r="BM23">
        <f>IF(FixedParams!$I$6=1,IF(BK23&lt;=MIN(BJ23:BL23),1,0),$H23)</f>
        <v>1</v>
      </c>
      <c r="BN23">
        <f>IF(FixedParams!$I$6=1,IF(BL23&lt;=MIN(BJ23:BL23),1,0),IF(BL23&lt;=BJ23,1,0)*(1-$H23))</f>
        <v>0</v>
      </c>
      <c r="BO23" s="24">
        <f>$BK$13*IF(BM23=1,1,IF(BN23=1,FixedParams!$C$52,FixedParams!$C$53))</f>
        <v>0.41068174962109105</v>
      </c>
      <c r="BP23">
        <f>EXP($C23*FixedParams!$B$47)*EXP(IF(BM23+BN23=1,(1-FixedParams!$B$47)*$D23,0))*($B23^((FixedParams!$B$47-1)*$B$10/($B$10-1)))*((1/$B23-1)^$B$10*(BO23)^($B$10-1)+1)^((FixedParams!$B$47-$B$10)/($B$10-1))/((1+IF(BM23=1,FixedParams!$C$25,IF(BN23=1,FixedParams!$C$23,FixedParams!$C$24)))^FixedParams!$B$47)</f>
        <v>3.5590534327601148E-2</v>
      </c>
      <c r="BQ23">
        <f t="shared" si="28"/>
        <v>1.02385967364118</v>
      </c>
      <c r="BR23">
        <f t="shared" si="29"/>
        <v>26.112679757183372</v>
      </c>
      <c r="BS23">
        <f t="shared" si="6"/>
        <v>193.8165443257019</v>
      </c>
      <c r="BT23">
        <f t="shared" si="30"/>
        <v>219.92922408288527</v>
      </c>
      <c r="BU23" s="24">
        <f t="shared" si="31"/>
        <v>7.4223153704623002</v>
      </c>
      <c r="BV23" s="24">
        <f t="shared" si="32"/>
        <v>1.3135253846250083</v>
      </c>
      <c r="BW23" s="23">
        <f>IF(BM23=1,BR23*(1+FixedParams!$C$25)+BS23*(1+FixedParams!$C$28)/$BK$12,IF(BN23=1,BR23*(1+FixedParams!$C$23)+BS23*(1+FixedParams!$C$26)/$BK$12,BR23*(1+FixedParams!$C$24)+BS23*(1+FixedParams!$C$27)/$BK$12))</f>
        <v>681.53600015723157</v>
      </c>
      <c r="BX23" s="24">
        <f t="shared" si="33"/>
        <v>164.79319544042167</v>
      </c>
      <c r="BY23" s="24">
        <f>BX23^((FixedParams!$B$47-1)/FixedParams!$B$47)*EXP($C23)</f>
        <v>0.92304226377486009</v>
      </c>
      <c r="BZ23" s="24">
        <f t="shared" si="34"/>
        <v>-1.0185852221691138E-2</v>
      </c>
      <c r="CA23" s="24">
        <f t="shared" si="35"/>
        <v>-1.6662370598830676E-4</v>
      </c>
      <c r="CB23" s="24">
        <f t="shared" si="36"/>
        <v>1.7161832213418944E-2</v>
      </c>
      <c r="CC23" s="24"/>
      <c r="CD23" s="24">
        <f>EXP(-$D$17)*(($B23*FixedParams!$B$30)^$B$10*(1+FixedParams!$D$24)^(1-$B$10)+(1-$B23)^$B$10*((1+FixedParams!$D$27)/$CE$12)^(1-$B$10))^(1/(1-$B$10))</f>
        <v>5.5610799684787073</v>
      </c>
      <c r="CE23" s="24">
        <f>EXP($D23-$D$17)*(($B23*FixedParams!$D$31)^$B$10*(1+FixedParams!$D$25)^(1-$B$10)+(1-$B23)^$B$10*((1+FixedParams!$D$28)/$CE$12)^(1-$B$10))^(1/(1-$B$10))</f>
        <v>4.0442428439418894</v>
      </c>
      <c r="CF23" s="24">
        <f>EXP($D23-$D$17)*(($B23*FixedParams!$D$30)^$B$10*(1+FixedParams!$D$23)^(1-$B$10)+(1-$B23)^$B$10*((1+FixedParams!$D$26)/$CE$12)^(1-$B$10))^(1/(1-$B$10))</f>
        <v>4.1526058836939042</v>
      </c>
      <c r="CG23">
        <f>IF(FixedParams!$I$6=1,IF(CE23&lt;=MIN(CD23:CF23),1,0),$H23)</f>
        <v>1</v>
      </c>
      <c r="CH23">
        <f>IF(FixedParams!$I$6=1,IF(CF23&lt;=MIN(CD23:CF23),1,0),IF(CF23&lt;=CD23,1,0)*(1-$H23))</f>
        <v>0</v>
      </c>
      <c r="CI23" s="24">
        <f>$CE$13*IF(CG23=1,1,IF(CH23=1,FixedParams!$D$52,FixedParams!$D$53))</f>
        <v>0.39201585704839609</v>
      </c>
      <c r="CJ23">
        <f>EXP($C23*FixedParams!$B$47)*EXP(IF(CG23+CH23=1,(1-FixedParams!$B$47)*$D23,0))*($B23^((FixedParams!$B$47-1)*$B$10/($B$10-1)))*((1/$B23-1)^$B$10*(CI23)^($B$10-1)+1)^((FixedParams!$B$47-$B$10)/($B$10-1))/((1+IF(CG23=1,FixedParams!$D$25,IF(CH23=1,FixedParams!$D$23,FixedParams!$D$24)))^FixedParams!$B$47)</f>
        <v>3.8880636079925306E-2</v>
      </c>
      <c r="CK23">
        <f t="shared" si="37"/>
        <v>1.0237411524493343</v>
      </c>
      <c r="CL23">
        <f t="shared" si="41"/>
        <v>27.968896753325456</v>
      </c>
      <c r="CM23">
        <f t="shared" si="7"/>
        <v>193.60300131858091</v>
      </c>
      <c r="CN23">
        <f t="shared" si="42"/>
        <v>221.57189807190636</v>
      </c>
      <c r="CO23" s="24">
        <f t="shared" si="43"/>
        <v>6.9220821624135684</v>
      </c>
      <c r="CP23" s="24">
        <f t="shared" si="44"/>
        <v>1.3065814569196332</v>
      </c>
      <c r="CQ23" s="23">
        <f>IF(CG23=1,CL23*(1+FixedParams!$D$25)+CM23*(1+FixedParams!$D$28)/$CE$12,IF(CH23=1,CL23*(1+FixedParams!$D$23)+CM23*(1+FixedParams!$D$26)/$CE$12,CL23*(1+FixedParams!$D$24)+CM23*(1+FixedParams!$D$27)/$CE$12))</f>
        <v>668.19639593285535</v>
      </c>
      <c r="CR23" s="24">
        <f t="shared" si="45"/>
        <v>165.2216302821148</v>
      </c>
      <c r="CS23" s="24">
        <f>CR23^((FixedParams!$B$47-1)/FixedParams!$B$47)*EXP($C23)</f>
        <v>0.92303986473698296</v>
      </c>
      <c r="CT23" s="24"/>
    </row>
    <row r="24" spans="1:104" x14ac:dyDescent="0.15">
      <c r="A24">
        <v>3.5000000000000003E-2</v>
      </c>
      <c r="B24">
        <f t="shared" si="8"/>
        <v>9.8433703920572532E-2</v>
      </c>
      <c r="C24">
        <f>(D24-$D$17)*FixedParams!$B$47+$A24*$B$9</f>
        <v>-8.7465530632376914E-2</v>
      </c>
      <c r="D24">
        <f>(A24-$B$6)*FixedParams!$B$46/(FixedParams!$B$45*Sectors!$B$6)</f>
        <v>-0.25265841490015578</v>
      </c>
      <c r="E24">
        <f t="shared" si="9"/>
        <v>0.9162504536802909</v>
      </c>
      <c r="F24" s="24">
        <f>EXP(-$D$17)*(($B24*FixedParams!$B$30)^$B$10*(1+FixedParams!$B$23)^(1-$B$10)+(1-$B24)^$B$10*((1+FixedParams!$B$26)/$B$11)^(1-$B$10))^(1/(1-$B$10))</f>
        <v>4.4065187180779608</v>
      </c>
      <c r="G24" s="24">
        <f>EXP($D24-$D$17)*(($B24*FixedParams!$B$31)^$B$10*(1+FixedParams!$B$25)^(1-$B$10)+(1-$B24)^$B$10*((1+FixedParams!$B$28)/$B$11)^(1-$B$10))^(1/(1-$B$10))</f>
        <v>3.3168140874359877</v>
      </c>
      <c r="H24">
        <f t="shared" si="10"/>
        <v>1</v>
      </c>
      <c r="I24" s="24">
        <f>$B$12*IF(H24=1,1,FixedParams!$B$52)</f>
        <v>0.3745928365283252</v>
      </c>
      <c r="J24">
        <f>EXP($C24*FixedParams!$B$47)*EXP(IF(H24=1,(1-FixedParams!$B$47)*$D24,0))*($B24^((FixedParams!$B$47-1)*$B$10/($B$10-1)))*((1/$B24-1)^$B$10*(I24)^($B$10-1)+1)^((FixedParams!$B$47-$B$10)/($B$10-1))/((1+IF(H24=1,FixedParams!$B$25,FixedParams!$B$24))^FixedParams!$B$47)</f>
        <v>5.0963702288735521E-2</v>
      </c>
      <c r="K24">
        <f t="shared" si="38"/>
        <v>1.0275598476446057</v>
      </c>
      <c r="L24">
        <f>K24*FixedParams!$B$8/K$15</f>
        <v>29.874380425521029</v>
      </c>
      <c r="M24">
        <f t="shared" si="0"/>
        <v>189.85361447065517</v>
      </c>
      <c r="N24">
        <f t="shared" si="11"/>
        <v>219.7279948961762</v>
      </c>
      <c r="O24" s="24">
        <f t="shared" si="12"/>
        <v>6.355064498960032</v>
      </c>
      <c r="P24" s="24">
        <f t="shared" si="1"/>
        <v>1.2969242555128444</v>
      </c>
      <c r="Q24" s="23">
        <f>IF(H24=1,L24*(1+FixedParams!$B$25)+M24*FixedParams!$B$33*(1+FixedParams!$B$28)/FixedParams!$B$32,L24*(1+FixedParams!$B$23)+M24*FixedParams!$B$33*(1+FixedParams!$B$26)/FixedParams!$B$32)</f>
        <v>537.64159319720784</v>
      </c>
      <c r="R24" s="24">
        <f t="shared" si="2"/>
        <v>162.09578801349807</v>
      </c>
      <c r="S24" s="24">
        <f>R24^((FixedParams!$B$47-1)/FixedParams!$B$47)*EXP($C24)</f>
        <v>0.91159559721324768</v>
      </c>
      <c r="T24" s="7">
        <f>(L24*FixedParams!$B$32*(FixedParams!$C$25-FixedParams!$C$23)+FixedParams!$B$33*(FixedParams!$C$28-FixedParams!$C$26)*M24)/N24</f>
        <v>-2915.397196628438</v>
      </c>
      <c r="U24" s="7">
        <f>(L24*FixedParams!$B$32*(FixedParams!$C$25-FixedParams!$C$23)*$Z$12/$B$11+FixedParams!$B$33*(FixedParams!$C$28-FixedParams!$C$26)*M24)/N24</f>
        <v>-3051.9471188046814</v>
      </c>
      <c r="V24" s="14">
        <f t="shared" si="13"/>
        <v>-2.8311676660588425</v>
      </c>
      <c r="W24" s="14">
        <f t="shared" si="14"/>
        <v>8.967455064967729E-2</v>
      </c>
      <c r="X24" s="73">
        <f t="shared" si="15"/>
        <v>0.98911500662783436</v>
      </c>
      <c r="Y24" s="24">
        <f>EXP(-$D$17)*(($B24*FixedParams!$B$30)^$B$10*(1+FixedParams!$C$24)^(1-$B$10)+(1-$B24)^$B$10*((1+FixedParams!$C$27)/$Z$12)^(1-$B$10))^(1/(1-$B$10))</f>
        <v>5.6075871336228866</v>
      </c>
      <c r="Z24" s="24">
        <f>EXP($D24-$D$17)*(($B24*FixedParams!$C$31)^$B$10*(1+FixedParams!$C$25)^(1-$B$10)+(1-$B24)^$B$10*((1+FixedParams!$C$28)/$Z$12)^(1-$B$10))^(1/(1-$B$10))</f>
        <v>3.9601041034349063</v>
      </c>
      <c r="AA24" s="24">
        <f>EXP($D24-$D$17)*(($B24*FixedParams!$C$30)^$B$10*(1+FixedParams!$C$23)^(1-$B$10)+(1-$B24)^$B$10*((1+FixedParams!$C$26)/$Z$12)^(1-$B$10))^(1/(1-$B$10))</f>
        <v>4.1119762304550598</v>
      </c>
      <c r="AB24">
        <f>IF(FixedParams!$I$6=1,IF(Z24&lt;=MIN(Y24:AA24),1,0),$H24)</f>
        <v>1</v>
      </c>
      <c r="AC24">
        <f>IF(FixedParams!$I$6=1,IF(AA24&lt;=MIN(Y24:AA24),1,0),IF(AA24&lt;=Y24,1,0)*(1-$H24))</f>
        <v>0</v>
      </c>
      <c r="AD24" s="24">
        <f>$Z$13*IF(AB24=1,1,IF(AC24=1,FixedParams!$C$52,FixedParams!$C$53))</f>
        <v>0.43187184563106507</v>
      </c>
      <c r="AE24">
        <f>EXP($C24*FixedParams!$B$47)*EXP(IF(AB24+AC24=1,(1-FixedParams!$B$47)*$D24,0))*($B24^((FixedParams!$B$47-1)*$B$10/($B$10-1)))*((1/$B24-1)^$B$10*(AD24)^($B$10-1)+1)^((FixedParams!$B$47-$B$10)/($B$10-1))/((1+IF(AB24=1,FixedParams!$C$25,IF(AC24=1,FixedParams!$C$23,FixedParams!$C$24)))^FixedParams!$B$47)</f>
        <v>3.4885841491030904E-2</v>
      </c>
      <c r="AF24">
        <f t="shared" si="39"/>
        <v>1.0279874073620259</v>
      </c>
      <c r="AG24">
        <f t="shared" si="40"/>
        <v>24.145845596830728</v>
      </c>
      <c r="AH24">
        <f t="shared" si="3"/>
        <v>189.95709481277095</v>
      </c>
      <c r="AI24">
        <f t="shared" si="16"/>
        <v>214.10294040960167</v>
      </c>
      <c r="AJ24" s="24">
        <f t="shared" si="17"/>
        <v>7.8670715445022079</v>
      </c>
      <c r="AK24" s="24">
        <f t="shared" si="18"/>
        <v>1.3226503039064428</v>
      </c>
      <c r="AL24" s="23">
        <f>IF(AB24=1,AG24*(1+FixedParams!$C$25)+AH24*(1+FixedParams!$C$28)/$Z$12,IF(AC24=1,AG24*(1+FixedParams!$C$23)+AH24*(1+FixedParams!$C$26)/$Z$12,AG24*(1+FixedParams!$C$24)+AH24*(1+FixedParams!$C$27)/$Z$12))</f>
        <v>634.92894173085824</v>
      </c>
      <c r="AM24" s="24">
        <f t="shared" si="19"/>
        <v>160.33137643531518</v>
      </c>
      <c r="AN24" s="24">
        <f>AM24^((FixedParams!$B$47-1)/FixedParams!$B$47)*EXP($C24)</f>
        <v>0.91160558436653361</v>
      </c>
      <c r="AO24" s="24">
        <f t="shared" si="20"/>
        <v>-2.5933465244566089E-2</v>
      </c>
      <c r="AP24" s="24">
        <f t="shared" si="21"/>
        <v>-1.0944668348772269E-2</v>
      </c>
      <c r="AQ24" s="14">
        <f t="shared" si="22"/>
        <v>-2.9023122779407275</v>
      </c>
      <c r="AS24" s="24">
        <f>EXP(-$D$17)*(($B24*FixedParams!$B$30)^$B$10*(1+FixedParams!$D$24)^(1-$B$10)+(1-$B24)^$B$10*((1+FixedParams!$D$27)/$AT$12)^(1-$B$10))^(1/(1-$B$10))</f>
        <v>5.3270312023907218</v>
      </c>
      <c r="AT24" s="24">
        <f>EXP($D24-$D$17)*(($B24*FixedParams!$C$31)^$B$10*(1+FixedParams!$D$25)^(1-$B$10)+(1-$B24)^$B$10*((1+FixedParams!$D$28)/$AT$12)^(1-$B$10))^(1/(1-$B$10))</f>
        <v>3.8846557406285562</v>
      </c>
      <c r="AU24" s="24">
        <f>EXP($D24-$D$17)*(($B24*FixedParams!$C$30)^$B$10*(1+FixedParams!$D$23)^(1-$B$10)+(1-$B24)^$B$10*((1+FixedParams!$D$26)/$AT$12)^(1-$B$10))^(1/(1-$B$10))</f>
        <v>3.9889709320791966</v>
      </c>
      <c r="AV24">
        <f>IF(FixedParams!$I$6=1,IF(AT24&lt;=MIN(AS24:AU24),1,0),$H24)</f>
        <v>1</v>
      </c>
      <c r="AW24">
        <f>IF(FixedParams!$I$6=1,IF(AU24&lt;=MIN(AS24:AU24),1,0),IF(AU24&lt;=AS24,1,0)*(1-$H24))</f>
        <v>0</v>
      </c>
      <c r="AX24" s="24">
        <f>$AT$13*IF(AV24=1,1,IF(AW24=1,FixedParams!$D$52,FixedParams!$D$53))</f>
        <v>0.41089128090616783</v>
      </c>
      <c r="AY24">
        <f>EXP($C24*FixedParams!$B$47)*EXP(IF(AV24+AW24=1,(1-FixedParams!$B$47)*$D24,0))*($B24^((FixedParams!$B$47-1)*$B$10/($B$10-1)))*((1/$B24-1)^$B$10*(AX24)^($B$10-1)+1)^((FixedParams!$B$47-$B$10)/($B$10-1))/((1+IF(AV24=1,FixedParams!$D$25,IF(AW24=1,FixedParams!$D$23,FixedParams!$D$24)))^FixedParams!$B$47)</f>
        <v>3.8170560044269226E-2</v>
      </c>
      <c r="AZ24">
        <f t="shared" si="4"/>
        <v>1.027840843167436</v>
      </c>
      <c r="BA24">
        <f t="shared" si="23"/>
        <v>25.860338147696989</v>
      </c>
      <c r="BB24">
        <f t="shared" si="5"/>
        <v>188.80146009733323</v>
      </c>
      <c r="BC24">
        <f t="shared" si="24"/>
        <v>214.66179824503021</v>
      </c>
      <c r="BD24" s="24">
        <f t="shared" si="25"/>
        <v>7.300811730265294</v>
      </c>
      <c r="BE24" s="24">
        <f t="shared" si="26"/>
        <v>1.3154522655277585</v>
      </c>
      <c r="BF24" s="23">
        <f>IF(AV24=1,BA24*(1+FixedParams!$C$25)+BB24*(1+FixedParams!$C$28)/$AT$12,IF(AW24=1,BA24*(1+FixedParams!$C$23)+BB24*(1+FixedParams!$C$26)/$AT$12,BA24*(1+FixedParams!$C$24)+BB24*(1+FixedParams!$C$27)/$AT$12))</f>
        <v>625.42698513395646</v>
      </c>
      <c r="BG24" s="24">
        <f t="shared" si="27"/>
        <v>160.99933350406985</v>
      </c>
      <c r="BH24" s="24">
        <f>BG24^((FixedParams!$B$47-1)/FixedParams!$B$47)*EXP($C24)</f>
        <v>0.91160179062688973</v>
      </c>
      <c r="BI24" s="7"/>
      <c r="BJ24" s="24">
        <f>EXP(-$D$17)*(($B24*FixedParams!$B$30)^$B$10*(1+FixedParams!$C$24)^(1-$B$10)+(1-$B24)^$B$10*((1+FixedParams!$C$27)/$BK$12)^(1-$B$10))^(1/(1-$B$10))</f>
        <v>5.8820601461600548</v>
      </c>
      <c r="BK24" s="24">
        <f>EXP($D24-$D$17)*(($B24*FixedParams!$C$31)^$B$10*(1+FixedParams!$C$25)^(1-$B$10)+(1-$B24)^$B$10*((1+FixedParams!$C$28)/$BK$12)^(1-$B$10))^(1/(1-$B$10))</f>
        <v>4.1534156871154408</v>
      </c>
      <c r="BL24" s="24">
        <f>EXP($D24-$D$17)*(($B24*FixedParams!$C$30)^$B$10*(1+FixedParams!$C$23)^(1-$B$10)+(1-$B24)^$B$10*((1+FixedParams!$C$26)/$BK$12)^(1-$B$10))^(1/(1-$B$10))</f>
        <v>4.3114592672291767</v>
      </c>
      <c r="BM24">
        <f>IF(FixedParams!$I$6=1,IF(BK24&lt;=MIN(BJ24:BL24),1,0),$H24)</f>
        <v>1</v>
      </c>
      <c r="BN24">
        <f>IF(FixedParams!$I$6=1,IF(BL24&lt;=MIN(BJ24:BL24),1,0),IF(BL24&lt;=BJ24,1,0)*(1-$H24))</f>
        <v>0</v>
      </c>
      <c r="BO24" s="24">
        <f>$BK$13*IF(BM24=1,1,IF(BN24=1,FixedParams!$C$52,FixedParams!$C$53))</f>
        <v>0.41068174962109105</v>
      </c>
      <c r="BP24">
        <f>EXP($C24*FixedParams!$B$47)*EXP(IF(BM24+BN24=1,(1-FixedParams!$B$47)*$D24,0))*($B24^((FixedParams!$B$47-1)*$B$10/($B$10-1)))*((1/$B24-1)^$B$10*(BO24)^($B$10-1)+1)^((FixedParams!$B$47-$B$10)/($B$10-1))/((1+IF(BM24=1,FixedParams!$C$25,IF(BN24=1,FixedParams!$C$23,FixedParams!$C$24)))^FixedParams!$B$47)</f>
        <v>3.5728871566361356E-2</v>
      </c>
      <c r="BQ24">
        <f t="shared" si="28"/>
        <v>1.0278393250514597</v>
      </c>
      <c r="BR24">
        <f t="shared" si="29"/>
        <v>26.21417741892083</v>
      </c>
      <c r="BS24">
        <f t="shared" si="6"/>
        <v>191.23839956860579</v>
      </c>
      <c r="BT24">
        <f t="shared" si="30"/>
        <v>217.45257698752661</v>
      </c>
      <c r="BU24" s="24">
        <f t="shared" si="31"/>
        <v>7.2952279414487373</v>
      </c>
      <c r="BV24" s="24">
        <f t="shared" si="32"/>
        <v>1.3191504896179773</v>
      </c>
      <c r="BW24" s="23">
        <f>IF(BM24=1,BR24*(1+FixedParams!$C$25)+BS24*(1+FixedParams!$C$28)/$BK$12,IF(BN24=1,BR24*(1+FixedParams!$C$23)+BS24*(1+FixedParams!$C$26)/$BK$12,BR24*(1+FixedParams!$C$24)+BS24*(1+FixedParams!$C$27)/$BK$12))</f>
        <v>673.08442476950438</v>
      </c>
      <c r="BX24" s="24">
        <f t="shared" si="33"/>
        <v>162.05563696827164</v>
      </c>
      <c r="BY24" s="24">
        <f>BX24^((FixedParams!$B$47-1)/FixedParams!$B$47)*EXP($C24)</f>
        <v>0.91159582326907296</v>
      </c>
      <c r="BZ24" s="24">
        <f t="shared" si="34"/>
        <v>-1.0409604643715167E-2</v>
      </c>
      <c r="CA24" s="24">
        <f t="shared" si="35"/>
        <v>-2.477301800170799E-4</v>
      </c>
      <c r="CB24" s="24">
        <f t="shared" si="36"/>
        <v>1.7080725739390172E-2</v>
      </c>
      <c r="CC24" s="24"/>
      <c r="CD24" s="24">
        <f>EXP(-$D$17)*(($B24*FixedParams!$B$30)^$B$10*(1+FixedParams!$D$24)^(1-$B$10)+(1-$B24)^$B$10*((1+FixedParams!$D$27)/$CE$12)^(1-$B$10))^(1/(1-$B$10))</f>
        <v>5.5698512853414197</v>
      </c>
      <c r="CE24" s="24">
        <f>EXP($D24-$D$17)*(($B24*FixedParams!$D$31)^$B$10*(1+FixedParams!$D$25)^(1-$B$10)+(1-$B24)^$B$10*((1+FixedParams!$D$28)/$CE$12)^(1-$B$10))^(1/(1-$B$10))</f>
        <v>4.061397037077481</v>
      </c>
      <c r="CF24" s="24">
        <f>EXP($D24-$D$17)*(($B24*FixedParams!$D$30)^$B$10*(1+FixedParams!$D$23)^(1-$B$10)+(1-$B24)^$B$10*((1+FixedParams!$D$26)/$CE$12)^(1-$B$10))^(1/(1-$B$10))</f>
        <v>4.1695528178363439</v>
      </c>
      <c r="CG24">
        <f>IF(FixedParams!$I$6=1,IF(CE24&lt;=MIN(CD24:CF24),1,0),$H24)</f>
        <v>1</v>
      </c>
      <c r="CH24">
        <f>IF(FixedParams!$I$6=1,IF(CF24&lt;=MIN(CD24:CF24),1,0),IF(CF24&lt;=CD24,1,0)*(1-$H24))</f>
        <v>0</v>
      </c>
      <c r="CI24" s="24">
        <f>$CE$13*IF(CG24=1,1,IF(CH24=1,FixedParams!$D$52,FixedParams!$D$53))</f>
        <v>0.39201585704839609</v>
      </c>
      <c r="CJ24">
        <f>EXP($C24*FixedParams!$B$47)*EXP(IF(CG24+CH24=1,(1-FixedParams!$B$47)*$D24,0))*($B24^((FixedParams!$B$47-1)*$B$10/($B$10-1)))*((1/$B24-1)^$B$10*(CI24)^($B$10-1)+1)^((FixedParams!$B$47-$B$10)/($B$10-1))/((1+IF(CG24=1,FixedParams!$D$25,IF(CH24=1,FixedParams!$D$23,FixedParams!$D$24)))^FixedParams!$B$47)</f>
        <v>3.903096689678115E-2</v>
      </c>
      <c r="CK24">
        <f t="shared" si="37"/>
        <v>1.0276994170049933</v>
      </c>
      <c r="CL24">
        <f t="shared" si="41"/>
        <v>28.077037656340543</v>
      </c>
      <c r="CM24">
        <f t="shared" si="7"/>
        <v>191.02380745126041</v>
      </c>
      <c r="CN24">
        <f t="shared" si="42"/>
        <v>219.10084510760095</v>
      </c>
      <c r="CO24" s="24">
        <f t="shared" si="43"/>
        <v>6.8035598979268439</v>
      </c>
      <c r="CP24" s="24">
        <f t="shared" si="44"/>
        <v>1.3121234956953107</v>
      </c>
      <c r="CQ24" s="23">
        <f>IF(CG24=1,CL24*(1+FixedParams!$D$25)+CM24*(1+FixedParams!$D$28)/$CE$12,IF(CH24=1,CL24*(1+FixedParams!$D$23)+CM24*(1+FixedParams!$D$26)/$CE$12,CL24*(1+FixedParams!$D$24)+CM24*(1+FixedParams!$D$27)/$CE$12))</f>
        <v>659.91021517079878</v>
      </c>
      <c r="CR24" s="24">
        <f t="shared" si="45"/>
        <v>162.48355163169666</v>
      </c>
      <c r="CS24" s="24">
        <f>CR24^((FixedParams!$B$47-1)/FixedParams!$B$47)*EXP($C24)</f>
        <v>0.91159341693159379</v>
      </c>
      <c r="CT24" s="24"/>
    </row>
    <row r="25" spans="1:104" x14ac:dyDescent="0.15">
      <c r="A25">
        <v>0.04</v>
      </c>
      <c r="B25">
        <f t="shared" si="8"/>
        <v>9.9460220834166821E-2</v>
      </c>
      <c r="C25">
        <f>(D25-$D$17)*FixedParams!$B$47+$A25*$B$9</f>
        <v>-9.9960606437002164E-2</v>
      </c>
      <c r="D25">
        <f>(A25-$B$6)*FixedParams!$B$46/(FixedParams!$B$45*Sectors!$B$6)</f>
        <v>-0.24994165775069171</v>
      </c>
      <c r="E25">
        <f t="shared" si="9"/>
        <v>0.90487306350788621</v>
      </c>
      <c r="F25" s="24">
        <f>EXP(-$D$17)*(($B25*FixedParams!$B$30)^$B$10*(1+FixedParams!$B$23)^(1-$B$10)+(1-$B25)^$B$10*((1+FixedParams!$B$26)/$B$11)^(1-$B$10))^(1/(1-$B$10))</f>
        <v>4.4132136703247378</v>
      </c>
      <c r="G25" s="24">
        <f>EXP($D25-$D$17)*(($B25*FixedParams!$B$31)^$B$10*(1+FixedParams!$B$25)^(1-$B$10)+(1-$B25)^$B$10*((1+FixedParams!$B$28)/$B$11)^(1-$B$10))^(1/(1-$B$10))</f>
        <v>3.330760856352879</v>
      </c>
      <c r="H25">
        <f t="shared" si="10"/>
        <v>1</v>
      </c>
      <c r="I25" s="24">
        <f>$B$12*IF(H25=1,1,FixedParams!$B$52)</f>
        <v>0.3745928365283252</v>
      </c>
      <c r="J25">
        <f>EXP($C25*FixedParams!$B$47)*EXP(IF(H25=1,(1-FixedParams!$B$47)*$D25,0))*($B25^((FixedParams!$B$47-1)*$B$10/($B$10-1)))*((1/$B25-1)^$B$10*(I25)^($B$10-1)+1)^((FixedParams!$B$47-$B$10)/($B$10-1))/((1+IF(H25=1,FixedParams!$B$25,FixedParams!$B$24))^FixedParams!$B$47)</f>
        <v>5.1158910775245259E-2</v>
      </c>
      <c r="K25">
        <f t="shared" si="38"/>
        <v>1.031495754842251</v>
      </c>
      <c r="L25">
        <f>K25*FixedParams!$B$8/K$15</f>
        <v>29.988809564817906</v>
      </c>
      <c r="M25">
        <f t="shared" si="0"/>
        <v>187.31762889452696</v>
      </c>
      <c r="N25">
        <f t="shared" si="11"/>
        <v>217.30643845934486</v>
      </c>
      <c r="O25" s="24">
        <f t="shared" si="12"/>
        <v>6.2462509053471447</v>
      </c>
      <c r="P25" s="24">
        <f t="shared" si="1"/>
        <v>1.3023776521813117</v>
      </c>
      <c r="Q25" s="23">
        <f>IF(H25=1,L25*(1+FixedParams!$B$25)+M25*FixedParams!$B$33*(1+FixedParams!$B$28)/FixedParams!$B$32,L25*(1+FixedParams!$B$23)+M25*FixedParams!$B$33*(1+FixedParams!$B$26)/FixedParams!$B$32)</f>
        <v>530.97437912317753</v>
      </c>
      <c r="R25" s="24">
        <f t="shared" si="2"/>
        <v>159.415341425798</v>
      </c>
      <c r="S25" s="24">
        <f>R25^((FixedParams!$B$47-1)/FixedParams!$B$47)*EXP($C25)</f>
        <v>0.90029103470828742</v>
      </c>
      <c r="T25" s="7">
        <f>(L25*FixedParams!$B$32*(FixedParams!$C$25-FixedParams!$C$23)+FixedParams!$B$33*(FixedParams!$C$28-FixedParams!$C$26)*M25)/N25</f>
        <v>-2892.2346969281025</v>
      </c>
      <c r="U25" s="7">
        <f>(L25*FixedParams!$B$32*(FixedParams!$C$25-FixedParams!$C$23)*$Z$12/$B$11+FixedParams!$B$33*(FixedParams!$C$28-FixedParams!$C$26)*M25)/N25</f>
        <v>-3030.8351260400909</v>
      </c>
      <c r="V25" s="14">
        <f t="shared" si="13"/>
        <v>-2.8138970407627593</v>
      </c>
      <c r="W25" s="14">
        <f t="shared" si="14"/>
        <v>0.10033296899411343</v>
      </c>
      <c r="X25" s="73">
        <f t="shared" si="15"/>
        <v>0.98899037938932777</v>
      </c>
      <c r="Y25" s="24">
        <f>EXP(-$D$17)*(($B25*FixedParams!$B$30)^$B$10*(1+FixedParams!$C$24)^(1-$B$10)+(1-$B25)^$B$10*((1+FixedParams!$C$27)/$Z$12)^(1-$B$10))^(1/(1-$B$10))</f>
        <v>5.6170803549662462</v>
      </c>
      <c r="Z25" s="24">
        <f>EXP($D25-$D$17)*(($B25*FixedParams!$C$31)^$B$10*(1+FixedParams!$C$25)^(1-$B$10)+(1-$B25)^$B$10*((1+FixedParams!$C$28)/$Z$12)^(1-$B$10))^(1/(1-$B$10))</f>
        <v>3.977257453636267</v>
      </c>
      <c r="AA25" s="24">
        <f>EXP($D25-$D$17)*(($B25*FixedParams!$C$30)^$B$10*(1+FixedParams!$C$23)^(1-$B$10)+(1-$B25)^$B$10*((1+FixedParams!$C$26)/$Z$12)^(1-$B$10))^(1/(1-$B$10))</f>
        <v>4.1289736037267861</v>
      </c>
      <c r="AB25">
        <f>IF(FixedParams!$I$6=1,IF(Z25&lt;=MIN(Y25:AA25),1,0),$H25)</f>
        <v>1</v>
      </c>
      <c r="AC25">
        <f>IF(FixedParams!$I$6=1,IF(AA25&lt;=MIN(Y25:AA25),1,0),IF(AA25&lt;=Y25,1,0)*(1-$H25))</f>
        <v>0</v>
      </c>
      <c r="AD25" s="24">
        <f>$Z$13*IF(AB25=1,1,IF(AC25=1,FixedParams!$C$52,FixedParams!$C$53))</f>
        <v>0.43187184563106507</v>
      </c>
      <c r="AE25">
        <f>EXP($C25*FixedParams!$B$47)*EXP(IF(AB25+AC25=1,(1-FixedParams!$B$47)*$D25,0))*($B25^((FixedParams!$B$47-1)*$B$10/($B$10-1)))*((1/$B25-1)^$B$10*(AD25)^($B$10-1)+1)^((FixedParams!$B$47-$B$10)/($B$10-1))/((1+IF(AB25=1,FixedParams!$C$25,IF(AC25=1,FixedParams!$C$23,FixedParams!$C$24)))^FixedParams!$B$47)</f>
        <v>3.5021679286499394E-2</v>
      </c>
      <c r="AF25">
        <f t="shared" si="39"/>
        <v>1.0319901642747789</v>
      </c>
      <c r="AG25">
        <f t="shared" si="40"/>
        <v>24.239864209981839</v>
      </c>
      <c r="AH25">
        <f t="shared" si="3"/>
        <v>187.43157089124807</v>
      </c>
      <c r="AI25">
        <f t="shared" si="16"/>
        <v>211.67143510122992</v>
      </c>
      <c r="AJ25" s="24">
        <f t="shared" si="17"/>
        <v>7.7323688477621424</v>
      </c>
      <c r="AK25" s="24">
        <f t="shared" si="18"/>
        <v>1.3283794168954586</v>
      </c>
      <c r="AL25" s="23">
        <f>IF(AB25=1,AG25*(1+FixedParams!$C$25)+AH25*(1+FixedParams!$C$28)/$Z$12,IF(AC25=1,AG25*(1+FixedParams!$C$23)+AH25*(1+FixedParams!$C$26)/$Z$12,AG25*(1+FixedParams!$C$24)+AH25*(1+FixedParams!$C$27)/$Z$12))</f>
        <v>627.05536069360619</v>
      </c>
      <c r="AM25" s="24">
        <f t="shared" si="19"/>
        <v>157.66023899717919</v>
      </c>
      <c r="AN25" s="24">
        <f>AM25^((FixedParams!$B$47-1)/FixedParams!$B$47)*EXP($C25)</f>
        <v>0.90030101156984377</v>
      </c>
      <c r="AO25" s="24">
        <f t="shared" si="20"/>
        <v>-2.6273278172623406E-2</v>
      </c>
      <c r="AP25" s="24">
        <f t="shared" si="21"/>
        <v>-1.1070675021169459E-2</v>
      </c>
      <c r="AQ25" s="14">
        <f t="shared" si="22"/>
        <v>-2.8850416526446443</v>
      </c>
      <c r="AS25" s="24">
        <f>EXP(-$D$17)*(($B25*FixedParams!$B$30)^$B$10*(1+FixedParams!$D$24)^(1-$B$10)+(1-$B25)^$B$10*((1+FixedParams!$D$27)/$AT$12)^(1-$B$10))^(1/(1-$B$10))</f>
        <v>5.3356785347363074</v>
      </c>
      <c r="AT25" s="24">
        <f>EXP($D25-$D$17)*(($B25*FixedParams!$C$31)^$B$10*(1+FixedParams!$D$25)^(1-$B$10)+(1-$B25)^$B$10*((1+FixedParams!$D$28)/$AT$12)^(1-$B$10))^(1/(1-$B$10))</f>
        <v>3.901313593618696</v>
      </c>
      <c r="AU25" s="24">
        <f>EXP($D25-$D$17)*(($B25*FixedParams!$C$30)^$B$10*(1+FixedParams!$D$23)^(1-$B$10)+(1-$B25)^$B$10*((1+FixedParams!$D$26)/$AT$12)^(1-$B$10))^(1/(1-$B$10))</f>
        <v>4.0054389947977871</v>
      </c>
      <c r="AV25">
        <f>IF(FixedParams!$I$6=1,IF(AT25&lt;=MIN(AS25:AU25),1,0),$H25)</f>
        <v>1</v>
      </c>
      <c r="AW25">
        <f>IF(FixedParams!$I$6=1,IF(AU25&lt;=MIN(AS25:AU25),1,0),IF(AU25&lt;=AS25,1,0)*(1-$H25))</f>
        <v>0</v>
      </c>
      <c r="AX25" s="24">
        <f>$AT$13*IF(AV25=1,1,IF(AW25=1,FixedParams!$D$52,FixedParams!$D$53))</f>
        <v>0.41089128090616783</v>
      </c>
      <c r="AY25">
        <f>EXP($C25*FixedParams!$B$47)*EXP(IF(AV25+AW25=1,(1-FixedParams!$B$47)*$D25,0))*($B25^((FixedParams!$B$47-1)*$B$10/($B$10-1)))*((1/$B25-1)^$B$10*(AX25)^($B$10-1)+1)^((FixedParams!$B$47-$B$10)/($B$10-1))/((1+IF(AV25=1,FixedParams!$D$25,IF(AW25=1,FixedParams!$D$23,FixedParams!$D$24)))^FixedParams!$B$47)</f>
        <v>3.8318357736437707E-2</v>
      </c>
      <c r="AZ25">
        <f t="shared" si="4"/>
        <v>1.0318206774784984</v>
      </c>
      <c r="BA25">
        <f t="shared" si="23"/>
        <v>25.960470246688811</v>
      </c>
      <c r="BB25">
        <f t="shared" si="5"/>
        <v>186.28726514365036</v>
      </c>
      <c r="BC25">
        <f t="shared" si="24"/>
        <v>212.24773539033916</v>
      </c>
      <c r="BD25" s="24">
        <f t="shared" si="25"/>
        <v>7.1758047282448905</v>
      </c>
      <c r="BE25" s="24">
        <f t="shared" si="26"/>
        <v>1.321093076945236</v>
      </c>
      <c r="BF25" s="23">
        <f>IF(AV25=1,BA25*(1+FixedParams!$C$25)+BB25*(1+FixedParams!$C$28)/$AT$12,IF(AW25=1,BA25*(1+FixedParams!$C$23)+BB25*(1+FixedParams!$C$26)/$AT$12,BA25*(1+FixedParams!$C$24)+BB25*(1+FixedParams!$C$27)/$AT$12))</f>
        <v>617.70668120337552</v>
      </c>
      <c r="BG25" s="24">
        <f t="shared" si="27"/>
        <v>158.33299897084575</v>
      </c>
      <c r="BH25" s="24">
        <f>BG25^((FixedParams!$B$47-1)/FixedParams!$B$47)*EXP($C25)</f>
        <v>0.90029717419404776</v>
      </c>
      <c r="BI25" s="7"/>
      <c r="BJ25" s="24">
        <f>EXP(-$D$17)*(($B25*FixedParams!$B$30)^$B$10*(1+FixedParams!$C$24)^(1-$B$10)+(1-$B25)^$B$10*((1+FixedParams!$C$27)/$BK$12)^(1-$B$10))^(1/(1-$B$10))</f>
        <v>5.8917721987328306</v>
      </c>
      <c r="BK25" s="24">
        <f>EXP($D25-$D$17)*(($B25*FixedParams!$C$31)^$B$10*(1+FixedParams!$C$25)^(1-$B$10)+(1-$B25)^$B$10*((1+FixedParams!$C$28)/$BK$12)^(1-$B$10))^(1/(1-$B$10))</f>
        <v>4.1712241457153434</v>
      </c>
      <c r="BL25" s="24">
        <f>EXP($D25-$D$17)*(($B25*FixedParams!$C$30)^$B$10*(1+FixedParams!$C$23)^(1-$B$10)+(1-$B25)^$B$10*((1+FixedParams!$C$26)/$BK$12)^(1-$B$10))^(1/(1-$B$10))</f>
        <v>4.329072830363943</v>
      </c>
      <c r="BM25">
        <f>IF(FixedParams!$I$6=1,IF(BK25&lt;=MIN(BJ25:BL25),1,0),$H25)</f>
        <v>1</v>
      </c>
      <c r="BN25">
        <f>IF(FixedParams!$I$6=1,IF(BL25&lt;=MIN(BJ25:BL25),1,0),IF(BL25&lt;=BJ25,1,0)*(1-$H25))</f>
        <v>0</v>
      </c>
      <c r="BO25" s="24">
        <f>$BK$13*IF(BM25=1,1,IF(BN25=1,FixedParams!$C$52,FixedParams!$C$53))</f>
        <v>0.41068174962109105</v>
      </c>
      <c r="BP25">
        <f>EXP($C25*FixedParams!$B$47)*EXP(IF(BM25+BN25=1,(1-FixedParams!$B$47)*$D25,0))*($B25^((FixedParams!$B$47-1)*$B$10/($B$10-1)))*((1/$B25-1)^$B$10*(BO25)^($B$10-1)+1)^((FixedParams!$B$47-$B$10)/($B$10-1))/((1+IF(BM25=1,FixedParams!$C$25,IF(BN25=1,FixedParams!$C$23,FixedParams!$C$24)))^FixedParams!$B$47)</f>
        <v>3.5867206910855591E-2</v>
      </c>
      <c r="BQ25">
        <f t="shared" si="28"/>
        <v>1.0318189219679654</v>
      </c>
      <c r="BR25">
        <f t="shared" si="29"/>
        <v>26.315673690840423</v>
      </c>
      <c r="BS25">
        <f t="shared" si="6"/>
        <v>188.69171051023389</v>
      </c>
      <c r="BT25">
        <f t="shared" si="30"/>
        <v>215.0073842010743</v>
      </c>
      <c r="BU25" s="24">
        <f t="shared" si="31"/>
        <v>7.1703165469752328</v>
      </c>
      <c r="BV25" s="24">
        <f t="shared" si="32"/>
        <v>1.3248065661224986</v>
      </c>
      <c r="BW25" s="23">
        <f>IF(BM25=1,BR25*(1+FixedParams!$C$25)+BS25*(1+FixedParams!$C$28)/$BK$12,IF(BN25=1,BR25*(1+FixedParams!$C$23)+BS25*(1+FixedParams!$C$26)/$BK$12,BR25*(1+FixedParams!$C$24)+BS25*(1+FixedParams!$C$27)/$BK$12))</f>
        <v>664.73765892969948</v>
      </c>
      <c r="BX25" s="24">
        <f t="shared" si="33"/>
        <v>159.362727992576</v>
      </c>
      <c r="BY25" s="24">
        <f>BX25^((FixedParams!$B$47-1)/FixedParams!$B$47)*EXP($C25)</f>
        <v>0.90029133218687751</v>
      </c>
      <c r="BZ25" s="24">
        <f t="shared" si="34"/>
        <v>-1.0636143521601152E-2</v>
      </c>
      <c r="CA25" s="24">
        <f t="shared" si="35"/>
        <v>-3.300944371471302E-4</v>
      </c>
      <c r="CB25" s="24">
        <f t="shared" si="36"/>
        <v>1.6998361482260121E-2</v>
      </c>
      <c r="CC25" s="24"/>
      <c r="CD25" s="24">
        <f>EXP(-$D$17)*(($B25*FixedParams!$B$30)^$B$10*(1+FixedParams!$D$24)^(1-$B$10)+(1-$B25)^$B$10*((1+FixedParams!$D$27)/$CE$12)^(1-$B$10))^(1/(1-$B$10))</f>
        <v>5.5786671084549777</v>
      </c>
      <c r="CE25" s="24">
        <f>EXP($D25-$D$17)*(($B25*FixedParams!$D$31)^$B$10*(1+FixedParams!$D$25)^(1-$B$10)+(1-$B25)^$B$10*((1+FixedParams!$D$28)/$CE$12)^(1-$B$10))^(1/(1-$B$10))</f>
        <v>4.0786426061949612</v>
      </c>
      <c r="CF25" s="24">
        <f>EXP($D25-$D$17)*(($B25*FixedParams!$D$30)^$B$10*(1+FixedParams!$D$23)^(1-$B$10)+(1-$B25)^$B$10*((1+FixedParams!$D$26)/$CE$12)^(1-$B$10))^(1/(1-$B$10))</f>
        <v>4.1865776911983881</v>
      </c>
      <c r="CG25">
        <f>IF(FixedParams!$I$6=1,IF(CE25&lt;=MIN(CD25:CF25),1,0),$H25)</f>
        <v>1</v>
      </c>
      <c r="CH25">
        <f>IF(FixedParams!$I$6=1,IF(CF25&lt;=MIN(CD25:CF25),1,0),IF(CF25&lt;=CD25,1,0)*(1-$H25))</f>
        <v>0</v>
      </c>
      <c r="CI25" s="24">
        <f>$CE$13*IF(CG25=1,1,IF(CH25=1,FixedParams!$D$52,FixedParams!$D$53))</f>
        <v>0.39201585704839609</v>
      </c>
      <c r="CJ25">
        <f>EXP($C25*FixedParams!$B$47)*EXP(IF(CG25+CH25=1,(1-FixedParams!$B$47)*$D25,0))*($B25^((FixedParams!$B$47-1)*$B$10/($B$10-1)))*((1/$B25-1)^$B$10*(CI25)^($B$10-1)+1)^((FixedParams!$B$47-$B$10)/($B$10-1))/((1+IF(CG25=1,FixedParams!$D$25,IF(CH25=1,FixedParams!$D$23,FixedParams!$D$24)))^FixedParams!$B$47)</f>
        <v>3.9181277117442535E-2</v>
      </c>
      <c r="CK25">
        <f t="shared" si="37"/>
        <v>1.0316571392554339</v>
      </c>
      <c r="CL25">
        <f t="shared" si="41"/>
        <v>28.185163743424248</v>
      </c>
      <c r="CM25">
        <f t="shared" si="7"/>
        <v>188.47607870481377</v>
      </c>
      <c r="CN25">
        <f t="shared" si="42"/>
        <v>216.66124244823803</v>
      </c>
      <c r="CO25" s="24">
        <f t="shared" si="43"/>
        <v>6.6870670122960085</v>
      </c>
      <c r="CP25" s="24">
        <f t="shared" si="44"/>
        <v>1.3176950554884319</v>
      </c>
      <c r="CQ25" s="23">
        <f>IF(CG25=1,CL25*(1+FixedParams!$D$25)+CM25*(1+FixedParams!$D$28)/$CE$12,IF(CH25=1,CL25*(1+FixedParams!$D$23)+CM25*(1+FixedParams!$D$26)/$CE$12,CL25*(1+FixedParams!$D$24)+CM25*(1+FixedParams!$D$27)/$CE$12))</f>
        <v>651.72679278861915</v>
      </c>
      <c r="CR25" s="24">
        <f t="shared" si="45"/>
        <v>159.79012032060018</v>
      </c>
      <c r="CS25" s="24">
        <f>CR25^((FixedParams!$B$47-1)/FixedParams!$B$47)*EXP($C25)</f>
        <v>0.90028891853155779</v>
      </c>
      <c r="CT25" s="24"/>
    </row>
    <row r="26" spans="1:104" x14ac:dyDescent="0.15">
      <c r="A26">
        <v>4.4999999999999998E-2</v>
      </c>
      <c r="B26">
        <f t="shared" si="8"/>
        <v>0.10049624951505966</v>
      </c>
      <c r="C26">
        <f>(D26-$D$17)*FixedParams!$B$47+$A26*$B$9</f>
        <v>-0.11245568224162747</v>
      </c>
      <c r="D26">
        <f>(A26-$B$6)*FixedParams!$B$46/(FixedParams!$B$45*Sectors!$B$6)</f>
        <v>-0.2472249006012277</v>
      </c>
      <c r="E26">
        <f t="shared" si="9"/>
        <v>0.89363695021738121</v>
      </c>
      <c r="F26" s="24">
        <f>EXP(-$D$17)*(($B26*FixedParams!$B$30)^$B$10*(1+FixedParams!$B$23)^(1-$B$10)+(1-$B26)^$B$10*((1+FixedParams!$B$26)/$B$11)^(1-$B$10))^(1/(1-$B$10))</f>
        <v>4.4199381525113601</v>
      </c>
      <c r="G26" s="24">
        <f>EXP($D26-$D$17)*(($B26*FixedParams!$B$31)^$B$10*(1+FixedParams!$B$25)^(1-$B$10)+(1-$B26)^$B$10*((1+FixedParams!$B$28)/$B$11)^(1-$B$10))^(1/(1-$B$10))</f>
        <v>3.3447789090972626</v>
      </c>
      <c r="H26">
        <f t="shared" si="10"/>
        <v>1</v>
      </c>
      <c r="I26" s="24">
        <f>$B$12*IF(H26=1,1,FixedParams!$B$52)</f>
        <v>0.3745928365283252</v>
      </c>
      <c r="J26">
        <f>EXP($C26*FixedParams!$B$47)*EXP(IF(H26=1,(1-FixedParams!$B$47)*$D26,0))*($B26^((FixedParams!$B$47-1)*$B$10/($B$10-1)))*((1/$B26-1)^$B$10*(I26)^($B$10-1)+1)^((FixedParams!$B$47-$B$10)/($B$10-1))/((1+IF(H26=1,FixedParams!$B$25,FixedParams!$B$24))^FixedParams!$B$47)</f>
        <v>5.1354049547002172E-2</v>
      </c>
      <c r="K26">
        <f t="shared" si="38"/>
        <v>1.0354302564104467</v>
      </c>
      <c r="L26">
        <f>K26*FixedParams!$B$8/K$15</f>
        <v>30.103197838067892</v>
      </c>
      <c r="M26">
        <f t="shared" si="0"/>
        <v>184.8125761961912</v>
      </c>
      <c r="N26">
        <f t="shared" si="11"/>
        <v>214.9157740342591</v>
      </c>
      <c r="O26" s="24">
        <f t="shared" si="12"/>
        <v>6.1393004553981632</v>
      </c>
      <c r="P26" s="24">
        <f t="shared" si="1"/>
        <v>1.3078589218997794</v>
      </c>
      <c r="Q26" s="23">
        <f>IF(H26=1,L26*(1+FixedParams!$B$25)+M26*FixedParams!$B$33*(1+FixedParams!$B$28)/FixedParams!$B$32,L26*(1+FixedParams!$B$23)+M26*FixedParams!$B$33*(1+FixedParams!$B$26)/FixedParams!$B$32)</f>
        <v>524.38984616880964</v>
      </c>
      <c r="R26" s="24">
        <f t="shared" si="2"/>
        <v>156.77862735338149</v>
      </c>
      <c r="S26" s="24">
        <f>R26^((FixedParams!$B$47-1)/FixedParams!$B$47)*EXP($C26)</f>
        <v>0.88912666177498689</v>
      </c>
      <c r="T26" s="7">
        <f>(L26*FixedParams!$B$32*(FixedParams!$C$25-FixedParams!$C$23)+FixedParams!$B$33*(FixedParams!$C$28-FixedParams!$C$26)*M26)/N26</f>
        <v>-2868.7807620213066</v>
      </c>
      <c r="U26" s="7">
        <f>(L26*FixedParams!$B$32*(FixedParams!$C$25-FixedParams!$C$23)*$Z$12/$B$11+FixedParams!$B$33*(FixedParams!$C$28-FixedParams!$C$26)*M26)/N26</f>
        <v>-3009.4574979576473</v>
      </c>
      <c r="V26" s="14">
        <f t="shared" si="13"/>
        <v>-2.7966264154666756</v>
      </c>
      <c r="W26" s="14">
        <f t="shared" si="14"/>
        <v>0.11087413033620587</v>
      </c>
      <c r="X26" s="73">
        <f t="shared" si="15"/>
        <v>0.98886383665931854</v>
      </c>
      <c r="Y26" s="24">
        <f>EXP(-$D$17)*(($B26*FixedParams!$B$30)^$B$10*(1+FixedParams!$C$24)^(1-$B$10)+(1-$B26)^$B$10*((1+FixedParams!$C$27)/$Z$12)^(1-$B$10))^(1/(1-$B$10))</f>
        <v>5.6266294671460901</v>
      </c>
      <c r="Z26" s="24">
        <f>EXP($D26-$D$17)*(($B26*FixedParams!$C$31)^$B$10*(1+FixedParams!$C$25)^(1-$B$10)+(1-$B26)^$B$10*((1+FixedParams!$C$28)/$Z$12)^(1-$B$10))^(1/(1-$B$10))</f>
        <v>3.9945080078065249</v>
      </c>
      <c r="AA26" s="24">
        <f>EXP($D26-$D$17)*(($B26*FixedParams!$C$30)^$B$10*(1+FixedParams!$C$23)^(1-$B$10)+(1-$B26)^$B$10*((1+FixedParams!$C$26)/$Z$12)^(1-$B$10))^(1/(1-$B$10))</f>
        <v>4.1460523759244676</v>
      </c>
      <c r="AB26">
        <f>IF(FixedParams!$I$6=1,IF(Z26&lt;=MIN(Y26:AA26),1,0),$H26)</f>
        <v>1</v>
      </c>
      <c r="AC26">
        <f>IF(FixedParams!$I$6=1,IF(AA26&lt;=MIN(Y26:AA26),1,0),IF(AA26&lt;=Y26,1,0)*(1-$H26))</f>
        <v>0</v>
      </c>
      <c r="AD26" s="24">
        <f>$Z$13*IF(AB26=1,1,IF(AC26=1,FixedParams!$C$52,FixedParams!$C$53))</f>
        <v>0.43187184563106507</v>
      </c>
      <c r="AE26">
        <f>EXP($C26*FixedParams!$B$47)*EXP(IF(AB26+AC26=1,(1-FixedParams!$B$47)*$D26,0))*($B26^((FixedParams!$B$47-1)*$B$10/($B$10-1)))*((1/$B26-1)^$B$10*(AD26)^($B$10-1)+1)^((FixedParams!$B$47-$B$10)/($B$10-1))/((1+IF(AB26=1,FixedParams!$C$25,IF(AC26=1,FixedParams!$C$23,FixedParams!$C$24)))^FixedParams!$B$47)</f>
        <v>3.5157520817012101E-2</v>
      </c>
      <c r="AF26">
        <f t="shared" si="39"/>
        <v>1.035993031248756</v>
      </c>
      <c r="AG26">
        <f t="shared" si="40"/>
        <v>24.333885408302088</v>
      </c>
      <c r="AH26">
        <f t="shared" si="3"/>
        <v>184.93686178978658</v>
      </c>
      <c r="AI26">
        <f t="shared" si="16"/>
        <v>209.27074719808866</v>
      </c>
      <c r="AJ26" s="24">
        <f t="shared" si="17"/>
        <v>7.5999725767875494</v>
      </c>
      <c r="AK26" s="24">
        <f t="shared" si="18"/>
        <v>1.3341409954095325</v>
      </c>
      <c r="AL26" s="23">
        <f>IF(AB26=1,AG26*(1+FixedParams!$C$25)+AH26*(1+FixedParams!$C$28)/$Z$12,IF(AC26=1,AG26*(1+FixedParams!$C$23)+AH26*(1+FixedParams!$C$26)/$Z$12,AG26*(1+FixedParams!$C$24)+AH26*(1+FixedParams!$C$27)/$Z$12))</f>
        <v>619.27942134314242</v>
      </c>
      <c r="AM26" s="24">
        <f t="shared" si="19"/>
        <v>155.03271495084641</v>
      </c>
      <c r="AN26" s="24">
        <f>AM26^((FixedParams!$B$47-1)/FixedParams!$B$47)*EXP($C26)</f>
        <v>0.8891366288024517</v>
      </c>
      <c r="AO26" s="24">
        <f t="shared" si="20"/>
        <v>-2.661734795216765E-2</v>
      </c>
      <c r="AP26" s="24">
        <f t="shared" si="21"/>
        <v>-1.1198634634325072E-2</v>
      </c>
      <c r="AQ26" s="14">
        <f t="shared" si="22"/>
        <v>-2.867771027348561</v>
      </c>
      <c r="AS26" s="24">
        <f>EXP(-$D$17)*(($B26*FixedParams!$B$30)^$B$10*(1+FixedParams!$D$24)^(1-$B$10)+(1-$B26)^$B$10*((1+FixedParams!$D$27)/$AT$12)^(1-$B$10))^(1/(1-$B$10))</f>
        <v>5.3443719246980059</v>
      </c>
      <c r="AT26" s="24">
        <f>EXP($D26-$D$17)*(($B26*FixedParams!$C$31)^$B$10*(1+FixedParams!$D$25)^(1-$B$10)+(1-$B26)^$B$10*((1+FixedParams!$D$28)/$AT$12)^(1-$B$10))^(1/(1-$B$10))</f>
        <v>3.9180627098221676</v>
      </c>
      <c r="AU26" s="24">
        <f>EXP($D26-$D$17)*(($B26*FixedParams!$C$30)^$B$10*(1+FixedParams!$D$23)^(1-$B$10)+(1-$B26)^$B$10*((1+FixedParams!$D$26)/$AT$12)^(1-$B$10))^(1/(1-$B$10))</f>
        <v>4.0219855274889698</v>
      </c>
      <c r="AV26">
        <f>IF(FixedParams!$I$6=1,IF(AT26&lt;=MIN(AS26:AU26),1,0),$H26)</f>
        <v>1</v>
      </c>
      <c r="AW26">
        <f>IF(FixedParams!$I$6=1,IF(AU26&lt;=MIN(AS26:AU26),1,0),IF(AU26&lt;=AS26,1,0)*(1-$H26))</f>
        <v>0</v>
      </c>
      <c r="AX26" s="24">
        <f>$AT$13*IF(AV26=1,1,IF(AW26=1,FixedParams!$D$52,FixedParams!$D$53))</f>
        <v>0.41089128090616783</v>
      </c>
      <c r="AY26">
        <f>EXP($C26*FixedParams!$B$47)*EXP(IF(AV26+AW26=1,(1-FixedParams!$B$47)*$D26,0))*($B26^((FixedParams!$B$47-1)*$B$10/($B$10-1)))*((1/$B26-1)^$B$10*(AX26)^($B$10-1)+1)^((FixedParams!$B$47-$B$10)/($B$10-1))/((1+IF(AV26=1,FixedParams!$D$25,IF(AW26=1,FixedParams!$D$23,FixedParams!$D$24)))^FixedParams!$B$47)</f>
        <v>3.8466140144100443E-2</v>
      </c>
      <c r="AZ26">
        <f t="shared" si="4"/>
        <v>1.0358001002147961</v>
      </c>
      <c r="BA26">
        <f t="shared" si="23"/>
        <v>26.060591990514599</v>
      </c>
      <c r="BB26">
        <f t="shared" si="5"/>
        <v>183.80374317430096</v>
      </c>
      <c r="BC26">
        <f t="shared" si="24"/>
        <v>209.86433516481557</v>
      </c>
      <c r="BD26" s="24">
        <f t="shared" si="25"/>
        <v>7.0529381389801467</v>
      </c>
      <c r="BE26" s="24">
        <f t="shared" si="26"/>
        <v>1.326764792620067</v>
      </c>
      <c r="BF26" s="23">
        <f>IF(AV26=1,BA26*(1+FixedParams!$C$25)+BB26*(1+FixedParams!$C$28)/$AT$12,IF(AW26=1,BA26*(1+FixedParams!$C$23)+BB26*(1+FixedParams!$C$26)/$AT$12,BA26*(1+FixedParams!$C$24)+BB26*(1+FixedParams!$C$27)/$AT$12))</f>
        <v>610.08222186406078</v>
      </c>
      <c r="BG26" s="24">
        <f t="shared" si="27"/>
        <v>155.71017287054883</v>
      </c>
      <c r="BH26" s="24">
        <f>BG26^((FixedParams!$B$47-1)/FixedParams!$B$47)*EXP($C26)</f>
        <v>0.88913274806844589</v>
      </c>
      <c r="BI26" s="7"/>
      <c r="BJ26" s="24">
        <f>EXP(-$D$17)*(($B26*FixedParams!$B$30)^$B$10*(1+FixedParams!$C$24)^(1-$B$10)+(1-$B26)^$B$10*((1+FixedParams!$C$27)/$BK$12)^(1-$B$10))^(1/(1-$B$10))</f>
        <v>5.9015382036352504</v>
      </c>
      <c r="BK26" s="24">
        <f>EXP($D26-$D$17)*(($B26*FixedParams!$C$31)^$B$10*(1+FixedParams!$C$25)^(1-$B$10)+(1-$B26)^$B$10*((1+FixedParams!$C$28)/$BK$12)^(1-$B$10))^(1/(1-$B$10))</f>
        <v>4.1891301364200331</v>
      </c>
      <c r="BL26" s="24">
        <f>EXP($D26-$D$17)*(($B26*FixedParams!$C$30)^$B$10*(1+FixedParams!$C$23)^(1-$B$10)+(1-$B26)^$B$10*((1+FixedParams!$C$26)/$BK$12)^(1-$B$10))^(1/(1-$B$10))</f>
        <v>4.3467668181869135</v>
      </c>
      <c r="BM26">
        <f>IF(FixedParams!$I$6=1,IF(BK26&lt;=MIN(BJ26:BL26),1,0),$H26)</f>
        <v>1</v>
      </c>
      <c r="BN26">
        <f>IF(FixedParams!$I$6=1,IF(BL26&lt;=MIN(BJ26:BL26),1,0),IF(BL26&lt;=BJ26,1,0)*(1-$H26))</f>
        <v>0</v>
      </c>
      <c r="BO26" s="24">
        <f>$BK$13*IF(BM26=1,1,IF(BN26=1,FixedParams!$C$52,FixedParams!$C$53))</f>
        <v>0.41068174962109105</v>
      </c>
      <c r="BP26">
        <f>EXP($C26*FixedParams!$B$47)*EXP(IF(BM26+BN26=1,(1-FixedParams!$B$47)*$D26,0))*($B26^((FixedParams!$B$47-1)*$B$10/($B$10-1)))*((1/$B26-1)^$B$10*(BO26)^($B$10-1)+1)^((FixedParams!$B$47-$B$10)/($B$10-1))/((1+IF(BM26=1,FixedParams!$C$25,IF(BN26=1,FixedParams!$C$23,FixedParams!$C$24)))^FixedParams!$B$47)</f>
        <v>3.6005527761113876E-2</v>
      </c>
      <c r="BQ26">
        <f t="shared" si="28"/>
        <v>1.0357981019178821</v>
      </c>
      <c r="BR26">
        <f t="shared" si="29"/>
        <v>26.417159328377888</v>
      </c>
      <c r="BS26">
        <f t="shared" si="6"/>
        <v>186.17609082585162</v>
      </c>
      <c r="BT26">
        <f t="shared" si="30"/>
        <v>212.59325015422951</v>
      </c>
      <c r="BU26" s="24">
        <f t="shared" si="31"/>
        <v>7.0475439282321775</v>
      </c>
      <c r="BV26" s="24">
        <f t="shared" si="32"/>
        <v>1.3304936194262316</v>
      </c>
      <c r="BW26" s="23">
        <f>IF(BM26=1,BR26*(1+FixedParams!$C$25)+BS26*(1+FixedParams!$C$28)/$BK$12,IF(BN26=1,BR26*(1+FixedParams!$C$23)+BS26*(1+FixedParams!$C$26)/$BK$12,BR26*(1+FixedParams!$C$24)+BS26*(1+FixedParams!$C$27)/$BK$12))</f>
        <v>656.49440274045094</v>
      </c>
      <c r="BX26" s="24">
        <f t="shared" si="33"/>
        <v>156.71377621643452</v>
      </c>
      <c r="BY26" s="24">
        <f>BX26^((FixedParams!$B$47-1)/FixedParams!$B$47)*EXP($C26)</f>
        <v>0.88912703000468318</v>
      </c>
      <c r="BZ26" s="24">
        <f t="shared" si="34"/>
        <v>-1.086548633177473E-2</v>
      </c>
      <c r="CA26" s="24">
        <f t="shared" si="35"/>
        <v>-4.1373339279397747E-4</v>
      </c>
      <c r="CB26" s="24">
        <f t="shared" si="36"/>
        <v>1.6914722526613274E-2</v>
      </c>
      <c r="CC26" s="24"/>
      <c r="CD26" s="24">
        <f>EXP(-$D$17)*(($B26*FixedParams!$B$30)^$B$10*(1+FixedParams!$D$24)^(1-$B$10)+(1-$B26)^$B$10*((1+FixedParams!$D$27)/$CE$12)^(1-$B$10))^(1/(1-$B$10))</f>
        <v>5.5875268454355753</v>
      </c>
      <c r="CE26" s="24">
        <f>EXP($D26-$D$17)*(($B26*FixedParams!$D$31)^$B$10*(1+FixedParams!$D$25)^(1-$B$10)+(1-$B26)^$B$10*((1+FixedParams!$D$28)/$CE$12)^(1-$B$10))^(1/(1-$B$10))</f>
        <v>4.0959794883223299</v>
      </c>
      <c r="CF26" s="24">
        <f>EXP($D26-$D$17)*(($B26*FixedParams!$D$30)^$B$10*(1+FixedParams!$D$23)^(1-$B$10)+(1-$B26)^$B$10*((1+FixedParams!$D$26)/$CE$12)^(1-$B$10))^(1/(1-$B$10))</f>
        <v>4.2036801311776122</v>
      </c>
      <c r="CG26">
        <f>IF(FixedParams!$I$6=1,IF(CE26&lt;=MIN(CD26:CF26),1,0),$H26)</f>
        <v>1</v>
      </c>
      <c r="CH26">
        <f>IF(FixedParams!$I$6=1,IF(CF26&lt;=MIN(CD26:CF26),1,0),IF(CF26&lt;=CD26,1,0)*(1-$H26))</f>
        <v>0</v>
      </c>
      <c r="CI26" s="24">
        <f>$CE$13*IF(CG26=1,1,IF(CH26=1,FixedParams!$D$52,FixedParams!$D$53))</f>
        <v>0.39201585704839609</v>
      </c>
      <c r="CJ26">
        <f>EXP($C26*FixedParams!$B$47)*EXP(IF(CG26+CH26=1,(1-FixedParams!$B$47)*$D26,0))*($B26^((FixedParams!$B$47-1)*$B$10/($B$10-1)))*((1/$B26-1)^$B$10*(CI26)^($B$10-1)+1)^((FixedParams!$B$47-$B$10)/($B$10-1))/((1+IF(CG26=1,FixedParams!$D$25,IF(CH26=1,FixedParams!$D$23,FixedParams!$D$24)))^FixedParams!$B$47)</f>
        <v>3.9331552667950749E-2</v>
      </c>
      <c r="CK26">
        <f t="shared" si="37"/>
        <v>1.0356139486282534</v>
      </c>
      <c r="CL26">
        <f t="shared" si="41"/>
        <v>28.293264890434116</v>
      </c>
      <c r="CM26">
        <f t="shared" si="7"/>
        <v>185.95942887503739</v>
      </c>
      <c r="CN26">
        <f t="shared" si="42"/>
        <v>214.25269376547152</v>
      </c>
      <c r="CO26" s="24">
        <f t="shared" si="43"/>
        <v>6.5725687578003704</v>
      </c>
      <c r="CP26" s="24">
        <f t="shared" si="44"/>
        <v>1.3232961159545098</v>
      </c>
      <c r="CQ26" s="23">
        <f>IF(CG26=1,CL26*(1+FixedParams!$D$25)+CM26*(1+FixedParams!$D$28)/$CE$12,IF(CH26=1,CL26*(1+FixedParams!$D$23)+CM26*(1+FixedParams!$D$26)/$CE$12,CL26*(1+FixedParams!$D$24)+CM26*(1+FixedParams!$D$27)/$CE$12))</f>
        <v>643.64485432909942</v>
      </c>
      <c r="CR26" s="24">
        <f t="shared" si="45"/>
        <v>157.14064393245525</v>
      </c>
      <c r="CS26" s="24">
        <f>CR26^((FixedParams!$B$47-1)/FixedParams!$B$47)*EXP($C26)</f>
        <v>0.8891246090143341</v>
      </c>
      <c r="CT26" s="24"/>
    </row>
    <row r="27" spans="1:104" x14ac:dyDescent="0.15">
      <c r="A27">
        <v>0.05</v>
      </c>
      <c r="B27">
        <f t="shared" si="8"/>
        <v>0.10154185315418247</v>
      </c>
      <c r="C27">
        <f>(D27-$D$17)*FixedParams!$B$47+$A27*$B$9</f>
        <v>-0.12495075804625276</v>
      </c>
      <c r="D27">
        <f>(A27-$B$6)*FixedParams!$B$46/(FixedParams!$B$45*Sectors!$B$6)</f>
        <v>-0.24450814345176367</v>
      </c>
      <c r="E27">
        <f t="shared" si="9"/>
        <v>0.88254035952619814</v>
      </c>
      <c r="F27" s="24">
        <f>EXP(-$D$17)*(($B27*FixedParams!$B$30)^$B$10*(1+FixedParams!$B$23)^(1-$B$10)+(1-$B27)^$B$10*((1+FixedParams!$B$26)/$B$11)^(1-$B$10))^(1/(1-$B$10))</f>
        <v>4.4266915900096127</v>
      </c>
      <c r="G27" s="24">
        <f>EXP($D27-$D$17)*(($B27*FixedParams!$B$31)^$B$10*(1+FixedParams!$B$25)^(1-$B$10)+(1-$B27)^$B$10*((1+FixedParams!$B$28)/$B$11)^(1-$B$10))^(1/(1-$B$10))</f>
        <v>3.3588681100542117</v>
      </c>
      <c r="H27">
        <f t="shared" si="10"/>
        <v>1</v>
      </c>
      <c r="I27" s="24">
        <f>$B$12*IF(H27=1,1,FixedParams!$B$52)</f>
        <v>0.3745928365283252</v>
      </c>
      <c r="J27">
        <f>EXP($C27*FixedParams!$B$47)*EXP(IF(H27=1,(1-FixedParams!$B$47)*$D27,0))*($B27^((FixedParams!$B$47-1)*$B$10/($B$10-1)))*((1/$B27-1)^$B$10*(I27)^($B$10-1)+1)^((FixedParams!$B$47-$B$10)/($B$10-1))/((1+IF(H27=1,FixedParams!$B$25,FixedParams!$B$24))^FixedParams!$B$47)</f>
        <v>5.1549099451950596E-2</v>
      </c>
      <c r="K27">
        <f t="shared" si="38"/>
        <v>1.039362966194292</v>
      </c>
      <c r="L27">
        <f>K27*FixedParams!$B$8/K$15</f>
        <v>30.217534018539592</v>
      </c>
      <c r="M27">
        <f t="shared" si="0"/>
        <v>182.33807712726579</v>
      </c>
      <c r="N27">
        <f t="shared" si="11"/>
        <v>212.55561114580539</v>
      </c>
      <c r="O27" s="24">
        <f t="shared" si="12"/>
        <v>6.0341812477283732</v>
      </c>
      <c r="P27" s="24">
        <f t="shared" si="1"/>
        <v>1.3133680116407687</v>
      </c>
      <c r="Q27" s="23">
        <f>IF(H27=1,L27*(1+FixedParams!$B$25)+M27*FixedParams!$B$33*(1+FixedParams!$B$28)/FixedParams!$B$32,L27*(1+FixedParams!$B$23)+M27*FixedParams!$B$33*(1+FixedParams!$B$26)/FixedParams!$B$32)</f>
        <v>517.88696888505433</v>
      </c>
      <c r="R27" s="24">
        <f t="shared" si="2"/>
        <v>154.18496705328977</v>
      </c>
      <c r="S27" s="24">
        <f>R27^((FixedParams!$B$47-1)/FixedParams!$B$47)*EXP($C27)</f>
        <v>0.87810073971818092</v>
      </c>
      <c r="T27" s="7">
        <f>(L27*FixedParams!$B$32*(FixedParams!$C$25-FixedParams!$C$23)+FixedParams!$B$33*(FixedParams!$C$28-FixedParams!$C$26)*M27)/N27</f>
        <v>-2845.0334208650529</v>
      </c>
      <c r="U27" s="7">
        <f>(L27*FixedParams!$B$32*(FixedParams!$C$25-FixedParams!$C$23)*$Z$12/$B$11+FixedParams!$B$33*(FixedParams!$C$28-FixedParams!$C$26)*M27)/N27</f>
        <v>-2987.8124380049067</v>
      </c>
      <c r="V27" s="14">
        <f t="shared" si="13"/>
        <v>-2.7793557901705928</v>
      </c>
      <c r="W27" s="14">
        <f t="shared" si="14"/>
        <v>0.1212995307114144</v>
      </c>
      <c r="X27" s="73">
        <f t="shared" si="15"/>
        <v>0.98873535324615236</v>
      </c>
      <c r="Y27" s="24">
        <f>EXP(-$D$17)*(($B27*FixedParams!$B$30)^$B$10*(1+FixedParams!$C$24)^(1-$B$10)+(1-$B27)^$B$10*((1+FixedParams!$C$27)/$Z$12)^(1-$B$10))^(1/(1-$B$10))</f>
        <v>5.6362340427077378</v>
      </c>
      <c r="Z27" s="24">
        <f>EXP($D27-$D$17)*(($B27*FixedParams!$C$31)^$B$10*(1+FixedParams!$C$25)^(1-$B$10)+(1-$B27)^$B$10*((1+FixedParams!$C$28)/$Z$12)^(1-$B$10))^(1/(1-$B$10))</f>
        <v>4.0118558440002436</v>
      </c>
      <c r="AA27" s="24">
        <f>EXP($D27-$D$17)*(($B27*FixedParams!$C$30)^$B$10*(1+FixedParams!$C$23)^(1-$B$10)+(1-$B27)^$B$10*((1+FixedParams!$C$26)/$Z$12)^(1-$B$10))^(1/(1-$B$10))</f>
        <v>4.1632122440666963</v>
      </c>
      <c r="AB27">
        <f>IF(FixedParams!$I$6=1,IF(Z27&lt;=MIN(Y27:AA27),1,0),$H27)</f>
        <v>1</v>
      </c>
      <c r="AC27">
        <f>IF(FixedParams!$I$6=1,IF(AA27&lt;=MIN(Y27:AA27),1,0),IF(AA27&lt;=Y27,1,0)*(1-$H27))</f>
        <v>0</v>
      </c>
      <c r="AD27" s="24">
        <f>$Z$13*IF(AB27=1,1,IF(AC27=1,FixedParams!$C$52,FixedParams!$C$53))</f>
        <v>0.43187184563106507</v>
      </c>
      <c r="AE27">
        <f>EXP($C27*FixedParams!$B$47)*EXP(IF(AB27+AC27=1,(1-FixedParams!$B$47)*$D27,0))*($B27^((FixedParams!$B$47-1)*$B$10/($B$10-1)))*((1/$B27-1)^$B$10*(AD27)^($B$10-1)+1)^((FixedParams!$B$47-$B$10)/($B$10-1))/((1+IF(AB27=1,FixedParams!$C$25,IF(AC27=1,FixedParams!$C$23,FixedParams!$C$24)))^FixedParams!$B$47)</f>
        <v>3.5293353825817837E-2</v>
      </c>
      <c r="AF27">
        <f t="shared" si="39"/>
        <v>1.0399956471120508</v>
      </c>
      <c r="AG27">
        <f t="shared" si="40"/>
        <v>24.427900708418022</v>
      </c>
      <c r="AH27">
        <f t="shared" si="3"/>
        <v>182.47258897821175</v>
      </c>
      <c r="AI27">
        <f t="shared" si="16"/>
        <v>206.90048968662978</v>
      </c>
      <c r="AJ27" s="24">
        <f t="shared" si="17"/>
        <v>7.469843240165555</v>
      </c>
      <c r="AK27" s="24">
        <f t="shared" si="18"/>
        <v>1.3399350655184064</v>
      </c>
      <c r="AL27" s="23">
        <f>IF(AB27=1,AG27*(1+FixedParams!$C$25)+AH27*(1+FixedParams!$C$28)/$Z$12,IF(AC27=1,AG27*(1+FixedParams!$C$23)+AH27*(1+FixedParams!$C$26)/$Z$12,AG27*(1+FixedParams!$C$24)+AH27*(1+FixedParams!$C$27)/$Z$12))</f>
        <v>611.59991268081615</v>
      </c>
      <c r="AM27" s="24">
        <f t="shared" si="19"/>
        <v>152.44812786468083</v>
      </c>
      <c r="AN27" s="24">
        <f>AM27^((FixedParams!$B$47-1)/FixedParams!$B$47)*EXP($C27)</f>
        <v>0.87811069736092184</v>
      </c>
      <c r="AO27" s="24">
        <f t="shared" si="20"/>
        <v>-2.6965702108839605E-2</v>
      </c>
      <c r="AP27" s="24">
        <f t="shared" si="21"/>
        <v>-1.1328573414642938E-2</v>
      </c>
      <c r="AQ27" s="14">
        <f t="shared" si="22"/>
        <v>-2.8505004020524773</v>
      </c>
      <c r="AS27" s="24">
        <f>EXP(-$D$17)*(($B27*FixedParams!$B$30)^$B$10*(1+FixedParams!$D$24)^(1-$B$10)+(1-$B27)^$B$10*((1+FixedParams!$D$27)/$AT$12)^(1-$B$10))^(1/(1-$B$10))</f>
        <v>5.353110847378848</v>
      </c>
      <c r="AT27" s="24">
        <f>EXP($D27-$D$17)*(($B27*FixedParams!$C$31)^$B$10*(1+FixedParams!$D$25)^(1-$B$10)+(1-$B27)^$B$10*((1+FixedParams!$D$28)/$AT$12)^(1-$B$10))^(1/(1-$B$10))</f>
        <v>3.9349030838205872</v>
      </c>
      <c r="AU27" s="24">
        <f>EXP($D27-$D$17)*(($B27*FixedParams!$C$30)^$B$10*(1+FixedParams!$D$23)^(1-$B$10)+(1-$B27)^$B$10*((1+FixedParams!$D$26)/$AT$12)^(1-$B$10))^(1/(1-$B$10))</f>
        <v>4.0386102267798485</v>
      </c>
      <c r="AV27">
        <f>IF(FixedParams!$I$6=1,IF(AT27&lt;=MIN(AS27:AU27),1,0),$H27)</f>
        <v>1</v>
      </c>
      <c r="AW27">
        <f>IF(FixedParams!$I$6=1,IF(AU27&lt;=MIN(AS27:AU27),1,0),IF(AU27&lt;=AS27,1,0)*(1-$H27))</f>
        <v>0</v>
      </c>
      <c r="AX27" s="24">
        <f>$AT$13*IF(AV27=1,1,IF(AW27=1,FixedParams!$D$52,FixedParams!$D$53))</f>
        <v>0.41089128090616783</v>
      </c>
      <c r="AY27">
        <f>EXP($C27*FixedParams!$B$47)*EXP(IF(AV27+AW27=1,(1-FixedParams!$B$47)*$D27,0))*($B27^((FixedParams!$B$47-1)*$B$10/($B$10-1)))*((1/$B27-1)^$B$10*(AX27)^($B$10-1)+1)^((FixedParams!$B$47-$B$10)/($B$10-1))/((1+IF(AV27=1,FixedParams!$D$25,IF(AW27=1,FixedParams!$D$23,FixedParams!$D$24)))^FixedParams!$B$47)</f>
        <v>3.8613893532277219E-2</v>
      </c>
      <c r="AZ27">
        <f t="shared" si="4"/>
        <v>1.0397787415265383</v>
      </c>
      <c r="BA27">
        <f t="shared" si="23"/>
        <v>26.160694073803082</v>
      </c>
      <c r="BB27">
        <f t="shared" si="5"/>
        <v>181.35051764479471</v>
      </c>
      <c r="BC27">
        <f t="shared" si="24"/>
        <v>207.51121171859779</v>
      </c>
      <c r="BD27" s="24">
        <f t="shared" si="25"/>
        <v>6.9321753135898767</v>
      </c>
      <c r="BE27" s="24">
        <f t="shared" si="26"/>
        <v>1.3324674107174357</v>
      </c>
      <c r="BF27" s="23">
        <f>IF(AV27=1,BA27*(1+FixedParams!$C$25)+BB27*(1+FixedParams!$C$28)/$AT$12,IF(AW27=1,BA27*(1+FixedParams!$C$23)+BB27*(1+FixedParams!$C$26)/$AT$12,BA27*(1+FixedParams!$C$24)+BB27*(1+FixedParams!$C$27)/$AT$12))</f>
        <v>602.55241761116577</v>
      </c>
      <c r="BG27" s="24">
        <f t="shared" si="27"/>
        <v>153.13018002621772</v>
      </c>
      <c r="BH27" s="24">
        <f>BG27^((FixedParams!$B$47-1)/FixedParams!$B$47)*EXP($C27)</f>
        <v>0.87810677354528022</v>
      </c>
      <c r="BI27" s="7"/>
      <c r="BJ27" s="24">
        <f>EXP(-$D$17)*(($B27*FixedParams!$B$30)^$B$10*(1+FixedParams!$C$24)^(1-$B$10)+(1-$B27)^$B$10*((1+FixedParams!$C$27)/$BK$12)^(1-$B$10))^(1/(1-$B$10))</f>
        <v>5.9113576331899678</v>
      </c>
      <c r="BK27" s="24">
        <f>EXP($D27-$D$17)*(($B27*FixedParams!$C$31)^$B$10*(1+FixedParams!$C$25)^(1-$B$10)+(1-$B27)^$B$10*((1+FixedParams!$C$28)/$BK$12)^(1-$B$10))^(1/(1-$B$10))</f>
        <v>4.207133652535858</v>
      </c>
      <c r="BL27" s="24">
        <f>EXP($D27-$D$17)*(($B27*FixedParams!$C$30)^$B$10*(1+FixedParams!$C$23)^(1-$B$10)+(1-$B27)^$B$10*((1+FixedParams!$C$26)/$BK$12)^(1-$B$10))^(1/(1-$B$10))</f>
        <v>4.3645408193373374</v>
      </c>
      <c r="BM27">
        <f>IF(FixedParams!$I$6=1,IF(BK27&lt;=MIN(BJ27:BL27),1,0),$H27)</f>
        <v>1</v>
      </c>
      <c r="BN27">
        <f>IF(FixedParams!$I$6=1,IF(BL27&lt;=MIN(BJ27:BL27),1,0),IF(BL27&lt;=BJ27,1,0)*(1-$H27))</f>
        <v>0</v>
      </c>
      <c r="BO27" s="24">
        <f>$BK$13*IF(BM27=1,1,IF(BN27=1,FixedParams!$C$52,FixedParams!$C$53))</f>
        <v>0.41068174962109105</v>
      </c>
      <c r="BP27">
        <f>EXP($C27*FixedParams!$B$47)*EXP(IF(BM27+BN27=1,(1-FixedParams!$B$47)*$D27,0))*($B27^((FixedParams!$B$47-1)*$B$10/($B$10-1)))*((1/$B27-1)^$B$10*(BO27)^($B$10-1)+1)^((FixedParams!$B$47-$B$10)/($B$10-1))/((1+IF(BM27=1,FixedParams!$C$25,IF(BN27=1,FixedParams!$C$23,FixedParams!$C$24)))^FixedParams!$B$47)</f>
        <v>3.6143821257631305E-2</v>
      </c>
      <c r="BQ27">
        <f t="shared" si="28"/>
        <v>1.0397764949621593</v>
      </c>
      <c r="BR27">
        <f t="shared" si="29"/>
        <v>26.518624896548928</v>
      </c>
      <c r="BS27">
        <f t="shared" si="6"/>
        <v>183.69115910743616</v>
      </c>
      <c r="BT27">
        <f t="shared" si="30"/>
        <v>210.20978400398508</v>
      </c>
      <c r="BU27" s="24">
        <f t="shared" si="31"/>
        <v>6.9268734643681054</v>
      </c>
      <c r="BV27" s="24">
        <f t="shared" si="32"/>
        <v>1.3362116474032313</v>
      </c>
      <c r="BW27" s="23">
        <f>IF(BM27=1,BR27*(1+FixedParams!$C$25)+BS27*(1+FixedParams!$C$28)/$BK$12,IF(BN27=1,BR27*(1+FixedParams!$C$23)+BS27*(1+FixedParams!$C$26)/$BK$12,BR27*(1+FixedParams!$C$24)+BS27*(1+FixedParams!$C$27)/$BK$12))</f>
        <v>648.35337242647063</v>
      </c>
      <c r="BX27" s="24">
        <f t="shared" si="33"/>
        <v>154.10809971194385</v>
      </c>
      <c r="BY27" s="24">
        <f>BX27^((FixedParams!$B$47-1)/FixedParams!$B$47)*EXP($C27)</f>
        <v>0.87810117803392451</v>
      </c>
      <c r="BZ27" s="24">
        <f t="shared" si="34"/>
        <v>-1.1097650111703128E-2</v>
      </c>
      <c r="CA27" s="24">
        <f t="shared" si="35"/>
        <v>-4.9866410390155469E-4</v>
      </c>
      <c r="CB27" s="24">
        <f t="shared" si="36"/>
        <v>1.6829791815505698E-2</v>
      </c>
      <c r="CC27" s="24"/>
      <c r="CD27" s="24">
        <f>EXP(-$D$17)*(($B27*FixedParams!$B$30)^$B$10*(1+FixedParams!$D$24)^(1-$B$10)+(1-$B27)^$B$10*((1+FixedParams!$D$27)/$CE$12)^(1-$B$10))^(1/(1-$B$10))</f>
        <v>5.5964298771460879</v>
      </c>
      <c r="CE27" s="24">
        <f>EXP($D27-$D$17)*(($B27*FixedParams!$D$31)^$B$10*(1+FixedParams!$D$25)^(1-$B$10)+(1-$B27)^$B$10*((1+FixedParams!$D$28)/$CE$12)^(1-$B$10))^(1/(1-$B$10))</f>
        <v>4.1134075964221468</v>
      </c>
      <c r="CF27" s="24">
        <f>EXP($D27-$D$17)*(($B27*FixedParams!$D$30)^$B$10*(1+FixedParams!$D$23)^(1-$B$10)+(1-$B27)^$B$10*((1+FixedParams!$D$26)/$CE$12)^(1-$B$10))^(1/(1-$B$10))</f>
        <v>4.220859735965325</v>
      </c>
      <c r="CG27">
        <f>IF(FixedParams!$I$6=1,IF(CE27&lt;=MIN(CD27:CF27),1,0),$H27)</f>
        <v>1</v>
      </c>
      <c r="CH27">
        <f>IF(FixedParams!$I$6=1,IF(CF27&lt;=MIN(CD27:CF27),1,0),IF(CF27&lt;=CD27,1,0)*(1-$H27))</f>
        <v>0</v>
      </c>
      <c r="CI27" s="24">
        <f>$CE$13*IF(CG27=1,1,IF(CH27=1,FixedParams!$D$52,FixedParams!$D$53))</f>
        <v>0.39201585704839609</v>
      </c>
      <c r="CJ27">
        <f>EXP($C27*FixedParams!$B$47)*EXP(IF(CG27+CH27=1,(1-FixedParams!$B$47)*$D27,0))*($B27^((FixedParams!$B$47-1)*$B$10/($B$10-1)))*((1/$B27-1)^$B$10*(CI27)^($B$10-1)+1)^((FixedParams!$B$47-$B$10)/($B$10-1))/((1+IF(CG27=1,FixedParams!$D$25,IF(CH27=1,FixedParams!$D$23,FixedParams!$D$24)))^FixedParams!$B$47)</f>
        <v>3.9481779188051562E-2</v>
      </c>
      <c r="CK27">
        <f t="shared" si="37"/>
        <v>1.039569467012786</v>
      </c>
      <c r="CL27">
        <f t="shared" si="41"/>
        <v>28.401330767280218</v>
      </c>
      <c r="CM27">
        <f t="shared" si="7"/>
        <v>183.47347667761824</v>
      </c>
      <c r="CN27">
        <f t="shared" si="42"/>
        <v>211.87480744489847</v>
      </c>
      <c r="CO27" s="24">
        <f t="shared" si="43"/>
        <v>6.4600309816816415</v>
      </c>
      <c r="CP27" s="24">
        <f t="shared" si="44"/>
        <v>1.328926648974188</v>
      </c>
      <c r="CQ27" s="23">
        <f>IF(CG27=1,CL27*(1+FixedParams!$D$25)+CM27*(1+FixedParams!$D$28)/$CE$12,IF(CH27=1,CL27*(1+FixedParams!$D$23)+CM27*(1+FixedParams!$D$26)/$CE$12,CL27*(1+FixedParams!$D$24)+CM27*(1+FixedParams!$D$27)/$CE$12))</f>
        <v>635.66314114159263</v>
      </c>
      <c r="CR27" s="24">
        <f t="shared" si="45"/>
        <v>154.5344404222169</v>
      </c>
      <c r="CS27" s="24">
        <f>CR27^((FixedParams!$B$47-1)/FixedParams!$B$47)*EXP($C27)</f>
        <v>0.87809874969241986</v>
      </c>
      <c r="CT27" s="24"/>
    </row>
    <row r="28" spans="1:104" x14ac:dyDescent="0.15">
      <c r="A28">
        <v>5.5E-2</v>
      </c>
      <c r="B28">
        <f t="shared" si="8"/>
        <v>0.10259709483483637</v>
      </c>
      <c r="C28">
        <f>(D28-$D$17)*FixedParams!$B$47+$A28*$B$9</f>
        <v>-0.137445833850878</v>
      </c>
      <c r="D28">
        <f>(A28-$B$6)*FixedParams!$B$46/(FixedParams!$B$45*Sectors!$B$6)</f>
        <v>-0.24179138630229963</v>
      </c>
      <c r="E28">
        <f t="shared" si="9"/>
        <v>0.87158155893527645</v>
      </c>
      <c r="F28" s="24">
        <f>EXP(-$D$17)*(($B28*FixedParams!$B$30)^$B$10*(1+FixedParams!$B$23)^(1-$B$10)+(1-$B28)^$B$10*((1+FixedParams!$B$26)/$B$11)^(1-$B$10))^(1/(1-$B$10))</f>
        <v>4.433473385684116</v>
      </c>
      <c r="G28" s="24">
        <f>EXP($D28-$D$17)*(($B28*FixedParams!$B$31)^$B$10*(1+FixedParams!$B$25)^(1-$B$10)+(1-$B28)^$B$10*((1+FixedParams!$B$28)/$B$11)^(1-$B$10))^(1/(1-$B$10))</f>
        <v>3.373028302402187</v>
      </c>
      <c r="H28">
        <f t="shared" si="10"/>
        <v>1</v>
      </c>
      <c r="I28" s="24">
        <f>$B$12*IF(H28=1,1,FixedParams!$B$52)</f>
        <v>0.3745928365283252</v>
      </c>
      <c r="J28">
        <f>EXP($C28*FixedParams!$B$47)*EXP(IF(H28=1,(1-FixedParams!$B$47)*$D28,0))*($B28^((FixedParams!$B$47-1)*$B$10/($B$10-1)))*((1/$B28-1)^$B$10*(I28)^($B$10-1)+1)^((FixedParams!$B$47-$B$10)/($B$10-1))/((1+IF(H28=1,FixedParams!$B$25,FixedParams!$B$24))^FixedParams!$B$47)</f>
        <v>5.1744040956832174E-2</v>
      </c>
      <c r="K28">
        <f t="shared" si="38"/>
        <v>1.0432934903528559</v>
      </c>
      <c r="L28">
        <f>K28*FixedParams!$B$8/K$15</f>
        <v>30.331806656044645</v>
      </c>
      <c r="M28">
        <f t="shared" si="0"/>
        <v>179.89375727890484</v>
      </c>
      <c r="N28">
        <f t="shared" si="11"/>
        <v>210.22556393494949</v>
      </c>
      <c r="O28" s="24">
        <f t="shared" si="12"/>
        <v>5.9308619271794969</v>
      </c>
      <c r="P28" s="24">
        <f t="shared" si="1"/>
        <v>1.318904860084696</v>
      </c>
      <c r="Q28" s="23">
        <f>IF(H28=1,L28*(1+FixedParams!$B$25)+M28*FixedParams!$B$33*(1+FixedParams!$B$28)/FixedParams!$B$32,L28*(1+FixedParams!$B$23)+M28*FixedParams!$B$33*(1+FixedParams!$B$26)/FixedParams!$B$32)</f>
        <v>511.46473454111282</v>
      </c>
      <c r="R28" s="24">
        <f t="shared" si="2"/>
        <v>151.63369194882247</v>
      </c>
      <c r="S28" s="24">
        <f>R28^((FixedParams!$B$47-1)/FixedParams!$B$47)*EXP($C28)</f>
        <v>0.86721155140707318</v>
      </c>
      <c r="T28" s="7">
        <f>(L28*FixedParams!$B$32*(FixedParams!$C$25-FixedParams!$C$23)+FixedParams!$B$33*(FixedParams!$C$28-FixedParams!$C$26)*M28)/N28</f>
        <v>-2820.990741400813</v>
      </c>
      <c r="U28" s="7">
        <f>(L28*FixedParams!$B$32*(FixedParams!$C$25-FixedParams!$C$23)*$Z$12/$B$11+FixedParams!$B$33*(FixedParams!$C$28-FixedParams!$C$26)*M28)/N28</f>
        <v>-2965.8981851627113</v>
      </c>
      <c r="V28" s="14">
        <f t="shared" si="13"/>
        <v>-2.7620851648745091</v>
      </c>
      <c r="W28" s="14">
        <f t="shared" si="14"/>
        <v>0.13161064722963434</v>
      </c>
      <c r="X28" s="73">
        <f t="shared" si="15"/>
        <v>0.98860490376735899</v>
      </c>
      <c r="Y28" s="24">
        <f>EXP(-$D$17)*(($B28*FixedParams!$B$30)^$B$10*(1+FixedParams!$C$24)^(1-$B$10)+(1-$B28)^$B$10*((1+FixedParams!$C$27)/$Z$12)^(1-$B$10))^(1/(1-$B$10))</f>
        <v>5.6458936289999979</v>
      </c>
      <c r="Z28" s="24">
        <f>EXP($D28-$D$17)*(($B28*FixedParams!$C$31)^$B$10*(1+FixedParams!$C$25)^(1-$B$10)+(1-$B28)^$B$10*((1+FixedParams!$C$28)/$Z$12)^(1-$B$10))^(1/(1-$B$10))</f>
        <v>4.029301018669976</v>
      </c>
      <c r="AA28" s="24">
        <f>EXP($D28-$D$17)*(($B28*FixedParams!$C$30)^$B$10*(1+FixedParams!$C$23)^(1-$B$10)+(1-$B28)^$B$10*((1+FixedParams!$C$26)/$Z$12)^(1-$B$10))^(1/(1-$B$10))</f>
        <v>4.1804528769314011</v>
      </c>
      <c r="AB28">
        <f>IF(FixedParams!$I$6=1,IF(Z28&lt;=MIN(Y28:AA28),1,0),$H28)</f>
        <v>1</v>
      </c>
      <c r="AC28">
        <f>IF(FixedParams!$I$6=1,IF(AA28&lt;=MIN(Y28:AA28),1,0),IF(AA28&lt;=Y28,1,0)*(1-$H28))</f>
        <v>0</v>
      </c>
      <c r="AD28" s="24">
        <f>$Z$13*IF(AB28=1,1,IF(AC28=1,FixedParams!$C$52,FixedParams!$C$53))</f>
        <v>0.43187184563106507</v>
      </c>
      <c r="AE28">
        <f>EXP($C28*FixedParams!$B$47)*EXP(IF(AB28+AC28=1,(1-FixedParams!$B$47)*$D28,0))*($B28^((FixedParams!$B$47-1)*$B$10/($B$10-1)))*((1/$B28-1)^$B$10*(AD28)^($B$10-1)+1)^((FixedParams!$B$47-$B$10)/($B$10-1))/((1+IF(AB28=1,FixedParams!$C$25,IF(AC28=1,FixedParams!$C$23,FixedParams!$C$24)))^FixedParams!$B$47)</f>
        <v>3.5429165802629517E-2</v>
      </c>
      <c r="AF28">
        <f t="shared" si="39"/>
        <v>1.043997643221769</v>
      </c>
      <c r="AG28">
        <f t="shared" si="40"/>
        <v>24.521901451474147</v>
      </c>
      <c r="AH28">
        <f t="shared" si="3"/>
        <v>180.03837874232124</v>
      </c>
      <c r="AI28">
        <f t="shared" si="16"/>
        <v>204.56028019379539</v>
      </c>
      <c r="AJ28" s="24">
        <f t="shared" si="17"/>
        <v>7.3419420226688068</v>
      </c>
      <c r="AK28" s="24">
        <f t="shared" si="18"/>
        <v>1.3457616460768842</v>
      </c>
      <c r="AL28" s="23">
        <f>IF(AB28=1,AG28*(1+FixedParams!$C$25)+AH28*(1+FixedParams!$C$28)/$Z$12,IF(AC28=1,AG28*(1+FixedParams!$C$23)+AH28*(1+FixedParams!$C$26)/$Z$12,AG28*(1+FixedParams!$C$24)+AH28*(1+FixedParams!$C$27)/$Z$12))</f>
        <v>604.01563872747204</v>
      </c>
      <c r="AM28" s="24">
        <f t="shared" si="19"/>
        <v>149.90581143695499</v>
      </c>
      <c r="AN28" s="24">
        <f>AM28^((FixedParams!$B$47-1)/FixedParams!$B$47)*EXP($C28)</f>
        <v>0.86722150010620791</v>
      </c>
      <c r="AO28" s="24">
        <f t="shared" si="20"/>
        <v>-2.7318367524822938E-2</v>
      </c>
      <c r="AP28" s="24">
        <f t="shared" si="21"/>
        <v>-1.146051780663104E-2</v>
      </c>
      <c r="AQ28" s="14">
        <f t="shared" si="22"/>
        <v>-2.8332297767563936</v>
      </c>
      <c r="AS28" s="24">
        <f>EXP(-$D$17)*(($B28*FixedParams!$B$30)^$B$10*(1+FixedParams!$D$24)^(1-$B$10)+(1-$B28)^$B$10*((1+FixedParams!$D$27)/$AT$12)^(1-$B$10))^(1/(1-$B$10))</f>
        <v>5.3618947525181468</v>
      </c>
      <c r="AT28" s="24">
        <f>EXP($D28-$D$17)*(($B28*FixedParams!$C$31)^$B$10*(1+FixedParams!$D$25)^(1-$B$10)+(1-$B28)^$B$10*((1+FixedParams!$D$28)/$AT$12)^(1-$B$10))^(1/(1-$B$10))</f>
        <v>3.9518346877006674</v>
      </c>
      <c r="AU28" s="24">
        <f>EXP($D28-$D$17)*(($B28*FixedParams!$C$30)^$B$10*(1+FixedParams!$D$23)^(1-$B$10)+(1-$B28)^$B$10*((1+FixedParams!$D$26)/$AT$12)^(1-$B$10))^(1/(1-$B$10))</f>
        <v>4.0553127617687963</v>
      </c>
      <c r="AV28">
        <f>IF(FixedParams!$I$6=1,IF(AT28&lt;=MIN(AS28:AU28),1,0),$H28)</f>
        <v>1</v>
      </c>
      <c r="AW28">
        <f>IF(FixedParams!$I$6=1,IF(AU28&lt;=MIN(AS28:AU28),1,0),IF(AU28&lt;=AS28,1,0)*(1-$H28))</f>
        <v>0</v>
      </c>
      <c r="AX28" s="24">
        <f>$AT$13*IF(AV28=1,1,IF(AW28=1,FixedParams!$D$52,FixedParams!$D$53))</f>
        <v>0.41089128090616783</v>
      </c>
      <c r="AY28">
        <f>EXP($C28*FixedParams!$B$47)*EXP(IF(AV28+AW28=1,(1-FixedParams!$B$47)*$D28,0))*($B28^((FixedParams!$B$47-1)*$B$10/($B$10-1)))*((1/$B28-1)^$B$10*(AX28)^($B$10-1)+1)^((FixedParams!$B$47-$B$10)/($B$10-1))/((1+IF(AV28=1,FixedParams!$D$25,IF(AW28=1,FixedParams!$D$23,FixedParams!$D$24)))^FixedParams!$B$47)</f>
        <v>3.8761603885640358E-2</v>
      </c>
      <c r="AZ28">
        <f t="shared" si="4"/>
        <v>1.043756224014855</v>
      </c>
      <c r="BA28">
        <f t="shared" si="23"/>
        <v>26.26076700124916</v>
      </c>
      <c r="BB28">
        <f t="shared" si="5"/>
        <v>178.92721680622967</v>
      </c>
      <c r="BC28">
        <f t="shared" si="24"/>
        <v>205.18798380747882</v>
      </c>
      <c r="BD28" s="24">
        <f t="shared" si="25"/>
        <v>6.8134802307075999</v>
      </c>
      <c r="BE28" s="24">
        <f t="shared" si="26"/>
        <v>1.3382009217851285</v>
      </c>
      <c r="BF28" s="23">
        <f>IF(AV28=1,BA28*(1+FixedParams!$C$25)+BB28*(1+FixedParams!$C$28)/$AT$12,IF(AW28=1,BA28*(1+FixedParams!$C$23)+BB28*(1+FixedParams!$C$26)/$AT$12,BA28*(1+FixedParams!$C$24)+BB28*(1+FixedParams!$C$27)/$AT$12))</f>
        <v>595.11609366704079</v>
      </c>
      <c r="BG28" s="24">
        <f t="shared" si="27"/>
        <v>150.59235537337284</v>
      </c>
      <c r="BH28" s="24">
        <f>BG28^((FixedParams!$B$47-1)/FixedParams!$B$47)*EXP($C28)</f>
        <v>0.86721753348421904</v>
      </c>
      <c r="BI28" s="7"/>
      <c r="BJ28" s="24">
        <f>EXP(-$D$17)*(($B28*FixedParams!$B$30)^$B$10*(1+FixedParams!$C$24)^(1-$B$10)+(1-$B28)^$B$10*((1+FixedParams!$C$27)/$BK$12)^(1-$B$10))^(1/(1-$B$10))</f>
        <v>5.9212299323228539</v>
      </c>
      <c r="BK28" s="24">
        <f>EXP($D28-$D$17)*(($B28*FixedParams!$C$31)^$B$10*(1+FixedParams!$C$25)^(1-$B$10)+(1-$B28)^$B$10*((1+FixedParams!$C$28)/$BK$12)^(1-$B$10))^(1/(1-$B$10))</f>
        <v>4.2252346633038238</v>
      </c>
      <c r="BL28" s="24">
        <f>EXP($D28-$D$17)*(($B28*FixedParams!$C$30)^$B$10*(1+FixedParams!$C$23)^(1-$B$10)+(1-$B28)^$B$10*((1+FixedParams!$C$26)/$BK$12)^(1-$B$10))^(1/(1-$B$10))</f>
        <v>4.3823943915493464</v>
      </c>
      <c r="BM28">
        <f>IF(FixedParams!$I$6=1,IF(BK28&lt;=MIN(BJ28:BL28),1,0),$H28)</f>
        <v>1</v>
      </c>
      <c r="BN28">
        <f>IF(FixedParams!$I$6=1,IF(BL28&lt;=MIN(BJ28:BL28),1,0),IF(BL28&lt;=BJ28,1,0)*(1-$H28))</f>
        <v>0</v>
      </c>
      <c r="BO28" s="24">
        <f>$BK$13*IF(BM28=1,1,IF(BN28=1,FixedParams!$C$52,FixedParams!$C$53))</f>
        <v>0.41068174962109105</v>
      </c>
      <c r="BP28">
        <f>EXP($C28*FixedParams!$B$47)*EXP(IF(BM28+BN28=1,(1-FixedParams!$B$47)*$D28,0))*($B28^((FixedParams!$B$47-1)*$B$10/($B$10-1)))*((1/$B28-1)^$B$10*(BO28)^($B$10-1)+1)^((FixedParams!$B$47-$B$10)/($B$10-1))/((1+IF(BM28=1,FixedParams!$C$25,IF(BN28=1,FixedParams!$C$23,FixedParams!$C$24)))^FixedParams!$B$47)</f>
        <v>3.6282074278460953E-2</v>
      </c>
      <c r="BQ28">
        <f t="shared" si="28"/>
        <v>1.0437537236118786</v>
      </c>
      <c r="BR28">
        <f t="shared" si="29"/>
        <v>26.620060767816195</v>
      </c>
      <c r="BS28">
        <f t="shared" si="6"/>
        <v>181.2365388045439</v>
      </c>
      <c r="BT28">
        <f t="shared" si="30"/>
        <v>207.8565995723601</v>
      </c>
      <c r="BU28" s="24">
        <f t="shared" si="31"/>
        <v>6.8082691615662991</v>
      </c>
      <c r="BV28" s="24">
        <f t="shared" si="32"/>
        <v>1.341960640284251</v>
      </c>
      <c r="BW28" s="23">
        <f>IF(BM28=1,BR28*(1+FixedParams!$C$25)+BS28*(1+FixedParams!$C$28)/$BK$12,IF(BN28=1,BR28*(1+FixedParams!$C$23)+BS28*(1+FixedParams!$C$26)/$BK$12,BR28*(1+FixedParams!$C$24)+BS28*(1+FixedParams!$C$27)/$BK$12))</f>
        <v>640.3133001345974</v>
      </c>
      <c r="BX28" s="24">
        <f t="shared" si="33"/>
        <v>151.54502676400921</v>
      </c>
      <c r="BY28" s="24">
        <f>BX28^((FixedParams!$B$47-1)/FixedParams!$B$47)*EXP($C28)</f>
        <v>0.86721205915026811</v>
      </c>
      <c r="BZ28" s="24">
        <f t="shared" si="34"/>
        <v>-1.1332651440104565E-2</v>
      </c>
      <c r="CA28" s="24">
        <f t="shared" si="35"/>
        <v>-5.849037671079889E-4</v>
      </c>
      <c r="CB28" s="24">
        <f t="shared" si="36"/>
        <v>1.6743552152299262E-2</v>
      </c>
      <c r="CC28" s="24"/>
      <c r="CD28" s="24">
        <f>EXP(-$D$17)*(($B28*FixedParams!$B$30)^$B$10*(1+FixedParams!$D$24)^(1-$B$10)+(1-$B28)^$B$10*((1+FixedParams!$D$27)/$CE$12)^(1-$B$10))^(1/(1-$B$10))</f>
        <v>5.6053755571354609</v>
      </c>
      <c r="CE28" s="24">
        <f>EXP($D28-$D$17)*(($B28*FixedParams!$D$31)^$B$10*(1+FixedParams!$D$25)^(1-$B$10)+(1-$B28)^$B$10*((1+FixedParams!$D$28)/$CE$12)^(1-$B$10))^(1/(1-$B$10))</f>
        <v>4.130926818679054</v>
      </c>
      <c r="CF28" s="24">
        <f>EXP($D28-$D$17)*(($B28*FixedParams!$D$30)^$B$10*(1+FixedParams!$D$23)^(1-$B$10)+(1-$B28)^$B$10*((1+FixedParams!$D$26)/$CE$12)^(1-$B$10))^(1/(1-$B$10))</f>
        <v>4.2381160738109225</v>
      </c>
      <c r="CG28">
        <f>IF(FixedParams!$I$6=1,IF(CE28&lt;=MIN(CD28:CF28),1,0),$H28)</f>
        <v>1</v>
      </c>
      <c r="CH28">
        <f>IF(FixedParams!$I$6=1,IF(CF28&lt;=MIN(CD28:CF28),1,0),IF(CF28&lt;=CD28,1,0)*(1-$H28))</f>
        <v>0</v>
      </c>
      <c r="CI28" s="24">
        <f>$CE$13*IF(CG28=1,1,IF(CH28=1,FixedParams!$D$52,FixedParams!$D$53))</f>
        <v>0.39201585704839609</v>
      </c>
      <c r="CJ28">
        <f>EXP($C28*FixedParams!$B$47)*EXP(IF(CG28+CH28=1,(1-FixedParams!$B$47)*$D28,0))*($B28^((FixedParams!$B$47-1)*$B$10/($B$10-1)))*((1/$B28-1)^$B$10*(CI28)^($B$10-1)+1)^((FixedParams!$B$47-$B$10)/($B$10-1))/((1+IF(CG28=1,FixedParams!$D$25,IF(CH28=1,FixedParams!$D$23,FixedParams!$D$24)))^FixedParams!$B$47)</f>
        <v>3.9631942028087584E-2</v>
      </c>
      <c r="CK28">
        <f t="shared" si="37"/>
        <v>1.0435233086782754</v>
      </c>
      <c r="CL28">
        <f t="shared" si="41"/>
        <v>28.509350835689592</v>
      </c>
      <c r="CM28">
        <f t="shared" si="7"/>
        <v>181.01784568899635</v>
      </c>
      <c r="CN28">
        <f t="shared" si="42"/>
        <v>209.52719652468593</v>
      </c>
      <c r="CO28" s="24">
        <f t="shared" si="43"/>
        <v>6.3494201159567663</v>
      </c>
      <c r="CP28" s="24">
        <f t="shared" si="44"/>
        <v>1.3345866184230595</v>
      </c>
      <c r="CQ28" s="23">
        <f>IF(CG28=1,CL28*(1+FixedParams!$D$25)+CM28*(1+FixedParams!$D$28)/$CE$12,IF(CH28=1,CL28*(1+FixedParams!$D$23)+CM28*(1+FixedParams!$D$26)/$CE$12,CL28*(1+FixedParams!$D$24)+CM28*(1+FixedParams!$D$27)/$CE$12))</f>
        <v>627.78041018599254</v>
      </c>
      <c r="CR28" s="24">
        <f t="shared" si="45"/>
        <v>151.97083795997574</v>
      </c>
      <c r="CS28" s="24">
        <f>CR28^((FixedParams!$B$47-1)/FixedParams!$B$47)*EXP($C28)</f>
        <v>0.86720962344255936</v>
      </c>
      <c r="CT28" s="24"/>
    </row>
    <row r="29" spans="1:104" x14ac:dyDescent="0.15">
      <c r="A29">
        <v>0.06</v>
      </c>
      <c r="B29">
        <f t="shared" si="8"/>
        <v>0.10366203751919055</v>
      </c>
      <c r="C29">
        <f>(D29-$D$17)*FixedParams!$B$47+$A29*$B$9</f>
        <v>-0.14994090965550327</v>
      </c>
      <c r="D29">
        <f>(A29-$B$6)*FixedParams!$B$46/(FixedParams!$B$45*Sectors!$B$6)</f>
        <v>-0.23907462915283559</v>
      </c>
      <c r="E29">
        <f t="shared" si="9"/>
        <v>0.86075883745857906</v>
      </c>
      <c r="F29" s="24">
        <f>EXP(-$D$17)*(($B29*FixedParams!$B$30)^$B$10*(1+FixedParams!$B$23)^(1-$B$10)+(1-$B29)^$B$10*((1+FixedParams!$B$26)/$B$11)^(1-$B$10))^(1/(1-$B$10))</f>
        <v>4.4402829194568598</v>
      </c>
      <c r="G29" s="24">
        <f>EXP($D29-$D$17)*(($B29*FixedParams!$B$31)^$B$10*(1+FixedParams!$B$25)^(1-$B$10)+(1-$B29)^$B$10*((1+FixedParams!$B$28)/$B$11)^(1-$B$10))^(1/(1-$B$10))</f>
        <v>3.3872593075198267</v>
      </c>
      <c r="H29">
        <f t="shared" si="10"/>
        <v>1</v>
      </c>
      <c r="I29" s="24">
        <f>$B$12*IF(H29=1,1,FixedParams!$B$52)</f>
        <v>0.3745928365283252</v>
      </c>
      <c r="J29">
        <f>EXP($C29*FixedParams!$B$47)*EXP(IF(H29=1,(1-FixedParams!$B$47)*$D29,0))*($B29^((FixedParams!$B$47-1)*$B$10/($B$10-1)))*((1/$B29-1)^$B$10*(I29)^($B$10-1)+1)^((FixedParams!$B$47-$B$10)/($B$10-1))/((1+IF(H29=1,FixedParams!$B$25,FixedParams!$B$24))^FixedParams!$B$47)</f>
        <v>5.1938854143283586E-2</v>
      </c>
      <c r="K29">
        <f t="shared" si="38"/>
        <v>1.0472214272804958</v>
      </c>
      <c r="L29">
        <f>K29*FixedParams!$B$8/K$15</f>
        <v>30.446004074650233</v>
      </c>
      <c r="M29">
        <f t="shared" si="0"/>
        <v>177.47924702367581</v>
      </c>
      <c r="N29">
        <f t="shared" si="11"/>
        <v>207.92525109832604</v>
      </c>
      <c r="O29" s="24">
        <f t="shared" si="12"/>
        <v>5.8293116754670447</v>
      </c>
      <c r="P29" s="24">
        <f t="shared" si="1"/>
        <v>1.3244693973879194</v>
      </c>
      <c r="Q29" s="23">
        <f>IF(H29=1,L29*(1+FixedParams!$B$25)+M29*FixedParams!$B$33*(1+FixedParams!$B$28)/FixedParams!$B$32,L29*(1+FixedParams!$B$23)+M29*FixedParams!$B$33*(1+FixedParams!$B$26)/FixedParams!$B$32)</f>
        <v>505.12214296671152</v>
      </c>
      <c r="R29" s="24">
        <f t="shared" si="2"/>
        <v>149.12414347650437</v>
      </c>
      <c r="S29" s="24">
        <f>R29^((FixedParams!$B$47-1)/FixedParams!$B$47)*EXP($C29)</f>
        <v>0.85645740100780299</v>
      </c>
      <c r="T29" s="7">
        <f>(L29*FixedParams!$B$32*(FixedParams!$C$25-FixedParams!$C$23)+FixedParams!$B$33*(FixedParams!$C$28-FixedParams!$C$26)*M29)/N29</f>
        <v>-2796.6508323993285</v>
      </c>
      <c r="U29" s="7">
        <f>(L29*FixedParams!$B$32*(FixedParams!$C$25-FixedParams!$C$23)*$Z$12/$B$11+FixedParams!$B$33*(FixedParams!$C$28-FixedParams!$C$26)*M29)/N29</f>
        <v>-2943.7130156266835</v>
      </c>
      <c r="V29" s="14">
        <f t="shared" si="13"/>
        <v>-2.7448145395784254</v>
      </c>
      <c r="W29" s="14">
        <f t="shared" si="14"/>
        <v>0.14180893829864238</v>
      </c>
      <c r="X29" s="73">
        <f t="shared" si="15"/>
        <v>0.98847246265316835</v>
      </c>
      <c r="Y29" s="24">
        <f>EXP(-$D$17)*(($B29*FixedParams!$B$30)^$B$10*(1+FixedParams!$C$24)^(1-$B$10)+(1-$B29)^$B$10*((1+FixedParams!$C$27)/$Z$12)^(1-$B$10))^(1/(1-$B$10))</f>
        <v>5.6556077475909801</v>
      </c>
      <c r="Z29" s="24">
        <f>EXP($D29-$D$17)*(($B29*FixedParams!$C$31)^$B$10*(1+FixedParams!$C$25)^(1-$B$10)+(1-$B29)^$B$10*((1+FixedParams!$C$28)/$Z$12)^(1-$B$10))^(1/(1-$B$10))</f>
        <v>4.0468435659719333</v>
      </c>
      <c r="AA29" s="24">
        <f>EXP($D29-$D$17)*(($B29*FixedParams!$C$30)^$B$10*(1+FixedParams!$C$23)^(1-$B$10)+(1-$B29)^$B$10*((1+FixedParams!$C$26)/$Z$12)^(1-$B$10))^(1/(1-$B$10))</f>
        <v>4.1977739143197326</v>
      </c>
      <c r="AB29">
        <f>IF(FixedParams!$I$6=1,IF(Z29&lt;=MIN(Y29:AA29),1,0),$H29)</f>
        <v>1</v>
      </c>
      <c r="AC29">
        <f>IF(FixedParams!$I$6=1,IF(AA29&lt;=MIN(Y29:AA29),1,0),IF(AA29&lt;=Y29,1,0)*(1-$H29))</f>
        <v>0</v>
      </c>
      <c r="AD29" s="24">
        <f>$Z$13*IF(AB29=1,1,IF(AC29=1,FixedParams!$C$52,FixedParams!$C$53))</f>
        <v>0.43187184563106507</v>
      </c>
      <c r="AE29">
        <f>EXP($C29*FixedParams!$B$47)*EXP(IF(AB29+AC29=1,(1-FixedParams!$B$47)*$D29,0))*($B29^((FixedParams!$B$47-1)*$B$10/($B$10-1)))*((1/$B29-1)^$B$10*(AD29)^($B$10-1)+1)^((FixedParams!$B$47-$B$10)/($B$10-1))/((1+IF(AB29=1,FixedParams!$C$25,IF(AC29=1,FixedParams!$C$23,FixedParams!$C$24)))^FixedParams!$B$47)</f>
        <v>3.5564943980755062E-2</v>
      </c>
      <c r="AF29">
        <f t="shared" si="39"/>
        <v>1.0479986433794835</v>
      </c>
      <c r="AG29">
        <f t="shared" si="40"/>
        <v>24.615878801147115</v>
      </c>
      <c r="AH29">
        <f t="shared" si="3"/>
        <v>177.63386212595543</v>
      </c>
      <c r="AI29">
        <f t="shared" si="16"/>
        <v>202.24974092710255</v>
      </c>
      <c r="AJ29" s="24">
        <f t="shared" si="17"/>
        <v>7.2162307736775819</v>
      </c>
      <c r="AK29" s="24">
        <f t="shared" si="18"/>
        <v>1.3516207484929297</v>
      </c>
      <c r="AL29" s="23">
        <f>IF(AB29=1,AG29*(1+FixedParams!$C$25)+AH29*(1+FixedParams!$C$28)/$Z$12,IF(AC29=1,AG29*(1+FixedParams!$C$23)+AH29*(1+FixedParams!$C$26)/$Z$12,AG29*(1+FixedParams!$C$24)+AH29*(1+FixedParams!$C$27)/$Z$12))</f>
        <v>596.52541833717999</v>
      </c>
      <c r="AM29" s="24">
        <f t="shared" si="19"/>
        <v>147.40510934326468</v>
      </c>
      <c r="AN29" s="24">
        <f>AM29^((FixedParams!$B$47-1)/FixedParams!$B$47)*EXP($C29)</f>
        <v>0.85646734119621692</v>
      </c>
      <c r="AO29" s="24">
        <f t="shared" si="20"/>
        <v>-2.7675370408936209E-2</v>
      </c>
      <c r="AP29" s="24">
        <f t="shared" si="21"/>
        <v>-1.1594494470001104E-2</v>
      </c>
      <c r="AQ29" s="14">
        <f t="shared" si="22"/>
        <v>-2.8159591514603104</v>
      </c>
      <c r="AS29" s="24">
        <f>EXP(-$D$17)*(($B29*FixedParams!$B$30)^$B$10*(1+FixedParams!$D$24)^(1-$B$10)+(1-$B29)^$B$10*((1+FixedParams!$D$27)/$AT$12)^(1-$B$10))^(1/(1-$B$10))</f>
        <v>5.3707230639445509</v>
      </c>
      <c r="AT29" s="24">
        <f>EXP($D29-$D$17)*(($B29*FixedParams!$C$31)^$B$10*(1+FixedParams!$D$25)^(1-$B$10)+(1-$B29)^$B$10*((1+FixedParams!$D$28)/$AT$12)^(1-$B$10))^(1/(1-$B$10))</f>
        <v>3.9688574703665602</v>
      </c>
      <c r="AU29" s="24">
        <f>EXP($D29-$D$17)*(($B29*FixedParams!$C$30)^$B$10*(1+FixedParams!$D$23)^(1-$B$10)+(1-$B29)^$B$10*((1+FixedParams!$D$26)/$AT$12)^(1-$B$10))^(1/(1-$B$10))</f>
        <v>4.0720927733115309</v>
      </c>
      <c r="AV29">
        <f>IF(FixedParams!$I$6=1,IF(AT29&lt;=MIN(AS29:AU29),1,0),$H29)</f>
        <v>1</v>
      </c>
      <c r="AW29">
        <f>IF(FixedParams!$I$6=1,IF(AU29&lt;=MIN(AS29:AU29),1,0),IF(AU29&lt;=AS29,1,0)*(1-$H29))</f>
        <v>0</v>
      </c>
      <c r="AX29" s="24">
        <f>$AT$13*IF(AV29=1,1,IF(AW29=1,FixedParams!$D$52,FixedParams!$D$53))</f>
        <v>0.41089128090616783</v>
      </c>
      <c r="AY29">
        <f>EXP($C29*FixedParams!$B$47)*EXP(IF(AV29+AW29=1,(1-FixedParams!$B$47)*$D29,0))*($B29^((FixedParams!$B$47-1)*$B$10/($B$10-1)))*((1/$B29-1)^$B$10*(AX29)^($B$10-1)+1)^((FixedParams!$B$47-$B$10)/($B$10-1))/((1+IF(AV29=1,FixedParams!$D$25,IF(AW29=1,FixedParams!$D$23,FixedParams!$D$24)))^FixedParams!$B$47)</f>
        <v>3.8909256905445083E-2</v>
      </c>
      <c r="AZ29">
        <f t="shared" si="4"/>
        <v>1.04773216264914</v>
      </c>
      <c r="BA29">
        <f t="shared" si="23"/>
        <v>26.360801085534288</v>
      </c>
      <c r="BB29">
        <f t="shared" si="5"/>
        <v>176.5334736476419</v>
      </c>
      <c r="BC29">
        <f t="shared" si="24"/>
        <v>202.89427473317619</v>
      </c>
      <c r="BD29" s="24">
        <f t="shared" si="25"/>
        <v>6.6968174857370375</v>
      </c>
      <c r="BE29" s="24">
        <f t="shared" si="26"/>
        <v>1.3439653085206726</v>
      </c>
      <c r="BF29" s="23">
        <f>IF(AV29=1,BA29*(1+FixedParams!$C$25)+BB29*(1+FixedParams!$C$28)/$AT$12,IF(AW29=1,BA29*(1+FixedParams!$C$23)+BB29*(1+FixedParams!$C$26)/$AT$12,BA29*(1+FixedParams!$C$24)+BB29*(1+FixedParams!$C$27)/$AT$12))</f>
        <v>587.77208979821773</v>
      </c>
      <c r="BG29" s="24">
        <f t="shared" si="27"/>
        <v>148.09604380777412</v>
      </c>
      <c r="BH29" s="24">
        <f>BG29^((FixedParams!$B$47-1)/FixedParams!$B$47)*EXP($C29)</f>
        <v>0.85646333204196701</v>
      </c>
      <c r="BI29" s="7"/>
      <c r="BJ29" s="24">
        <f>EXP(-$D$17)*(($B29*FixedParams!$B$30)^$B$10*(1+FixedParams!$C$24)^(1-$B$10)+(1-$B29)^$B$10*((1+FixedParams!$C$27)/$BK$12)^(1-$B$10))^(1/(1-$B$10))</f>
        <v>5.9311545179549015</v>
      </c>
      <c r="BK29" s="24">
        <f>EXP($D29-$D$17)*(($B29*FixedParams!$C$31)^$B$10*(1+FixedParams!$C$25)^(1-$B$10)+(1-$B29)^$B$10*((1+FixedParams!$C$28)/$BK$12)^(1-$B$10))^(1/(1-$B$10))</f>
        <v>4.2434331131643042</v>
      </c>
      <c r="BL29" s="24">
        <f>EXP($D29-$D$17)*(($B29*FixedParams!$C$30)^$B$10*(1+FixedParams!$C$23)^(1-$B$10)+(1-$B29)^$B$10*((1+FixedParams!$C$26)/$BK$12)^(1-$B$10))^(1/(1-$B$10))</f>
        <v>4.4003270608826721</v>
      </c>
      <c r="BM29">
        <f>IF(FixedParams!$I$6=1,IF(BK29&lt;=MIN(BJ29:BL29),1,0),$H29)</f>
        <v>1</v>
      </c>
      <c r="BN29">
        <f>IF(FixedParams!$I$6=1,IF(BL29&lt;=MIN(BJ29:BL29),1,0),IF(BL29&lt;=BJ29,1,0)*(1-$H29))</f>
        <v>0</v>
      </c>
      <c r="BO29" s="24">
        <f>$BK$13*IF(BM29=1,1,IF(BN29=1,FixedParams!$C$52,FixedParams!$C$53))</f>
        <v>0.41068174962109105</v>
      </c>
      <c r="BP29">
        <f>EXP($C29*FixedParams!$B$47)*EXP(IF(BM29+BN29=1,(1-FixedParams!$B$47)*$D29,0))*($B29^((FixedParams!$B$47-1)*$B$10/($B$10-1)))*((1/$B29-1)^$B$10*(BO29)^($B$10-1)+1)^((FixedParams!$B$47-$B$10)/($B$10-1))/((1+IF(BM29=1,FixedParams!$C$25,IF(BN29=1,FixedParams!$C$23,FixedParams!$C$24)))^FixedParams!$B$47)</f>
        <v>3.6420273436341438E-2</v>
      </c>
      <c r="BQ29">
        <f t="shared" si="28"/>
        <v>1.0477294027456212</v>
      </c>
      <c r="BR29">
        <f t="shared" si="29"/>
        <v>26.721457119981853</v>
      </c>
      <c r="BS29">
        <f t="shared" si="6"/>
        <v>178.81185816591704</v>
      </c>
      <c r="BT29">
        <f t="shared" si="30"/>
        <v>205.53331528589891</v>
      </c>
      <c r="BU29" s="24">
        <f t="shared" si="31"/>
        <v>6.691695642308539</v>
      </c>
      <c r="BV29" s="24">
        <f t="shared" si="32"/>
        <v>1.3477405804232101</v>
      </c>
      <c r="BW29" s="23">
        <f>IF(BM29=1,BR29*(1+FixedParams!$C$25)+BS29*(1+FixedParams!$C$28)/$BK$12,IF(BN29=1,BR29*(1+FixedParams!$C$23)+BS29*(1+FixedParams!$C$26)/$BK$12,BR29*(1+FixedParams!$C$24)+BS29*(1+FixedParams!$C$27)/$BK$12))</f>
        <v>632.37293373634509</v>
      </c>
      <c r="BX29" s="24">
        <f t="shared" si="33"/>
        <v>149.02389571654825</v>
      </c>
      <c r="BY29" s="24">
        <f>BX29^((FixedParams!$B$47-1)/FixedParams!$B$47)*EXP($C29)</f>
        <v>0.85645797752618114</v>
      </c>
      <c r="BZ29" s="24">
        <f t="shared" si="34"/>
        <v>-1.1570506416845252E-2</v>
      </c>
      <c r="CA29" s="24">
        <f t="shared" si="35"/>
        <v>-6.7246971675706839E-4</v>
      </c>
      <c r="CB29" s="24">
        <f t="shared" si="36"/>
        <v>1.6655986202650182E-2</v>
      </c>
      <c r="CC29" s="24"/>
      <c r="CD29" s="24">
        <f>EXP(-$D$17)*(($B29*FixedParams!$B$30)^$B$10*(1+FixedParams!$D$24)^(1-$B$10)+(1-$B29)^$B$10*((1+FixedParams!$D$27)/$CE$12)^(1-$B$10))^(1/(1-$B$10))</f>
        <v>5.6143632110739539</v>
      </c>
      <c r="CE29" s="24">
        <f>EXP($D29-$D$17)*(($B29*FixedParams!$D$31)^$B$10*(1+FixedParams!$D$25)^(1-$B$10)+(1-$B29)^$B$10*((1+FixedParams!$D$28)/$CE$12)^(1-$B$10))^(1/(1-$B$10))</f>
        <v>4.1485370177761753</v>
      </c>
      <c r="CF29" s="24">
        <f>EXP($D29-$D$17)*(($B29*FixedParams!$D$30)^$B$10*(1+FixedParams!$D$23)^(1-$B$10)+(1-$B29)^$B$10*((1+FixedParams!$D$26)/$CE$12)^(1-$B$10))^(1/(1-$B$10))</f>
        <v>4.2554486822781081</v>
      </c>
      <c r="CG29">
        <f>IF(FixedParams!$I$6=1,IF(CE29&lt;=MIN(CD29:CF29),1,0),$H29)</f>
        <v>1</v>
      </c>
      <c r="CH29">
        <f>IF(FixedParams!$I$6=1,IF(CF29&lt;=MIN(CD29:CF29),1,0),IF(CF29&lt;=CD29,1,0)*(1-$H29))</f>
        <v>0</v>
      </c>
      <c r="CI29" s="24">
        <f>$CE$13*IF(CG29=1,1,IF(CH29=1,FixedParams!$D$52,FixedParams!$D$53))</f>
        <v>0.39201585704839609</v>
      </c>
      <c r="CJ29">
        <f>EXP($C29*FixedParams!$B$47)*EXP(IF(CG29+CH29=1,(1-FixedParams!$B$47)*$D29,0))*($B29^((FixedParams!$B$47-1)*$B$10/($B$10-1)))*((1/$B29-1)^$B$10*(CI29)^($B$10-1)+1)^((FixedParams!$B$47-$B$10)/($B$10-1))/((1+IF(CG29=1,FixedParams!$D$25,IF(CH29=1,FixedParams!$D$23,FixedParams!$D$24)))^FixedParams!$B$47)</f>
        <v>3.978202624593271E-2</v>
      </c>
      <c r="CK29">
        <f t="shared" si="37"/>
        <v>1.0474750801931596</v>
      </c>
      <c r="CL29">
        <f t="shared" si="41"/>
        <v>28.617314347001109</v>
      </c>
      <c r="CM29">
        <f t="shared" si="7"/>
        <v>178.59216428796066</v>
      </c>
      <c r="CN29">
        <f t="shared" si="42"/>
        <v>207.20947863496176</v>
      </c>
      <c r="CO29" s="24">
        <f t="shared" si="43"/>
        <v>6.2407031674052194</v>
      </c>
      <c r="CP29" s="24">
        <f t="shared" si="44"/>
        <v>1.3402759799378925</v>
      </c>
      <c r="CQ29" s="23">
        <f>IF(CG29=1,CL29*(1+FixedParams!$D$25)+CM29*(1+FixedParams!$D$28)/$CE$12,IF(CH29=1,CL29*(1+FixedParams!$D$23)+CM29*(1+FixedParams!$D$26)/$CE$12,CL29*(1+FixedParams!$D$24)+CM29*(1+FixedParams!$D$27)/$CE$12))</f>
        <v>619.99543383913942</v>
      </c>
      <c r="CR29" s="24">
        <f t="shared" si="45"/>
        <v>149.44917477715751</v>
      </c>
      <c r="CS29" s="24">
        <f>CR29^((FixedParams!$B$47-1)/FixedParams!$B$47)*EXP($C29)</f>
        <v>0.85645553443831068</v>
      </c>
      <c r="CT29" s="24"/>
    </row>
    <row r="30" spans="1:104" x14ac:dyDescent="0.15">
      <c r="A30">
        <v>6.5000000000000002E-2</v>
      </c>
      <c r="B30">
        <f t="shared" si="8"/>
        <v>0.1047367440345308</v>
      </c>
      <c r="C30">
        <f>(D30-$D$17)*FixedParams!$B$47+$A30*$B$9</f>
        <v>-0.16243598546012858</v>
      </c>
      <c r="D30">
        <f>(A30-$B$6)*FixedParams!$B$46/(FixedParams!$B$45*Sectors!$B$6)</f>
        <v>-0.23635787200337155</v>
      </c>
      <c r="E30">
        <f t="shared" si="9"/>
        <v>0.85007050535595841</v>
      </c>
      <c r="F30" s="24">
        <f>EXP(-$D$17)*(($B30*FixedParams!$B$30)^$B$10*(1+FixedParams!$B$23)^(1-$B$10)+(1-$B30)^$B$10*((1+FixedParams!$B$26)/$B$11)^(1-$B$10))^(1/(1-$B$10))</f>
        <v>4.4471195478698098</v>
      </c>
      <c r="G30" s="24">
        <f>EXP($D30-$D$17)*(($B30*FixedParams!$B$31)^$B$10*(1+FixedParams!$B$25)^(1-$B$10)+(1-$B30)^$B$10*((1+FixedParams!$B$28)/$B$11)^(1-$B$10))^(1/(1-$B$10))</f>
        <v>3.401560924384369</v>
      </c>
      <c r="H30">
        <f t="shared" si="10"/>
        <v>1</v>
      </c>
      <c r="I30" s="24">
        <f>$B$12*IF(H30=1,1,FixedParams!$B$52)</f>
        <v>0.3745928365283252</v>
      </c>
      <c r="J30">
        <f>EXP($C30*FixedParams!$B$47)*EXP(IF(H30=1,(1-FixedParams!$B$47)*$D30,0))*($B30^((FixedParams!$B$47-1)*$B$10/($B$10-1)))*((1/$B30-1)^$B$10*(I30)^($B$10-1)+1)^((FixedParams!$B$47-$B$10)/($B$10-1))/((1+IF(H30=1,FixedParams!$B$25,FixedParams!$B$24))^FixedParams!$B$47)</f>
        <v>5.2133518704001132E-2</v>
      </c>
      <c r="K30">
        <f t="shared" si="38"/>
        <v>1.0511463675295274</v>
      </c>
      <c r="L30">
        <f>K30*FixedParams!$B$8/K$15</f>
        <v>30.560114370430849</v>
      </c>
      <c r="M30">
        <f t="shared" si="0"/>
        <v>175.09418145815243</v>
      </c>
      <c r="N30">
        <f t="shared" si="11"/>
        <v>205.65429582858329</v>
      </c>
      <c r="O30" s="24">
        <f t="shared" si="12"/>
        <v>5.7295002019877543</v>
      </c>
      <c r="P30" s="24">
        <f t="shared" si="1"/>
        <v>1.3300615449475117</v>
      </c>
      <c r="Q30" s="23">
        <f>IF(H30=1,L30*(1+FixedParams!$B$25)+M30*FixedParams!$B$33*(1+FixedParams!$B$28)/FixedParams!$B$32,L30*(1+FixedParams!$B$23)+M30*FixedParams!$B$33*(1+FixedParams!$B$26)/FixedParams!$B$32)</f>
        <v>498.85820639632902</v>
      </c>
      <c r="R30" s="24">
        <f t="shared" si="2"/>
        <v>146.65567293539357</v>
      </c>
      <c r="S30" s="24">
        <f>R30^((FixedParams!$B$47-1)/FixedParams!$B$47)*EXP($C30)</f>
        <v>0.84583661371932828</v>
      </c>
      <c r="T30" s="7">
        <f>(L30*FixedParams!$B$32*(FixedParams!$C$25-FixedParams!$C$23)+FixedParams!$B$33*(FixedParams!$C$28-FixedParams!$C$26)*M30)/N30</f>
        <v>-2772.0118453306955</v>
      </c>
      <c r="U30" s="7">
        <f>(L30*FixedParams!$B$32*(FixedParams!$C$25-FixedParams!$C$23)*$Z$12/$B$11+FixedParams!$B$33*(FixedParams!$C$28-FixedParams!$C$26)*M30)/N30</f>
        <v>-2921.2552445117499</v>
      </c>
      <c r="V30" s="14">
        <f t="shared" si="13"/>
        <v>-2.7275439142823417</v>
      </c>
      <c r="W30" s="14">
        <f t="shared" si="14"/>
        <v>0.15189584384461657</v>
      </c>
      <c r="X30" s="73">
        <f t="shared" si="15"/>
        <v>0.98833800415026862</v>
      </c>
      <c r="Y30" s="24">
        <f>EXP(-$D$17)*(($B30*FixedParams!$B$30)^$B$10*(1+FixedParams!$C$24)^(1-$B$10)+(1-$B30)^$B$10*((1+FixedParams!$C$27)/$Z$12)^(1-$B$10))^(1/(1-$B$10))</f>
        <v>5.6653758936776555</v>
      </c>
      <c r="Z30" s="24">
        <f>EXP($D30-$D$17)*(($B30*FixedParams!$C$31)^$B$10*(1+FixedParams!$C$25)^(1-$B$10)+(1-$B30)^$B$10*((1+FixedParams!$C$28)/$Z$12)^(1-$B$10))^(1/(1-$B$10))</f>
        <v>4.0644834970594355</v>
      </c>
      <c r="AA30" s="24">
        <f>EXP($D30-$D$17)*(($B30*FixedParams!$C$30)^$B$10*(1+FixedParams!$C$23)^(1-$B$10)+(1-$B30)^$B$10*((1+FixedParams!$C$26)/$Z$12)^(1-$B$10))^(1/(1-$B$10))</f>
        <v>4.2151749663110403</v>
      </c>
      <c r="AB30">
        <f>IF(FixedParams!$I$6=1,IF(Z30&lt;=MIN(Y30:AA30),1,0),$H30)</f>
        <v>1</v>
      </c>
      <c r="AC30">
        <f>IF(FixedParams!$I$6=1,IF(AA30&lt;=MIN(Y30:AA30),1,0),IF(AA30&lt;=Y30,1,0)*(1-$H30))</f>
        <v>0</v>
      </c>
      <c r="AD30" s="24">
        <f>$Z$13*IF(AB30=1,1,IF(AC30=1,FixedParams!$C$52,FixedParams!$C$53))</f>
        <v>0.43187184563106507</v>
      </c>
      <c r="AE30">
        <f>EXP($C30*FixedParams!$B$47)*EXP(IF(AB30+AC30=1,(1-FixedParams!$B$47)*$D30,0))*($B30^((FixedParams!$B$47-1)*$B$10/($B$10-1)))*((1/$B30-1)^$B$10*(AD30)^($B$10-1)+1)^((FixedParams!$B$47-$B$10)/($B$10-1))/((1+IF(AB30=1,FixedParams!$C$25,IF(AC30=1,FixedParams!$C$23,FixedParams!$C$24)))^FixedParams!$B$47)</f>
        <v>3.5700675334260884E-2</v>
      </c>
      <c r="AF30">
        <f t="shared" si="39"/>
        <v>1.051998263747651</v>
      </c>
      <c r="AG30">
        <f t="shared" si="40"/>
        <v>24.709823741682463</v>
      </c>
      <c r="AH30">
        <f t="shared" si="3"/>
        <v>175.25867487378883</v>
      </c>
      <c r="AI30">
        <f t="shared" si="16"/>
        <v>199.9684986154713</v>
      </c>
      <c r="AJ30" s="24">
        <f t="shared" si="17"/>
        <v>7.0926719958001483</v>
      </c>
      <c r="AK30" s="24">
        <f t="shared" si="18"/>
        <v>1.3575123764916825</v>
      </c>
      <c r="AL30" s="23">
        <f>IF(AB30=1,AG30*(1+FixedParams!$C$25)+AH30*(1+FixedParams!$C$28)/$Z$12,IF(AC30=1,AG30*(1+FixedParams!$C$23)+AH30*(1+FixedParams!$C$26)/$Z$12,AG30*(1+FixedParams!$C$24)+AH30*(1+FixedParams!$C$27)/$Z$12))</f>
        <v>589.12808501328072</v>
      </c>
      <c r="AM30" s="24">
        <f t="shared" si="19"/>
        <v>144.94537508628144</v>
      </c>
      <c r="AN30" s="24">
        <f>AM30^((FixedParams!$B$47-1)/FixedParams!$B$47)*EXP($C30)</f>
        <v>0.84584654582169128</v>
      </c>
      <c r="AO30" s="24">
        <f t="shared" si="20"/>
        <v>-2.8036736266264069E-2</v>
      </c>
      <c r="AP30" s="24">
        <f t="shared" si="21"/>
        <v>-1.1730530276533941E-2</v>
      </c>
      <c r="AQ30" s="14">
        <f t="shared" si="22"/>
        <v>-2.7986885261642267</v>
      </c>
      <c r="AS30" s="24">
        <f>EXP(-$D$17)*(($B30*FixedParams!$B$30)^$B$10*(1+FixedParams!$D$24)^(1-$B$10)+(1-$B30)^$B$10*((1+FixedParams!$D$27)/$AT$12)^(1-$B$10))^(1/(1-$B$10))</f>
        <v>5.3795951790245109</v>
      </c>
      <c r="AT30" s="24">
        <f>EXP($D30-$D$17)*(($B30*FixedParams!$C$31)^$B$10*(1+FixedParams!$D$25)^(1-$B$10)+(1-$B30)^$B$10*((1+FixedParams!$D$28)/$AT$12)^(1-$B$10))^(1/(1-$B$10))</f>
        <v>3.9859713568409432</v>
      </c>
      <c r="AU30" s="24">
        <f>EXP($D30-$D$17)*(($B30*FixedParams!$C$30)^$B$10*(1+FixedParams!$D$23)^(1-$B$10)+(1-$B30)^$B$10*((1+FixedParams!$D$26)/$AT$12)^(1-$B$10))^(1/(1-$B$10))</f>
        <v>4.0889498732986116</v>
      </c>
      <c r="AV30">
        <f>IF(FixedParams!$I$6=1,IF(AT30&lt;=MIN(AS30:AU30),1,0),$H30)</f>
        <v>1</v>
      </c>
      <c r="AW30">
        <f>IF(FixedParams!$I$6=1,IF(AU30&lt;=MIN(AS30:AU30),1,0),IF(AU30&lt;=AS30,1,0)*(1-$H30))</f>
        <v>0</v>
      </c>
      <c r="AX30" s="24">
        <f>$AT$13*IF(AV30=1,1,IF(AW30=1,FixedParams!$D$52,FixedParams!$D$53))</f>
        <v>0.41089128090616783</v>
      </c>
      <c r="AY30">
        <f>EXP($C30*FixedParams!$B$47)*EXP(IF(AV30+AW30=1,(1-FixedParams!$B$47)*$D30,0))*($B30^((FixedParams!$B$47-1)*$B$10/($B$10-1)))*((1/$B30-1)^$B$10*(AX30)^($B$10-1)+1)^((FixedParams!$B$47-$B$10)/($B$10-1))/((1+IF(AV30=1,FixedParams!$D$25,IF(AW30=1,FixedParams!$D$23,FixedParams!$D$24)))^FixedParams!$B$47)</f>
        <v>3.9056838006500075E-2</v>
      </c>
      <c r="AZ30">
        <f t="shared" si="4"/>
        <v>1.0517061646854744</v>
      </c>
      <c r="BA30">
        <f t="shared" si="23"/>
        <v>26.460786445273975</v>
      </c>
      <c r="BB30">
        <f t="shared" si="5"/>
        <v>174.16892583906741</v>
      </c>
      <c r="BC30">
        <f t="shared" si="24"/>
        <v>200.62971228434139</v>
      </c>
      <c r="BD30" s="24">
        <f t="shared" si="25"/>
        <v>6.5821522802915347</v>
      </c>
      <c r="BE30" s="24">
        <f t="shared" si="26"/>
        <v>1.349760545534666</v>
      </c>
      <c r="BF30" s="23">
        <f>IF(AV30=1,BA30*(1+FixedParams!$C$25)+BB30*(1+FixedParams!$C$28)/$AT$12,IF(AW30=1,BA30*(1+FixedParams!$C$23)+BB30*(1+FixedParams!$C$26)/$AT$12,BA30*(1+FixedParams!$C$24)+BB30*(1+FixedParams!$C$27)/$AT$12))</f>
        <v>580.51926013466027</v>
      </c>
      <c r="BG30" s="24">
        <f t="shared" si="27"/>
        <v>145.64060003550733</v>
      </c>
      <c r="BH30" s="24">
        <f>BG30^((FixedParams!$B$47-1)/FixedParams!$B$47)*EXP($C30)</f>
        <v>0.84584249440814807</v>
      </c>
      <c r="BI30" s="7"/>
      <c r="BJ30" s="24">
        <f>EXP(-$D$17)*(($B30*FixedParams!$B$30)^$B$10*(1+FixedParams!$C$24)^(1-$B$10)+(1-$B30)^$B$10*((1+FixedParams!$C$27)/$BK$12)^(1-$B$10))^(1/(1-$B$10))</f>
        <v>5.9411307783884446</v>
      </c>
      <c r="BK30" s="24">
        <f>EXP($D30-$D$17)*(($B30*FixedParams!$C$31)^$B$10*(1+FixedParams!$C$25)^(1-$B$10)+(1-$B30)^$B$10*((1+FixedParams!$C$28)/$BK$12)^(1-$B$10))^(1/(1-$B$10))</f>
        <v>4.2617289210097198</v>
      </c>
      <c r="BL30" s="24">
        <f>EXP($D30-$D$17)*(($B30*FixedParams!$C$30)^$B$10*(1+FixedParams!$C$23)^(1-$B$10)+(1-$B30)^$B$10*((1+FixedParams!$C$26)/$BK$12)^(1-$B$10))^(1/(1-$B$10))</f>
        <v>4.4183383209451357</v>
      </c>
      <c r="BM30">
        <f>IF(FixedParams!$I$6=1,IF(BK30&lt;=MIN(BJ30:BL30),1,0),$H30)</f>
        <v>1</v>
      </c>
      <c r="BN30">
        <f>IF(FixedParams!$I$6=1,IF(BL30&lt;=MIN(BJ30:BL30),1,0),IF(BL30&lt;=BJ30,1,0)*(1-$H30))</f>
        <v>0</v>
      </c>
      <c r="BO30" s="24">
        <f>$BK$13*IF(BM30=1,1,IF(BN30=1,FixedParams!$C$52,FixedParams!$C$53))</f>
        <v>0.41068174962109105</v>
      </c>
      <c r="BP30">
        <f>EXP($C30*FixedParams!$B$47)*EXP(IF(BM30+BN30=1,(1-FixedParams!$B$47)*$D30,0))*($B30^((FixedParams!$B$47-1)*$B$10/($B$10-1)))*((1/$B30-1)^$B$10*(BO30)^($B$10-1)+1)^((FixedParams!$B$47-$B$10)/($B$10-1))/((1+IF(BM30=1,FixedParams!$C$25,IF(BN30=1,FixedParams!$C$23,FixedParams!$C$24)))^FixedParams!$B$47)</f>
        <v>3.6558405075862006E-2</v>
      </c>
      <c r="BQ30">
        <f t="shared" si="28"/>
        <v>1.0517031395279142</v>
      </c>
      <c r="BR30">
        <f t="shared" si="29"/>
        <v>26.822803934107597</v>
      </c>
      <c r="BS30">
        <f t="shared" si="6"/>
        <v>176.41675018180973</v>
      </c>
      <c r="BT30">
        <f t="shared" si="30"/>
        <v>203.23955411591731</v>
      </c>
      <c r="BU30" s="24">
        <f t="shared" si="31"/>
        <v>6.5771181348225882</v>
      </c>
      <c r="BV30" s="24">
        <f t="shared" si="32"/>
        <v>1.35355144205984</v>
      </c>
      <c r="BW30" s="23">
        <f>IF(BM30=1,BR30*(1+FixedParams!$C$25)+BS30*(1+FixedParams!$C$28)/$BK$12,IF(BN30=1,BR30*(1+FixedParams!$C$23)+BS30*(1+FixedParams!$C$26)/$BK$12,BR30*(1+FixedParams!$C$24)+BS30*(1+FixedParams!$C$27)/$BK$12))</f>
        <v>624.53103663288425</v>
      </c>
      <c r="BX30" s="24">
        <f t="shared" si="33"/>
        <v>146.54405482104571</v>
      </c>
      <c r="BY30" s="24">
        <f>BX30^((FixedParams!$B$47-1)/FixedParams!$B$47)*EXP($C30)</f>
        <v>0.84583725836681389</v>
      </c>
      <c r="BZ30" s="24">
        <f t="shared" si="34"/>
        <v>-1.1811230642579175E-2</v>
      </c>
      <c r="CA30" s="24">
        <f t="shared" si="35"/>
        <v>-7.613794227848828E-4</v>
      </c>
      <c r="CB30" s="24">
        <f t="shared" si="36"/>
        <v>1.6567076496622368E-2</v>
      </c>
      <c r="CC30" s="24"/>
      <c r="CD30" s="24">
        <f>EXP(-$D$17)*(($B30*FixedParams!$B$30)^$B$10*(1+FixedParams!$D$24)^(1-$B$10)+(1-$B30)^$B$10*((1+FixedParams!$D$27)/$CE$12)^(1-$B$10))^(1/(1-$B$10))</f>
        <v>5.6233921361844663</v>
      </c>
      <c r="CE30" s="24">
        <f>EXP($D30-$D$17)*(($B30*FixedParams!$D$31)^$B$10*(1+FixedParams!$D$25)^(1-$B$10)+(1-$B30)^$B$10*((1+FixedParams!$D$28)/$CE$12)^(1-$B$10))^(1/(1-$B$10))</f>
        <v>4.1662380301604944</v>
      </c>
      <c r="CF30" s="24">
        <f>EXP($D30-$D$17)*(($B30*FixedParams!$D$30)^$B$10*(1+FixedParams!$D$23)^(1-$B$10)+(1-$B30)^$B$10*((1+FixedParams!$D$26)/$CE$12)^(1-$B$10))^(1/(1-$B$10))</f>
        <v>4.2728570674931561</v>
      </c>
      <c r="CG30">
        <f>IF(FixedParams!$I$6=1,IF(CE30&lt;=MIN(CD30:CF30),1,0),$H30)</f>
        <v>1</v>
      </c>
      <c r="CH30">
        <f>IF(FixedParams!$I$6=1,IF(CF30&lt;=MIN(CD30:CF30),1,0),IF(CF30&lt;=CD30,1,0)*(1-$H30))</f>
        <v>0</v>
      </c>
      <c r="CI30" s="24">
        <f>$CE$13*IF(CG30=1,1,IF(CH30=1,FixedParams!$D$52,FixedParams!$D$53))</f>
        <v>0.39201585704839609</v>
      </c>
      <c r="CJ30">
        <f>EXP($C30*FixedParams!$B$47)*EXP(IF(CG30+CH30=1,(1-FixedParams!$B$47)*$D30,0))*($B30^((FixedParams!$B$47-1)*$B$10/($B$10-1)))*((1/$B30-1)^$B$10*(CI30)^($B$10-1)+1)^((FixedParams!$B$47-$B$10)/($B$10-1))/((1+IF(CG30=1,FixedParams!$D$25,IF(CH30=1,FixedParams!$D$23,FixedParams!$D$24)))^FixedParams!$B$47)</f>
        <v>3.9932016603972838E-2</v>
      </c>
      <c r="CK30">
        <f t="shared" si="37"/>
        <v>1.0514243803455707</v>
      </c>
      <c r="CL30">
        <f t="shared" si="41"/>
        <v>28.725210339993485</v>
      </c>
      <c r="CM30">
        <f t="shared" si="7"/>
        <v>176.19606559796495</v>
      </c>
      <c r="CN30">
        <f t="shared" si="42"/>
        <v>204.92127593795843</v>
      </c>
      <c r="CO30" s="24">
        <f t="shared" si="43"/>
        <v>6.1338477077276963</v>
      </c>
      <c r="CP30" s="24">
        <f t="shared" si="44"/>
        <v>1.3459946806792935</v>
      </c>
      <c r="CQ30" s="23">
        <f>IF(CG30=1,CL30*(1+FixedParams!$D$25)+CM30*(1+FixedParams!$D$28)/$CE$12,IF(CH30=1,CL30*(1+FixedParams!$D$23)+CM30*(1+FixedParams!$D$26)/$CE$12,CL30*(1+FixedParams!$D$24)+CM30*(1+FixedParams!$D$27)/$CE$12))</f>
        <v>612.30699970362036</v>
      </c>
      <c r="CR30" s="24">
        <f t="shared" si="45"/>
        <v>146.96879901507518</v>
      </c>
      <c r="CS30" s="24">
        <f>CR30^((FixedParams!$B$47-1)/FixedParams!$B$47)*EXP($C30)</f>
        <v>0.84583480788592991</v>
      </c>
      <c r="CT30" s="24"/>
    </row>
    <row r="31" spans="1:104" x14ac:dyDescent="0.15">
      <c r="A31">
        <v>7.0000000000000007E-2</v>
      </c>
      <c r="B31">
        <f t="shared" si="8"/>
        <v>0.10582127705925673</v>
      </c>
      <c r="C31">
        <f>(D31-$D$17)*FixedParams!$B$47+$A31*$B$9</f>
        <v>-0.17493106126475386</v>
      </c>
      <c r="D31">
        <f>(A31-$B$6)*FixedParams!$B$46/(FixedParams!$B$45*Sectors!$B$6)</f>
        <v>-0.23364111485390751</v>
      </c>
      <c r="E31">
        <f t="shared" si="9"/>
        <v>0.83951489386933897</v>
      </c>
      <c r="F31" s="24">
        <f>EXP(-$D$17)*(($B31*FixedParams!$B$30)^$B$10*(1+FixedParams!$B$23)^(1-$B$10)+(1-$B31)^$B$10*((1+FixedParams!$B$26)/$B$11)^(1-$B$10))^(1/(1-$B$10))</f>
        <v>4.4539826036458461</v>
      </c>
      <c r="G31" s="24">
        <f>EXP($D31-$D$17)*(($B31*FixedParams!$B$31)^$B$10*(1+FixedParams!$B$25)^(1-$B$10)+(1-$B31)^$B$10*((1+FixedParams!$B$28)/$B$11)^(1-$B$10))^(1/(1-$B$10))</f>
        <v>3.4159329289618867</v>
      </c>
      <c r="H31">
        <f t="shared" si="10"/>
        <v>1</v>
      </c>
      <c r="I31" s="24">
        <f>$B$12*IF(H31=1,1,FixedParams!$B$52)</f>
        <v>0.3745928365283252</v>
      </c>
      <c r="J31">
        <f>EXP($C31*FixedParams!$B$47)*EXP(IF(H31=1,(1-FixedParams!$B$47)*$D31,0))*($B31^((FixedParams!$B$47-1)*$B$10/($B$10-1)))*((1/$B31-1)^$B$10*(I31)^($B$10-1)+1)^((FixedParams!$B$47-$B$10)/($B$10-1))/((1+IF(H31=1,FixedParams!$B$25,FixedParams!$B$24))^FixedParams!$B$47)</f>
        <v>5.2328013938977652E-2</v>
      </c>
      <c r="K31">
        <f t="shared" si="38"/>
        <v>1.0550678937343505</v>
      </c>
      <c r="L31">
        <f>K31*FixedParams!$B$8/K$15</f>
        <v>30.674125409262384</v>
      </c>
      <c r="M31">
        <f t="shared" si="0"/>
        <v>172.73820034621451</v>
      </c>
      <c r="N31">
        <f t="shared" si="11"/>
        <v>203.4123257554769</v>
      </c>
      <c r="O31" s="24">
        <f t="shared" si="12"/>
        <v>5.6313977347844562</v>
      </c>
      <c r="P31" s="24">
        <f t="shared" si="1"/>
        <v>1.3356812151628337</v>
      </c>
      <c r="Q31" s="23">
        <f>IF(H31=1,L31*(1+FixedParams!$B$25)+M31*FixedParams!$B$33*(1+FixedParams!$B$28)/FixedParams!$B$32,L31*(1+FixedParams!$B$23)+M31*FixedParams!$B$33*(1+FixedParams!$B$26)/FixedParams!$B$32)</f>
        <v>492.67194931535641</v>
      </c>
      <c r="R31" s="24">
        <f t="shared" si="2"/>
        <v>144.22764133869603</v>
      </c>
      <c r="S31" s="24">
        <f>R31^((FixedParams!$B$47-1)/FixedParams!$B$47)*EXP($C31)</f>
        <v>0.83534753551258467</v>
      </c>
      <c r="T31" s="7">
        <f>(L31*FixedParams!$B$32*(FixedParams!$C$25-FixedParams!$C$23)+FixedParams!$B$33*(FixedParams!$C$28-FixedParams!$C$26)*M31)/N31</f>
        <v>-2747.0719762587646</v>
      </c>
      <c r="U31" s="7">
        <f>(L31*FixedParams!$B$32*(FixedParams!$C$25-FixedParams!$C$23)*$Z$12/$B$11+FixedParams!$B$33*(FixedParams!$C$28-FixedParams!$C$26)*M31)/N31</f>
        <v>-2898.5232275788439</v>
      </c>
      <c r="V31" s="14">
        <f t="shared" si="13"/>
        <v>-2.710273288986258</v>
      </c>
      <c r="W31" s="14">
        <f t="shared" si="14"/>
        <v>0.16187278552976692</v>
      </c>
      <c r="X31" s="73">
        <f t="shared" si="15"/>
        <v>0.98820150232576853</v>
      </c>
      <c r="Y31" s="24">
        <f>EXP(-$D$17)*(($B31*FixedParams!$B$30)^$B$10*(1+FixedParams!$C$24)^(1-$B$10)+(1-$B31)^$B$10*((1+FixedParams!$C$27)/$Z$12)^(1-$B$10))^(1/(1-$B$10))</f>
        <v>5.675197535489346</v>
      </c>
      <c r="Z31" s="24">
        <f>EXP($D31-$D$17)*(($B31*FixedParams!$C$31)^$B$10*(1+FixedParams!$C$25)^(1-$B$10)+(1-$B31)^$B$10*((1+FixedParams!$C$28)/$Z$12)^(1-$B$10))^(1/(1-$B$10))</f>
        <v>4.0822207993643067</v>
      </c>
      <c r="AA31" s="24">
        <f>EXP($D31-$D$17)*(($B31*FixedParams!$C$30)^$B$10*(1+FixedParams!$C$23)^(1-$B$10)+(1-$B31)^$B$10*((1+FixedParams!$C$26)/$Z$12)^(1-$B$10))^(1/(1-$B$10))</f>
        <v>4.2326556125092223</v>
      </c>
      <c r="AB31">
        <f>IF(FixedParams!$I$6=1,IF(Z31&lt;=MIN(Y31:AA31),1,0),$H31)</f>
        <v>1</v>
      </c>
      <c r="AC31">
        <f>IF(FixedParams!$I$6=1,IF(AA31&lt;=MIN(Y31:AA31),1,0),IF(AA31&lt;=Y31,1,0)*(1-$H31))</f>
        <v>0</v>
      </c>
      <c r="AD31" s="24">
        <f>$Z$13*IF(AB31=1,1,IF(AC31=1,FixedParams!$C$52,FixedParams!$C$53))</f>
        <v>0.43187184563106507</v>
      </c>
      <c r="AE31">
        <f>EXP($C31*FixedParams!$B$47)*EXP(IF(AB31+AC31=1,(1-FixedParams!$B$47)*$D31,0))*($B31^((FixedParams!$B$47-1)*$B$10/($B$10-1)))*((1/$B31-1)^$B$10*(AD31)^($B$10-1)+1)^((FixedParams!$B$47-$B$10)/($B$10-1))/((1+IF(AB31=1,FixedParams!$C$25,IF(AC31=1,FixedParams!$C$23,FixedParams!$C$24)))^FixedParams!$B$47)</f>
        <v>3.5836346575170513E-2</v>
      </c>
      <c r="AF31">
        <f t="shared" si="39"/>
        <v>1.055996112767063</v>
      </c>
      <c r="AG31">
        <f t="shared" si="40"/>
        <v>24.803727075955667</v>
      </c>
      <c r="AH31">
        <f t="shared" si="3"/>
        <v>172.91245737482922</v>
      </c>
      <c r="AI31">
        <f t="shared" si="16"/>
        <v>197.71618445078488</v>
      </c>
      <c r="AJ31" s="24">
        <f t="shared" si="17"/>
        <v>6.9712288336879729</v>
      </c>
      <c r="AK31" s="24">
        <f t="shared" si="18"/>
        <v>1.3634365258754499</v>
      </c>
      <c r="AL31" s="23">
        <f>IF(AB31=1,AG31*(1+FixedParams!$C$25)+AH31*(1+FixedParams!$C$28)/$Z$12,IF(AC31=1,AG31*(1+FixedParams!$C$23)+AH31*(1+FixedParams!$C$26)/$Z$12,AG31*(1+FixedParams!$C$24)+AH31*(1+FixedParams!$C$27)/$Z$12))</f>
        <v>581.8224867267071</v>
      </c>
      <c r="AM31" s="24">
        <f t="shared" si="19"/>
        <v>142.52597184780154</v>
      </c>
      <c r="AN31" s="24">
        <f>AM31^((FixedParams!$B$47-1)/FixedParams!$B$47)*EXP($C31)</f>
        <v>0.83535745994536648</v>
      </c>
      <c r="AO31" s="24">
        <f t="shared" si="20"/>
        <v>-2.8402489867363608E-2</v>
      </c>
      <c r="AP31" s="24">
        <f t="shared" si="21"/>
        <v>-1.1868652306748729E-2</v>
      </c>
      <c r="AQ31" s="14">
        <f t="shared" si="22"/>
        <v>-2.7814179008681426</v>
      </c>
      <c r="AS31" s="24">
        <f>EXP(-$D$17)*(($B31*FixedParams!$B$30)^$B$10*(1+FixedParams!$D$24)^(1-$B$10)+(1-$B31)^$B$10*((1+FixedParams!$D$27)/$AT$12)^(1-$B$10))^(1/(1-$B$10))</f>
        <v>5.3885104681064435</v>
      </c>
      <c r="AT31" s="24">
        <f>EXP($D31-$D$17)*(($B31*FixedParams!$C$31)^$B$10*(1+FixedParams!$D$25)^(1-$B$10)+(1-$B31)^$B$10*((1+FixedParams!$D$28)/$AT$12)^(1-$B$10))^(1/(1-$B$10))</f>
        <v>4.0031762475549817</v>
      </c>
      <c r="AU31" s="24">
        <f>EXP($D31-$D$17)*(($B31*FixedParams!$C$30)^$B$10*(1+FixedParams!$D$23)^(1-$B$10)+(1-$B31)^$B$10*((1+FixedParams!$D$26)/$AT$12)^(1-$B$10))^(1/(1-$B$10))</f>
        <v>4.1058836439247202</v>
      </c>
      <c r="AV31">
        <f>IF(FixedParams!$I$6=1,IF(AT31&lt;=MIN(AS31:AU31),1,0),$H31)</f>
        <v>1</v>
      </c>
      <c r="AW31">
        <f>IF(FixedParams!$I$6=1,IF(AU31&lt;=MIN(AS31:AU31),1,0),IF(AU31&lt;=AS31,1,0)*(1-$H31))</f>
        <v>0</v>
      </c>
      <c r="AX31" s="24">
        <f>$AT$13*IF(AV31=1,1,IF(AW31=1,FixedParams!$D$52,FixedParams!$D$53))</f>
        <v>0.41089128090616783</v>
      </c>
      <c r="AY31">
        <f>EXP($C31*FixedParams!$B$47)*EXP(IF(AV31+AW31=1,(1-FixedParams!$B$47)*$D31,0))*($B31^((FixedParams!$B$47-1)*$B$10/($B$10-1)))*((1/$B31-1)^$B$10*(AX31)^($B$10-1)+1)^((FixedParams!$B$47-$B$10)/($B$10-1))/((1+IF(AV31=1,FixedParams!$D$25,IF(AW31=1,FixedParams!$D$23,FixedParams!$D$24)))^FixedParams!$B$47)</f>
        <v>3.9204332314182209E-2</v>
      </c>
      <c r="AZ31">
        <f t="shared" si="4"/>
        <v>1.0556778295862403</v>
      </c>
      <c r="BA31">
        <f t="shared" si="23"/>
        <v>26.560713002995342</v>
      </c>
      <c r="BB31">
        <f t="shared" si="5"/>
        <v>171.83321567531107</v>
      </c>
      <c r="BC31">
        <f t="shared" si="24"/>
        <v>198.39392867830639</v>
      </c>
      <c r="BD31" s="24">
        <f t="shared" si="25"/>
        <v>6.4694504118143534</v>
      </c>
      <c r="BE31" s="24">
        <f t="shared" si="26"/>
        <v>1.3555865991103369</v>
      </c>
      <c r="BF31" s="23">
        <f>IF(AV31=1,BA31*(1+FixedParams!$C$25)+BB31*(1+FixedParams!$C$28)/$AT$12,IF(AW31=1,BA31*(1+FixedParams!$C$23)+BB31*(1+FixedParams!$C$26)/$AT$12,BA31*(1+FixedParams!$C$24)+BB31*(1+FixedParams!$C$27)/$AT$12))</f>
        <v>573.35647299126356</v>
      </c>
      <c r="BG31" s="24">
        <f t="shared" si="27"/>
        <v>143.22538842536656</v>
      </c>
      <c r="BH31" s="24">
        <f>BG31^((FixedParams!$B$47-1)/FixedParams!$B$47)*EXP($C31)</f>
        <v>0.83535336654446135</v>
      </c>
      <c r="BI31" s="7"/>
      <c r="BJ31" s="24">
        <f>EXP(-$D$17)*(($B31*FixedParams!$B$30)^$B$10*(1+FixedParams!$C$24)^(1-$B$10)+(1-$B31)^$B$10*((1+FixedParams!$C$27)/$BK$12)^(1-$B$10))^(1/(1-$B$10))</f>
        <v>5.9511580726879751</v>
      </c>
      <c r="BK31" s="24">
        <f>EXP($D31-$D$17)*(($B31*FixedParams!$C$31)^$B$10*(1+FixedParams!$C$25)^(1-$B$10)+(1-$B31)^$B$10*((1+FixedParams!$C$28)/$BK$12)^(1-$B$10))^(1/(1-$B$10))</f>
        <v>4.2801219794253216</v>
      </c>
      <c r="BL31" s="24">
        <f>EXP($D31-$D$17)*(($B31*FixedParams!$C$30)^$B$10*(1+FixedParams!$C$23)^(1-$B$10)+(1-$B31)^$B$10*((1+FixedParams!$C$26)/$BK$12)^(1-$B$10))^(1/(1-$B$10))</f>
        <v>4.4364276321072476</v>
      </c>
      <c r="BM31">
        <f>IF(FixedParams!$I$6=1,IF(BK31&lt;=MIN(BJ31:BL31),1,0),$H31)</f>
        <v>1</v>
      </c>
      <c r="BN31">
        <f>IF(FixedParams!$I$6=1,IF(BL31&lt;=MIN(BJ31:BL31),1,0),IF(BL31&lt;=BJ31,1,0)*(1-$H31))</f>
        <v>0</v>
      </c>
      <c r="BO31" s="24">
        <f>$BK$13*IF(BM31=1,1,IF(BN31=1,FixedParams!$C$52,FixedParams!$C$53))</f>
        <v>0.41068174962109105</v>
      </c>
      <c r="BP31">
        <f>EXP($C31*FixedParams!$B$47)*EXP(IF(BM31+BN31=1,(1-FixedParams!$B$47)*$D31,0))*($B31^((FixedParams!$B$47-1)*$B$10/($B$10-1)))*((1/$B31-1)^$B$10*(BO31)^($B$10-1)+1)^((FixedParams!$B$47-$B$10)/($B$10-1))/((1+IF(BM31=1,FixedParams!$C$25,IF(BN31=1,FixedParams!$C$23,FixedParams!$C$24)))^FixedParams!$B$47)</f>
        <v>3.6696455270668969E-2</v>
      </c>
      <c r="BQ31">
        <f t="shared" si="28"/>
        <v>1.0556745333288649</v>
      </c>
      <c r="BR31">
        <f t="shared" si="29"/>
        <v>26.924090992465004</v>
      </c>
      <c r="BS31">
        <f t="shared" si="6"/>
        <v>174.05085252702949</v>
      </c>
      <c r="BT31">
        <f t="shared" si="30"/>
        <v>200.9749435194945</v>
      </c>
      <c r="BU31" s="24">
        <f t="shared" si="31"/>
        <v>6.4645024627104215</v>
      </c>
      <c r="BV31" s="24">
        <f t="shared" si="32"/>
        <v>1.3593931910785528</v>
      </c>
      <c r="BW31" s="23">
        <f>IF(BM31=1,BR31*(1+FixedParams!$C$25)+BS31*(1+FixedParams!$C$28)/$BK$12,IF(BN31=1,BR31*(1+FixedParams!$C$23)+BS31*(1+FixedParams!$C$26)/$BK$12,BR31*(1+FixedParams!$C$24)+BS31*(1+FixedParams!$C$27)/$BK$12))</f>
        <v>616.78638756245005</v>
      </c>
      <c r="BX31" s="24">
        <f t="shared" si="33"/>
        <v>144.1048620874268</v>
      </c>
      <c r="BY31" s="24">
        <f>BX31^((FixedParams!$B$47-1)/FixedParams!$B$47)*EXP($C31)</f>
        <v>0.83534824764916127</v>
      </c>
      <c r="BZ31" s="24">
        <f t="shared" si="34"/>
        <v>-1.2054839198112212E-2</v>
      </c>
      <c r="CA31" s="24">
        <f t="shared" si="35"/>
        <v>-8.5165048845602033E-4</v>
      </c>
      <c r="CB31" s="24">
        <f t="shared" si="36"/>
        <v>1.647680543095123E-2</v>
      </c>
      <c r="CC31" s="24"/>
      <c r="CD31" s="24">
        <f>EXP(-$D$17)*(($B31*FixedParams!$B$30)^$B$10*(1+FixedParams!$D$24)^(1-$B$10)+(1-$B31)^$B$10*((1+FixedParams!$D$27)/$CE$12)^(1-$B$10))^(1/(1-$B$10))</f>
        <v>5.6324616006702941</v>
      </c>
      <c r="CE31" s="24">
        <f>EXP($D31-$D$17)*(($B31*FixedParams!$D$31)^$B$10*(1+FixedParams!$D$25)^(1-$B$10)+(1-$B31)^$B$10*((1+FixedParams!$D$28)/$CE$12)^(1-$B$10))^(1/(1-$B$10))</f>
        <v>4.1840296652973823</v>
      </c>
      <c r="CF31" s="24">
        <f>EXP($D31-$D$17)*(($B31*FixedParams!$D$30)^$B$10*(1+FixedParams!$D$23)^(1-$B$10)+(1-$B31)^$B$10*((1+FixedParams!$D$26)/$CE$12)^(1-$B$10))^(1/(1-$B$10))</f>
        <v>4.290340703385656</v>
      </c>
      <c r="CG31">
        <f>IF(FixedParams!$I$6=1,IF(CE31&lt;=MIN(CD31:CF31),1,0),$H31)</f>
        <v>1</v>
      </c>
      <c r="CH31">
        <f>IF(FixedParams!$I$6=1,IF(CF31&lt;=MIN(CD31:CF31),1,0),IF(CF31&lt;=CD31,1,0)*(1-$H31))</f>
        <v>0</v>
      </c>
      <c r="CI31" s="24">
        <f>$CE$13*IF(CG31=1,1,IF(CH31=1,FixedParams!$D$52,FixedParams!$D$53))</f>
        <v>0.39201585704839609</v>
      </c>
      <c r="CJ31">
        <f>EXP($C31*FixedParams!$B$47)*EXP(IF(CG31+CH31=1,(1-FixedParams!$B$47)*$D31,0))*($B31^((FixedParams!$B$47-1)*$B$10/($B$10-1)))*((1/$B31-1)^$B$10*(CI31)^($B$10-1)+1)^((FixedParams!$B$47-$B$10)/($B$10-1))/((1+IF(CG31=1,FixedParams!$D$25,IF(CH31=1,FixedParams!$D$23,FixedParams!$D$24)))^FixedParams!$B$47)</f>
        <v>4.0081897566136768E-2</v>
      </c>
      <c r="CK31">
        <f t="shared" si="37"/>
        <v>1.055370800065158</v>
      </c>
      <c r="CL31">
        <f t="shared" si="41"/>
        <v>28.833027638749467</v>
      </c>
      <c r="CM31">
        <f t="shared" si="7"/>
        <v>173.8291874301575</v>
      </c>
      <c r="CN31">
        <f t="shared" si="42"/>
        <v>202.66221506890696</v>
      </c>
      <c r="CO31" s="24">
        <f t="shared" si="43"/>
        <v>6.0288218638733539</v>
      </c>
      <c r="CP31" s="24">
        <f t="shared" si="44"/>
        <v>1.3517426590908668</v>
      </c>
      <c r="CQ31" s="23">
        <f>IF(CG31=1,CL31*(1+FixedParams!$D$25)+CM31*(1+FixedParams!$D$28)/$CE$12,IF(CH31=1,CL31*(1+FixedParams!$D$23)+CM31*(1+FixedParams!$D$26)/$CE$12,CL31*(1+FixedParams!$D$24)+CM31*(1+FixedParams!$D$27)/$CE$12))</f>
        <v>604.71391041894731</v>
      </c>
      <c r="CR31" s="24">
        <f t="shared" si="45"/>
        <v>144.5290685758001</v>
      </c>
      <c r="CS31" s="24">
        <f>CR31^((FixedParams!$B$47-1)/FixedParams!$B$47)*EXP($C31)</f>
        <v>0.83534578976353213</v>
      </c>
      <c r="CT31" s="24"/>
    </row>
    <row r="32" spans="1:104" x14ac:dyDescent="0.15">
      <c r="A32">
        <v>7.4999999999999997E-2</v>
      </c>
      <c r="B32">
        <f t="shared" si="8"/>
        <v>0.10691569910862725</v>
      </c>
      <c r="C32">
        <f>(D32-$D$17)*FixedParams!$B$47+$A32*$B$9</f>
        <v>-0.18742613706937908</v>
      </c>
      <c r="D32">
        <f>(A32-$B$6)*FixedParams!$B$46/(FixedParams!$B$45*Sectors!$B$6)</f>
        <v>-0.23092435770444344</v>
      </c>
      <c r="E32">
        <f t="shared" si="9"/>
        <v>0.82909035496217542</v>
      </c>
      <c r="F32" s="24">
        <f>EXP(-$D$17)*(($B32*FixedParams!$B$30)^$B$10*(1+FixedParams!$B$23)^(1-$B$10)+(1-$B32)^$B$10*((1+FixedParams!$B$26)/$B$11)^(1-$B$10))^(1/(1-$B$10))</f>
        <v>4.4608713952483896</v>
      </c>
      <c r="G32" s="24">
        <f>EXP($D32-$D$17)*(($B32*FixedParams!$B$31)^$B$10*(1+FixedParams!$B$25)^(1-$B$10)+(1-$B32)^$B$10*((1+FixedParams!$B$28)/$B$11)^(1-$B$10))^(1/(1-$B$10))</f>
        <v>3.4303750735895155</v>
      </c>
      <c r="H32">
        <f t="shared" si="10"/>
        <v>1</v>
      </c>
      <c r="I32" s="24">
        <f>$B$12*IF(H32=1,1,FixedParams!$B$52)</f>
        <v>0.3745928365283252</v>
      </c>
      <c r="J32">
        <f>EXP($C32*FixedParams!$B$47)*EXP(IF(H32=1,(1-FixedParams!$B$47)*$D32,0))*($B32^((FixedParams!$B$47-1)*$B$10/($B$10-1)))*((1/$B32-1)^$B$10*(I32)^($B$10-1)+1)^((FixedParams!$B$47-$B$10)/($B$10-1))/((1+IF(H32=1,FixedParams!$B$25,FixedParams!$B$24))^FixedParams!$B$47)</f>
        <v>5.252231875181735E-2</v>
      </c>
      <c r="K32">
        <f t="shared" si="38"/>
        <v>1.058985580537146</v>
      </c>
      <c r="L32">
        <f>K32*FixedParams!$B$8/K$15</f>
        <v>30.788024824661917</v>
      </c>
      <c r="M32">
        <f t="shared" si="0"/>
        <v>170.41094806304562</v>
      </c>
      <c r="N32">
        <f t="shared" si="11"/>
        <v>201.19897288770755</v>
      </c>
      <c r="O32" s="24">
        <f t="shared" si="12"/>
        <v>5.5349750116656571</v>
      </c>
      <c r="P32" s="24">
        <f t="shared" si="1"/>
        <v>1.3413283111939758</v>
      </c>
      <c r="Q32" s="23">
        <f>IF(H32=1,L32*(1+FixedParams!$B$25)+M32*FixedParams!$B$33*(1+FixedParams!$B$28)/FixedParams!$B$32,L32*(1+FixedParams!$B$23)+M32*FixedParams!$B$33*(1+FixedParams!$B$26)/FixedParams!$B$32)</f>
        <v>486.5624083081691</v>
      </c>
      <c r="R32" s="24">
        <f t="shared" si="2"/>
        <v>141.83941926765294</v>
      </c>
      <c r="S32" s="24">
        <f>R32^((FixedParams!$B$47-1)/FixedParams!$B$47)*EXP($C32)</f>
        <v>0.82498853287287843</v>
      </c>
      <c r="T32" s="7">
        <f>(L32*FixedParams!$B$32*(FixedParams!$C$25-FixedParams!$C$23)+FixedParams!$B$33*(FixedParams!$C$28-FixedParams!$C$26)*M32)/N32</f>
        <v>-2721.8294677588274</v>
      </c>
      <c r="U32" s="7">
        <f>(L32*FixedParams!$B$32*(FixedParams!$C$25-FixedParams!$C$23)*$Z$12/$B$11+FixedParams!$B$33*(FixedParams!$C$28-FixedParams!$C$26)*M32)/N32</f>
        <v>-2875.5153629828183</v>
      </c>
      <c r="V32" s="14">
        <f t="shared" si="13"/>
        <v>-2.6930026636901752</v>
      </c>
      <c r="W32" s="14">
        <f t="shared" si="14"/>
        <v>0.17174116696711328</v>
      </c>
      <c r="X32" s="73">
        <f t="shared" si="15"/>
        <v>0.98806293107140097</v>
      </c>
      <c r="Y32" s="24">
        <f>EXP(-$D$17)*(($B32*FixedParams!$B$30)^$B$10*(1+FixedParams!$C$24)^(1-$B$10)+(1-$B32)^$B$10*((1+FixedParams!$C$27)/$Z$12)^(1-$B$10))^(1/(1-$B$10))</f>
        <v>5.6850721136854334</v>
      </c>
      <c r="Z32" s="24">
        <f>EXP($D32-$D$17)*(($B32*FixedParams!$C$31)^$B$10*(1+FixedParams!$C$25)^(1-$B$10)+(1-$B32)^$B$10*((1+FixedParams!$C$28)/$Z$12)^(1-$B$10))^(1/(1-$B$10))</f>
        <v>4.1000554358662438</v>
      </c>
      <c r="AA32" s="24">
        <f>EXP($D32-$D$17)*(($B32*FixedParams!$C$30)^$B$10*(1+FixedParams!$C$23)^(1-$B$10)+(1-$B32)^$B$10*((1+FixedParams!$C$26)/$Z$12)^(1-$B$10))^(1/(1-$B$10))</f>
        <v>4.2502154012807436</v>
      </c>
      <c r="AB32">
        <f>IF(FixedParams!$I$6=1,IF(Z32&lt;=MIN(Y32:AA32),1,0),$H32)</f>
        <v>1</v>
      </c>
      <c r="AC32">
        <f>IF(FixedParams!$I$6=1,IF(AA32&lt;=MIN(Y32:AA32),1,0),IF(AA32&lt;=Y32,1,0)*(1-$H32))</f>
        <v>0</v>
      </c>
      <c r="AD32" s="24">
        <f>$Z$13*IF(AB32=1,1,IF(AC32=1,FixedParams!$C$52,FixedParams!$C$53))</f>
        <v>0.43187184563106507</v>
      </c>
      <c r="AE32">
        <f>EXP($C32*FixedParams!$B$47)*EXP(IF(AB32+AC32=1,(1-FixedParams!$B$47)*$D32,0))*($B32^((FixedParams!$B$47-1)*$B$10/($B$10-1)))*((1/$B32-1)^$B$10*(AD32)^($B$10-1)+1)^((FixedParams!$B$47-$B$10)/($B$10-1))/((1+IF(AB32=1,FixedParams!$C$25,IF(AC32=1,FixedParams!$C$23,FixedParams!$C$24)))^FixedParams!$B$47)</f>
        <v>3.5971944150702491E-2</v>
      </c>
      <c r="AF32">
        <f t="shared" si="39"/>
        <v>1.0599917910754544</v>
      </c>
      <c r="AG32">
        <f t="shared" si="40"/>
        <v>24.897579423560401</v>
      </c>
      <c r="AH32">
        <f t="shared" si="3"/>
        <v>170.59485460661824</v>
      </c>
      <c r="AI32">
        <f t="shared" si="16"/>
        <v>195.49243403017863</v>
      </c>
      <c r="AJ32" s="24">
        <f t="shared" si="17"/>
        <v>6.8518650630424558</v>
      </c>
      <c r="AK32" s="24">
        <f t="shared" si="18"/>
        <v>1.3693931842796792</v>
      </c>
      <c r="AL32" s="23">
        <f>IF(AB32=1,AG32*(1+FixedParams!$C$25)+AH32*(1+FixedParams!$C$28)/$Z$12,IF(AC32=1,AG32*(1+FixedParams!$C$23)+AH32*(1+FixedParams!$C$26)/$Z$12,AG32*(1+FixedParams!$C$24)+AH32*(1+FixedParams!$C$27)/$Z$12))</f>
        <v>574.60748573656451</v>
      </c>
      <c r="AM32" s="24">
        <f t="shared" si="19"/>
        <v>140.14627234306252</v>
      </c>
      <c r="AN32" s="24">
        <f>AM32^((FixedParams!$B$47-1)/FixedParams!$B$47)*EXP($C32)</f>
        <v>0.82499845004436279</v>
      </c>
      <c r="AO32" s="24">
        <f t="shared" si="20"/>
        <v>-2.8772655217047576E-2</v>
      </c>
      <c r="AP32" s="24">
        <f t="shared" si="21"/>
        <v>-1.2008887846338389E-2</v>
      </c>
      <c r="AQ32" s="14">
        <f t="shared" si="22"/>
        <v>-2.7641472755720597</v>
      </c>
      <c r="AS32" s="24">
        <f>EXP(-$D$17)*(($B32*FixedParams!$B$30)^$B$10*(1+FixedParams!$D$24)^(1-$B$10)+(1-$B32)^$B$10*((1+FixedParams!$D$27)/$AT$12)^(1-$B$10))^(1/(1-$B$10))</f>
        <v>5.3974682739608655</v>
      </c>
      <c r="AT32" s="24">
        <f>EXP($D32-$D$17)*(($B32*FixedParams!$C$31)^$B$10*(1+FixedParams!$D$25)^(1-$B$10)+(1-$B32)^$B$10*((1+FixedParams!$D$28)/$AT$12)^(1-$B$10))^(1/(1-$B$10))</f>
        <v>4.020472017627271</v>
      </c>
      <c r="AU32" s="24">
        <f>EXP($D32-$D$17)*(($B32*FixedParams!$C$30)^$B$10*(1+FixedParams!$D$23)^(1-$B$10)+(1-$B32)^$B$10*((1+FixedParams!$D$26)/$AT$12)^(1-$B$10))^(1/(1-$B$10))</f>
        <v>4.1228936369499474</v>
      </c>
      <c r="AV32">
        <f>IF(FixedParams!$I$6=1,IF(AT32&lt;=MIN(AS32:AU32),1,0),$H32)</f>
        <v>1</v>
      </c>
      <c r="AW32">
        <f>IF(FixedParams!$I$6=1,IF(AU32&lt;=MIN(AS32:AU32),1,0),IF(AU32&lt;=AS32,1,0)*(1-$H32))</f>
        <v>0</v>
      </c>
      <c r="AX32" s="24">
        <f>$AT$13*IF(AV32=1,1,IF(AW32=1,FixedParams!$D$52,FixedParams!$D$53))</f>
        <v>0.41089128090616783</v>
      </c>
      <c r="AY32">
        <f>EXP($C32*FixedParams!$B$47)*EXP(IF(AV32+AW32=1,(1-FixedParams!$B$47)*$D32,0))*($B32^((FixedParams!$B$47-1)*$B$10/($B$10-1)))*((1/$B32-1)^$B$10*(AX32)^($B$10-1)+1)^((FixedParams!$B$47-$B$10)/($B$10-1))/((1+IF(AV32=1,FixedParams!$D$25,IF(AW32=1,FixedParams!$D$23,FixedParams!$D$24)))^FixedParams!$B$47)</f>
        <v>3.9351724661499089E-2</v>
      </c>
      <c r="AZ32">
        <f t="shared" si="4"/>
        <v>1.0596467489410233</v>
      </c>
      <c r="BA32">
        <f t="shared" si="23"/>
        <v>26.660570483146973</v>
      </c>
      <c r="BB32">
        <f t="shared" si="5"/>
        <v>169.52599002040824</v>
      </c>
      <c r="BC32">
        <f t="shared" si="24"/>
        <v>196.18656050355523</v>
      </c>
      <c r="BD32" s="24">
        <f t="shared" si="25"/>
        <v>6.3586782633766674</v>
      </c>
      <c r="BE32" s="24">
        <f t="shared" si="26"/>
        <v>1.3614434269593754</v>
      </c>
      <c r="BF32" s="23">
        <f>IF(AV32=1,BA32*(1+FixedParams!$C$25)+BB32*(1+FixedParams!$C$28)/$AT$12,IF(AW32=1,BA32*(1+FixedParams!$C$23)+BB32*(1+FixedParams!$C$26)/$AT$12,BA32*(1+FixedParams!$C$24)+BB32*(1+FixedParams!$C$27)/$AT$12))</f>
        <v>566.28261069156315</v>
      </c>
      <c r="BG32" s="24">
        <f t="shared" si="27"/>
        <v>140.84978286349607</v>
      </c>
      <c r="BH32" s="24">
        <f>BG32^((FixedParams!$B$47-1)/FixedParams!$B$47)*EXP($C32)</f>
        <v>0.82499431492707465</v>
      </c>
      <c r="BI32" s="7"/>
      <c r="BJ32" s="24">
        <f>EXP(-$D$17)*(($B32*FixedParams!$B$30)^$B$10*(1+FixedParams!$C$24)^(1-$B$10)+(1-$B32)^$B$10*((1+FixedParams!$C$27)/$BK$12)^(1-$B$10))^(1/(1-$B$10))</f>
        <v>5.9612357300558401</v>
      </c>
      <c r="BK32" s="24">
        <f>EXP($D32-$D$17)*(($B32*FixedParams!$C$31)^$B$10*(1+FixedParams!$C$25)^(1-$B$10)+(1-$B32)^$B$10*((1+FixedParams!$C$28)/$BK$12)^(1-$B$10))^(1/(1-$B$10))</f>
        <v>4.2986121539182243</v>
      </c>
      <c r="BL32" s="24">
        <f>EXP($D32-$D$17)*(($B32*FixedParams!$C$30)^$B$10*(1+FixedParams!$C$23)^(1-$B$10)+(1-$B32)^$B$10*((1+FixedParams!$C$26)/$BK$12)^(1-$B$10))^(1/(1-$B$10))</f>
        <v>4.4545944207092782</v>
      </c>
      <c r="BM32">
        <f>IF(FixedParams!$I$6=1,IF(BK32&lt;=MIN(BJ32:BL32),1,0),$H32)</f>
        <v>1</v>
      </c>
      <c r="BN32">
        <f>IF(FixedParams!$I$6=1,IF(BL32&lt;=MIN(BJ32:BL32),1,0),IF(BL32&lt;=BJ32,1,0)*(1-$H32))</f>
        <v>0</v>
      </c>
      <c r="BO32" s="24">
        <f>$BK$13*IF(BM32=1,1,IF(BN32=1,FixedParams!$C$52,FixedParams!$C$53))</f>
        <v>0.41068174962109105</v>
      </c>
      <c r="BP32">
        <f>EXP($C32*FixedParams!$B$47)*EXP(IF(BM32+BN32=1,(1-FixedParams!$B$47)*$D32,0))*($B32^((FixedParams!$B$47-1)*$B$10/($B$10-1)))*((1/$B32-1)^$B$10*(BO32)^($B$10-1)+1)^((FixedParams!$B$47-$B$10)/($B$10-1))/((1+IF(BM32=1,FixedParams!$C$25,IF(BN32=1,FixedParams!$C$23,FixedParams!$C$24)))^FixedParams!$B$47)</f>
        <v>3.6834409820717035E-2</v>
      </c>
      <c r="BQ32">
        <f t="shared" si="28"/>
        <v>1.0596431756450886</v>
      </c>
      <c r="BR32">
        <f t="shared" si="29"/>
        <v>27.025307876518855</v>
      </c>
      <c r="BS32">
        <f t="shared" si="6"/>
        <v>171.71380750468202</v>
      </c>
      <c r="BT32">
        <f t="shared" si="30"/>
        <v>198.73911538120089</v>
      </c>
      <c r="BU32" s="24">
        <f t="shared" si="31"/>
        <v>6.3538150347540308</v>
      </c>
      <c r="BV32" s="24">
        <f t="shared" si="32"/>
        <v>1.365265784763577</v>
      </c>
      <c r="BW32" s="23">
        <f>IF(BM32=1,BR32*(1+FixedParams!$C$25)+BS32*(1+FixedParams!$C$28)/$BK$12,IF(BN32=1,BR32*(1+FixedParams!$C$23)+BS32*(1+FixedParams!$C$26)/$BK$12,BR32*(1+FixedParams!$C$24)+BS32*(1+FixedParams!$C$27)/$BK$12))</f>
        <v>609.13778041013836</v>
      </c>
      <c r="BX32" s="24">
        <f t="shared" si="33"/>
        <v>141.70568513721429</v>
      </c>
      <c r="BY32" s="24">
        <f>BX32^((FixedParams!$B$47-1)/FixedParams!$B$47)*EXP($C32)</f>
        <v>0.82498931186445512</v>
      </c>
      <c r="BZ32" s="24">
        <f t="shared" si="34"/>
        <v>-1.2301346623525319E-2</v>
      </c>
      <c r="CA32" s="24">
        <f t="shared" si="35"/>
        <v>-9.4330064795802241E-4</v>
      </c>
      <c r="CB32" s="24">
        <f t="shared" si="36"/>
        <v>1.638515527144923E-2</v>
      </c>
      <c r="CC32" s="24"/>
      <c r="CD32" s="24">
        <f>EXP(-$D$17)*(($B32*FixedParams!$B$30)^$B$10*(1+FixedParams!$D$24)^(1-$B$10)+(1-$B32)^$B$10*((1+FixedParams!$D$27)/$CE$12)^(1-$B$10))^(1/(1-$B$10))</f>
        <v>5.6415708431396263</v>
      </c>
      <c r="CE32" s="24">
        <f>EXP($D32-$D$17)*(($B32*FixedParams!$D$31)^$B$10*(1+FixedParams!$D$25)^(1-$B$10)+(1-$B32)^$B$10*((1+FixedParams!$D$28)/$CE$12)^(1-$B$10))^(1/(1-$B$10))</f>
        <v>4.2019117049144388</v>
      </c>
      <c r="CF32" s="24">
        <f>EXP($D32-$D$17)*(($B32*FixedParams!$D$30)^$B$10*(1+FixedParams!$D$23)^(1-$B$10)+(1-$B32)^$B$10*((1+FixedParams!$D$26)/$CE$12)^(1-$B$10))^(1/(1-$B$10))</f>
        <v>4.3078990309219769</v>
      </c>
      <c r="CG32">
        <f>IF(FixedParams!$I$6=1,IF(CE32&lt;=MIN(CD32:CF32),1,0),$H32)</f>
        <v>1</v>
      </c>
      <c r="CH32">
        <f>IF(FixedParams!$I$6=1,IF(CF32&lt;=MIN(CD32:CF32),1,0),IF(CF32&lt;=CD32,1,0)*(1-$H32))</f>
        <v>0</v>
      </c>
      <c r="CI32" s="24">
        <f>$CE$13*IF(CG32=1,1,IF(CH32=1,FixedParams!$D$52,FixedParams!$D$53))</f>
        <v>0.39201585704839609</v>
      </c>
      <c r="CJ32">
        <f>EXP($C32*FixedParams!$B$47)*EXP(IF(CG32+CH32=1,(1-FixedParams!$B$47)*$D32,0))*($B32^((FixedParams!$B$47-1)*$B$10/($B$10-1)))*((1/$B32-1)^$B$10*(CI32)^($B$10-1)+1)^((FixedParams!$B$47-$B$10)/($B$10-1))/((1+IF(CG32=1,FixedParams!$D$25,IF(CH32=1,FixedParams!$D$23,FixedParams!$D$24)))^FixedParams!$B$47)</f>
        <v>4.0231653294981323E-2</v>
      </c>
      <c r="CK32">
        <f t="shared" si="37"/>
        <v>1.0593139223463381</v>
      </c>
      <c r="CL32">
        <f t="shared" si="41"/>
        <v>28.940754850559017</v>
      </c>
      <c r="CM32">
        <f t="shared" si="7"/>
        <v>171.49117222711195</v>
      </c>
      <c r="CN32">
        <f t="shared" si="42"/>
        <v>200.43192707767096</v>
      </c>
      <c r="CO32" s="24">
        <f t="shared" si="43"/>
        <v>5.9255943085326761</v>
      </c>
      <c r="CP32" s="24">
        <f t="shared" si="44"/>
        <v>1.3575198446549204</v>
      </c>
      <c r="CQ32" s="23">
        <f>IF(CG32=1,CL32*(1+FixedParams!$D$25)+CM32*(1+FixedParams!$D$28)/$CE$12,IF(CH32=1,CL32*(1+FixedParams!$D$23)+CM32*(1+FixedParams!$D$26)/$CE$12,CL32*(1+FixedParams!$D$24)+CM32*(1+FixedParams!$D$27)/$CE$12))</f>
        <v>597.21498347507406</v>
      </c>
      <c r="CR32" s="24">
        <f t="shared" si="45"/>
        <v>142.12935097531633</v>
      </c>
      <c r="CS32" s="24">
        <f>CR32^((FixedParams!$B$47-1)/FixedParams!$B$47)*EXP($C32)</f>
        <v>0.82498684656348475</v>
      </c>
      <c r="CT32" s="24"/>
    </row>
    <row r="33" spans="1:98" x14ac:dyDescent="0.15">
      <c r="A33">
        <v>0.08</v>
      </c>
      <c r="B33">
        <f t="shared" si="8"/>
        <v>0.10802007252025443</v>
      </c>
      <c r="C33">
        <f>(D33-$D$17)*FixedParams!$B$47+$A33*$B$9</f>
        <v>-0.19992121287400438</v>
      </c>
      <c r="D33">
        <f>(A33-$B$6)*FixedParams!$B$46/(FixedParams!$B$45*Sectors!$B$6)</f>
        <v>-0.22820760055497941</v>
      </c>
      <c r="E33">
        <f t="shared" si="9"/>
        <v>0.81879526106214706</v>
      </c>
      <c r="F33" s="24">
        <f>EXP(-$D$17)*(($B33*FixedParams!$B$30)^$B$10*(1+FixedParams!$B$23)^(1-$B$10)+(1-$B33)^$B$10*((1+FixedParams!$B$26)/$B$11)^(1-$B$10))^(1/(1-$B$10))</f>
        <v>4.4677852064399346</v>
      </c>
      <c r="G33" s="24">
        <f>EXP($D33-$D$17)*(($B33*FixedParams!$B$31)^$B$10*(1+FixedParams!$B$25)^(1-$B$10)+(1-$B33)^$B$10*((1+FixedParams!$B$28)/$B$11)^(1-$B$10))^(1/(1-$B$10))</f>
        <v>3.4448870863498029</v>
      </c>
      <c r="H33">
        <f t="shared" si="10"/>
        <v>1</v>
      </c>
      <c r="I33" s="24">
        <f>$B$12*IF(H33=1,1,FixedParams!$B$52)</f>
        <v>0.3745928365283252</v>
      </c>
      <c r="J33">
        <f>EXP($C33*FixedParams!$B$47)*EXP(IF(H33=1,(1-FixedParams!$B$47)*$D33,0))*($B33^((FixedParams!$B$47-1)*$B$10/($B$10-1)))*((1/$B33-1)^$B$10*(I33)^($B$10-1)+1)^((FixedParams!$B$47-$B$10)/($B$10-1))/((1+IF(H33=1,FixedParams!$B$25,FixedParams!$B$24))^FixedParams!$B$47)</f>
        <v>5.2716411646134213E-2</v>
      </c>
      <c r="K33">
        <f t="shared" si="38"/>
        <v>1.0628989945152592</v>
      </c>
      <c r="L33">
        <f>K33*FixedParams!$B$8/K$15</f>
        <v>30.901800015676521</v>
      </c>
      <c r="M33">
        <f t="shared" si="0"/>
        <v>168.11207353981476</v>
      </c>
      <c r="N33">
        <f t="shared" si="11"/>
        <v>199.01387355549127</v>
      </c>
      <c r="O33" s="24">
        <f t="shared" si="12"/>
        <v>5.4402032714771078</v>
      </c>
      <c r="P33" s="24">
        <f t="shared" si="1"/>
        <v>1.3470027267171196</v>
      </c>
      <c r="Q33" s="23">
        <f>IF(H33=1,L33*(1+FixedParams!$B$25)+M33*FixedParams!$B$33*(1+FixedParams!$B$28)/FixedParams!$B$32,L33*(1+FixedParams!$B$23)+M33*FixedParams!$B$33*(1+FixedParams!$B$26)/FixedParams!$B$32)</f>
        <v>480.52863190807778</v>
      </c>
      <c r="R33" s="24">
        <f t="shared" si="2"/>
        <v>139.49038672766636</v>
      </c>
      <c r="S33" s="24">
        <f>R33^((FixedParams!$B$47-1)/FixedParams!$B$47)*EXP($C33)</f>
        <v>0.81475799254547743</v>
      </c>
      <c r="T33" s="7">
        <f>(L33*FixedParams!$B$32*(FixedParams!$C$25-FixedParams!$C$23)+FixedParams!$B$33*(FixedParams!$C$28-FixedParams!$C$26)*M33)/N33</f>
        <v>-2696.2826108574468</v>
      </c>
      <c r="U33" s="7">
        <f>(L33*FixedParams!$B$32*(FixedParams!$C$25-FixedParams!$C$23)*$Z$12/$B$11+FixedParams!$B$33*(FixedParams!$C$28-FixedParams!$C$26)*M33)/N33</f>
        <v>-2852.2300930405509</v>
      </c>
      <c r="V33" s="14">
        <f t="shared" si="13"/>
        <v>-2.6757320383940906</v>
      </c>
      <c r="W33" s="14">
        <f t="shared" si="14"/>
        <v>0.18150237393244664</v>
      </c>
      <c r="X33" s="73">
        <f t="shared" si="15"/>
        <v>0.9879222641079568</v>
      </c>
      <c r="Y33" s="24">
        <f>EXP(-$D$17)*(($B33*FixedParams!$B$30)^$B$10*(1+FixedParams!$C$24)^(1-$B$10)+(1-$B33)^$B$10*((1+FixedParams!$C$27)/$Z$12)^(1-$B$10))^(1/(1-$B$10))</f>
        <v>5.6949990407474447</v>
      </c>
      <c r="Z33" s="24">
        <f>EXP($D33-$D$17)*(($B33*FixedParams!$C$31)^$B$10*(1+FixedParams!$C$25)^(1-$B$10)+(1-$B33)^$B$10*((1+FixedParams!$C$28)/$Z$12)^(1-$B$10))^(1/(1-$B$10))</f>
        <v>4.1179873443502562</v>
      </c>
      <c r="AA33" s="24">
        <f>EXP($D33-$D$17)*(($B33*FixedParams!$C$30)^$B$10*(1+FixedParams!$C$23)^(1-$B$10)+(1-$B33)^$B$10*((1+FixedParams!$C$26)/$Z$12)^(1-$B$10))^(1/(1-$B$10))</f>
        <v>4.267853848984597</v>
      </c>
      <c r="AB33">
        <f>IF(FixedParams!$I$6=1,IF(Z33&lt;=MIN(Y33:AA33),1,0),$H33)</f>
        <v>1</v>
      </c>
      <c r="AC33">
        <f>IF(FixedParams!$I$6=1,IF(AA33&lt;=MIN(Y33:AA33),1,0),IF(AA33&lt;=Y33,1,0)*(1-$H33))</f>
        <v>0</v>
      </c>
      <c r="AD33" s="24">
        <f>$Z$13*IF(AB33=1,1,IF(AC33=1,FixedParams!$C$52,FixedParams!$C$53))</f>
        <v>0.43187184563106507</v>
      </c>
      <c r="AE33">
        <f>EXP($C33*FixedParams!$B$47)*EXP(IF(AB33+AC33=1,(1-FixedParams!$B$47)*$D33,0))*($B33^((FixedParams!$B$47-1)*$B$10/($B$10-1)))*((1/$B33-1)^$B$10*(AD33)^($B$10-1)+1)^((FixedParams!$B$47-$B$10)/($B$10-1))/((1+IF(AB33=1,FixedParams!$C$25,IF(AC33=1,FixedParams!$C$23,FixedParams!$C$24)))^FixedParams!$B$47)</f>
        <v>3.6107454240550806E-2</v>
      </c>
      <c r="AF33">
        <f t="shared" si="39"/>
        <v>1.0639848914273657</v>
      </c>
      <c r="AG33">
        <f t="shared" si="40"/>
        <v>24.991371218926183</v>
      </c>
      <c r="AH33">
        <f t="shared" si="3"/>
        <v>168.30551608012027</v>
      </c>
      <c r="AI33">
        <f t="shared" si="16"/>
        <v>193.29688729904646</v>
      </c>
      <c r="AJ33" s="24">
        <f t="shared" si="17"/>
        <v>6.7345450798098279</v>
      </c>
      <c r="AK33" s="24">
        <f t="shared" si="18"/>
        <v>1.3753823309249478</v>
      </c>
      <c r="AL33" s="23">
        <f>IF(AB33=1,AG33*(1+FixedParams!$C$25)+AH33*(1+FixedParams!$C$28)/$Z$12,IF(AC33=1,AG33*(1+FixedParams!$C$23)+AH33*(1+FixedParams!$C$26)/$Z$12,AG33*(1+FixedParams!$C$24)+AH33*(1+FixedParams!$C$27)/$Z$12))</f>
        <v>567.48195841293386</v>
      </c>
      <c r="AM33" s="24">
        <f t="shared" si="19"/>
        <v>137.80565867729064</v>
      </c>
      <c r="AN33" s="24">
        <f>AM33^((FixedParams!$B$47-1)/FixedParams!$B$47)*EXP($C33)</f>
        <v>0.81476790285577416</v>
      </c>
      <c r="AO33" s="24">
        <f t="shared" si="20"/>
        <v>-2.9147255522758542E-2</v>
      </c>
      <c r="AP33" s="24">
        <f t="shared" si="21"/>
        <v>-1.2151264382382248E-2</v>
      </c>
      <c r="AQ33" s="14">
        <f t="shared" si="22"/>
        <v>-2.7468766502759761</v>
      </c>
      <c r="AS33" s="24">
        <f>EXP(-$D$17)*(($B33*FixedParams!$B$30)^$B$10*(1+FixedParams!$D$24)^(1-$B$10)+(1-$B33)^$B$10*((1+FixedParams!$D$27)/$AT$12)^(1-$B$10))^(1/(1-$B$10))</f>
        <v>5.4064679112167697</v>
      </c>
      <c r="AT33" s="24">
        <f>EXP($D33-$D$17)*(($B33*FixedParams!$C$31)^$B$10*(1+FixedParams!$D$25)^(1-$B$10)+(1-$B33)^$B$10*((1+FixedParams!$D$28)/$AT$12)^(1-$B$10))^(1/(1-$B$10))</f>
        <v>4.0378585161319069</v>
      </c>
      <c r="AU33" s="24">
        <f>EXP($D33-$D$17)*(($B33*FixedParams!$C$30)^$B$10*(1+FixedParams!$D$23)^(1-$B$10)+(1-$B33)^$B$10*((1+FixedParams!$D$26)/$AT$12)^(1-$B$10))^(1/(1-$B$10))</f>
        <v>4.1399793729534107</v>
      </c>
      <c r="AV33">
        <f>IF(FixedParams!$I$6=1,IF(AT33&lt;=MIN(AS33:AU33),1,0),$H33)</f>
        <v>1</v>
      </c>
      <c r="AW33">
        <f>IF(FixedParams!$I$6=1,IF(AU33&lt;=MIN(AS33:AU33),1,0),IF(AU33&lt;=AS33,1,0)*(1-$H33))</f>
        <v>0</v>
      </c>
      <c r="AX33" s="24">
        <f>$AT$13*IF(AV33=1,1,IF(AW33=1,FixedParams!$D$52,FixedParams!$D$53))</f>
        <v>0.41089128090616783</v>
      </c>
      <c r="AY33">
        <f>EXP($C33*FixedParams!$B$47)*EXP(IF(AV33+AW33=1,(1-FixedParams!$B$47)*$D33,0))*($B33^((FixedParams!$B$47-1)*$B$10/($B$10-1)))*((1/$B33-1)^$B$10*(AX33)^($B$10-1)+1)^((FixedParams!$B$47-$B$10)/($B$10-1))/((1+IF(AV33=1,FixedParams!$D$25,IF(AW33=1,FixedParams!$D$23,FixedParams!$D$24)))^FixedParams!$B$47)</f>
        <v>3.9498999586203738E-2</v>
      </c>
      <c r="AZ33">
        <f t="shared" si="4"/>
        <v>1.0636125063889172</v>
      </c>
      <c r="BA33">
        <f t="shared" si="23"/>
        <v>26.760348410144157</v>
      </c>
      <c r="BB33">
        <f t="shared" si="5"/>
        <v>167.24690025277198</v>
      </c>
      <c r="BC33">
        <f t="shared" si="24"/>
        <v>194.00724866291614</v>
      </c>
      <c r="BD33" s="24">
        <f t="shared" si="25"/>
        <v>6.249802793650213</v>
      </c>
      <c r="BE33" s="24">
        <f t="shared" si="26"/>
        <v>1.3673309779740805</v>
      </c>
      <c r="BF33" s="23">
        <f>IF(AV33=1,BA33*(1+FixedParams!$C$25)+BB33*(1+FixedParams!$C$28)/$AT$12,IF(AW33=1,BA33*(1+FixedParams!$C$23)+BB33*(1+FixedParams!$C$26)/$AT$12,BA33*(1+FixedParams!$C$24)+BB33*(1+FixedParams!$C$27)/$AT$12))</f>
        <v>559.29656939363508</v>
      </c>
      <c r="BG33" s="24">
        <f t="shared" si="27"/>
        <v>138.51316661025976</v>
      </c>
      <c r="BH33" s="24">
        <f>BG33^((FixedParams!$B$47-1)/FixedParams!$B$47)*EXP($C33)</f>
        <v>0.81476372629221172</v>
      </c>
      <c r="BI33" s="7"/>
      <c r="BJ33" s="24">
        <f>EXP(-$D$17)*(($B33*FixedParams!$B$30)^$B$10*(1+FixedParams!$C$24)^(1-$B$10)+(1-$B33)^$B$10*((1+FixedParams!$C$27)/$BK$12)^(1-$B$10))^(1/(1-$B$10))</f>
        <v>5.9713630492030951</v>
      </c>
      <c r="BK33" s="24">
        <f>EXP($D33-$D$17)*(($B33*FixedParams!$C$31)^$B$10*(1+FixedParams!$C$25)^(1-$B$10)+(1-$B33)^$B$10*((1+FixedParams!$C$28)/$BK$12)^(1-$B$10))^(1/(1-$B$10))</f>
        <v>4.317199282134796</v>
      </c>
      <c r="BL33" s="24">
        <f>EXP($D33-$D$17)*(($B33*FixedParams!$C$30)^$B$10*(1+FixedParams!$C$23)^(1-$B$10)+(1-$B33)^$B$10*((1+FixedParams!$C$26)/$BK$12)^(1-$B$10))^(1/(1-$B$10))</f>
        <v>4.4728380782611623</v>
      </c>
      <c r="BM33">
        <f>IF(FixedParams!$I$6=1,IF(BK33&lt;=MIN(BJ33:BL33),1,0),$H33)</f>
        <v>1</v>
      </c>
      <c r="BN33">
        <f>IF(FixedParams!$I$6=1,IF(BL33&lt;=MIN(BJ33:BL33),1,0),IF(BL33&lt;=BJ33,1,0)*(1-$H33))</f>
        <v>0</v>
      </c>
      <c r="BO33" s="24">
        <f>$BK$13*IF(BM33=1,1,IF(BN33=1,FixedParams!$C$52,FixedParams!$C$53))</f>
        <v>0.41068174962109105</v>
      </c>
      <c r="BP33">
        <f>EXP($C33*FixedParams!$B$47)*EXP(IF(BM33+BN33=1,(1-FixedParams!$B$47)*$D33,0))*($B33^((FixedParams!$B$47-1)*$B$10/($B$10-1)))*((1/$B33-1)^$B$10*(BO33)^($B$10-1)+1)^((FixedParams!$B$47-$B$10)/($B$10-1))/((1+IF(BM33=1,FixedParams!$C$25,IF(BN33=1,FixedParams!$C$23,FixedParams!$C$24)))^FixedParams!$B$47)</f>
        <v>3.6972254249569438E-2</v>
      </c>
      <c r="BQ33">
        <f t="shared" si="28"/>
        <v>1.063608650022039</v>
      </c>
      <c r="BR33">
        <f t="shared" si="29"/>
        <v>27.126443964946255</v>
      </c>
      <c r="BS33">
        <f t="shared" si="6"/>
        <v>169.40526199060903</v>
      </c>
      <c r="BT33">
        <f t="shared" si="30"/>
        <v>196.53170595555528</v>
      </c>
      <c r="BU33" s="24">
        <f t="shared" si="31"/>
        <v>6.245022834895738</v>
      </c>
      <c r="BV33" s="24">
        <f t="shared" si="32"/>
        <v>1.3711691715503957</v>
      </c>
      <c r="BW33" s="23">
        <f>IF(BM33=1,BR33*(1+FixedParams!$C$25)+BS33*(1+FixedParams!$C$28)/$BK$12,IF(BN33=1,BR33*(1+FixedParams!$C$23)+BS33*(1+FixedParams!$C$26)/$BK$12,BR33*(1+FixedParams!$C$24)+BS33*(1+FixedParams!$C$27)/$BK$12))</f>
        <v>601.58402402006004</v>
      </c>
      <c r="BX33" s="24">
        <f t="shared" si="33"/>
        <v>139.34590105893488</v>
      </c>
      <c r="BY33" s="24">
        <f>BX33^((FixedParams!$B$47-1)/FixedParams!$B$47)*EXP($C33)</f>
        <v>0.81475883776375735</v>
      </c>
      <c r="BZ33" s="24">
        <f t="shared" si="34"/>
        <v>-1.2550766897040945E-2</v>
      </c>
      <c r="CA33" s="24">
        <f t="shared" si="35"/>
        <v>-1.0363477638443458E-3</v>
      </c>
      <c r="CB33" s="24">
        <f t="shared" si="36"/>
        <v>1.6292108155562906E-2</v>
      </c>
      <c r="CC33" s="24"/>
      <c r="CD33" s="24">
        <f>EXP(-$D$17)*(($B33*FixedParams!$B$30)^$B$10*(1+FixedParams!$D$24)^(1-$B$10)+(1-$B33)^$B$10*((1+FixedParams!$D$27)/$CE$12)^(1-$B$10))^(1/(1-$B$10))</f>
        <v>5.6507190720270923</v>
      </c>
      <c r="CE33" s="24">
        <f>EXP($D33-$D$17)*(($B33*FixedParams!$D$31)^$B$10*(1+FixedParams!$D$25)^(1-$B$10)+(1-$B33)^$B$10*((1+FixedParams!$D$28)/$CE$12)^(1-$B$10))^(1/(1-$B$10))</f>
        <v>4.2198839022348364</v>
      </c>
      <c r="CF33" s="24">
        <f>EXP($D33-$D$17)*(($B33*FixedParams!$D$30)^$B$10*(1+FixedParams!$D$23)^(1-$B$10)+(1-$B33)^$B$10*((1+FixedParams!$D$26)/$CE$12)^(1-$B$10))^(1/(1-$B$10))</f>
        <v>4.3255314573318859</v>
      </c>
      <c r="CG33">
        <f>IF(FixedParams!$I$6=1,IF(CE33&lt;=MIN(CD33:CF33),1,0),$H33)</f>
        <v>1</v>
      </c>
      <c r="CH33">
        <f>IF(FixedParams!$I$6=1,IF(CF33&lt;=MIN(CD33:CF33),1,0),IF(CF33&lt;=CD33,1,0)*(1-$H33))</f>
        <v>0</v>
      </c>
      <c r="CI33" s="24">
        <f>$CE$13*IF(CG33=1,1,IF(CH33=1,FixedParams!$D$52,FixedParams!$D$53))</f>
        <v>0.39201585704839609</v>
      </c>
      <c r="CJ33">
        <f>EXP($C33*FixedParams!$B$47)*EXP(IF(CG33+CH33=1,(1-FixedParams!$B$47)*$D33,0))*($B33^((FixedParams!$B$47-1)*$B$10/($B$10-1)))*((1/$B33-1)^$B$10*(CI33)^($B$10-1)+1)^((FixedParams!$B$47-$B$10)/($B$10-1))/((1+IF(CG33=1,FixedParams!$D$25,IF(CH33=1,FixedParams!$D$23,FixedParams!$D$24)))^FixedParams!$B$47)</f>
        <v>4.0381267648835414E-2</v>
      </c>
      <c r="CK33">
        <f t="shared" si="37"/>
        <v>1.0632533221730975</v>
      </c>
      <c r="CL33">
        <f t="shared" si="41"/>
        <v>29.048380363864883</v>
      </c>
      <c r="CM33">
        <f t="shared" si="7"/>
        <v>169.18166700724973</v>
      </c>
      <c r="CN33">
        <f t="shared" si="42"/>
        <v>198.23004737111461</v>
      </c>
      <c r="CO33" s="24">
        <f t="shared" si="43"/>
        <v>5.8241342507930494</v>
      </c>
      <c r="CP33" s="24">
        <f t="shared" si="44"/>
        <v>1.3633261576447815</v>
      </c>
      <c r="CQ33" s="23">
        <f>IF(CG33=1,CL33*(1+FixedParams!$D$25)+CM33*(1+FixedParams!$D$28)/$CE$12,IF(CH33=1,CL33*(1+FixedParams!$D$23)+CM33*(1+FixedParams!$D$26)/$CE$12,CL33*(1+FixedParams!$D$24)+CM33*(1+FixedParams!$D$27)/$CE$12))</f>
        <v>589.80905102822931</v>
      </c>
      <c r="CR33" s="24">
        <f t="shared" si="45"/>
        <v>139.76902319892457</v>
      </c>
      <c r="CS33" s="24">
        <f>CR33^((FixedParams!$B$47-1)/FixedParams!$B$47)*EXP($C33)</f>
        <v>0.81475636503799964</v>
      </c>
      <c r="CT33" s="24"/>
    </row>
    <row r="34" spans="1:98" x14ac:dyDescent="0.15">
      <c r="A34">
        <v>8.5000000000000006E-2</v>
      </c>
      <c r="B34">
        <f t="shared" si="8"/>
        <v>0.10913445943934366</v>
      </c>
      <c r="C34">
        <f>(D34-$D$17)*FixedParams!$B$47+$A34*$B$9</f>
        <v>-0.21241628867862966</v>
      </c>
      <c r="D34">
        <f>(A34-$B$6)*FixedParams!$B$46/(FixedParams!$B$45*Sectors!$B$6)</f>
        <v>-0.22549084340551537</v>
      </c>
      <c r="E34">
        <f t="shared" si="9"/>
        <v>0.80862800480704611</v>
      </c>
      <c r="F34" s="24">
        <f>EXP(-$D$17)*(($B34*FixedParams!$B$30)^$B$10*(1+FixedParams!$B$23)^(1-$B$10)+(1-$B34)^$B$10*((1+FixedParams!$B$26)/$B$11)^(1-$B$10))^(1/(1-$B$10))</f>
        <v>4.4747232958399277</v>
      </c>
      <c r="G34" s="24">
        <f>EXP($D34-$D$17)*(($B34*FixedParams!$B$31)^$B$10*(1+FixedParams!$B$25)^(1-$B$10)+(1-$B34)^$B$10*((1+FixedParams!$B$28)/$B$11)^(1-$B$10))^(1/(1-$B$10))</f>
        <v>3.4594686704374822</v>
      </c>
      <c r="H34">
        <f t="shared" si="10"/>
        <v>1</v>
      </c>
      <c r="I34" s="24">
        <f>$B$12*IF(H34=1,1,FixedParams!$B$52)</f>
        <v>0.3745928365283252</v>
      </c>
      <c r="J34">
        <f>EXP($C34*FixedParams!$B$47)*EXP(IF(H34=1,(1-FixedParams!$B$47)*$D34,0))*($B34^((FixedParams!$B$47-1)*$B$10/($B$10-1)))*((1/$B34-1)^$B$10*(I34)^($B$10-1)+1)^((FixedParams!$B$47-$B$10)/($B$10-1))/((1+IF(H34=1,FixedParams!$B$25,FixedParams!$B$24))^FixedParams!$B$47)</f>
        <v>5.2910270722039333E-2</v>
      </c>
      <c r="K34">
        <f t="shared" si="38"/>
        <v>1.066807694110375</v>
      </c>
      <c r="L34">
        <f>K34*FixedParams!$B$8/K$15</f>
        <v>31.015438144824166</v>
      </c>
      <c r="M34">
        <f t="shared" si="0"/>
        <v>165.84123020903635</v>
      </c>
      <c r="N34">
        <f t="shared" si="11"/>
        <v>196.85666835386053</v>
      </c>
      <c r="O34" s="24">
        <f t="shared" si="12"/>
        <v>5.3470542455229451</v>
      </c>
      <c r="P34" s="24">
        <f t="shared" si="1"/>
        <v>1.3527043456769361</v>
      </c>
      <c r="Q34" s="23">
        <f>IF(H34=1,L34*(1+FixedParams!$B$25)+M34*FixedParams!$B$33*(1+FixedParams!$B$28)/FixedParams!$B$32,L34*(1+FixedParams!$B$23)+M34*FixedParams!$B$33*(1+FixedParams!$B$26)/FixedParams!$B$32)</f>
        <v>474.56968044914453</v>
      </c>
      <c r="R34" s="24">
        <f t="shared" si="2"/>
        <v>137.17993300662866</v>
      </c>
      <c r="S34" s="24">
        <f>R34^((FixedParams!$B$47-1)/FixedParams!$B$47)*EXP($C34)</f>
        <v>0.80465432128435432</v>
      </c>
      <c r="T34" s="7">
        <f>(L34*FixedParams!$B$32*(FixedParams!$C$25-FixedParams!$C$23)+FixedParams!$B$33*(FixedParams!$C$28-FixedParams!$C$26)*M34)/N34</f>
        <v>-2670.4297469932931</v>
      </c>
      <c r="U34" s="7">
        <f>(L34*FixedParams!$B$32*(FixedParams!$C$25-FixedParams!$C$23)*$Z$12/$B$11+FixedParams!$B$33*(FixedParams!$C$28-FixedParams!$C$26)*M34)/N34</f>
        <v>-2828.6659060181946</v>
      </c>
      <c r="V34" s="14">
        <f t="shared" si="13"/>
        <v>-2.6584614130980073</v>
      </c>
      <c r="W34" s="14">
        <f t="shared" si="14"/>
        <v>0.19115777457350913</v>
      </c>
      <c r="X34" s="73">
        <f t="shared" si="15"/>
        <v>0.98777947498995755</v>
      </c>
      <c r="Y34" s="24">
        <f>EXP(-$D$17)*(($B34*FixedParams!$B$30)^$B$10*(1+FixedParams!$C$24)^(1-$B$10)+(1-$B34)^$B$10*((1+FixedParams!$C$27)/$Z$12)^(1-$B$10))^(1/(1-$B$10))</f>
        <v>5.7049777003658528</v>
      </c>
      <c r="Z34" s="24">
        <f>EXP($D34-$D$17)*(($B34*FixedParams!$C$31)^$B$10*(1+FixedParams!$C$25)^(1-$B$10)+(1-$B34)^$B$10*((1+FixedParams!$C$28)/$Z$12)^(1-$B$10))^(1/(1-$B$10))</f>
        <v>4.1360164366523362</v>
      </c>
      <c r="AA34" s="24">
        <f>EXP($D34-$D$17)*(($B34*FixedParams!$C$30)^$B$10*(1+FixedParams!$C$23)^(1-$B$10)+(1-$B34)^$B$10*((1+FixedParams!$C$26)/$Z$12)^(1-$B$10))^(1/(1-$B$10))</f>
        <v>4.2855704391945988</v>
      </c>
      <c r="AB34">
        <f>IF(FixedParams!$I$6=1,IF(Z34&lt;=MIN(Y34:AA34),1,0),$H34)</f>
        <v>1</v>
      </c>
      <c r="AC34">
        <f>IF(FixedParams!$I$6=1,IF(AA34&lt;=MIN(Y34:AA34),1,0),IF(AA34&lt;=Y34,1,0)*(1-$H34))</f>
        <v>0</v>
      </c>
      <c r="AD34" s="24">
        <f>$Z$13*IF(AB34=1,1,IF(AC34=1,FixedParams!$C$52,FixedParams!$C$53))</f>
        <v>0.43187184563106507</v>
      </c>
      <c r="AE34">
        <f>EXP($C34*FixedParams!$B$47)*EXP(IF(AB34+AC34=1,(1-FixedParams!$B$47)*$D34,0))*($B34^((FixedParams!$B$47-1)*$B$10/($B$10-1)))*((1/$B34-1)^$B$10*(AD34)^($B$10-1)+1)^((FixedParams!$B$47-$B$10)/($B$10-1))/((1+IF(AB34=1,FixedParams!$C$25,IF(AC34=1,FixedParams!$C$23,FixedParams!$C$24)))^FixedParams!$B$47)</f>
        <v>3.6242862754210702E-2</v>
      </c>
      <c r="AF34">
        <f t="shared" si="39"/>
        <v>1.0679749986153426</v>
      </c>
      <c r="AG34">
        <f t="shared" si="40"/>
        <v>25.085092709467521</v>
      </c>
      <c r="AH34">
        <f t="shared" si="3"/>
        <v>166.04409578529112</v>
      </c>
      <c r="AI34">
        <f t="shared" si="16"/>
        <v>191.12918849475864</v>
      </c>
      <c r="AJ34" s="24">
        <f t="shared" si="17"/>
        <v>6.6192338895611647</v>
      </c>
      <c r="AK34" s="24">
        <f t="shared" si="18"/>
        <v>1.3814039363650219</v>
      </c>
      <c r="AL34" s="23">
        <f>IF(AB34=1,AG34*(1+FixedParams!$C$25)+AH34*(1+FixedParams!$C$28)/$Z$12,IF(AC34=1,AG34*(1+FixedParams!$C$23)+AH34*(1+FixedParams!$C$26)/$Z$12,AG34*(1+FixedParams!$C$24)+AH34*(1+FixedParams!$C$27)/$Z$12))</f>
        <v>560.4447950618702</v>
      </c>
      <c r="AM34" s="24">
        <f t="shared" si="19"/>
        <v>135.5035222044452</v>
      </c>
      <c r="AN34" s="24">
        <f>AM34^((FixedParams!$B$47-1)/FixedParams!$B$47)*EXP($C34)</f>
        <v>0.80466422512541091</v>
      </c>
      <c r="AO34" s="24">
        <f t="shared" si="20"/>
        <v>-2.9526313162570539E-2</v>
      </c>
      <c r="AP34" s="24">
        <f t="shared" si="21"/>
        <v>-1.2295809599326846E-2</v>
      </c>
      <c r="AQ34" s="14">
        <f t="shared" si="22"/>
        <v>-2.7296060249798924</v>
      </c>
      <c r="AS34" s="24">
        <f>EXP(-$D$17)*(($B34*FixedParams!$B$30)^$B$10*(1+FixedParams!$D$24)^(1-$B$10)+(1-$B34)^$B$10*((1+FixedParams!$D$27)/$AT$12)^(1-$B$10))^(1/(1-$B$10))</f>
        <v>5.4155086657945821</v>
      </c>
      <c r="AT34" s="24">
        <f>EXP($D34-$D$17)*(($B34*FixedParams!$C$31)^$B$10*(1+FixedParams!$D$25)^(1-$B$10)+(1-$B34)^$B$10*((1+FixedParams!$D$28)/$AT$12)^(1-$B$10))^(1/(1-$B$10))</f>
        <v>4.0553355653558336</v>
      </c>
      <c r="AU34" s="24">
        <f>EXP($D34-$D$17)*(($B34*FixedParams!$C$30)^$B$10*(1+FixedParams!$D$23)^(1-$B$10)+(1-$B34)^$B$10*((1+FixedParams!$D$26)/$AT$12)^(1-$B$10))^(1/(1-$B$10))</f>
        <v>4.1571403405795451</v>
      </c>
      <c r="AV34">
        <f>IF(FixedParams!$I$6=1,IF(AT34&lt;=MIN(AS34:AU34),1,0),$H34)</f>
        <v>1</v>
      </c>
      <c r="AW34">
        <f>IF(FixedParams!$I$6=1,IF(AU34&lt;=MIN(AS34:AU34),1,0),IF(AU34&lt;=AS34,1,0)*(1-$H34))</f>
        <v>0</v>
      </c>
      <c r="AX34" s="24">
        <f>$AT$13*IF(AV34=1,1,IF(AW34=1,FixedParams!$D$52,FixedParams!$D$53))</f>
        <v>0.41089128090616783</v>
      </c>
      <c r="AY34">
        <f>EXP($C34*FixedParams!$B$47)*EXP(IF(AV34+AW34=1,(1-FixedParams!$B$47)*$D34,0))*($B34^((FixedParams!$B$47-1)*$B$10/($B$10-1)))*((1/$B34-1)^$B$10*(AX34)^($B$10-1)+1)^((FixedParams!$B$47-$B$10)/($B$10-1))/((1+IF(AV34=1,FixedParams!$D$25,IF(AW34=1,FixedParams!$D$23,FixedParams!$D$24)))^FixedParams!$B$47)</f>
        <v>3.9646141327964728E-2</v>
      </c>
      <c r="AZ34">
        <f t="shared" si="4"/>
        <v>1.0675746775423229</v>
      </c>
      <c r="BA34">
        <f t="shared" si="23"/>
        <v>26.860036106451659</v>
      </c>
      <c r="BB34">
        <f t="shared" si="5"/>
        <v>164.99560221101402</v>
      </c>
      <c r="BC34">
        <f t="shared" si="24"/>
        <v>191.85563831746566</v>
      </c>
      <c r="BD34" s="24">
        <f t="shared" si="25"/>
        <v>6.1427915270517008</v>
      </c>
      <c r="BE34" s="24">
        <f t="shared" si="26"/>
        <v>1.3732491919758789</v>
      </c>
      <c r="BF34" s="23">
        <f>IF(AV34=1,BA34*(1+FixedParams!$C$25)+BB34*(1+FixedParams!$C$28)/$AT$12,IF(AW34=1,BA34*(1+FixedParams!$C$23)+BB34*(1+FixedParams!$C$26)/$AT$12,BA34*(1+FixedParams!$C$24)+BB34*(1+FixedParams!$C$27)/$AT$12))</f>
        <v>552.39725891815272</v>
      </c>
      <c r="BG34" s="24">
        <f t="shared" si="27"/>
        <v>136.2149321593028</v>
      </c>
      <c r="BH34" s="24">
        <f>BG34^((FixedParams!$B$47-1)/FixedParams!$B$47)*EXP($C34)</f>
        <v>0.80466000738489618</v>
      </c>
      <c r="BI34" s="7"/>
      <c r="BJ34" s="24">
        <f>EXP(-$D$17)*(($B34*FixedParams!$B$30)^$B$10*(1+FixedParams!$C$24)^(1-$B$10)+(1-$B34)^$B$10*((1+FixedParams!$C$27)/$BK$12)^(1-$B$10))^(1/(1-$B$10))</f>
        <v>5.9815392977158446</v>
      </c>
      <c r="BK34" s="24">
        <f>EXP($D34-$D$17)*(($B34*FixedParams!$C$31)^$B$10*(1+FixedParams!$C$25)^(1-$B$10)+(1-$B34)^$B$10*((1+FixedParams!$C$28)/$BK$12)^(1-$B$10))^(1/(1-$B$10))</f>
        <v>4.3358831730666303</v>
      </c>
      <c r="BL34" s="24">
        <f>EXP($D34-$D$17)*(($B34*FixedParams!$C$30)^$B$10*(1+FixedParams!$C$23)^(1-$B$10)+(1-$B34)^$B$10*((1+FixedParams!$C$26)/$BK$12)^(1-$B$10))^(1/(1-$B$10))</f>
        <v>4.4911579606356478</v>
      </c>
      <c r="BM34">
        <f>IF(FixedParams!$I$6=1,IF(BK34&lt;=MIN(BJ34:BL34),1,0),$H34)</f>
        <v>1</v>
      </c>
      <c r="BN34">
        <f>IF(FixedParams!$I$6=1,IF(BL34&lt;=MIN(BJ34:BL34),1,0),IF(BL34&lt;=BJ34,1,0)*(1-$H34))</f>
        <v>0</v>
      </c>
      <c r="BO34" s="24">
        <f>$BK$13*IF(BM34=1,1,IF(BN34=1,FixedParams!$C$52,FixedParams!$C$53))</f>
        <v>0.41068174962109105</v>
      </c>
      <c r="BP34">
        <f>EXP($C34*FixedParams!$B$47)*EXP(IF(BM34+BN34=1,(1-FixedParams!$B$47)*$D34,0))*($B34^((FixedParams!$B$47-1)*$B$10/($B$10-1)))*((1/$B34-1)^$B$10*(BO34)^($B$10-1)+1)^((FixedParams!$B$47-$B$10)/($B$10-1))/((1+IF(BM34=1,FixedParams!$C$25,IF(BN34=1,FixedParams!$C$23,FixedParams!$C$24)))^FixedParams!$B$47)</f>
        <v>3.7109973801750094E-2</v>
      </c>
      <c r="BQ34">
        <f t="shared" si="28"/>
        <v>1.0675705319778359</v>
      </c>
      <c r="BR34">
        <f t="shared" si="29"/>
        <v>27.227488431693899</v>
      </c>
      <c r="BS34">
        <f t="shared" si="6"/>
        <v>167.12486737850938</v>
      </c>
      <c r="BT34">
        <f t="shared" si="30"/>
        <v>194.35235581020328</v>
      </c>
      <c r="BU34" s="24">
        <f t="shared" si="31"/>
        <v>6.1380934123901518</v>
      </c>
      <c r="BV34" s="24">
        <f t="shared" si="32"/>
        <v>1.3771032907735588</v>
      </c>
      <c r="BW34" s="23">
        <f>IF(BM34=1,BR34*(1+FixedParams!$C$25)+BS34*(1+FixedParams!$C$28)/$BK$12,IF(BN34=1,BR34*(1+FixedParams!$C$23)+BS34*(1+FixedParams!$C$26)/$BK$12,BR34*(1+FixedParams!$C$24)+BS34*(1+FixedParams!$C$27)/$BK$12))</f>
        <v>594.12394200982385</v>
      </c>
      <c r="BX34" s="24">
        <f t="shared" si="33"/>
        <v>137.02489626574027</v>
      </c>
      <c r="BY34" s="24">
        <f>BX34^((FixedParams!$B$47-1)/FixedParams!$B$47)*EXP($C34)</f>
        <v>0.80465523210670331</v>
      </c>
      <c r="BZ34" s="24">
        <f t="shared" si="34"/>
        <v>-1.2803113413677269E-2</v>
      </c>
      <c r="CA34" s="24">
        <f t="shared" si="35"/>
        <v>-1.1308098243247339E-3</v>
      </c>
      <c r="CB34" s="24">
        <f t="shared" si="36"/>
        <v>1.6197646095082518E-2</v>
      </c>
      <c r="CC34" s="24"/>
      <c r="CD34" s="24">
        <f>EXP(-$D$17)*(($B34*FixedParams!$B$30)^$B$10*(1+FixedParams!$D$24)^(1-$B$10)+(1-$B34)^$B$10*((1+FixedParams!$D$27)/$CE$12)^(1-$B$10))^(1/(1-$B$10))</f>
        <v>5.659905465012784</v>
      </c>
      <c r="CE34" s="24">
        <f>EXP($D34-$D$17)*(($B34*FixedParams!$D$31)^$B$10*(1+FixedParams!$D$25)^(1-$B$10)+(1-$B34)^$B$10*((1+FixedParams!$D$28)/$CE$12)^(1-$B$10))^(1/(1-$B$10))</f>
        <v>4.2379459812003724</v>
      </c>
      <c r="CF34" s="24">
        <f>EXP($D34-$D$17)*(($B34*FixedParams!$D$30)^$B$10*(1+FixedParams!$D$23)^(1-$B$10)+(1-$B34)^$B$10*((1+FixedParams!$D$26)/$CE$12)^(1-$B$10))^(1/(1-$B$10))</f>
        <v>4.3432373553286858</v>
      </c>
      <c r="CG34">
        <f>IF(FixedParams!$I$6=1,IF(CE34&lt;=MIN(CD34:CF34),1,0),$H34)</f>
        <v>1</v>
      </c>
      <c r="CH34">
        <f>IF(FixedParams!$I$6=1,IF(CF34&lt;=MIN(CD34:CF34),1,0),IF(CF34&lt;=CD34,1,0)*(1-$H34))</f>
        <v>0</v>
      </c>
      <c r="CI34" s="24">
        <f>$CE$13*IF(CG34=1,1,IF(CH34=1,FixedParams!$D$52,FixedParams!$D$53))</f>
        <v>0.39201585704839609</v>
      </c>
      <c r="CJ34">
        <f>EXP($C34*FixedParams!$B$47)*EXP(IF(CG34+CH34=1,(1-FixedParams!$B$47)*$D34,0))*($B34^((FixedParams!$B$47-1)*$B$10/($B$10-1)))*((1/$B34-1)^$B$10*(CI34)^($B$10-1)+1)^((FixedParams!$B$47-$B$10)/($B$10-1))/((1+IF(CG34=1,FixedParams!$D$25,IF(CH34=1,FixedParams!$D$23,FixedParams!$D$24)))^FixedParams!$B$47)</f>
        <v>4.0530724179006092E-2</v>
      </c>
      <c r="CK34">
        <f t="shared" si="37"/>
        <v>1.0671885664454259</v>
      </c>
      <c r="CL34">
        <f t="shared" si="41"/>
        <v>29.155892346252752</v>
      </c>
      <c r="CM34">
        <f t="shared" si="7"/>
        <v>166.90032330994316</v>
      </c>
      <c r="CN34">
        <f t="shared" si="42"/>
        <v>196.05621565619592</v>
      </c>
      <c r="CO34" s="24">
        <f t="shared" si="43"/>
        <v>5.7244114269544539</v>
      </c>
      <c r="CP34" s="24">
        <f t="shared" si="44"/>
        <v>1.3691615088737856</v>
      </c>
      <c r="CQ34" s="23">
        <f>IF(CG34=1,CL34*(1+FixedParams!$D$25)+CM34*(1+FixedParams!$D$28)/$CE$12,IF(CH34=1,CL34*(1+FixedParams!$D$23)+CM34*(1+FixedParams!$D$26)/$CE$12,CL34*(1+FixedParams!$D$24)+CM34*(1+FixedParams!$D$27)/$CE$12))</f>
        <v>582.49495971902729</v>
      </c>
      <c r="CR34" s="24">
        <f t="shared" si="45"/>
        <v>137.44747155886097</v>
      </c>
      <c r="CS34" s="24">
        <f>CR34^((FixedParams!$B$47-1)/FixedParams!$B$47)*EXP($C34)</f>
        <v>0.80465275194787755</v>
      </c>
      <c r="CT34" s="24"/>
    </row>
    <row r="35" spans="1:98" x14ac:dyDescent="0.15">
      <c r="A35">
        <v>0.09</v>
      </c>
      <c r="B35">
        <f t="shared" si="8"/>
        <v>0.11025892180368167</v>
      </c>
      <c r="C35">
        <f>(D35-$D$17)*FixedParams!$B$47+$A35*$B$9</f>
        <v>-0.22491136448325494</v>
      </c>
      <c r="D35">
        <f>(A35-$B$6)*FixedParams!$B$46/(FixedParams!$B$45*Sectors!$B$6)</f>
        <v>-0.22277408625605136</v>
      </c>
      <c r="E35">
        <f t="shared" si="9"/>
        <v>0.79858699879382222</v>
      </c>
      <c r="F35" s="24">
        <f>EXP(-$D$17)*(($B35*FixedParams!$B$30)^$B$10*(1+FixedParams!$B$23)^(1-$B$10)+(1-$B35)^$B$10*((1+FixedParams!$B$26)/$B$11)^(1-$B$10))^(1/(1-$B$10))</f>
        <v>4.4816848964822631</v>
      </c>
      <c r="G35" s="24">
        <f>EXP($D35-$D$17)*(($B35*FixedParams!$B$31)^$B$10*(1+FixedParams!$B$25)^(1-$B$10)+(1-$B35)^$B$10*((1+FixedParams!$B$28)/$B$11)^(1-$B$10))^(1/(1-$B$10))</f>
        <v>3.4741195035188168</v>
      </c>
      <c r="H35">
        <f t="shared" si="10"/>
        <v>1</v>
      </c>
      <c r="I35" s="24">
        <f>$B$12*IF(H35=1,1,FixedParams!$B$52)</f>
        <v>0.3745928365283252</v>
      </c>
      <c r="J35">
        <f>EXP($C35*FixedParams!$B$47)*EXP(IF(H35=1,(1-FixedParams!$B$47)*$D35,0))*($B35^((FixedParams!$B$47-1)*$B$10/($B$10-1)))*((1/$B35-1)^$B$10*(I35)^($B$10-1)+1)^((FixedParams!$B$47-$B$10)/($B$10-1))/((1+IF(H35=1,FixedParams!$B$25,FixedParams!$B$24))^FixedParams!$B$47)</f>
        <v>5.3103873672724483E-2</v>
      </c>
      <c r="K35">
        <f t="shared" si="38"/>
        <v>1.0707112295596344</v>
      </c>
      <c r="L35">
        <f>K35*FixedParams!$B$8/K$15</f>
        <v>31.128926136091042</v>
      </c>
      <c r="M35">
        <f t="shared" si="0"/>
        <v>163.59807595059476</v>
      </c>
      <c r="N35">
        <f t="shared" si="11"/>
        <v>194.72700208668581</v>
      </c>
      <c r="O35" s="24">
        <f t="shared" si="12"/>
        <v>5.2555001491335833</v>
      </c>
      <c r="P35" s="24">
        <f t="shared" si="1"/>
        <v>1.3584330420360804</v>
      </c>
      <c r="Q35" s="23">
        <f>IF(H35=1,L35*(1+FixedParams!$B$25)+M35*FixedParams!$B$33*(1+FixedParams!$B$28)/FixedParams!$B$32,L35*(1+FixedParams!$B$23)+M35*FixedParams!$B$33*(1+FixedParams!$B$26)/FixedParams!$B$32)</f>
        <v>468.68462591983314</v>
      </c>
      <c r="R35" s="24">
        <f t="shared" si="2"/>
        <v>134.90745653542388</v>
      </c>
      <c r="S35" s="24">
        <f>R35^((FixedParams!$B$47-1)/FixedParams!$B$47)*EXP($C35)</f>
        <v>0.79467594560404764</v>
      </c>
      <c r="T35" s="7">
        <f>(L35*FixedParams!$B$32*(FixedParams!$C$25-FixedParams!$C$23)+FixedParams!$B$33*(FixedParams!$C$28-FixedParams!$C$26)*M35)/N35</f>
        <v>-2644.2692699976865</v>
      </c>
      <c r="U35" s="7">
        <f>(L35*FixedParams!$B$32*(FixedParams!$C$25-FixedParams!$C$23)*$Z$12/$B$11+FixedParams!$B$33*(FixedParams!$C$28-FixedParams!$C$26)*M35)/N35</f>
        <v>-2804.8213379363865</v>
      </c>
      <c r="V35" s="14">
        <f t="shared" si="13"/>
        <v>-2.6411907878019236</v>
      </c>
      <c r="W35" s="14">
        <f t="shared" si="14"/>
        <v>0.20070871961642869</v>
      </c>
      <c r="X35" s="73">
        <f t="shared" si="15"/>
        <v>0.98763453711058435</v>
      </c>
      <c r="Y35" s="24">
        <f>EXP(-$D$17)*(($B35*FixedParams!$B$30)^$B$10*(1+FixedParams!$C$24)^(1-$B$10)+(1-$B35)^$B$10*((1+FixedParams!$C$27)/$Z$12)^(1-$B$10))^(1/(1-$B$10))</f>
        <v>5.7150074468218426</v>
      </c>
      <c r="Z35" s="24">
        <f>EXP($D35-$D$17)*(($B35*FixedParams!$C$31)^$B$10*(1+FixedParams!$C$25)^(1-$B$10)+(1-$B35)^$B$10*((1+FixedParams!$C$28)/$Z$12)^(1-$B$10))^(1/(1-$B$10))</f>
        <v>4.1541425978934647</v>
      </c>
      <c r="AA35" s="24">
        <f>EXP($D35-$D$17)*(($B35*FixedParams!$C$30)^$B$10*(1+FixedParams!$C$23)^(1-$B$10)+(1-$B35)^$B$10*((1+FixedParams!$C$26)/$Z$12)^(1-$B$10))^(1/(1-$B$10))</f>
        <v>4.3033646219143034</v>
      </c>
      <c r="AB35">
        <f>IF(FixedParams!$I$6=1,IF(Z35&lt;=MIN(Y35:AA35),1,0),$H35)</f>
        <v>1</v>
      </c>
      <c r="AC35">
        <f>IF(FixedParams!$I$6=1,IF(AA35&lt;=MIN(Y35:AA35),1,0),IF(AA35&lt;=Y35,1,0)*(1-$H35))</f>
        <v>0</v>
      </c>
      <c r="AD35" s="24">
        <f>$Z$13*IF(AB35=1,1,IF(AC35=1,FixedParams!$C$52,FixedParams!$C$53))</f>
        <v>0.43187184563106507</v>
      </c>
      <c r="AE35">
        <f>EXP($C35*FixedParams!$B$47)*EXP(IF(AB35+AC35=1,(1-FixedParams!$B$47)*$D35,0))*($B35^((FixedParams!$B$47-1)*$B$10/($B$10-1)))*((1/$B35-1)^$B$10*(AD35)^($B$10-1)+1)^((FixedParams!$B$47-$B$10)/($B$10-1))/((1+IF(AB35=1,FixedParams!$C$25,IF(AC35=1,FixedParams!$C$23,FixedParams!$C$24)))^FixedParams!$B$47)</f>
        <v>3.6378155328355144E-2</v>
      </c>
      <c r="AF35">
        <f t="shared" si="39"/>
        <v>1.0719616893926265</v>
      </c>
      <c r="AG35">
        <f t="shared" si="40"/>
        <v>25.178733953768003</v>
      </c>
      <c r="AH35">
        <f t="shared" si="3"/>
        <v>163.81025213731789</v>
      </c>
      <c r="AI35">
        <f t="shared" si="16"/>
        <v>188.98898609108591</v>
      </c>
      <c r="AJ35" s="24">
        <f t="shared" si="17"/>
        <v>6.5058970970541452</v>
      </c>
      <c r="AK35" s="24">
        <f t="shared" si="18"/>
        <v>1.3874579622310188</v>
      </c>
      <c r="AL35" s="23">
        <f>IF(AB35=1,AG35*(1+FixedParams!$C$25)+AH35*(1+FixedParams!$C$28)/$Z$12,IF(AC35=1,AG35*(1+FixedParams!$C$23)+AH35*(1+FixedParams!$C$26)/$Z$12,AG35*(1+FixedParams!$C$24)+AH35*(1+FixedParams!$C$27)/$Z$12))</f>
        <v>553.49489975257643</v>
      </c>
      <c r="AM35" s="24">
        <f t="shared" si="19"/>
        <v>133.23926338812964</v>
      </c>
      <c r="AN35" s="24">
        <f>AM35^((FixedParams!$B$47-1)/FixedParams!$B$47)*EXP($C35)</f>
        <v>0.79468584335965919</v>
      </c>
      <c r="AO35" s="24">
        <f t="shared" si="20"/>
        <v>-2.9909849652803987E-2</v>
      </c>
      <c r="AP35" s="24">
        <f t="shared" si="21"/>
        <v>-1.244255137471717E-2</v>
      </c>
      <c r="AQ35" s="14">
        <f t="shared" si="22"/>
        <v>-2.7123353996838091</v>
      </c>
      <c r="AS35" s="24">
        <f>EXP(-$D$17)*(($B35*FixedParams!$B$30)^$B$10*(1+FixedParams!$D$24)^(1-$B$10)+(1-$B35)^$B$10*((1+FixedParams!$D$27)/$AT$12)^(1-$B$10))^(1/(1-$B$10))</f>
        <v>5.4245897943360122</v>
      </c>
      <c r="AT35" s="24">
        <f>EXP($D35-$D$17)*(($B35*FixedParams!$C$31)^$B$10*(1+FixedParams!$D$25)^(1-$B$10)+(1-$B35)^$B$10*((1+FixedParams!$D$28)/$AT$12)^(1-$B$10))^(1/(1-$B$10))</f>
        <v>4.0729029600456785</v>
      </c>
      <c r="AU35" s="24">
        <f>EXP($D35-$D$17)*(($B35*FixedParams!$C$30)^$B$10*(1+FixedParams!$D$23)^(1-$B$10)+(1-$B35)^$B$10*((1+FixedParams!$D$26)/$AT$12)^(1-$B$10))^(1/(1-$B$10))</f>
        <v>4.1743759957773889</v>
      </c>
      <c r="AV35">
        <f>IF(FixedParams!$I$6=1,IF(AT35&lt;=MIN(AS35:AU35),1,0),$H35)</f>
        <v>1</v>
      </c>
      <c r="AW35">
        <f>IF(FixedParams!$I$6=1,IF(AU35&lt;=MIN(AS35:AU35),1,0),IF(AU35&lt;=AS35,1,0)*(1-$H35))</f>
        <v>0</v>
      </c>
      <c r="AX35" s="24">
        <f>$AT$13*IF(AV35=1,1,IF(AW35=1,FixedParams!$D$52,FixedParams!$D$53))</f>
        <v>0.41089128090616783</v>
      </c>
      <c r="AY35">
        <f>EXP($C35*FixedParams!$B$47)*EXP(IF(AV35+AW35=1,(1-FixedParams!$B$47)*$D35,0))*($B35^((FixedParams!$B$47-1)*$B$10/($B$10-1)))*((1/$B35-1)^$B$10*(AX35)^($B$10-1)+1)^((FixedParams!$B$47-$B$10)/($B$10-1))/((1+IF(AV35=1,FixedParams!$D$25,IF(AW35=1,FixedParams!$D$23,FixedParams!$D$24)))^FixedParams!$B$47)</f>
        <v>3.9793133825597182E-2</v>
      </c>
      <c r="AZ35">
        <f t="shared" si="4"/>
        <v>1.0715328299123852</v>
      </c>
      <c r="BA35">
        <f t="shared" si="23"/>
        <v>26.959622690707725</v>
      </c>
      <c r="BB35">
        <f t="shared" si="5"/>
        <v>162.77175614043125</v>
      </c>
      <c r="BC35">
        <f t="shared" si="24"/>
        <v>189.73137883113898</v>
      </c>
      <c r="BD35" s="24">
        <f t="shared" si="25"/>
        <v>6.0376125440559081</v>
      </c>
      <c r="BE35" s="24">
        <f t="shared" si="26"/>
        <v>1.379197999460281</v>
      </c>
      <c r="BF35" s="23">
        <f>IF(AV35=1,BA35*(1+FixedParams!$C$25)+BB35*(1+FixedParams!$C$28)/$AT$12,IF(AW35=1,BA35*(1+FixedParams!$C$23)+BB35*(1+FixedParams!$C$26)/$AT$12,BA35*(1+FixedParams!$C$24)+BB35*(1+FixedParams!$C$27)/$AT$12))</f>
        <v>545.58360257857998</v>
      </c>
      <c r="BG35" s="24">
        <f t="shared" si="27"/>
        <v>133.95448109877412</v>
      </c>
      <c r="BH35" s="24">
        <f>BG35^((FixedParams!$B$47-1)/FixedParams!$B$47)*EXP($C35)</f>
        <v>0.79468158471080952</v>
      </c>
      <c r="BI35" s="7"/>
      <c r="BJ35" s="24">
        <f>EXP(-$D$17)*(($B35*FixedParams!$B$30)^$B$10*(1+FixedParams!$C$24)^(1-$B$10)+(1-$B35)^$B$10*((1+FixedParams!$C$27)/$BK$12)^(1-$B$10))^(1/(1-$B$10))</f>
        <v>5.9917637114174083</v>
      </c>
      <c r="BK35" s="24">
        <f>EXP($D35-$D$17)*(($B35*FixedParams!$C$31)^$B$10*(1+FixedParams!$C$25)^(1-$B$10)+(1-$B35)^$B$10*((1+FixedParams!$C$28)/$BK$12)^(1-$B$10))^(1/(1-$B$10))</f>
        <v>4.3546636062452384</v>
      </c>
      <c r="BL35" s="24">
        <f>EXP($D35-$D$17)*(($B35*FixedParams!$C$30)^$B$10*(1+FixedParams!$C$23)^(1-$B$10)+(1-$B35)^$B$10*((1+FixedParams!$C$26)/$BK$12)^(1-$B$10))^(1/(1-$B$10))</f>
        <v>4.5095533872551359</v>
      </c>
      <c r="BM35">
        <f>IF(FixedParams!$I$6=1,IF(BK35&lt;=MIN(BJ35:BL35),1,0),$H35)</f>
        <v>1</v>
      </c>
      <c r="BN35">
        <f>IF(FixedParams!$I$6=1,IF(BL35&lt;=MIN(BJ35:BL35),1,0),IF(BL35&lt;=BJ35,1,0)*(1-$H35))</f>
        <v>0</v>
      </c>
      <c r="BO35" s="24">
        <f>$BK$13*IF(BM35=1,1,IF(BN35=1,FixedParams!$C$52,FixedParams!$C$53))</f>
        <v>0.41068174962109105</v>
      </c>
      <c r="BP35">
        <f>EXP($C35*FixedParams!$B$47)*EXP(IF(BM35+BN35=1,(1-FixedParams!$B$47)*$D35,0))*($B35^((FixedParams!$B$47-1)*$B$10/($B$10-1)))*((1/$B35-1)^$B$10*(BO35)^($B$10-1)+1)^((FixedParams!$B$47-$B$10)/($B$10-1))/((1+IF(BM35=1,FixedParams!$C$25,IF(BN35=1,FixedParams!$C$23,FixedParams!$C$24)))^FixedParams!$B$47)</f>
        <v>3.7247553440152674E-2</v>
      </c>
      <c r="BQ35">
        <f t="shared" si="28"/>
        <v>1.0715283889287301</v>
      </c>
      <c r="BR35">
        <f t="shared" si="29"/>
        <v>27.328430244077133</v>
      </c>
      <c r="BS35">
        <f t="shared" si="6"/>
        <v>164.87227952573372</v>
      </c>
      <c r="BT35">
        <f t="shared" si="30"/>
        <v>192.20070976981086</v>
      </c>
      <c r="BU35" s="24">
        <f t="shared" si="31"/>
        <v>6.0329948721246565</v>
      </c>
      <c r="BV35" s="24">
        <f t="shared" si="32"/>
        <v>1.3830680724109112</v>
      </c>
      <c r="BW35" s="23">
        <f>IF(BM35=1,BR35*(1+FixedParams!$C$25)+BS35*(1+FixedParams!$C$28)/$BK$12,IF(BN35=1,BR35*(1+FixedParams!$C$23)+BS35*(1+FixedParams!$C$26)/$BK$12,BR35*(1+FixedParams!$C$24)+BS35*(1+FixedParams!$C$27)/$BK$12))</f>
        <v>586.75637258732206</v>
      </c>
      <c r="BX35" s="24">
        <f t="shared" si="33"/>
        <v>134.74206635521188</v>
      </c>
      <c r="BY35" s="24">
        <f>BX35^((FixedParams!$B$47-1)/FixedParams!$B$47)*EXP($C35)</f>
        <v>0.79467692141336399</v>
      </c>
      <c r="BZ35" s="24">
        <f t="shared" si="34"/>
        <v>-1.3058398963676108E-2</v>
      </c>
      <c r="CA35" s="24">
        <f t="shared" si="35"/>
        <v>-1.2267049403908905E-3</v>
      </c>
      <c r="CB35" s="24">
        <f t="shared" si="36"/>
        <v>1.6101750979016359E-2</v>
      </c>
      <c r="CC35" s="24"/>
      <c r="CD35" s="24">
        <f>EXP(-$D$17)*(($B35*FixedParams!$B$30)^$B$10*(1+FixedParams!$D$24)^(1-$B$10)+(1-$B35)^$B$10*((1+FixedParams!$D$27)/$CE$12)^(1-$B$10))^(1/(1-$B$10))</f>
        <v>5.6691291684390688</v>
      </c>
      <c r="CE35" s="24">
        <f>EXP($D35-$D$17)*(($B35*FixedParams!$D$31)^$B$10*(1+FixedParams!$D$25)^(1-$B$10)+(1-$B35)^$B$10*((1+FixedParams!$D$28)/$CE$12)^(1-$B$10))^(1/(1-$B$10))</f>
        <v>4.2560976356844682</v>
      </c>
      <c r="CF35" s="24">
        <f>EXP($D35-$D$17)*(($B35*FixedParams!$D$30)^$B$10*(1+FixedParams!$D$23)^(1-$B$10)+(1-$B35)^$B$10*((1+FixedParams!$D$26)/$CE$12)^(1-$B$10))^(1/(1-$B$10))</f>
        <v>4.3610160623232916</v>
      </c>
      <c r="CG35">
        <f>IF(FixedParams!$I$6=1,IF(CE35&lt;=MIN(CD35:CF35),1,0),$H35)</f>
        <v>1</v>
      </c>
      <c r="CH35">
        <f>IF(FixedParams!$I$6=1,IF(CF35&lt;=MIN(CD35:CF35),1,0),IF(CF35&lt;=CD35,1,0)*(1-$H35))</f>
        <v>0</v>
      </c>
      <c r="CI35" s="24">
        <f>$CE$13*IF(CG35=1,1,IF(CH35=1,FixedParams!$D$52,FixedParams!$D$53))</f>
        <v>0.39201585704839609</v>
      </c>
      <c r="CJ35">
        <f>EXP($C35*FixedParams!$B$47)*EXP(IF(CG35+CH35=1,(1-FixedParams!$B$47)*$D35,0))*($B35^((FixedParams!$B$47-1)*$B$10/($B$10-1)))*((1/$B35-1)^$B$10*(CI35)^($B$10-1)+1)^((FixedParams!$B$47-$B$10)/($B$10-1))/((1+IF(CG35=1,FixedParams!$D$25,IF(CH35=1,FixedParams!$D$23,FixedParams!$D$24)))^FixedParams!$B$47)</f>
        <v>4.0680006127053026E-2</v>
      </c>
      <c r="CK35">
        <f t="shared" si="37"/>
        <v>1.0711192139075532</v>
      </c>
      <c r="CL35">
        <f t="shared" si="41"/>
        <v>29.263278742490641</v>
      </c>
      <c r="CM35">
        <f t="shared" si="7"/>
        <v>164.64679714129196</v>
      </c>
      <c r="CN35">
        <f t="shared" si="42"/>
        <v>193.91007588378261</v>
      </c>
      <c r="CO35" s="24">
        <f t="shared" si="43"/>
        <v>5.6263960915023095</v>
      </c>
      <c r="CP35" s="24">
        <f t="shared" si="44"/>
        <v>1.3750257994410195</v>
      </c>
      <c r="CQ35" s="23">
        <f>IF(CG35=1,CL35*(1+FixedParams!$D$25)+CM35*(1+FixedParams!$D$28)/$CE$12,IF(CH35=1,CL35*(1+FixedParams!$D$23)+CM35*(1+FixedParams!$D$26)/$CE$12,CL35*(1+FixedParams!$D$24)+CM35*(1+FixedParams!$D$27)/$CE$12))</f>
        <v>575.27157049284199</v>
      </c>
      <c r="CR35" s="24">
        <f t="shared" si="45"/>
        <v>135.16409155409951</v>
      </c>
      <c r="CS35" s="24">
        <f>CR35^((FixedParams!$B$47-1)/FixedParams!$B$47)*EXP($C35)</f>
        <v>0.79467443381437064</v>
      </c>
      <c r="CT35" s="24"/>
    </row>
    <row r="36" spans="1:98" x14ac:dyDescent="0.15">
      <c r="A36">
        <v>9.5000000000000001E-2</v>
      </c>
      <c r="B36">
        <f t="shared" si="8"/>
        <v>0.11139352132837112</v>
      </c>
      <c r="C36">
        <f>(D36-$D$17)*FixedParams!$B$47+$A36*$B$9</f>
        <v>-0.23740644028788022</v>
      </c>
      <c r="D36">
        <f>(A36-$B$6)*FixedParams!$B$46/(FixedParams!$B$45*Sectors!$B$6)</f>
        <v>-0.22005732910658729</v>
      </c>
      <c r="E36">
        <f t="shared" si="9"/>
        <v>0.78867067533074287</v>
      </c>
      <c r="F36" s="24">
        <f>EXP(-$D$17)*(($B36*FixedParams!$B$30)^$B$10*(1+FixedParams!$B$23)^(1-$B$10)+(1-$B36)^$B$10*((1+FixedParams!$B$26)/$B$11)^(1-$B$10))^(1/(1-$B$10))</f>
        <v>4.4886692153727719</v>
      </c>
      <c r="G36" s="24">
        <f>EXP($D36-$D$17)*(($B36*FixedParams!$B$31)^$B$10*(1+FixedParams!$B$25)^(1-$B$10)+(1-$B36)^$B$10*((1+FixedParams!$B$28)/$B$11)^(1-$B$10))^(1/(1-$B$10))</f>
        <v>3.4888392370837802</v>
      </c>
      <c r="H36">
        <f t="shared" si="10"/>
        <v>1</v>
      </c>
      <c r="I36" s="24">
        <f>$B$12*IF(H36=1,1,FixedParams!$B$52)</f>
        <v>0.3745928365283252</v>
      </c>
      <c r="J36">
        <f>EXP($C36*FixedParams!$B$47)*EXP(IF(H36=1,(1-FixedParams!$B$47)*$D36,0))*($B36^((FixedParams!$B$47-1)*$B$10/($B$10-1)))*((1/$B36-1)^$B$10*(I36)^($B$10-1)+1)^((FixedParams!$B$47-$B$10)/($B$10-1))/((1+IF(H36=1,FixedParams!$B$25,FixedParams!$B$24))^FixedParams!$B$47)</f>
        <v>5.3297197781146978E-2</v>
      </c>
      <c r="K36">
        <f t="shared" si="38"/>
        <v>1.0746091428287918</v>
      </c>
      <c r="L36">
        <f>K36*FixedParams!$B$8/K$15</f>
        <v>31.242250672988252</v>
      </c>
      <c r="M36">
        <f t="shared" si="0"/>
        <v>161.3822730384266</v>
      </c>
      <c r="N36">
        <f t="shared" si="11"/>
        <v>192.62452371141487</v>
      </c>
      <c r="O36" s="24">
        <f t="shared" si="12"/>
        <v>5.1655136733780882</v>
      </c>
      <c r="P36" s="24">
        <f t="shared" si="1"/>
        <v>1.3641886795218838</v>
      </c>
      <c r="Q36" s="23">
        <f>IF(H36=1,L36*(1+FixedParams!$B$25)+M36*FixedParams!$B$33*(1+FixedParams!$B$28)/FixedParams!$B$32,L36*(1+FixedParams!$B$23)+M36*FixedParams!$B$33*(1+FixedParams!$B$26)/FixedParams!$B$32)</f>
        <v>462.87255181847814</v>
      </c>
      <c r="R36" s="24">
        <f t="shared" si="2"/>
        <v>132.67236475056956</v>
      </c>
      <c r="S36" s="24">
        <f>R36^((FixedParams!$B$47-1)/FixedParams!$B$47)*EXP($C36)</f>
        <v>0.78482131153460144</v>
      </c>
      <c r="T36" s="7">
        <f>(L36*FixedParams!$B$32*(FixedParams!$C$25-FixedParams!$C$23)+FixedParams!$B$33*(FixedParams!$C$28-FixedParams!$C$26)*M36)/N36</f>
        <v>-2617.7996280935427</v>
      </c>
      <c r="U36" s="7">
        <f>(L36*FixedParams!$B$32*(FixedParams!$C$25-FixedParams!$C$23)*$Z$12/$B$11+FixedParams!$B$33*(FixedParams!$C$28-FixedParams!$C$26)*M36)/N36</f>
        <v>-2780.6949743922351</v>
      </c>
      <c r="V36" s="14">
        <f t="shared" si="13"/>
        <v>-2.6239201625058408</v>
      </c>
      <c r="W36" s="14">
        <f t="shared" si="14"/>
        <v>0.21015654256944313</v>
      </c>
      <c r="X36" s="73">
        <f t="shared" si="15"/>
        <v>0.98748742370684672</v>
      </c>
      <c r="Y36" s="24">
        <f>EXP(-$D$17)*(($B36*FixedParams!$B$30)^$B$10*(1+FixedParams!$C$24)^(1-$B$10)+(1-$B36)^$B$10*((1+FixedParams!$C$27)/$Z$12)^(1-$B$10))^(1/(1-$B$10))</f>
        <v>5.7250876043643073</v>
      </c>
      <c r="Z36" s="24">
        <f>EXP($D36-$D$17)*(($B36*FixedParams!$C$31)^$B$10*(1+FixedParams!$C$25)^(1-$B$10)+(1-$B36)^$B$10*((1+FixedParams!$C$28)/$Z$12)^(1-$B$10))^(1/(1-$B$10))</f>
        <v>4.1723656857020872</v>
      </c>
      <c r="AA36" s="24">
        <f>EXP($D36-$D$17)*(($B36*FixedParams!$C$30)^$B$10*(1+FixedParams!$C$23)^(1-$B$10)+(1-$B36)^$B$10*((1+FixedParams!$C$26)/$Z$12)^(1-$B$10))^(1/(1-$B$10))</f>
        <v>4.3212358127849964</v>
      </c>
      <c r="AB36">
        <f>IF(FixedParams!$I$6=1,IF(Z36&lt;=MIN(Y36:AA36),1,0),$H36)</f>
        <v>1</v>
      </c>
      <c r="AC36">
        <f>IF(FixedParams!$I$6=1,IF(AA36&lt;=MIN(Y36:AA36),1,0),IF(AA36&lt;=Y36,1,0)*(1-$H36))</f>
        <v>0</v>
      </c>
      <c r="AD36" s="24">
        <f>$Z$13*IF(AB36=1,1,IF(AC36=1,FixedParams!$C$52,FixedParams!$C$53))</f>
        <v>0.43187184563106507</v>
      </c>
      <c r="AE36">
        <f>EXP($C36*FixedParams!$B$47)*EXP(IF(AB36+AC36=1,(1-FixedParams!$B$47)*$D36,0))*($B36^((FixedParams!$B$47-1)*$B$10/($B$10-1)))*((1/$B36-1)^$B$10*(AD36)^($B$10-1)+1)^((FixedParams!$B$47-$B$10)/($B$10-1))/((1+IF(AB36=1,FixedParams!$C$25,IF(AC36=1,FixedParams!$C$23,FixedParams!$C$24)))^FixedParams!$B$47)</f>
        <v>3.6513317324264306E-2</v>
      </c>
      <c r="AF36">
        <f t="shared" si="39"/>
        <v>1.0759445323974099</v>
      </c>
      <c r="AG36">
        <f t="shared" si="40"/>
        <v>25.272284819801179</v>
      </c>
      <c r="AH36">
        <f t="shared" si="3"/>
        <v>161.60364792351814</v>
      </c>
      <c r="AI36">
        <f t="shared" si="16"/>
        <v>186.87593274331931</v>
      </c>
      <c r="AJ36" s="24">
        <f t="shared" si="17"/>
        <v>6.3945008959735796</v>
      </c>
      <c r="AK36" s="24">
        <f t="shared" si="18"/>
        <v>1.3935443609717191</v>
      </c>
      <c r="AL36" s="23">
        <f>IF(AB36=1,AG36*(1+FixedParams!$C$25)+AH36*(1+FixedParams!$C$28)/$Z$12,IF(AC36=1,AG36*(1+FixedParams!$C$23)+AH36*(1+FixedParams!$C$26)/$Z$12,AG36*(1+FixedParams!$C$24)+AH36*(1+FixedParams!$C$27)/$Z$12))</f>
        <v>546.63119014671668</v>
      </c>
      <c r="AM36" s="24">
        <f t="shared" si="19"/>
        <v>131.012291664635</v>
      </c>
      <c r="AN36" s="24">
        <f>AM36^((FixedParams!$B$47-1)/FixedParams!$B$47)*EXP($C36)</f>
        <v>0.78483120358041925</v>
      </c>
      <c r="AO36" s="24">
        <f t="shared" si="20"/>
        <v>-3.0297885615311684E-2</v>
      </c>
      <c r="AP36" s="24">
        <f t="shared" si="21"/>
        <v>-1.2591517774694614E-2</v>
      </c>
      <c r="AQ36" s="14">
        <f t="shared" si="22"/>
        <v>-2.6950647743877254</v>
      </c>
      <c r="AS36" s="24">
        <f>EXP(-$D$17)*(($B36*FixedParams!$B$30)^$B$10*(1+FixedParams!$D$24)^(1-$B$10)+(1-$B36)^$B$10*((1+FixedParams!$D$27)/$AT$12)^(1-$B$10))^(1/(1-$B$10))</f>
        <v>5.4337105236311292</v>
      </c>
      <c r="AT36" s="24">
        <f>EXP($D36-$D$17)*(($B36*FixedParams!$C$31)^$B$10*(1+FixedParams!$D$25)^(1-$B$10)+(1-$B36)^$B$10*((1+FixedParams!$D$28)/$AT$12)^(1-$B$10))^(1/(1-$B$10))</f>
        <v>4.0905604666442166</v>
      </c>
      <c r="AU36" s="24">
        <f>EXP($D36-$D$17)*(($B36*FixedParams!$C$30)^$B$10*(1+FixedParams!$D$23)^(1-$B$10)+(1-$B36)^$B$10*((1+FixedParams!$D$26)/$AT$12)^(1-$B$10))^(1/(1-$B$10))</f>
        <v>4.1916857610332778</v>
      </c>
      <c r="AV36">
        <f>IF(FixedParams!$I$6=1,IF(AT36&lt;=MIN(AS36:AU36),1,0),$H36)</f>
        <v>1</v>
      </c>
      <c r="AW36">
        <f>IF(FixedParams!$I$6=1,IF(AU36&lt;=MIN(AS36:AU36),1,0),IF(AU36&lt;=AS36,1,0)*(1-$H36))</f>
        <v>0</v>
      </c>
      <c r="AX36" s="24">
        <f>$AT$13*IF(AV36=1,1,IF(AW36=1,FixedParams!$D$52,FixedParams!$D$53))</f>
        <v>0.41089128090616783</v>
      </c>
      <c r="AY36">
        <f>EXP($C36*FixedParams!$B$47)*EXP(IF(AV36+AW36=1,(1-FixedParams!$B$47)*$D36,0))*($B36^((FixedParams!$B$47-1)*$B$10/($B$10-1)))*((1/$B36-1)^$B$10*(AX36)^($B$10-1)+1)^((FixedParams!$B$47-$B$10)/($B$10-1))/((1+IF(AV36=1,FixedParams!$D$25,IF(AW36=1,FixedParams!$D$23,FixedParams!$D$24)))^FixedParams!$B$47)</f>
        <v>3.9939960714358083E-2</v>
      </c>
      <c r="AZ36">
        <f t="shared" si="4"/>
        <v>1.075486522836163</v>
      </c>
      <c r="BA36">
        <f t="shared" si="23"/>
        <v>27.059097075891685</v>
      </c>
      <c r="BB36">
        <f t="shared" si="5"/>
        <v>160.57502664014751</v>
      </c>
      <c r="BC36">
        <f t="shared" si="24"/>
        <v>187.6341237160392</v>
      </c>
      <c r="BD36" s="24">
        <f t="shared" si="25"/>
        <v>5.9342344716746629</v>
      </c>
      <c r="BE36" s="24">
        <f t="shared" si="26"/>
        <v>1.3851773213383274</v>
      </c>
      <c r="BF36" s="23">
        <f>IF(AV36=1,BA36*(1+FixedParams!$C$25)+BB36*(1+FixedParams!$C$28)/$AT$12,IF(AW36=1,BA36*(1+FixedParams!$C$23)+BB36*(1+FixedParams!$C$26)/$AT$12,BA36*(1+FixedParams!$C$24)+BB36*(1+FixedParams!$C$27)/$AT$12))</f>
        <v>538.85453701347217</v>
      </c>
      <c r="BG36" s="24">
        <f t="shared" si="27"/>
        <v>131.73122397467787</v>
      </c>
      <c r="BH36" s="24">
        <f>BG36^((FixedParams!$B$47-1)/FixedParams!$B$47)*EXP($C36)</f>
        <v>0.78482690429123059</v>
      </c>
      <c r="BI36" s="7"/>
      <c r="BJ36" s="24">
        <f>EXP(-$D$17)*(($B36*FixedParams!$B$30)^$B$10*(1+FixedParams!$C$24)^(1-$B$10)+(1-$B36)^$B$10*((1+FixedParams!$C$27)/$BK$12)^(1-$B$10))^(1/(1-$B$10))</f>
        <v>6.0020354937266323</v>
      </c>
      <c r="BK36" s="24">
        <f>EXP($D36-$D$17)*(($B36*FixedParams!$C$31)^$B$10*(1+FixedParams!$C$25)^(1-$B$10)+(1-$B36)^$B$10*((1+FixedParams!$C$28)/$BK$12)^(1-$B$10))^(1/(1-$B$10))</f>
        <v>4.373540330925719</v>
      </c>
      <c r="BL36" s="24">
        <f>EXP($D36-$D$17)*(($B36*FixedParams!$C$30)^$B$10*(1+FixedParams!$C$23)^(1-$B$10)+(1-$B36)^$B$10*((1+FixedParams!$C$26)/$BK$12)^(1-$B$10))^(1/(1-$B$10))</f>
        <v>4.5280236402726119</v>
      </c>
      <c r="BM36">
        <f>IF(FixedParams!$I$6=1,IF(BK36&lt;=MIN(BJ36:BL36),1,0),$H36)</f>
        <v>1</v>
      </c>
      <c r="BN36">
        <f>IF(FixedParams!$I$6=1,IF(BL36&lt;=MIN(BJ36:BL36),1,0),IF(BL36&lt;=BJ36,1,0)*(1-$H36))</f>
        <v>0</v>
      </c>
      <c r="BO36" s="24">
        <f>$BK$13*IF(BM36=1,1,IF(BN36=1,FixedParams!$C$52,FixedParams!$C$53))</f>
        <v>0.41068174962109105</v>
      </c>
      <c r="BP36">
        <f>EXP($C36*FixedParams!$B$47)*EXP(IF(BM36+BN36=1,(1-FixedParams!$B$47)*$D36,0))*($B36^((FixedParams!$B$47-1)*$B$10/($B$10-1)))*((1/$B36-1)^$B$10*(BO36)^($B$10-1)+1)^((FixedParams!$B$47-$B$10)/($B$10-1))/((1+IF(BM36=1,FixedParams!$C$25,IF(BN36=1,FixedParams!$C$23,FixedParams!$C$24)))^FixedParams!$B$47)</f>
        <v>3.738497784351006E-2</v>
      </c>
      <c r="BQ36">
        <f t="shared" si="28"/>
        <v>1.0754817801163052</v>
      </c>
      <c r="BR36">
        <f t="shared" si="29"/>
        <v>27.429258160923279</v>
      </c>
      <c r="BS36">
        <f t="shared" si="6"/>
        <v>162.64715869974356</v>
      </c>
      <c r="BT36">
        <f t="shared" si="30"/>
        <v>190.07641686066682</v>
      </c>
      <c r="BU36" s="24">
        <f t="shared" si="31"/>
        <v>5.9296958651057006</v>
      </c>
      <c r="BV36" s="24">
        <f t="shared" si="32"/>
        <v>1.3890634368243235</v>
      </c>
      <c r="BW36" s="23">
        <f>IF(BM36=1,BR36*(1+FixedParams!$C$25)+BS36*(1+FixedParams!$C$28)/$BK$12,IF(BN36=1,BR36*(1+FixedParams!$C$23)+BS36*(1+FixedParams!$C$26)/$BK$12,BR36*(1+FixedParams!$C$24)+BS36*(1+FixedParams!$C$27)/$BK$12))</f>
        <v>579.48016836978854</v>
      </c>
      <c r="BX36" s="24">
        <f t="shared" si="33"/>
        <v>132.49681597131487</v>
      </c>
      <c r="BY36" s="24">
        <f>BX36^((FixedParams!$B$47-1)/FixedParams!$B$47)*EXP($C36)</f>
        <v>0.78482235171918602</v>
      </c>
      <c r="BZ36" s="24">
        <f t="shared" si="34"/>
        <v>-1.3316635710737219E-2</v>
      </c>
      <c r="CA36" s="24">
        <f t="shared" si="35"/>
        <v>-1.3240513427930074E-3</v>
      </c>
      <c r="CB36" s="24">
        <f t="shared" si="36"/>
        <v>1.6004404576614242E-2</v>
      </c>
      <c r="CC36" s="24"/>
      <c r="CD36" s="24">
        <f>EXP(-$D$17)*(($B36*FixedParams!$B$30)^$B$10*(1+FixedParams!$D$24)^(1-$B$10)+(1-$B36)^$B$10*((1+FixedParams!$D$27)/$CE$12)^(1-$B$10))^(1/(1-$B$10))</f>
        <v>5.678389296725638</v>
      </c>
      <c r="CE36" s="24">
        <f>EXP($D36-$D$17)*(($B36*FixedParams!$D$31)^$B$10*(1+FixedParams!$D$25)^(1-$B$10)+(1-$B36)^$B$10*((1+FixedParams!$D$28)/$CE$12)^(1-$B$10))^(1/(1-$B$10))</f>
        <v>4.2743385286953677</v>
      </c>
      <c r="CF36" s="24">
        <f>EXP($D36-$D$17)*(($B36*FixedParams!$D$30)^$B$10*(1+FixedParams!$D$23)^(1-$B$10)+(1-$B36)^$B$10*((1+FixedParams!$D$26)/$CE$12)^(1-$B$10))^(1/(1-$B$10))</f>
        <v>4.3788668796326995</v>
      </c>
      <c r="CG36">
        <f>IF(FixedParams!$I$6=1,IF(CE36&lt;=MIN(CD36:CF36),1,0),$H36)</f>
        <v>1</v>
      </c>
      <c r="CH36">
        <f>IF(FixedParams!$I$6=1,IF(CF36&lt;=MIN(CD36:CF36),1,0),IF(CF36&lt;=CD36,1,0)*(1-$H36))</f>
        <v>0</v>
      </c>
      <c r="CI36" s="24">
        <f>$CE$13*IF(CG36=1,1,IF(CH36=1,FixedParams!$D$52,FixedParams!$D$53))</f>
        <v>0.39201585704839609</v>
      </c>
      <c r="CJ36">
        <f>EXP($C36*FixedParams!$B$47)*EXP(IF(CG36+CH36=1,(1-FixedParams!$B$47)*$D36,0))*($B36^((FixedParams!$B$47-1)*$B$10/($B$10-1)))*((1/$B36-1)^$B$10*(CI36)^($B$10-1)+1)^((FixedParams!$B$47-$B$10)/($B$10-1))/((1+IF(CG36=1,FixedParams!$D$25,IF(CH36=1,FixedParams!$D$23,FixedParams!$D$24)))^FixedParams!$B$47)</f>
        <v>4.0829096422134281E-2</v>
      </c>
      <c r="CK36">
        <f t="shared" si="37"/>
        <v>1.0750448150780623</v>
      </c>
      <c r="CL36">
        <f t="shared" si="41"/>
        <v>29.370527272619587</v>
      </c>
      <c r="CM36">
        <f t="shared" si="7"/>
        <v>162.42074892055967</v>
      </c>
      <c r="CN36">
        <f t="shared" si="42"/>
        <v>191.79127619317927</v>
      </c>
      <c r="CO36" s="24">
        <f t="shared" si="43"/>
        <v>5.5300590082349315</v>
      </c>
      <c r="CP36" s="24">
        <f t="shared" si="44"/>
        <v>1.3809189204738965</v>
      </c>
      <c r="CQ36" s="23">
        <f>IF(CG36=1,CL36*(1+FixedParams!$D$25)+CM36*(1+FixedParams!$D$28)/$CE$12,IF(CH36=1,CL36*(1+FixedParams!$D$23)+CM36*(1+FixedParams!$D$26)/$CE$12,CL36*(1+FixedParams!$D$24)+CM36*(1+FixedParams!$D$27)/$CE$12))</f>
        <v>568.13775842240398</v>
      </c>
      <c r="CR36" s="24">
        <f t="shared" si="45"/>
        <v>132.91828773230404</v>
      </c>
      <c r="CS36" s="24">
        <f>CR36^((FixedParams!$B$47-1)/FixedParams!$B$47)*EXP($C36)</f>
        <v>0.78481985667412213</v>
      </c>
      <c r="CT36" s="24"/>
    </row>
    <row r="37" spans="1:98" x14ac:dyDescent="0.15">
      <c r="A37">
        <v>0.10199999999999999</v>
      </c>
      <c r="B37">
        <f t="shared" si="8"/>
        <v>0.11299910809635151</v>
      </c>
      <c r="C37">
        <f>(D37-$D$17)*FixedParams!$B$47+$A37*$B$9</f>
        <v>-0.25489954641435558</v>
      </c>
      <c r="D37">
        <f>(A37-$B$6)*FixedParams!$B$46/(FixedParams!$B$45*Sectors!$B$6)</f>
        <v>-0.21625386909733765</v>
      </c>
      <c r="E37">
        <f t="shared" si="9"/>
        <v>0.77499434501181841</v>
      </c>
      <c r="F37" s="24">
        <f>EXP(-$D$17)*(($B37*FixedParams!$B$30)^$B$10*(1+FixedParams!$B$23)^(1-$B$10)+(1-$B37)^$B$10*((1+FixedParams!$B$26)/$B$11)^(1-$B$10))^(1/(1-$B$10))</f>
        <v>4.498483863102436</v>
      </c>
      <c r="G37" s="24">
        <f>EXP($D37-$D$17)*(($B37*FixedParams!$B$31)^$B$10*(1+FixedParams!$B$25)^(1-$B$10)+(1-$B37)^$B$10*((1+FixedParams!$B$28)/$B$11)^(1-$B$10))^(1/(1-$B$10))</f>
        <v>3.5095618970186773</v>
      </c>
      <c r="H37">
        <f t="shared" si="10"/>
        <v>1</v>
      </c>
      <c r="I37" s="24">
        <f>$B$12*IF(H37=1,1,FixedParams!$B$52)</f>
        <v>0.3745928365283252</v>
      </c>
      <c r="J37">
        <f>EXP($C37*FixedParams!$B$47)*EXP(IF(H37=1,(1-FixedParams!$B$47)*$D37,0))*($B37^((FixedParams!$B$47-1)*$B$10/($B$10-1)))*((1/$B37-1)^$B$10*(I37)^($B$10-1)+1)^((FixedParams!$B$47-$B$10)/($B$10-1))/((1+IF(H37=1,FixedParams!$B$25,FixedParams!$B$24))^FixedParams!$B$47)</f>
        <v>5.3567338958256792E-2</v>
      </c>
      <c r="K37">
        <f t="shared" si="38"/>
        <v>1.0800558865763481</v>
      </c>
      <c r="L37">
        <f>K37*FixedParams!$B$8/K$15</f>
        <v>31.40060455881574</v>
      </c>
      <c r="M37">
        <f t="shared" si="0"/>
        <v>158.32546527656393</v>
      </c>
      <c r="N37">
        <f t="shared" si="11"/>
        <v>189.72606983537966</v>
      </c>
      <c r="O37" s="24">
        <f t="shared" si="12"/>
        <v>5.0421151917635276</v>
      </c>
      <c r="P37" s="24">
        <f t="shared" si="1"/>
        <v>1.3722915516153535</v>
      </c>
      <c r="Q37" s="23">
        <f>IF(H37=1,L37*(1+FixedParams!$B$25)+M37*FixedParams!$B$33*(1+FixedParams!$B$28)/FixedParams!$B$32,L37*(1+FixedParams!$B$23)+M37*FixedParams!$B$33*(1+FixedParams!$B$26)/FixedParams!$B$32)</f>
        <v>454.85653396004483</v>
      </c>
      <c r="R37" s="24">
        <f t="shared" si="2"/>
        <v>129.60493283974816</v>
      </c>
      <c r="S37" s="24">
        <f>R37^((FixedParams!$B$47-1)/FixedParams!$B$47)*EXP($C37)</f>
        <v>0.77122979131110947</v>
      </c>
      <c r="T37" s="7">
        <f>(L37*FixedParams!$B$32*(FixedParams!$C$25-FixedParams!$C$23)+FixedParams!$B$33*(FixedParams!$C$28-FixedParams!$C$26)*M37)/N37</f>
        <v>-2580.2198962779007</v>
      </c>
      <c r="U37" s="7">
        <f>(L37*FixedParams!$B$32*(FixedParams!$C$25-FixedParams!$C$23)*$Z$12/$B$11+FixedParams!$B$33*(FixedParams!$C$28-FixedParams!$C$26)*M37)/N37</f>
        <v>-2746.4420640219596</v>
      </c>
      <c r="V37" s="14">
        <f t="shared" si="13"/>
        <v>-2.599741287091323</v>
      </c>
      <c r="W37" s="14">
        <f t="shared" si="14"/>
        <v>0.21946220252819995</v>
      </c>
      <c r="X37" s="73">
        <f t="shared" si="15"/>
        <v>0.98727775878920798</v>
      </c>
      <c r="Y37" s="24">
        <f>EXP(-$D$17)*(($B37*FixedParams!$B$30)^$B$10*(1+FixedParams!$C$24)^(1-$B$10)+(1-$B37)^$B$10*((1+FixedParams!$C$27)/$Z$12)^(1-$B$10))^(1/(1-$B$10))</f>
        <v>5.7392831645995441</v>
      </c>
      <c r="Z37" s="24">
        <f>EXP($D37-$D$17)*(($B37*FixedParams!$C$31)^$B$10*(1+FixedParams!$C$25)^(1-$B$10)+(1-$B37)^$B$10*((1+FixedParams!$C$28)/$Z$12)^(1-$B$10))^(1/(1-$B$10))</f>
        <v>4.19804051482582</v>
      </c>
      <c r="AA37" s="24">
        <f>EXP($D37-$D$17)*(($B37*FixedParams!$C$30)^$B$10*(1+FixedParams!$C$23)^(1-$B$10)+(1-$B37)^$B$10*((1+FixedParams!$C$26)/$Z$12)^(1-$B$10))^(1/(1-$B$10))</f>
        <v>4.3463836673030203</v>
      </c>
      <c r="AB37">
        <f>IF(FixedParams!$I$6=1,IF(Z37&lt;=MIN(Y37:AA37),1,0),$H37)</f>
        <v>1</v>
      </c>
      <c r="AC37">
        <f>IF(FixedParams!$I$6=1,IF(AA37&lt;=MIN(Y37:AA37),1,0),IF(AA37&lt;=Y37,1,0)*(1-$H37))</f>
        <v>0</v>
      </c>
      <c r="AD37" s="24">
        <f>$Z$13*IF(AB37=1,1,IF(AC37=1,FixedParams!$C$52,FixedParams!$C$53))</f>
        <v>0.43187184563106507</v>
      </c>
      <c r="AE37">
        <f>EXP($C37*FixedParams!$B$47)*EXP(IF(AB37+AC37=1,(1-FixedParams!$B$47)*$D37,0))*($B37^((FixedParams!$B$47-1)*$B$10/($B$10-1)))*((1/$B37-1)^$B$10*(AD37)^($B$10-1)+1)^((FixedParams!$B$47-$B$10)/($B$10-1))/((1+IF(AB37=1,FixedParams!$C$25,IF(AC37=1,FixedParams!$C$23,FixedParams!$C$24)))^FixedParams!$B$47)</f>
        <v>3.6702296292522599E-2</v>
      </c>
      <c r="AF37">
        <f t="shared" si="39"/>
        <v>1.081513209870067</v>
      </c>
      <c r="AG37">
        <f t="shared" si="40"/>
        <v>25.403084502239288</v>
      </c>
      <c r="AH37">
        <f t="shared" si="3"/>
        <v>158.55953125911287</v>
      </c>
      <c r="AI37">
        <f t="shared" si="16"/>
        <v>183.96261576135217</v>
      </c>
      <c r="AJ37" s="24">
        <f t="shared" si="17"/>
        <v>6.2417432514990772</v>
      </c>
      <c r="AK37" s="24">
        <f t="shared" si="18"/>
        <v>1.4021195952727052</v>
      </c>
      <c r="AL37" s="23">
        <f>IF(AB37=1,AG37*(1+FixedParams!$C$25)+AH37*(1+FixedParams!$C$28)/$Z$12,IF(AC37=1,AG37*(1+FixedParams!$C$23)+AH37*(1+FixedParams!$C$26)/$Z$12,AG37*(1+FixedParams!$C$24)+AH37*(1+FixedParams!$C$27)/$Z$12))</f>
        <v>537.16475599516821</v>
      </c>
      <c r="AM37" s="24">
        <f t="shared" si="19"/>
        <v>127.95606762205239</v>
      </c>
      <c r="AN37" s="24">
        <f>AM37^((FixedParams!$B$47-1)/FixedParams!$B$47)*EXP($C37)</f>
        <v>0.77123967597881926</v>
      </c>
      <c r="AO37" s="24">
        <f t="shared" si="20"/>
        <v>-3.0848732392066987E-2</v>
      </c>
      <c r="AP37" s="24">
        <f t="shared" si="21"/>
        <v>-1.2803861926075232E-2</v>
      </c>
      <c r="AQ37" s="14">
        <f t="shared" si="22"/>
        <v>-2.6708858989732081</v>
      </c>
      <c r="AS37" s="24">
        <f>EXP(-$D$17)*(($B37*FixedParams!$B$30)^$B$10*(1+FixedParams!$D$24)^(1-$B$10)+(1-$B37)^$B$10*((1+FixedParams!$D$27)/$AT$12)^(1-$B$10))^(1/(1-$B$10))</f>
        <v>5.4465445378959014</v>
      </c>
      <c r="AT37" s="24">
        <f>EXP($D37-$D$17)*(($B37*FixedParams!$C$31)^$B$10*(1+FixedParams!$D$25)^(1-$B$10)+(1-$B37)^$B$10*((1+FixedParams!$D$28)/$AT$12)^(1-$B$10))^(1/(1-$B$10))</f>
        <v>4.1154318581648539</v>
      </c>
      <c r="AU37" s="24">
        <f>EXP($D37-$D$17)*(($B37*FixedParams!$C$30)^$B$10*(1+FixedParams!$D$23)^(1-$B$10)+(1-$B37)^$B$10*((1+FixedParams!$D$26)/$AT$12)^(1-$B$10))^(1/(1-$B$10))</f>
        <v>4.2160427658681821</v>
      </c>
      <c r="AV37">
        <f>IF(FixedParams!$I$6=1,IF(AT37&lt;=MIN(AS37:AU37),1,0),$H37)</f>
        <v>1</v>
      </c>
      <c r="AW37">
        <f>IF(FixedParams!$I$6=1,IF(AU37&lt;=MIN(AS37:AU37),1,0),IF(AU37&lt;=AS37,1,0)*(1-$H37))</f>
        <v>0</v>
      </c>
      <c r="AX37" s="24">
        <f>$AT$13*IF(AV37=1,1,IF(AW37=1,FixedParams!$D$52,FixedParams!$D$53))</f>
        <v>0.41089128090616783</v>
      </c>
      <c r="AY37">
        <f>EXP($C37*FixedParams!$B$47)*EXP(IF(AV37+AW37=1,(1-FixedParams!$B$47)*$D37,0))*($B37^((FixedParams!$B$47-1)*$B$10/($B$10-1)))*((1/$B37-1)^$B$10*(AX37)^($B$10-1)+1)^((FixedParams!$B$47-$B$10)/($B$10-1))/((1+IF(AV37=1,FixedParams!$D$25,IF(AW37=1,FixedParams!$D$23,FixedParams!$D$24)))^FixedParams!$B$47)</f>
        <v>4.0145208335525887E-2</v>
      </c>
      <c r="AZ37">
        <f t="shared" si="4"/>
        <v>1.0810133447574173</v>
      </c>
      <c r="BA37">
        <f t="shared" si="23"/>
        <v>27.198151176257362</v>
      </c>
      <c r="BB37">
        <f t="shared" si="5"/>
        <v>157.54453157523295</v>
      </c>
      <c r="BC37">
        <f t="shared" si="24"/>
        <v>184.74268275149032</v>
      </c>
      <c r="BD37" s="24">
        <f t="shared" si="25"/>
        <v>5.7924720895279647</v>
      </c>
      <c r="BE37" s="24">
        <f t="shared" si="26"/>
        <v>1.3935994648967567</v>
      </c>
      <c r="BF37" s="23">
        <f>IF(AV37=1,BA37*(1+FixedParams!$C$25)+BB37*(1+FixedParams!$C$28)/$AT$12,IF(AW37=1,BA37*(1+FixedParams!$C$23)+BB37*(1+FixedParams!$C$26)/$AT$12,BA37*(1+FixedParams!$C$24)+BB37*(1+FixedParams!$C$27)/$AT$12))</f>
        <v>529.57396061699444</v>
      </c>
      <c r="BG37" s="24">
        <f t="shared" si="27"/>
        <v>128.68004595103201</v>
      </c>
      <c r="BH37" s="24">
        <f>BG37^((FixedParams!$B$47-1)/FixedParams!$B$47)*EXP($C37)</f>
        <v>0.77123532024237851</v>
      </c>
      <c r="BI37" s="7"/>
      <c r="BJ37" s="24">
        <f>EXP(-$D$17)*(($B37*FixedParams!$B$30)^$B$10*(1+FixedParams!$C$24)^(1-$B$10)+(1-$B37)^$B$10*((1+FixedParams!$C$27)/$BK$12)^(1-$B$10))^(1/(1-$B$10))</f>
        <v>6.0164939822022951</v>
      </c>
      <c r="BK37" s="24">
        <f>EXP($D37-$D$17)*(($B37*FixedParams!$C$31)^$B$10*(1+FixedParams!$C$25)^(1-$B$10)+(1-$B37)^$B$10*((1+FixedParams!$C$28)/$BK$12)^(1-$B$10))^(1/(1-$B$10))</f>
        <v>4.4001289724997745</v>
      </c>
      <c r="BL37" s="24">
        <f>EXP($D37-$D$17)*(($B37*FixedParams!$C$30)^$B$10*(1+FixedParams!$C$23)^(1-$B$10)+(1-$B37)^$B$10*((1+FixedParams!$C$26)/$BK$12)^(1-$B$10))^(1/(1-$B$10))</f>
        <v>4.5540062561424168</v>
      </c>
      <c r="BM37">
        <f>IF(FixedParams!$I$6=1,IF(BK37&lt;=MIN(BJ37:BL37),1,0),$H37)</f>
        <v>1</v>
      </c>
      <c r="BN37">
        <f>IF(FixedParams!$I$6=1,IF(BL37&lt;=MIN(BJ37:BL37),1,0),IF(BL37&lt;=BJ37,1,0)*(1-$H37))</f>
        <v>0</v>
      </c>
      <c r="BO37" s="24">
        <f>$BK$13*IF(BM37=1,1,IF(BN37=1,FixedParams!$C$52,FixedParams!$C$53))</f>
        <v>0.41068174962109105</v>
      </c>
      <c r="BP37">
        <f>EXP($C37*FixedParams!$B$47)*EXP(IF(BM37+BN37=1,(1-FixedParams!$B$47)*$D37,0))*($B37^((FixedParams!$B$47-1)*$B$10/($B$10-1)))*((1/$B37-1)^$B$10*(BO37)^($B$10-1)+1)^((FixedParams!$B$47-$B$10)/($B$10-1))/((1+IF(BM37=1,FixedParams!$C$25,IF(BN37=1,FixedParams!$C$23,FixedParams!$C$24)))^FixedParams!$B$47)</f>
        <v>3.7577081440928285E-2</v>
      </c>
      <c r="BQ37">
        <f t="shared" si="28"/>
        <v>1.0810081688113293</v>
      </c>
      <c r="BR37">
        <f t="shared" si="29"/>
        <v>27.570204056070875</v>
      </c>
      <c r="BS37">
        <f t="shared" si="6"/>
        <v>159.57749641460694</v>
      </c>
      <c r="BT37">
        <f t="shared" si="30"/>
        <v>187.14770047067782</v>
      </c>
      <c r="BU37" s="24">
        <f t="shared" si="31"/>
        <v>5.7880419053143886</v>
      </c>
      <c r="BV37" s="24">
        <f t="shared" si="32"/>
        <v>1.3975081537014467</v>
      </c>
      <c r="BW37" s="23">
        <f>IF(BM37=1,BR37*(1+FixedParams!$C$25)+BS37*(1+FixedParams!$C$28)/$BK$12,IF(BN37=1,BR37*(1+FixedParams!$C$23)+BS37*(1+FixedParams!$C$26)/$BK$12,BR37*(1+FixedParams!$C$24)+BS37*(1+FixedParams!$C$27)/$BK$12))</f>
        <v>569.44482116785093</v>
      </c>
      <c r="BX37" s="24">
        <f t="shared" si="33"/>
        <v>129.41548412030784</v>
      </c>
      <c r="BY37" s="24">
        <f>BX37^((FixedParams!$B$47-1)/FixedParams!$B$47)*EXP($C37)</f>
        <v>0.77123092060343301</v>
      </c>
      <c r="BZ37" s="24">
        <f t="shared" si="34"/>
        <v>-1.3683146965470456E-2</v>
      </c>
      <c r="CA37" s="24">
        <f t="shared" si="35"/>
        <v>-1.462809422097268E-3</v>
      </c>
      <c r="CB37" s="24">
        <f t="shared" si="36"/>
        <v>1.5865646497309982E-2</v>
      </c>
      <c r="CC37" s="24"/>
      <c r="CD37" s="24">
        <f>EXP(-$D$17)*(($B37*FixedParams!$B$30)^$B$10*(1+FixedParams!$D$24)^(1-$B$10)+(1-$B37)^$B$10*((1+FixedParams!$D$27)/$CE$12)^(1-$B$10))^(1/(1-$B$10))</f>
        <v>5.6914129157619797</v>
      </c>
      <c r="CE37" s="24">
        <f>EXP($D37-$D$17)*(($B37*FixedParams!$D$31)^$B$10*(1+FixedParams!$D$25)^(1-$B$10)+(1-$B37)^$B$10*((1+FixedParams!$D$28)/$CE$12)^(1-$B$10))^(1/(1-$B$10))</f>
        <v>4.300024991534074</v>
      </c>
      <c r="CF37" s="24">
        <f>EXP($D37-$D$17)*(($B37*FixedParams!$D$30)^$B$10*(1+FixedParams!$D$23)^(1-$B$10)+(1-$B37)^$B$10*((1+FixedParams!$D$26)/$CE$12)^(1-$B$10))^(1/(1-$B$10))</f>
        <v>4.4039777615044606</v>
      </c>
      <c r="CG37">
        <f>IF(FixedParams!$I$6=1,IF(CE37&lt;=MIN(CD37:CF37),1,0),$H37)</f>
        <v>1</v>
      </c>
      <c r="CH37">
        <f>IF(FixedParams!$I$6=1,IF(CF37&lt;=MIN(CD37:CF37),1,0),IF(CF37&lt;=CD37,1,0)*(1-$H37))</f>
        <v>0</v>
      </c>
      <c r="CI37" s="24">
        <f>$CE$13*IF(CG37=1,1,IF(CH37=1,FixedParams!$D$52,FixedParams!$D$53))</f>
        <v>0.39201585704839609</v>
      </c>
      <c r="CJ37">
        <f>EXP($C37*FixedParams!$B$47)*EXP(IF(CG37+CH37=1,(1-FixedParams!$B$47)*$D37,0))*($B37^((FixedParams!$B$47-1)*$B$10/($B$10-1)))*((1/$B37-1)^$B$10*(CI37)^($B$10-1)+1)^((FixedParams!$B$47-$B$10)/($B$10-1))/((1+IF(CG37=1,FixedParams!$D$25,IF(CH37=1,FixedParams!$D$23,FixedParams!$D$24)))^FixedParams!$B$47)</f>
        <v>4.1037467695271626E-2</v>
      </c>
      <c r="CK37">
        <f t="shared" si="37"/>
        <v>1.0805313057532779</v>
      </c>
      <c r="CL37">
        <f t="shared" si="41"/>
        <v>29.520419743842464</v>
      </c>
      <c r="CM37">
        <f t="shared" si="7"/>
        <v>159.34980692566262</v>
      </c>
      <c r="CN37">
        <f t="shared" si="42"/>
        <v>188.87022666950509</v>
      </c>
      <c r="CO37" s="24">
        <f t="shared" si="43"/>
        <v>5.397951936604855</v>
      </c>
      <c r="CP37" s="24">
        <f t="shared" si="44"/>
        <v>1.3892174963344393</v>
      </c>
      <c r="CQ37" s="23">
        <f>IF(CG37=1,CL37*(1+FixedParams!$D$25)+CM37*(1+FixedParams!$D$28)/$CE$12,IF(CH37=1,CL37*(1+FixedParams!$D$23)+CM37*(1+FixedParams!$D$26)/$CE$12,CL37*(1+FixedParams!$D$24)+CM37*(1+FixedParams!$D$27)/$CE$12))</f>
        <v>558.29879847629297</v>
      </c>
      <c r="CR37" s="24">
        <f t="shared" si="45"/>
        <v>129.83617527234756</v>
      </c>
      <c r="CS37" s="24">
        <f>CR37^((FixedParams!$B$47-1)/FixedParams!$B$47)*EXP($C37)</f>
        <v>0.77122841512626428</v>
      </c>
      <c r="CT37" s="24"/>
    </row>
    <row r="38" spans="1:98" x14ac:dyDescent="0.15">
      <c r="A38">
        <v>0.105</v>
      </c>
      <c r="B38">
        <f t="shared" si="8"/>
        <v>0.11369337751242811</v>
      </c>
      <c r="C38">
        <f>(D38-$D$17)*FixedParams!$B$47+$A38*$B$9</f>
        <v>-0.26239659189713077</v>
      </c>
      <c r="D38">
        <f>(A38-$B$6)*FixedParams!$B$46/(FixedParams!$B$45*Sectors!$B$6)</f>
        <v>-0.21462381480765921</v>
      </c>
      <c r="E38">
        <f t="shared" si="9"/>
        <v>0.7692059023791431</v>
      </c>
      <c r="F38" s="24">
        <f>EXP(-$D$17)*(($B38*FixedParams!$B$30)^$B$10*(1+FixedParams!$B$23)^(1-$B$10)+(1-$B38)^$B$10*((1+FixedParams!$B$26)/$B$11)^(1-$B$10))^(1/(1-$B$10))</f>
        <v>4.5027027031294713</v>
      </c>
      <c r="G38" s="24">
        <f>EXP($D38-$D$17)*(($B38*FixedParams!$B$31)^$B$10*(1+FixedParams!$B$25)^(1-$B$10)+(1-$B38)^$B$10*((1+FixedParams!$B$28)/$B$11)^(1-$B$10))^(1/(1-$B$10))</f>
        <v>3.5184838768083826</v>
      </c>
      <c r="H38">
        <f t="shared" si="10"/>
        <v>1</v>
      </c>
      <c r="I38" s="24">
        <f>$B$12*IF(H38=1,1,FixedParams!$B$52)</f>
        <v>0.3745928365283252</v>
      </c>
      <c r="J38">
        <f>EXP($C38*FixedParams!$B$47)*EXP(IF(H38=1,(1-FixedParams!$B$47)*$D38,0))*($B38^((FixedParams!$B$47-1)*$B$10/($B$10-1)))*((1/$B38-1)^$B$10*(I38)^($B$10-1)+1)^((FixedParams!$B$47-$B$10)/($B$10-1))/((1+IF(H38=1,FixedParams!$B$25,FixedParams!$B$24))^FixedParams!$B$47)</f>
        <v>5.3682916532735624E-2</v>
      </c>
      <c r="K38">
        <f t="shared" si="38"/>
        <v>1.0823862289472721</v>
      </c>
      <c r="L38">
        <f>K38*FixedParams!$B$8/K$15</f>
        <v>31.468354904131662</v>
      </c>
      <c r="M38">
        <f t="shared" si="0"/>
        <v>157.0313920035245</v>
      </c>
      <c r="N38">
        <f t="shared" si="11"/>
        <v>188.49974690765617</v>
      </c>
      <c r="O38" s="24">
        <f t="shared" si="12"/>
        <v>4.9901366780030481</v>
      </c>
      <c r="P38" s="24">
        <f t="shared" si="1"/>
        <v>1.3757801800676672</v>
      </c>
      <c r="Q38" s="23">
        <f>IF(H38=1,L38*(1+FixedParams!$B$25)+M38*FixedParams!$B$33*(1+FixedParams!$B$28)/FixedParams!$B$32,L38*(1+FixedParams!$B$23)+M38*FixedParams!$B$33*(1+FixedParams!$B$26)/FixedParams!$B$32)</f>
        <v>451.4637355876568</v>
      </c>
      <c r="R38" s="24">
        <f t="shared" si="2"/>
        <v>128.31200920470883</v>
      </c>
      <c r="S38" s="24">
        <f>R38^((FixedParams!$B$47-1)/FixedParams!$B$47)*EXP($C38)</f>
        <v>0.76547714847685855</v>
      </c>
      <c r="T38" s="7">
        <f>(L38*FixedParams!$B$32*(FixedParams!$C$25-FixedParams!$C$23)+FixedParams!$B$33*(FixedParams!$C$28-FixedParams!$C$26)*M38)/N38</f>
        <v>-2563.9269265204243</v>
      </c>
      <c r="U38" s="7">
        <f>(L38*FixedParams!$B$32*(FixedParams!$C$25-FixedParams!$C$23)*$Z$12/$B$11+FixedParams!$B$33*(FixedParams!$C$28-FixedParams!$C$26)*M38)/N38</f>
        <v>-2731.5914622266546</v>
      </c>
      <c r="V38" s="14">
        <f t="shared" si="13"/>
        <v>-2.5893789119136734</v>
      </c>
      <c r="W38" s="14">
        <f t="shared" si="14"/>
        <v>0.22870771395715842</v>
      </c>
      <c r="X38" s="73">
        <f t="shared" si="15"/>
        <v>0.98718656252635795</v>
      </c>
      <c r="Y38" s="24">
        <f>EXP(-$D$17)*(($B38*FixedParams!$B$30)^$B$10*(1+FixedParams!$C$24)^(1-$B$10)+(1-$B38)^$B$10*((1+FixedParams!$C$27)/$Z$12)^(1-$B$10))^(1/(1-$B$10))</f>
        <v>5.7453962957743219</v>
      </c>
      <c r="Z38" s="24">
        <f>EXP($D38-$D$17)*(($B38*FixedParams!$C$31)^$B$10*(1+FixedParams!$C$25)^(1-$B$10)+(1-$B38)^$B$10*((1+FixedParams!$C$28)/$Z$12)^(1-$B$10))^(1/(1-$B$10))</f>
        <v>4.2091019293289289</v>
      </c>
      <c r="AA38" s="24">
        <f>EXP($D38-$D$17)*(($B38*FixedParams!$C$30)^$B$10*(1+FixedParams!$C$23)^(1-$B$10)+(1-$B38)^$B$10*((1+FixedParams!$C$26)/$Z$12)^(1-$B$10))^(1/(1-$B$10))</f>
        <v>4.3572067049355603</v>
      </c>
      <c r="AB38">
        <f>IF(FixedParams!$I$6=1,IF(Z38&lt;=MIN(Y38:AA38),1,0),$H38)</f>
        <v>1</v>
      </c>
      <c r="AC38">
        <f>IF(FixedParams!$I$6=1,IF(AA38&lt;=MIN(Y38:AA38),1,0),IF(AA38&lt;=Y38,1,0)*(1-$H38))</f>
        <v>0</v>
      </c>
      <c r="AD38" s="24">
        <f>$Z$13*IF(AB38=1,1,IF(AC38=1,FixedParams!$C$52,FixedParams!$C$53))</f>
        <v>0.43187184563106507</v>
      </c>
      <c r="AE38">
        <f>EXP($C38*FixedParams!$B$47)*EXP(IF(AB38+AC38=1,(1-FixedParams!$B$47)*$D38,0))*($B38^((FixedParams!$B$47-1)*$B$10/($B$10-1)))*((1/$B38-1)^$B$10*(AD38)^($B$10-1)+1)^((FixedParams!$B$47-$B$10)/($B$10-1))/((1+IF(AB38=1,FixedParams!$C$25,IF(AC38=1,FixedParams!$C$23,FixedParams!$C$24)))^FixedParams!$B$47)</f>
        <v>3.678318963451966E-2</v>
      </c>
      <c r="AF38">
        <f t="shared" si="39"/>
        <v>1.0838969086245831</v>
      </c>
      <c r="AG38">
        <f t="shared" si="40"/>
        <v>25.459073925517924</v>
      </c>
      <c r="AH38">
        <f t="shared" si="3"/>
        <v>157.27083049430973</v>
      </c>
      <c r="AI38">
        <f t="shared" si="16"/>
        <v>182.72990441982765</v>
      </c>
      <c r="AJ38" s="24">
        <f t="shared" si="17"/>
        <v>6.1773979271365151</v>
      </c>
      <c r="AK38" s="24">
        <f t="shared" si="18"/>
        <v>1.4058140393762031</v>
      </c>
      <c r="AL38" s="23">
        <f>IF(AB38=1,AG38*(1+FixedParams!$C$25)+AH38*(1+FixedParams!$C$28)/$Z$12,IF(AC38=1,AG38*(1+FixedParams!$C$23)+AH38*(1+FixedParams!$C$26)/$Z$12,AG38*(1+FixedParams!$C$24)+AH38*(1+FixedParams!$C$27)/$Z$12))</f>
        <v>533.15806564495267</v>
      </c>
      <c r="AM38" s="24">
        <f t="shared" si="19"/>
        <v>126.6678912976469</v>
      </c>
      <c r="AN38" s="24">
        <f>AM38^((FixedParams!$B$47-1)/FixedParams!$B$47)*EXP($C38)</f>
        <v>0.76548703019750253</v>
      </c>
      <c r="AO38" s="24">
        <f t="shared" si="20"/>
        <v>-3.1087533773607026E-2</v>
      </c>
      <c r="AP38" s="24">
        <f t="shared" si="21"/>
        <v>-1.2896237627099924E-2</v>
      </c>
      <c r="AQ38" s="14">
        <f t="shared" si="22"/>
        <v>-2.6605235237955585</v>
      </c>
      <c r="AS38" s="24">
        <f>EXP(-$D$17)*(($B38*FixedParams!$B$30)^$B$10*(1+FixedParams!$D$24)^(1-$B$10)+(1-$B38)^$B$10*((1+FixedParams!$D$27)/$AT$12)^(1-$B$10))^(1/(1-$B$10))</f>
        <v>5.4520675389307076</v>
      </c>
      <c r="AT38" s="24">
        <f>EXP($D38-$D$17)*(($B38*FixedParams!$C$31)^$B$10*(1+FixedParams!$D$25)^(1-$B$10)+(1-$B38)^$B$10*((1+FixedParams!$D$28)/$AT$12)^(1-$B$10))^(1/(1-$B$10))</f>
        <v>4.1261447351676175</v>
      </c>
      <c r="AU38" s="24">
        <f>EXP($D38-$D$17)*(($B38*FixedParams!$C$30)^$B$10*(1+FixedParams!$D$23)^(1-$B$10)+(1-$B38)^$B$10*((1+FixedParams!$D$26)/$AT$12)^(1-$B$10))^(1/(1-$B$10))</f>
        <v>4.2265251397040968</v>
      </c>
      <c r="AV38">
        <f>IF(FixedParams!$I$6=1,IF(AT38&lt;=MIN(AS38:AU38),1,0),$H38)</f>
        <v>1</v>
      </c>
      <c r="AW38">
        <f>IF(FixedParams!$I$6=1,IF(AU38&lt;=MIN(AS38:AU38),1,0),IF(AU38&lt;=AS38,1,0)*(1-$H38))</f>
        <v>0</v>
      </c>
      <c r="AX38" s="24">
        <f>$AT$13*IF(AV38=1,1,IF(AW38=1,FixedParams!$D$52,FixedParams!$D$53))</f>
        <v>0.41089128090616783</v>
      </c>
      <c r="AY38">
        <f>EXP($C38*FixedParams!$B$47)*EXP(IF(AV38+AW38=1,(1-FixedParams!$B$47)*$D38,0))*($B38^((FixedParams!$B$47-1)*$B$10/($B$10-1)))*((1/$B38-1)^$B$10*(AX38)^($B$10-1)+1)^((FixedParams!$B$47-$B$10)/($B$10-1))/((1+IF(AV38=1,FixedParams!$D$25,IF(AW38=1,FixedParams!$D$23,FixedParams!$D$24)))^FixedParams!$B$47)</f>
        <v>4.0233050672763185E-2</v>
      </c>
      <c r="AZ38">
        <f t="shared" si="4"/>
        <v>1.0833787263988464</v>
      </c>
      <c r="BA38">
        <f t="shared" si="23"/>
        <v>27.257663862002758</v>
      </c>
      <c r="BB38">
        <f t="shared" si="5"/>
        <v>156.26159720346726</v>
      </c>
      <c r="BC38">
        <f t="shared" si="24"/>
        <v>183.51926106547</v>
      </c>
      <c r="BD38" s="24">
        <f t="shared" si="25"/>
        <v>5.7327582435006939</v>
      </c>
      <c r="BE38" s="24">
        <f t="shared" si="26"/>
        <v>1.3972271424220051</v>
      </c>
      <c r="BF38" s="23">
        <f>IF(AV38=1,BA38*(1+FixedParams!$C$25)+BB38*(1+FixedParams!$C$28)/$AT$12,IF(AW38=1,BA38*(1+FixedParams!$C$23)+BB38*(1+FixedParams!$C$26)/$AT$12,BA38*(1+FixedParams!$C$24)+BB38*(1+FixedParams!$C$27)/$AT$12))</f>
        <v>525.64599039468078</v>
      </c>
      <c r="BG38" s="24">
        <f t="shared" si="27"/>
        <v>127.39397770382072</v>
      </c>
      <c r="BH38" s="24">
        <f>BG38^((FixedParams!$B$47-1)/FixedParams!$B$47)*EXP($C38)</f>
        <v>0.76548265042954966</v>
      </c>
      <c r="BI38" s="7"/>
      <c r="BJ38" s="24">
        <f>EXP(-$D$17)*(($B38*FixedParams!$B$30)^$B$10*(1+FixedParams!$C$24)^(1-$B$10)+(1-$B38)^$B$10*((1+FixedParams!$C$27)/$BK$12)^(1-$B$10))^(1/(1-$B$10))</f>
        <v>6.0227178119473503</v>
      </c>
      <c r="BK38" s="24">
        <f>EXP($D38-$D$17)*(($B38*FixedParams!$C$31)^$B$10*(1+FixedParams!$C$25)^(1-$B$10)+(1-$B38)^$B$10*((1+FixedParams!$C$28)/$BK$12)^(1-$B$10))^(1/(1-$B$10))</f>
        <v>4.4115814954572246</v>
      </c>
      <c r="BL38" s="24">
        <f>EXP($D38-$D$17)*(($B38*FixedParams!$C$30)^$B$10*(1+FixedParams!$C$23)^(1-$B$10)+(1-$B38)^$B$10*((1+FixedParams!$C$26)/$BK$12)^(1-$B$10))^(1/(1-$B$10))</f>
        <v>4.5651855628150857</v>
      </c>
      <c r="BM38">
        <f>IF(FixedParams!$I$6=1,IF(BK38&lt;=MIN(BJ38:BL38),1,0),$H38)</f>
        <v>1</v>
      </c>
      <c r="BN38">
        <f>IF(FixedParams!$I$6=1,IF(BL38&lt;=MIN(BJ38:BL38),1,0),IF(BL38&lt;=BJ38,1,0)*(1-$H38))</f>
        <v>0</v>
      </c>
      <c r="BO38" s="24">
        <f>$BK$13*IF(BM38=1,1,IF(BN38=1,FixedParams!$C$52,FixedParams!$C$53))</f>
        <v>0.41068174962109105</v>
      </c>
      <c r="BP38">
        <f>EXP($C38*FixedParams!$B$47)*EXP(IF(BM38+BN38=1,(1-FixedParams!$B$47)*$D38,0))*($B38^((FixedParams!$B$47-1)*$B$10/($B$10-1)))*((1/$B38-1)^$B$10*(BO38)^($B$10-1)+1)^((FixedParams!$B$47-$B$10)/($B$10-1))/((1+IF(BM38=1,FixedParams!$C$25,IF(BN38=1,FixedParams!$C$23,FixedParams!$C$24)))^FixedParams!$B$47)</f>
        <v>3.7659298224491024E-2</v>
      </c>
      <c r="BQ38">
        <f t="shared" si="28"/>
        <v>1.0833733608708678</v>
      </c>
      <c r="BR38">
        <f t="shared" si="29"/>
        <v>27.630526290069326</v>
      </c>
      <c r="BS38">
        <f t="shared" si="6"/>
        <v>158.27798093183699</v>
      </c>
      <c r="BT38">
        <f t="shared" si="30"/>
        <v>185.90850722190632</v>
      </c>
      <c r="BU38" s="24">
        <f t="shared" si="31"/>
        <v>5.7283737294835246</v>
      </c>
      <c r="BV38" s="24">
        <f t="shared" si="32"/>
        <v>1.4011455457673425</v>
      </c>
      <c r="BW38" s="23">
        <f>IF(BM38=1,BR38*(1+FixedParams!$C$25)+BS38*(1+FixedParams!$C$28)/$BK$12,IF(BN38=1,BR38*(1+FixedParams!$C$23)+BS38*(1+FixedParams!$C$26)/$BK$12,BR38*(1+FixedParams!$C$24)+BS38*(1+FixedParams!$C$27)/$BK$12))</f>
        <v>565.19733699529002</v>
      </c>
      <c r="BX38" s="24">
        <f t="shared" si="33"/>
        <v>128.11671677771238</v>
      </c>
      <c r="BY38" s="24">
        <f>BX38^((FixedParams!$B$47-1)/FixedParams!$B$47)*EXP($C38)</f>
        <v>0.76547831559785162</v>
      </c>
      <c r="BZ38" s="24">
        <f t="shared" si="34"/>
        <v>-1.384200818627495E-2</v>
      </c>
      <c r="CA38" s="24">
        <f t="shared" si="35"/>
        <v>-1.523171509007932E-3</v>
      </c>
      <c r="CB38" s="24">
        <f t="shared" si="36"/>
        <v>1.5805284410399318E-2</v>
      </c>
      <c r="CC38" s="24"/>
      <c r="CD38" s="24">
        <f>EXP(-$D$17)*(($B38*FixedParams!$B$30)^$B$10*(1+FixedParams!$D$24)^(1-$B$10)+(1-$B38)^$B$10*((1+FixedParams!$D$27)/$CE$12)^(1-$B$10))^(1/(1-$B$10))</f>
        <v>5.6970151224261887</v>
      </c>
      <c r="CE38" s="24">
        <f>EXP($D38-$D$17)*(($B38*FixedParams!$D$31)^$B$10*(1+FixedParams!$D$25)^(1-$B$10)+(1-$B38)^$B$10*((1+FixedParams!$D$28)/$CE$12)^(1-$B$10))^(1/(1-$B$10))</f>
        <v>4.3110865231575231</v>
      </c>
      <c r="CF38" s="24">
        <f>EXP($D38-$D$17)*(($B38*FixedParams!$D$30)^$B$10*(1+FixedParams!$D$23)^(1-$B$10)+(1-$B38)^$B$10*((1+FixedParams!$D$26)/$CE$12)^(1-$B$10))^(1/(1-$B$10))</f>
        <v>4.4147818652096484</v>
      </c>
      <c r="CG38">
        <f>IF(FixedParams!$I$6=1,IF(CE38&lt;=MIN(CD38:CF38),1,0),$H38)</f>
        <v>1</v>
      </c>
      <c r="CH38">
        <f>IF(FixedParams!$I$6=1,IF(CF38&lt;=MIN(CD38:CF38),1,0),IF(CF38&lt;=CD38,1,0)*(1-$H38))</f>
        <v>0</v>
      </c>
      <c r="CI38" s="24">
        <f>$CE$13*IF(CG38=1,1,IF(CH38=1,FixedParams!$D$52,FixedParams!$D$53))</f>
        <v>0.39201585704839609</v>
      </c>
      <c r="CJ38">
        <f>EXP($C38*FixedParams!$B$47)*EXP(IF(CG38+CH38=1,(1-FixedParams!$B$47)*$D38,0))*($B38^((FixedParams!$B$47-1)*$B$10/($B$10-1)))*((1/$B38-1)^$B$10*(CI38)^($B$10-1)+1)^((FixedParams!$B$47-$B$10)/($B$10-1))/((1+IF(CG38=1,FixedParams!$D$25,IF(CH38=1,FixedParams!$D$23,FixedParams!$D$24)))^FixedParams!$B$47)</f>
        <v>4.1126632192642905E-2</v>
      </c>
      <c r="CK38">
        <f t="shared" si="37"/>
        <v>1.0828790390853353</v>
      </c>
      <c r="CL38">
        <f t="shared" si="41"/>
        <v>29.584560480015426</v>
      </c>
      <c r="CM38">
        <f t="shared" si="7"/>
        <v>158.04974974890513</v>
      </c>
      <c r="CN38">
        <f t="shared" si="42"/>
        <v>187.63431022892055</v>
      </c>
      <c r="CO38" s="24">
        <f t="shared" si="43"/>
        <v>5.3423051478377994</v>
      </c>
      <c r="CP38" s="24">
        <f t="shared" si="44"/>
        <v>1.3927911670218902</v>
      </c>
      <c r="CQ38" s="23">
        <f>IF(CG38=1,CL38*(1+FixedParams!$D$25)+CM38*(1+FixedParams!$D$28)/$CE$12,IF(CH38=1,CL38*(1+FixedParams!$D$23)+CM38*(1+FixedParams!$D$26)/$CE$12,CL38*(1+FixedParams!$D$24)+CM38*(1+FixedParams!$D$27)/$CE$12))</f>
        <v>554.13443562744396</v>
      </c>
      <c r="CR38" s="24">
        <f t="shared" si="45"/>
        <v>128.5370712582185</v>
      </c>
      <c r="CS38" s="24">
        <f>CR38^((FixedParams!$B$47-1)/FixedParams!$B$47)*EXP($C38)</f>
        <v>0.76547580564780238</v>
      </c>
      <c r="CT38" s="24"/>
    </row>
    <row r="39" spans="1:98" x14ac:dyDescent="0.15">
      <c r="A39">
        <v>0.11</v>
      </c>
      <c r="B39">
        <f t="shared" si="8"/>
        <v>0.11485875634764546</v>
      </c>
      <c r="C39">
        <f>(D39-$D$17)*FixedParams!$B$47+$A39*$B$9</f>
        <v>-0.27489166770175599</v>
      </c>
      <c r="D39">
        <f>(A39-$B$6)*FixedParams!$B$46/(FixedParams!$B$45*Sectors!$B$6)</f>
        <v>-0.21190705765819517</v>
      </c>
      <c r="E39">
        <f t="shared" si="9"/>
        <v>0.75965441387604671</v>
      </c>
      <c r="F39" s="24">
        <f>EXP(-$D$17)*(($B39*FixedParams!$B$30)^$B$10*(1+FixedParams!$B$23)^(1-$B$10)+(1-$B39)^$B$10*((1+FixedParams!$B$26)/$B$11)^(1-$B$10))^(1/(1-$B$10))</f>
        <v>4.5097501518923719</v>
      </c>
      <c r="G39" s="24">
        <f>EXP($D39-$D$17)*(($B39*FixedParams!$B$31)^$B$10*(1+FixedParams!$B$25)^(1-$B$10)+(1-$B39)^$B$10*((1+FixedParams!$B$28)/$B$11)^(1-$B$10))^(1/(1-$B$10))</f>
        <v>3.5334079491416417</v>
      </c>
      <c r="H39">
        <f t="shared" si="10"/>
        <v>1</v>
      </c>
      <c r="I39" s="24">
        <f>$B$12*IF(H39=1,1,FixedParams!$B$52)</f>
        <v>0.3745928365283252</v>
      </c>
      <c r="J39">
        <f>EXP($C39*FixedParams!$B$47)*EXP(IF(H39=1,(1-FixedParams!$B$47)*$D39,0))*($B39^((FixedParams!$B$47-1)*$B$10/($B$10-1)))*((1/$B39-1)^$B$10*(I39)^($B$10-1)+1)^((FixedParams!$B$47-$B$10)/($B$10-1))/((1+IF(H39=1,FixedParams!$B$25,FixedParams!$B$24))^FixedParams!$B$47)</f>
        <v>5.387526366236433E-2</v>
      </c>
      <c r="K39">
        <f t="shared" si="38"/>
        <v>1.0862644438009808</v>
      </c>
      <c r="L39">
        <f>K39*FixedParams!$B$8/K$15</f>
        <v>31.581106746447389</v>
      </c>
      <c r="M39">
        <f t="shared" si="0"/>
        <v>154.8956599280543</v>
      </c>
      <c r="N39">
        <f t="shared" si="11"/>
        <v>186.47676667450168</v>
      </c>
      <c r="O39" s="24">
        <f t="shared" si="12"/>
        <v>4.9046938465979748</v>
      </c>
      <c r="P39" s="24">
        <f t="shared" si="1"/>
        <v>1.3816157170889762</v>
      </c>
      <c r="Q39" s="23">
        <f>IF(H39=1,L39*(1+FixedParams!$B$25)+M39*FixedParams!$B$33*(1+FixedParams!$B$28)/FixedParams!$B$32,L39*(1+FixedParams!$B$23)+M39*FixedParams!$B$33*(1+FixedParams!$B$26)/FixedParams!$B$32)</f>
        <v>445.86521672838251</v>
      </c>
      <c r="R39" s="24">
        <f t="shared" si="2"/>
        <v>126.18560413798099</v>
      </c>
      <c r="S39" s="24">
        <f>R39^((FixedParams!$B$47-1)/FixedParams!$B$47)*EXP($C39)</f>
        <v>0.75598460696294734</v>
      </c>
      <c r="T39" s="7">
        <f>(L39*FixedParams!$B$32*(FixedParams!$C$25-FixedParams!$C$23)+FixedParams!$B$33*(FixedParams!$C$28-FixedParams!$C$26)*M39)/N39</f>
        <v>-2536.5210534747175</v>
      </c>
      <c r="U39" s="7">
        <f>(L39*FixedParams!$B$32*(FixedParams!$C$25-FixedParams!$C$23)*$Z$12/$B$11+FixedParams!$B$33*(FixedParams!$C$28-FixedParams!$C$26)*M39)/N39</f>
        <v>-2706.6117492883368</v>
      </c>
      <c r="V39" s="14">
        <f t="shared" si="13"/>
        <v>-2.5721082866175893</v>
      </c>
      <c r="W39" s="14">
        <f t="shared" si="14"/>
        <v>0.23785400251089811</v>
      </c>
      <c r="X39" s="73">
        <f t="shared" si="15"/>
        <v>0.98703276049302158</v>
      </c>
      <c r="Y39" s="24">
        <f>EXP(-$D$17)*(($B39*FixedParams!$B$30)^$B$10*(1+FixedParams!$C$24)^(1-$B$10)+(1-$B39)^$B$10*((1+FixedParams!$C$27)/$Z$12)^(1-$B$10))^(1/(1-$B$10))</f>
        <v>5.7556233223115436</v>
      </c>
      <c r="Z39" s="24">
        <f>EXP($D39-$D$17)*(($B39*FixedParams!$C$31)^$B$10*(1+FixedParams!$C$25)^(1-$B$10)+(1-$B39)^$B$10*((1+FixedParams!$C$28)/$Z$12)^(1-$B$10))^(1/(1-$B$10))</f>
        <v>4.2276146557865566</v>
      </c>
      <c r="AA39" s="24">
        <f>EXP($D39-$D$17)*(($B39*FixedParams!$C$30)^$B$10*(1+FixedParams!$C$23)^(1-$B$10)+(1-$B39)^$B$10*((1+FixedParams!$C$26)/$Z$12)^(1-$B$10))^(1/(1-$B$10))</f>
        <v>4.375305058469392</v>
      </c>
      <c r="AB39">
        <f>IF(FixedParams!$I$6=1,IF(Z39&lt;=MIN(Y39:AA39),1,0),$H39)</f>
        <v>1</v>
      </c>
      <c r="AC39">
        <f>IF(FixedParams!$I$6=1,IF(AA39&lt;=MIN(Y39:AA39),1,0),IF(AA39&lt;=Y39,1,0)*(1-$H39))</f>
        <v>0</v>
      </c>
      <c r="AD39" s="24">
        <f>$Z$13*IF(AB39=1,1,IF(AC39=1,FixedParams!$C$52,FixedParams!$C$53))</f>
        <v>0.43187184563106507</v>
      </c>
      <c r="AE39">
        <f>EXP($C39*FixedParams!$B$47)*EXP(IF(AB39+AC39=1,(1-FixedParams!$B$47)*$D39,0))*($B39^((FixedParams!$B$47-1)*$B$10/($B$10-1)))*((1/$B39-1)^$B$10*(AD39)^($B$10-1)+1)^((FixedParams!$B$47-$B$10)/($B$10-1))/((1+IF(AB39=1,FixedParams!$C$25,IF(AC39=1,FixedParams!$C$23,FixedParams!$C$24)))^FixedParams!$B$47)</f>
        <v>3.6917869272161126E-2</v>
      </c>
      <c r="AF39">
        <f t="shared" si="39"/>
        <v>1.0878655378909603</v>
      </c>
      <c r="AG39">
        <f t="shared" si="40"/>
        <v>25.552290932662899</v>
      </c>
      <c r="AH39">
        <f t="shared" si="3"/>
        <v>155.14396424534362</v>
      </c>
      <c r="AI39">
        <f t="shared" si="16"/>
        <v>180.69625517800654</v>
      </c>
      <c r="AJ39" s="24">
        <f t="shared" si="17"/>
        <v>6.0716264014913319</v>
      </c>
      <c r="AK39" s="24">
        <f t="shared" si="18"/>
        <v>1.4119971756362018</v>
      </c>
      <c r="AL39" s="23">
        <f>IF(AB39=1,AG39*(1+FixedParams!$C$25)+AH39*(1+FixedParams!$C$28)/$Z$12,IF(AC39=1,AG39*(1+FixedParams!$C$23)+AH39*(1+FixedParams!$C$26)/$Z$12,AG39*(1+FixedParams!$C$24)+AH39*(1+FixedParams!$C$27)/$Z$12))</f>
        <v>526.54655252800342</v>
      </c>
      <c r="AM39" s="24">
        <f t="shared" si="19"/>
        <v>124.54932518679102</v>
      </c>
      <c r="AN39" s="24">
        <f>AM39^((FixedParams!$B$47-1)/FixedParams!$B$47)*EXP($C39)</f>
        <v>0.75599448405195535</v>
      </c>
      <c r="AO39" s="24">
        <f t="shared" si="20"/>
        <v>-3.1489182441822958E-2</v>
      </c>
      <c r="AP39" s="24">
        <f t="shared" si="21"/>
        <v>-1.3052048110620365E-2</v>
      </c>
      <c r="AQ39" s="14">
        <f t="shared" si="22"/>
        <v>-2.6432528984994743</v>
      </c>
      <c r="AS39" s="24">
        <f>EXP(-$D$17)*(($B39*FixedParams!$B$30)^$B$10*(1+FixedParams!$D$24)^(1-$B$10)+(1-$B39)^$B$10*((1+FixedParams!$D$27)/$AT$12)^(1-$B$10))^(1/(1-$B$10))</f>
        <v>5.4613021240697872</v>
      </c>
      <c r="AT39" s="24">
        <f>EXP($D39-$D$17)*(($B39*FixedParams!$C$31)^$B$10*(1+FixedParams!$D$25)^(1-$B$10)+(1-$B39)^$B$10*((1+FixedParams!$D$28)/$AT$12)^(1-$B$10))^(1/(1-$B$10))</f>
        <v>4.1440708814470133</v>
      </c>
      <c r="AU39" s="24">
        <f>EXP($D39-$D$17)*(($B39*FixedParams!$C$30)^$B$10*(1+FixedParams!$D$23)^(1-$B$10)+(1-$B39)^$B$10*((1+FixedParams!$D$26)/$AT$12)^(1-$B$10))^(1/(1-$B$10))</f>
        <v>4.2440534237880687</v>
      </c>
      <c r="AV39">
        <f>IF(FixedParams!$I$6=1,IF(AT39&lt;=MIN(AS39:AU39),1,0),$H39)</f>
        <v>1</v>
      </c>
      <c r="AW39">
        <f>IF(FixedParams!$I$6=1,IF(AU39&lt;=MIN(AS39:AU39),1,0),IF(AU39&lt;=AS39,1,0)*(1-$H39))</f>
        <v>0</v>
      </c>
      <c r="AX39" s="24">
        <f>$AT$13*IF(AV39=1,1,IF(AW39=1,FixedParams!$D$52,FixedParams!$D$53))</f>
        <v>0.41089128090616783</v>
      </c>
      <c r="AY39">
        <f>EXP($C39*FixedParams!$B$47)*EXP(IF(AV39+AW39=1,(1-FixedParams!$B$47)*$D39,0))*($B39^((FixedParams!$B$47-1)*$B$10/($B$10-1)))*((1/$B39-1)^$B$10*(AX39)^($B$10-1)+1)^((FixedParams!$B$47-$B$10)/($B$10-1))/((1+IF(AV39=1,FixedParams!$D$25,IF(AW39=1,FixedParams!$D$23,FixedParams!$D$24)))^FixedParams!$B$47)</f>
        <v>4.0379279471785025E-2</v>
      </c>
      <c r="AZ39">
        <f t="shared" si="4"/>
        <v>1.0873163142127966</v>
      </c>
      <c r="BA39">
        <f t="shared" si="23"/>
        <v>27.356733044777407</v>
      </c>
      <c r="BB39">
        <f t="shared" si="5"/>
        <v>154.14424776771088</v>
      </c>
      <c r="BC39">
        <f t="shared" si="24"/>
        <v>181.50098081248828</v>
      </c>
      <c r="BD39" s="24">
        <f t="shared" si="25"/>
        <v>5.6345999909933724</v>
      </c>
      <c r="BE39" s="24">
        <f t="shared" si="26"/>
        <v>1.4032974331529922</v>
      </c>
      <c r="BF39" s="23">
        <f>IF(AV39=1,BA39*(1+FixedParams!$C$25)+BB39*(1+FixedParams!$C$28)/$AT$12,IF(AW39=1,BA39*(1+FixedParams!$C$23)+BB39*(1+FixedParams!$C$26)/$AT$12,BA39*(1+FixedParams!$C$24)+BB39*(1+FixedParams!$C$27)/$AT$12))</f>
        <v>519.16444776326546</v>
      </c>
      <c r="BG39" s="24">
        <f t="shared" si="27"/>
        <v>125.27885323766114</v>
      </c>
      <c r="BH39" s="24">
        <f>BG39^((FixedParams!$B$47-1)/FixedParams!$B$47)*EXP($C39)</f>
        <v>0.7559900644447467</v>
      </c>
      <c r="BI39" s="7"/>
      <c r="BJ39" s="24">
        <f>EXP(-$D$17)*(($B39*FixedParams!$B$30)^$B$10*(1+FixedParams!$C$24)^(1-$B$10)+(1-$B39)^$B$10*((1+FixedParams!$C$27)/$BK$12)^(1-$B$10))^(1/(1-$B$10))</f>
        <v>6.0331265868532666</v>
      </c>
      <c r="BK39" s="24">
        <f>EXP($D39-$D$17)*(($B39*FixedParams!$C$31)^$B$10*(1+FixedParams!$C$25)^(1-$B$10)+(1-$B39)^$B$10*((1+FixedParams!$C$28)/$BK$12)^(1-$B$10))^(1/(1-$B$10))</f>
        <v>4.4307452749396532</v>
      </c>
      <c r="BL39" s="24">
        <f>EXP($D39-$D$17)*(($B39*FixedParams!$C$30)^$B$10*(1+FixedParams!$C$23)^(1-$B$10)+(1-$B39)^$B$10*((1+FixedParams!$C$26)/$BK$12)^(1-$B$10))^(1/(1-$B$10))</f>
        <v>4.5838756028554721</v>
      </c>
      <c r="BM39">
        <f>IF(FixedParams!$I$6=1,IF(BK39&lt;=MIN(BJ39:BL39),1,0),$H39)</f>
        <v>1</v>
      </c>
      <c r="BN39">
        <f>IF(FixedParams!$I$6=1,IF(BL39&lt;=MIN(BJ39:BL39),1,0),IF(BL39&lt;=BJ39,1,0)*(1-$H39))</f>
        <v>0</v>
      </c>
      <c r="BO39" s="24">
        <f>$BK$13*IF(BM39=1,1,IF(BN39=1,FixedParams!$C$52,FixedParams!$C$53))</f>
        <v>0.41068174962109105</v>
      </c>
      <c r="BP39">
        <f>EXP($C39*FixedParams!$B$47)*EXP(IF(BM39+BN39=1,(1-FixedParams!$B$47)*$D39,0))*($B39^((FixedParams!$B$47-1)*$B$10/($B$10-1)))*((1/$B39-1)^$B$10*(BO39)^($B$10-1)+1)^((FixedParams!$B$47-$B$10)/($B$10-1))/((1+IF(BM39=1,FixedParams!$C$25,IF(BN39=1,FixedParams!$C$23,FixedParams!$C$24)))^FixedParams!$B$47)</f>
        <v>3.7796162116934567E-2</v>
      </c>
      <c r="BQ39">
        <f t="shared" si="28"/>
        <v>1.0873106274193454</v>
      </c>
      <c r="BR39">
        <f t="shared" si="29"/>
        <v>27.730942961558529</v>
      </c>
      <c r="BS39">
        <f t="shared" si="6"/>
        <v>156.13326610262186</v>
      </c>
      <c r="BT39">
        <f t="shared" si="30"/>
        <v>183.86420906418039</v>
      </c>
      <c r="BU39" s="24">
        <f t="shared" si="31"/>
        <v>5.6302905501287324</v>
      </c>
      <c r="BV39" s="24">
        <f t="shared" si="32"/>
        <v>1.4072320805598024</v>
      </c>
      <c r="BW39" s="23">
        <f>IF(BM39=1,BR39*(1+FixedParams!$C$25)+BS39*(1+FixedParams!$C$28)/$BK$12,IF(BN39=1,BR39*(1+FixedParams!$C$23)+BS39*(1+FixedParams!$C$26)/$BK$12,BR39*(1+FixedParams!$C$24)+BS39*(1+FixedParams!$C$27)/$BK$12))</f>
        <v>558.18848552226859</v>
      </c>
      <c r="BX39" s="24">
        <f t="shared" si="33"/>
        <v>125.98072127490362</v>
      </c>
      <c r="BY39" s="24">
        <f>BX39^((FixedParams!$B$47-1)/FixedParams!$B$47)*EXP($C39)</f>
        <v>0.75598583665524666</v>
      </c>
      <c r="BZ39" s="24">
        <f t="shared" si="34"/>
        <v>-1.4109164911071332E-2</v>
      </c>
      <c r="CA39" s="24">
        <f t="shared" si="35"/>
        <v>-1.6249823034525039E-3</v>
      </c>
      <c r="CB39" s="24">
        <f t="shared" si="36"/>
        <v>1.5703473615954748E-2</v>
      </c>
      <c r="CC39" s="24"/>
      <c r="CD39" s="24">
        <f>EXP(-$D$17)*(($B39*FixedParams!$B$30)^$B$10*(1+FixedParams!$D$24)^(1-$B$10)+(1-$B39)^$B$10*((1+FixedParams!$D$27)/$CE$12)^(1-$B$10))^(1/(1-$B$10))</f>
        <v>5.706378883785229</v>
      </c>
      <c r="CE39" s="24">
        <f>EXP($D39-$D$17)*(($B39*FixedParams!$D$31)^$B$10*(1+FixedParams!$D$25)^(1-$B$10)+(1-$B39)^$B$10*((1+FixedParams!$D$28)/$CE$12)^(1-$B$10))^(1/(1-$B$10))</f>
        <v>4.3295927889967105</v>
      </c>
      <c r="CF39" s="24">
        <f>EXP($D39-$D$17)*(($B39*FixedParams!$D$30)^$B$10*(1+FixedParams!$D$23)^(1-$B$10)+(1-$B39)^$B$10*((1+FixedParams!$D$26)/$CE$12)^(1-$B$10))^(1/(1-$B$10))</f>
        <v>4.4328444484488942</v>
      </c>
      <c r="CG39">
        <f>IF(FixedParams!$I$6=1,IF(CE39&lt;=MIN(CD39:CF39),1,0),$H39)</f>
        <v>1</v>
      </c>
      <c r="CH39">
        <f>IF(FixedParams!$I$6=1,IF(CF39&lt;=MIN(CD39:CF39),1,0),IF(CF39&lt;=CD39,1,0)*(1-$H39))</f>
        <v>0</v>
      </c>
      <c r="CI39" s="24">
        <f>$CE$13*IF(CG39=1,1,IF(CH39=1,FixedParams!$D$52,FixedParams!$D$53))</f>
        <v>0.39201585704839609</v>
      </c>
      <c r="CJ39">
        <f>EXP($C39*FixedParams!$B$47)*EXP(IF(CG39+CH39=1,(1-FixedParams!$B$47)*$D39,0))*($B39^((FixedParams!$B$47-1)*$B$10/($B$10-1)))*((1/$B39-1)^$B$10*(CI39)^($B$10-1)+1)^((FixedParams!$B$47-$B$10)/($B$10-1))/((1+IF(CG39=1,FixedParams!$D$25,IF(CH39=1,FixedParams!$D$23,FixedParams!$D$24)))^FixedParams!$B$47)</f>
        <v>4.1275041941597798E-2</v>
      </c>
      <c r="CK39">
        <f t="shared" si="37"/>
        <v>1.0867867212312106</v>
      </c>
      <c r="CL39">
        <f t="shared" si="41"/>
        <v>29.691319457342178</v>
      </c>
      <c r="CM39">
        <f t="shared" si="7"/>
        <v>155.90414122933629</v>
      </c>
      <c r="CN39">
        <f t="shared" si="42"/>
        <v>185.59546068667848</v>
      </c>
      <c r="CO39" s="24">
        <f t="shared" si="43"/>
        <v>5.2508323671275487</v>
      </c>
      <c r="CP39" s="24">
        <f t="shared" si="44"/>
        <v>1.3987700225741793</v>
      </c>
      <c r="CQ39" s="23">
        <f>IF(CG39=1,CL39*(1+FixedParams!$D$25)+CM39*(1+FixedParams!$D$28)/$CE$12,IF(CH39=1,CL39*(1+FixedParams!$D$23)+CM39*(1+FixedParams!$D$26)/$CE$12,CL39*(1+FixedParams!$D$24)+CM39*(1+FixedParams!$D$27)/$CE$12))</f>
        <v>547.26274411919917</v>
      </c>
      <c r="CR39" s="24">
        <f t="shared" si="45"/>
        <v>126.40051173173158</v>
      </c>
      <c r="CS39" s="24">
        <f>CR39^((FixedParams!$B$47-1)/FixedParams!$B$47)*EXP($C39)</f>
        <v>0.75598331924875584</v>
      </c>
      <c r="CT39" s="24"/>
    </row>
    <row r="40" spans="1:98" x14ac:dyDescent="0.15">
      <c r="A40">
        <v>0.115</v>
      </c>
      <c r="B40">
        <f t="shared" si="8"/>
        <v>0.11603451666261126</v>
      </c>
      <c r="C40">
        <f>(D40-$D$17)*FixedParams!$B$47+$A40*$B$9</f>
        <v>-0.28738674350638133</v>
      </c>
      <c r="D40">
        <f>(A40-$B$6)*FixedParams!$B$46/(FixedParams!$B$45*Sectors!$B$6)</f>
        <v>-0.20919030050873114</v>
      </c>
      <c r="E40">
        <f t="shared" si="9"/>
        <v>0.75022152941946452</v>
      </c>
      <c r="F40" s="24">
        <f>EXP(-$D$17)*(($B40*FixedParams!$B$30)^$B$10*(1+FixedParams!$B$23)^(1-$B$10)+(1-$B40)^$B$10*((1+FixedParams!$B$26)/$B$11)^(1-$B$10))^(1/(1-$B$10))</f>
        <v>4.516816877818262</v>
      </c>
      <c r="G40" s="24">
        <f>EXP($D40-$D$17)*(($B40*FixedParams!$B$31)^$B$10*(1+FixedParams!$B$25)^(1-$B$10)+(1-$B40)^$B$10*((1+FixedParams!$B$28)/$B$11)^(1-$B$10))^(1/(1-$B$10))</f>
        <v>3.5483992529646389</v>
      </c>
      <c r="H40">
        <f t="shared" si="10"/>
        <v>1</v>
      </c>
      <c r="I40" s="24">
        <f>$B$12*IF(H40=1,1,FixedParams!$B$52)</f>
        <v>0.3745928365283252</v>
      </c>
      <c r="J40">
        <f>EXP($C40*FixedParams!$B$47)*EXP(IF(H40=1,(1-FixedParams!$B$47)*$D40,0))*($B40^((FixedParams!$B$47-1)*$B$10/($B$10-1)))*((1/$B40-1)^$B$10*(I40)^($B$10-1)+1)^((FixedParams!$B$47-$B$10)/($B$10-1))/((1+IF(H40=1,FixedParams!$B$25,FixedParams!$B$24))^FixedParams!$B$47)</f>
        <v>5.4067236916843203E-2</v>
      </c>
      <c r="K40">
        <f t="shared" si="38"/>
        <v>1.0901351203661671</v>
      </c>
      <c r="L40">
        <f>K40*FixedParams!$B$8/K$15</f>
        <v>31.69363942712539</v>
      </c>
      <c r="M40">
        <f t="shared" si="0"/>
        <v>152.7859711911866</v>
      </c>
      <c r="N40">
        <f t="shared" si="11"/>
        <v>184.47961061831199</v>
      </c>
      <c r="O40" s="24">
        <f t="shared" si="12"/>
        <v>4.8207139966520494</v>
      </c>
      <c r="P40" s="24">
        <f t="shared" si="1"/>
        <v>1.3874775426352</v>
      </c>
      <c r="Q40" s="23">
        <f>IF(H40=1,L40*(1+FixedParams!$B$25)+M40*FixedParams!$B$33*(1+FixedParams!$B$28)/FixedParams!$B$32,L40*(1+FixedParams!$B$23)+M40*FixedParams!$B$33*(1+FixedParams!$B$26)/FixedParams!$B$32)</f>
        <v>440.33612456073212</v>
      </c>
      <c r="R40" s="24">
        <f t="shared" si="2"/>
        <v>124.09430088591</v>
      </c>
      <c r="S40" s="24">
        <f>R40^((FixedParams!$B$47-1)/FixedParams!$B$47)*EXP($C40)</f>
        <v>0.74660978153948399</v>
      </c>
      <c r="T40" s="7">
        <f>(L40*FixedParams!$B$32*(FixedParams!$C$25-FixedParams!$C$23)+FixedParams!$B$33*(FixedParams!$C$28-FixedParams!$C$26)*M40)/N40</f>
        <v>-2508.8003928701601</v>
      </c>
      <c r="U40" s="7">
        <f>(L40*FixedParams!$B$32*(FixedParams!$C$25-FixedParams!$C$23)*$Z$12/$B$11+FixedParams!$B$33*(FixedParams!$C$28-FixedParams!$C$26)*M40)/N40</f>
        <v>-2681.3451159938036</v>
      </c>
      <c r="V40" s="14">
        <f t="shared" si="13"/>
        <v>-2.5548376613215056</v>
      </c>
      <c r="W40" s="14">
        <f t="shared" si="14"/>
        <v>0.2469023348103413</v>
      </c>
      <c r="X40" s="73">
        <f t="shared" si="15"/>
        <v>0.98687667443436755</v>
      </c>
      <c r="Y40" s="24">
        <f>EXP(-$D$17)*(($B40*FixedParams!$B$30)^$B$10*(1+FixedParams!$C$24)^(1-$B$10)+(1-$B40)^$B$10*((1+FixedParams!$C$27)/$Z$12)^(1-$B$10))^(1/(1-$B$10))</f>
        <v>5.7658977440008172</v>
      </c>
      <c r="Z40" s="24">
        <f>EXP($D40-$D$17)*(($B40*FixedParams!$C$31)^$B$10*(1+FixedParams!$C$25)^(1-$B$10)+(1-$B40)^$B$10*((1+FixedParams!$C$28)/$Z$12)^(1-$B$10))^(1/(1-$B$10))</f>
        <v>4.2462234484581218</v>
      </c>
      <c r="AA40" s="24">
        <f>EXP($D40-$D$17)*(($B40*FixedParams!$C$30)^$B$10*(1+FixedParams!$C$23)^(1-$B$10)+(1-$B40)^$B$10*((1+FixedParams!$C$26)/$Z$12)^(1-$B$10))^(1/(1-$B$10))</f>
        <v>4.3934777230363462</v>
      </c>
      <c r="AB40">
        <f>IF(FixedParams!$I$6=1,IF(Z40&lt;=MIN(Y40:AA40),1,0),$H40)</f>
        <v>1</v>
      </c>
      <c r="AC40">
        <f>IF(FixedParams!$I$6=1,IF(AA40&lt;=MIN(Y40:AA40),1,0),IF(AA40&lt;=Y40,1,0)*(1-$H40))</f>
        <v>0</v>
      </c>
      <c r="AD40" s="24">
        <f>$Z$13*IF(AB40=1,1,IF(AC40=1,FixedParams!$C$52,FixedParams!$C$53))</f>
        <v>0.43187184563106507</v>
      </c>
      <c r="AE40">
        <f>EXP($C40*FixedParams!$B$47)*EXP(IF(AB40+AC40=1,(1-FixedParams!$B$47)*$D40,0))*($B40^((FixedParams!$B$47-1)*$B$10/($B$10-1)))*((1/$B40-1)^$B$10*(AD40)^($B$10-1)+1)^((FixedParams!$B$47-$B$10)/($B$10-1))/((1+IF(AB40=1,FixedParams!$C$25,IF(AC40=1,FixedParams!$C$23,FixedParams!$C$24)))^FixedParams!$B$47)</f>
        <v>3.7052356973457934E-2</v>
      </c>
      <c r="AF40">
        <f t="shared" si="39"/>
        <v>1.0918285113343194</v>
      </c>
      <c r="AG40">
        <f t="shared" si="40"/>
        <v>25.64537509321039</v>
      </c>
      <c r="AH40">
        <f t="shared" si="3"/>
        <v>153.043031261707</v>
      </c>
      <c r="AI40">
        <f t="shared" si="16"/>
        <v>178.68840635491739</v>
      </c>
      <c r="AJ40" s="24">
        <f t="shared" si="17"/>
        <v>5.9676659321791368</v>
      </c>
      <c r="AK40" s="24">
        <f t="shared" si="18"/>
        <v>1.4182123974181315</v>
      </c>
      <c r="AL40" s="23">
        <f>IF(AB40=1,AG40*(1+FixedParams!$C$25)+AH40*(1+FixedParams!$C$28)/$Z$12,IF(AC40=1,AG40*(1+FixedParams!$C$23)+AH40*(1+FixedParams!$C$26)/$Z$12,AG40*(1+FixedParams!$C$24)+AH40*(1+FixedParams!$C$27)/$Z$12))</f>
        <v>520.01702834561365</v>
      </c>
      <c r="AM40" s="24">
        <f t="shared" si="19"/>
        <v>122.46577097454465</v>
      </c>
      <c r="AN40" s="24">
        <f>AM40^((FixedParams!$B$47-1)/FixedParams!$B$47)*EXP($C40)</f>
        <v>0.74661965433999311</v>
      </c>
      <c r="AO40" s="24">
        <f t="shared" si="20"/>
        <v>-3.1895403459650577E-2</v>
      </c>
      <c r="AP40" s="24">
        <f t="shared" si="21"/>
        <v>-1.3210197270067583E-2</v>
      </c>
      <c r="AQ40" s="14">
        <f t="shared" si="22"/>
        <v>-2.6259822732033906</v>
      </c>
      <c r="AS40" s="24">
        <f>EXP(-$D$17)*(($B40*FixedParams!$B$30)^$B$10*(1+FixedParams!$D$24)^(1-$B$10)+(1-$B40)^$B$10*((1+FixedParams!$D$27)/$AT$12)^(1-$B$10))^(1/(1-$B$10))</f>
        <v>5.4705729070728273</v>
      </c>
      <c r="AT40" s="24">
        <f>EXP($D40-$D$17)*(($B40*FixedParams!$C$31)^$B$10*(1+FixedParams!$D$25)^(1-$B$10)+(1-$B40)^$B$10*((1+FixedParams!$D$28)/$AT$12)^(1-$B$10))^(1/(1-$B$10))</f>
        <v>4.1620859067486462</v>
      </c>
      <c r="AU40" s="24">
        <f>EXP($D40-$D$17)*(($B40*FixedParams!$C$30)^$B$10*(1+FixedParams!$D$23)^(1-$B$10)+(1-$B40)^$B$10*((1+FixedParams!$D$26)/$AT$12)^(1-$B$10))^(1/(1-$B$10))</f>
        <v>4.2616531576941199</v>
      </c>
      <c r="AV40">
        <f>IF(FixedParams!$I$6=1,IF(AT40&lt;=MIN(AS40:AU40),1,0),$H40)</f>
        <v>1</v>
      </c>
      <c r="AW40">
        <f>IF(FixedParams!$I$6=1,IF(AU40&lt;=MIN(AS40:AU40),1,0),IF(AU40&lt;=AS40,1,0)*(1-$H40))</f>
        <v>0</v>
      </c>
      <c r="AX40" s="24">
        <f>$AT$13*IF(AV40=1,1,IF(AW40=1,FixedParams!$D$52,FixedParams!$D$53))</f>
        <v>0.41089128090616783</v>
      </c>
      <c r="AY40">
        <f>EXP($C40*FixedParams!$B$47)*EXP(IF(AV40+AW40=1,(1-FixedParams!$B$47)*$D40,0))*($B40^((FixedParams!$B$47-1)*$B$10/($B$10-1)))*((1/$B40-1)^$B$10*(AX40)^($B$10-1)+1)^((FixedParams!$B$47-$B$10)/($B$10-1))/((1+IF(AV40=1,FixedParams!$D$25,IF(AW40=1,FixedParams!$D$23,FixedParams!$D$24)))^FixedParams!$B$47)</f>
        <v>4.0525274115807738E-2</v>
      </c>
      <c r="AZ40">
        <f t="shared" si="4"/>
        <v>1.0912475967990674</v>
      </c>
      <c r="BA40">
        <f t="shared" si="23"/>
        <v>27.45564358886692</v>
      </c>
      <c r="BB40">
        <f t="shared" si="5"/>
        <v>152.05271580225133</v>
      </c>
      <c r="BC40">
        <f t="shared" si="24"/>
        <v>179.50835939111823</v>
      </c>
      <c r="BD40" s="24">
        <f t="shared" si="25"/>
        <v>5.5381224377456473</v>
      </c>
      <c r="BE40" s="24">
        <f t="shared" si="26"/>
        <v>1.4093978207880464</v>
      </c>
      <c r="BF40" s="23">
        <f>IF(AV40=1,BA40*(1+FixedParams!$C$25)+BB40*(1+FixedParams!$C$28)/$AT$12,IF(AW40=1,BA40*(1+FixedParams!$C$23)+BB40*(1+FixedParams!$C$26)/$AT$12,BA40*(1+FixedParams!$C$24)+BB40*(1+FixedParams!$C$27)/$AT$12))</f>
        <v>512.76337242979821</v>
      </c>
      <c r="BG40" s="24">
        <f t="shared" si="27"/>
        <v>123.19865181023151</v>
      </c>
      <c r="BH40" s="24">
        <f>BG40^((FixedParams!$B$47-1)/FixedParams!$B$47)*EXP($C40)</f>
        <v>0.74661519515986263</v>
      </c>
      <c r="BI40" s="7"/>
      <c r="BJ40" s="24">
        <f>EXP(-$D$17)*(($B40*FixedParams!$B$30)^$B$10*(1+FixedParams!$C$24)^(1-$B$10)+(1-$B40)^$B$10*((1+FixedParams!$C$27)/$BK$12)^(1-$B$10))^(1/(1-$B$10))</f>
        <v>6.0435792070518968</v>
      </c>
      <c r="BK40" s="24">
        <f>EXP($D40-$D$17)*(($B40*FixedParams!$C$31)^$B$10*(1+FixedParams!$C$25)^(1-$B$10)+(1-$B40)^$B$10*((1+FixedParams!$C$28)/$BK$12)^(1-$B$10))^(1/(1-$B$10))</f>
        <v>4.4500040234809273</v>
      </c>
      <c r="BL40" s="24">
        <f>EXP($D40-$D$17)*(($B40*FixedParams!$C$30)^$B$10*(1+FixedParams!$C$23)^(1-$B$10)+(1-$B40)^$B$10*((1+FixedParams!$C$26)/$BK$12)^(1-$B$10))^(1/(1-$B$10))</f>
        <v>4.6026372086536949</v>
      </c>
      <c r="BM40">
        <f>IF(FixedParams!$I$6=1,IF(BK40&lt;=MIN(BJ40:BL40),1,0),$H40)</f>
        <v>1</v>
      </c>
      <c r="BN40">
        <f>IF(FixedParams!$I$6=1,IF(BL40&lt;=MIN(BJ40:BL40),1,0),IF(BL40&lt;=BJ40,1,0)*(1-$H40))</f>
        <v>0</v>
      </c>
      <c r="BO40" s="24">
        <f>$BK$13*IF(BM40=1,1,IF(BN40=1,FixedParams!$C$52,FixedParams!$C$53))</f>
        <v>0.41068174962109105</v>
      </c>
      <c r="BP40">
        <f>EXP($C40*FixedParams!$B$47)*EXP(IF(BM40+BN40=1,(1-FixedParams!$B$47)*$D40,0))*($B40^((FixedParams!$B$47-1)*$B$10/($B$10-1)))*((1/$B40-1)^$B$10*(BO40)^($B$10-1)+1)^((FixedParams!$B$47-$B$10)/($B$10-1))/((1+IF(BM40=1,FixedParams!$C$25,IF(BN40=1,FixedParams!$C$23,FixedParams!$C$24)))^FixedParams!$B$47)</f>
        <v>3.7932806599404741E-2</v>
      </c>
      <c r="BQ40">
        <f t="shared" si="28"/>
        <v>1.0912415820360701</v>
      </c>
      <c r="BR40">
        <f t="shared" si="29"/>
        <v>27.831198652537651</v>
      </c>
      <c r="BS40">
        <f t="shared" si="6"/>
        <v>154.01470242300218</v>
      </c>
      <c r="BT40">
        <f t="shared" si="30"/>
        <v>181.84590107553981</v>
      </c>
      <c r="BU40" s="24">
        <f t="shared" si="31"/>
        <v>5.5338867846052722</v>
      </c>
      <c r="BV40" s="24">
        <f t="shared" si="32"/>
        <v>1.413348778112244</v>
      </c>
      <c r="BW40" s="23">
        <f>IF(BM40=1,BR40*(1+FixedParams!$C$25)+BS40*(1+FixedParams!$C$28)/$BK$12,IF(BN40=1,BR40*(1+FixedParams!$C$23)+BS40*(1+FixedParams!$C$26)/$BK$12,BR40*(1+FixedParams!$C$24)+BS40*(1+FixedParams!$C$27)/$BK$12))</f>
        <v>551.26655027567483</v>
      </c>
      <c r="BX40" s="24">
        <f t="shared" si="33"/>
        <v>123.8800116509687</v>
      </c>
      <c r="BY40" s="24">
        <f>BX40^((FixedParams!$B$47-1)/FixedParams!$B$47)*EXP($C40)</f>
        <v>0.74661107321172404</v>
      </c>
      <c r="BZ40" s="24">
        <f t="shared" si="34"/>
        <v>-1.4379314780906909E-2</v>
      </c>
      <c r="CA40" s="24">
        <f t="shared" si="35"/>
        <v>-1.7283184382343062E-3</v>
      </c>
      <c r="CB40" s="24">
        <f t="shared" si="36"/>
        <v>1.5600137481172945E-2</v>
      </c>
      <c r="CC40" s="24"/>
      <c r="CD40" s="24">
        <f>EXP(-$D$17)*(($B40*FixedParams!$B$30)^$B$10*(1+FixedParams!$D$24)^(1-$B$10)+(1-$B40)^$B$10*((1+FixedParams!$D$27)/$CE$12)^(1-$B$10))^(1/(1-$B$10))</f>
        <v>5.7157751967193828</v>
      </c>
      <c r="CE40" s="24">
        <f>EXP($D40-$D$17)*(($B40*FixedParams!$D$31)^$B$10*(1+FixedParams!$D$25)^(1-$B$10)+(1-$B40)^$B$10*((1+FixedParams!$D$28)/$CE$12)^(1-$B$10))^(1/(1-$B$10))</f>
        <v>4.3481866204811688</v>
      </c>
      <c r="CF40" s="24">
        <f>EXP($D40-$D$17)*(($B40*FixedParams!$D$30)^$B$10*(1+FixedParams!$D$23)^(1-$B$10)+(1-$B40)^$B$10*((1+FixedParams!$D$26)/$CE$12)^(1-$B$10))^(1/(1-$B$10))</f>
        <v>4.4509759703319922</v>
      </c>
      <c r="CG40">
        <f>IF(FixedParams!$I$6=1,IF(CE40&lt;=MIN(CD40:CF40),1,0),$H40)</f>
        <v>1</v>
      </c>
      <c r="CH40">
        <f>IF(FixedParams!$I$6=1,IF(CF40&lt;=MIN(CD40:CF40),1,0),IF(CF40&lt;=CD40,1,0)*(1-$H40))</f>
        <v>0</v>
      </c>
      <c r="CI40" s="24">
        <f>$CE$13*IF(CG40=1,1,IF(CH40=1,FixedParams!$D$52,FixedParams!$D$53))</f>
        <v>0.39201585704839609</v>
      </c>
      <c r="CJ40">
        <f>EXP($C40*FixedParams!$B$47)*EXP(IF(CG40+CH40=1,(1-FixedParams!$B$47)*$D40,0))*($B40^((FixedParams!$B$47-1)*$B$10/($B$10-1)))*((1/$B40-1)^$B$10*(CI40)^($B$10-1)+1)^((FixedParams!$B$47-$B$10)/($B$10-1))/((1+IF(CG40=1,FixedParams!$D$25,IF(CH40=1,FixedParams!$D$23,FixedParams!$D$24)))^FixedParams!$B$47)</f>
        <v>4.1423188579916413E-2</v>
      </c>
      <c r="CK40">
        <f t="shared" si="37"/>
        <v>1.0906874755792626</v>
      </c>
      <c r="CL40">
        <f t="shared" si="41"/>
        <v>29.797889165280289</v>
      </c>
      <c r="CM40">
        <f t="shared" si="7"/>
        <v>153.78469541774371</v>
      </c>
      <c r="CN40">
        <f t="shared" si="42"/>
        <v>183.58258458302399</v>
      </c>
      <c r="CO40" s="24">
        <f t="shared" si="43"/>
        <v>5.1609258147362187</v>
      </c>
      <c r="CP40" s="24">
        <f t="shared" si="44"/>
        <v>1.4047771681309982</v>
      </c>
      <c r="CQ40" s="23">
        <f>IF(CG40=1,CL40*(1+FixedParams!$D$25)+CM40*(1+FixedParams!$D$28)/$CE$12,IF(CH40=1,CL40*(1+FixedParams!$D$23)+CM40*(1+FixedParams!$D$26)/$CE$12,CL40*(1+FixedParams!$D$24)+CM40*(1+FixedParams!$D$27)/$CE$12))</f>
        <v>540.47626785961018</v>
      </c>
      <c r="CR40" s="24">
        <f t="shared" si="45"/>
        <v>124.29923437826164</v>
      </c>
      <c r="CS40" s="24">
        <f>CR40^((FixedParams!$B$47-1)/FixedParams!$B$47)*EXP($C40)</f>
        <v>0.74660854834783474</v>
      </c>
      <c r="CT40" s="24"/>
    </row>
    <row r="41" spans="1:98" x14ac:dyDescent="0.15">
      <c r="A41">
        <v>0.12</v>
      </c>
      <c r="B41">
        <f t="shared" si="8"/>
        <v>0.11722071882116585</v>
      </c>
      <c r="C41">
        <f>(D41-$D$17)*FixedParams!$B$47+$A41*$B$9</f>
        <v>-0.29988181931100655</v>
      </c>
      <c r="D41">
        <f>(A41-$B$6)*FixedParams!$B$46/(FixedParams!$B$45*Sectors!$B$6)</f>
        <v>-0.2064735433592671</v>
      </c>
      <c r="E41">
        <f t="shared" si="9"/>
        <v>0.74090577626304455</v>
      </c>
      <c r="F41" s="24">
        <f>EXP(-$D$17)*(($B41*FixedParams!$B$30)^$B$10*(1+FixedParams!$B$23)^(1-$B$10)+(1-$B41)^$B$10*((1+FixedParams!$B$26)/$B$11)^(1-$B$10))^(1/(1-$B$10))</f>
        <v>4.5239019511630723</v>
      </c>
      <c r="G41" s="24">
        <f>EXP($D41-$D$17)*(($B41*FixedParams!$B$31)^$B$10*(1+FixedParams!$B$25)^(1-$B$10)+(1-$B41)^$B$10*((1+FixedParams!$B$28)/$B$11)^(1-$B$10))^(1/(1-$B$10))</f>
        <v>3.5634572989382649</v>
      </c>
      <c r="H41">
        <f t="shared" si="10"/>
        <v>1</v>
      </c>
      <c r="I41" s="24">
        <f>$B$12*IF(H41=1,1,FixedParams!$B$52)</f>
        <v>0.3745928365283252</v>
      </c>
      <c r="J41">
        <f>EXP($C41*FixedParams!$B$47)*EXP(IF(H41=1,(1-FixedParams!$B$47)*$D41,0))*($B41^((FixedParams!$B$47-1)*$B$10/($B$10-1)))*((1/$B41-1)^$B$10*(I41)^($B$10-1)+1)^((FixedParams!$B$47-$B$10)/($B$10-1))/((1+IF(H41=1,FixedParams!$B$25,FixedParams!$B$24))^FixedParams!$B$47)</f>
        <v>5.4258811482254768E-2</v>
      </c>
      <c r="K41">
        <f t="shared" si="38"/>
        <v>1.0939977583301754</v>
      </c>
      <c r="L41">
        <f>K41*FixedParams!$B$8/K$15</f>
        <v>31.805938400511078</v>
      </c>
      <c r="M41">
        <f t="shared" si="0"/>
        <v>150.70200925963491</v>
      </c>
      <c r="N41">
        <f t="shared" si="11"/>
        <v>182.50794766014599</v>
      </c>
      <c r="O41" s="24">
        <f t="shared" si="12"/>
        <v>4.7381720784950438</v>
      </c>
      <c r="P41" s="24">
        <f t="shared" si="1"/>
        <v>1.3933654653673782</v>
      </c>
      <c r="Q41" s="23">
        <f>IF(H41=1,L41*(1+FixedParams!$B$25)+M41*FixedParams!$B$33*(1+FixedParams!$B$28)/FixedParams!$B$32,L41*(1+FixedParams!$B$23)+M41*FixedParams!$B$33*(1+FixedParams!$B$26)/FixedParams!$B$32)</f>
        <v>434.8755980263727</v>
      </c>
      <c r="R41" s="24">
        <f t="shared" si="2"/>
        <v>122.0375499254458</v>
      </c>
      <c r="S41" s="24">
        <f>R41^((FixedParams!$B$47-1)/FixedParams!$B$47)*EXP($C41)</f>
        <v>0.73735121224318723</v>
      </c>
      <c r="T41" s="7">
        <f>(L41*FixedParams!$B$32*(FixedParams!$C$25-FixedParams!$C$23)+FixedParams!$B$33*(FixedParams!$C$28-FixedParams!$C$26)*M41)/N41</f>
        <v>-2480.7636954132208</v>
      </c>
      <c r="U41" s="7">
        <f>(L41*FixedParams!$B$32*(FixedParams!$C$25-FixedParams!$C$23)*$Z$12/$B$11+FixedParams!$B$33*(FixedParams!$C$28-FixedParams!$C$26)*M41)/N41</f>
        <v>-2655.7904236457507</v>
      </c>
      <c r="V41" s="14">
        <f t="shared" si="13"/>
        <v>-2.5375670360254223</v>
      </c>
      <c r="W41" s="14">
        <f t="shared" si="14"/>
        <v>0.25585396123769272</v>
      </c>
      <c r="X41" s="73">
        <f t="shared" si="15"/>
        <v>0.98671827689345515</v>
      </c>
      <c r="Y41" s="24">
        <f>EXP(-$D$17)*(($B41*FixedParams!$B$30)^$B$10*(1+FixedParams!$C$24)^(1-$B$10)+(1-$B41)^$B$10*((1+FixedParams!$C$27)/$Z$12)^(1-$B$10))^(1/(1-$B$10))</f>
        <v>5.7762187254424013</v>
      </c>
      <c r="Z41" s="24">
        <f>EXP($D41-$D$17)*(($B41*FixedParams!$C$31)^$B$10*(1+FixedParams!$C$25)^(1-$B$10)+(1-$B41)^$B$10*((1+FixedParams!$C$28)/$Z$12)^(1-$B$10))^(1/(1-$B$10))</f>
        <v>4.2649280154579179</v>
      </c>
      <c r="AA41" s="24">
        <f>EXP($D41-$D$17)*(($B41*FixedParams!$C$30)^$B$10*(1+FixedParams!$C$23)^(1-$B$10)+(1-$B41)^$B$10*((1+FixedParams!$C$26)/$Z$12)^(1-$B$10))^(1/(1-$B$10))</f>
        <v>4.4117239303727471</v>
      </c>
      <c r="AB41">
        <f>IF(FixedParams!$I$6=1,IF(Z41&lt;=MIN(Y41:AA41),1,0),$H41)</f>
        <v>1</v>
      </c>
      <c r="AC41">
        <f>IF(FixedParams!$I$6=1,IF(AA41&lt;=MIN(Y41:AA41),1,0),IF(AA41&lt;=Y41,1,0)*(1-$H41))</f>
        <v>0</v>
      </c>
      <c r="AD41" s="24">
        <f>$Z$13*IF(AB41=1,1,IF(AC41=1,FixedParams!$C$52,FixedParams!$C$53))</f>
        <v>0.43187184563106507</v>
      </c>
      <c r="AE41">
        <f>EXP($C41*FixedParams!$B$47)*EXP(IF(AB41+AC41=1,(1-FixedParams!$B$47)*$D41,0))*($B41^((FixedParams!$B$47-1)*$B$10/($B$10-1)))*((1/$B41-1)^$B$10*(AD41)^($B$10-1)+1)^((FixedParams!$B$47-$B$10)/($B$10-1))/((1+IF(AB41=1,FixedParams!$C$25,IF(AC41=1,FixedParams!$C$23,FixedParams!$C$24)))^FixedParams!$B$47)</f>
        <v>3.7186636686334124E-2</v>
      </c>
      <c r="AF41">
        <f t="shared" si="39"/>
        <v>1.0957853559452313</v>
      </c>
      <c r="AG41">
        <f t="shared" si="40"/>
        <v>25.738315296895287</v>
      </c>
      <c r="AH41">
        <f t="shared" si="3"/>
        <v>150.96771541731749</v>
      </c>
      <c r="AI41">
        <f t="shared" si="16"/>
        <v>176.70603071421277</v>
      </c>
      <c r="AJ41" s="24">
        <f t="shared" si="17"/>
        <v>5.8654855096723502</v>
      </c>
      <c r="AK41" s="24">
        <f t="shared" si="18"/>
        <v>1.4244596072339695</v>
      </c>
      <c r="AL41" s="23">
        <f>IF(AB41=1,AG41*(1+FixedParams!$C$25)+AH41*(1+FixedParams!$C$28)/$Z$12,IF(AC41=1,AG41*(1+FixedParams!$C$23)+AH41*(1+FixedParams!$C$26)/$Z$12,AG41*(1+FixedParams!$C$24)+AH41*(1+FixedParams!$C$27)/$Z$12))</f>
        <v>513.56847623466501</v>
      </c>
      <c r="AM41" s="24">
        <f t="shared" si="19"/>
        <v>120.41668097873489</v>
      </c>
      <c r="AN41" s="24">
        <f>AM41^((FixedParams!$B$47-1)/FixedParams!$B$47)*EXP($C41)</f>
        <v>0.73736108109021525</v>
      </c>
      <c r="AO41" s="24">
        <f t="shared" si="20"/>
        <v>-3.2306212475171472E-2</v>
      </c>
      <c r="AP41" s="24">
        <f t="shared" si="21"/>
        <v>-1.3370714037853126E-2</v>
      </c>
      <c r="AQ41" s="14">
        <f t="shared" si="22"/>
        <v>-2.6087116479073074</v>
      </c>
      <c r="AS41" s="24">
        <f>EXP(-$D$17)*(($B41*FixedParams!$B$30)^$B$10*(1+FixedParams!$D$24)^(1-$B$10)+(1-$B41)^$B$10*((1+FixedParams!$D$27)/$AT$12)^(1-$B$10))^(1/(1-$B$10))</f>
        <v>5.4798789568083448</v>
      </c>
      <c r="AT41" s="24">
        <f>EXP($D41-$D$17)*(($B41*FixedParams!$C$31)^$B$10*(1+FixedParams!$D$25)^(1-$B$10)+(1-$B41)^$B$10*((1+FixedParams!$D$28)/$AT$12)^(1-$B$10))^(1/(1-$B$10))</f>
        <v>4.1801894241982476</v>
      </c>
      <c r="AU41" s="24">
        <f>EXP($D41-$D$17)*(($B41*FixedParams!$C$30)^$B$10*(1+FixedParams!$D$23)^(1-$B$10)+(1-$B41)^$B$10*((1+FixedParams!$D$26)/$AT$12)^(1-$B$10))^(1/(1-$B$10))</f>
        <v>4.279323584883814</v>
      </c>
      <c r="AV41">
        <f>IF(FixedParams!$I$6=1,IF(AT41&lt;=MIN(AS41:AU41),1,0),$H41)</f>
        <v>1</v>
      </c>
      <c r="AW41">
        <f>IF(FixedParams!$I$6=1,IF(AU41&lt;=MIN(AS41:AU41),1,0),IF(AU41&lt;=AS41,1,0)*(1-$H41))</f>
        <v>0</v>
      </c>
      <c r="AX41" s="24">
        <f>$AT$13*IF(AV41=1,1,IF(AW41=1,FixedParams!$D$52,FixedParams!$D$53))</f>
        <v>0.41089128090616783</v>
      </c>
      <c r="AY41">
        <f>EXP($C41*FixedParams!$B$47)*EXP(IF(AV41+AW41=1,(1-FixedParams!$B$47)*$D41,0))*($B41^((FixedParams!$B$47-1)*$B$10/($B$10-1)))*((1/$B41-1)^$B$10*(AX41)^($B$10-1)+1)^((FixedParams!$B$47-$B$10)/($B$10-1))/((1+IF(AV41=1,FixedParams!$D$25,IF(AW41=1,FixedParams!$D$23,FixedParams!$D$24)))^FixedParams!$B$47)</f>
        <v>4.0671016684313492E-2</v>
      </c>
      <c r="AZ41">
        <f t="shared" si="4"/>
        <v>1.0951720916014649</v>
      </c>
      <c r="BA41">
        <f t="shared" si="23"/>
        <v>27.554383353221997</v>
      </c>
      <c r="BB41">
        <f t="shared" si="5"/>
        <v>149.98668690473895</v>
      </c>
      <c r="BC41">
        <f t="shared" si="24"/>
        <v>177.54107025796094</v>
      </c>
      <c r="BD41" s="24">
        <f t="shared" si="25"/>
        <v>5.4432968062484566</v>
      </c>
      <c r="BE41" s="24">
        <f t="shared" si="26"/>
        <v>1.4155281743208015</v>
      </c>
      <c r="BF41" s="23">
        <f>IF(AV41=1,BA41*(1+FixedParams!$C$25)+BB41*(1+FixedParams!$C$28)/$AT$12,IF(AW41=1,BA41*(1+FixedParams!$C$23)+BB41*(1+FixedParams!$C$26)/$AT$12,BA41*(1+FixedParams!$C$24)+BB41*(1+FixedParams!$C$27)/$AT$12))</f>
        <v>506.4417652147834</v>
      </c>
      <c r="BG41" s="24">
        <f t="shared" si="27"/>
        <v>121.15282677935532</v>
      </c>
      <c r="BH41" s="24">
        <f>BG41^((FixedParams!$B$47-1)/FixedParams!$B$47)*EXP($C41)</f>
        <v>0.73735658260328685</v>
      </c>
      <c r="BI41" s="7"/>
      <c r="BJ41" s="24">
        <f>EXP(-$D$17)*(($B41*FixedParams!$B$30)^$B$10*(1+FixedParams!$C$24)^(1-$B$10)+(1-$B41)^$B$10*((1+FixedParams!$C$27)/$BK$12)^(1-$B$10))^(1/(1-$B$10))</f>
        <v>6.0540747042083352</v>
      </c>
      <c r="BK41" s="24">
        <f>EXP($D41-$D$17)*(($B41*FixedParams!$C$31)^$B$10*(1+FixedParams!$C$25)^(1-$B$10)+(1-$B41)^$B$10*((1+FixedParams!$C$28)/$BK$12)^(1-$B$10))^(1/(1-$B$10))</f>
        <v>4.469357326340484</v>
      </c>
      <c r="BL41" s="24">
        <f>EXP($D41-$D$17)*(($B41*FixedParams!$C$30)^$B$10*(1+FixedParams!$C$23)^(1-$B$10)+(1-$B41)^$B$10*((1+FixedParams!$C$26)/$BK$12)^(1-$B$10))^(1/(1-$B$10))</f>
        <v>4.6214694635605236</v>
      </c>
      <c r="BM41">
        <f>IF(FixedParams!$I$6=1,IF(BK41&lt;=MIN(BJ41:BL41),1,0),$H41)</f>
        <v>1</v>
      </c>
      <c r="BN41">
        <f>IF(FixedParams!$I$6=1,IF(BL41&lt;=MIN(BJ41:BL41),1,0),IF(BL41&lt;=BJ41,1,0)*(1-$H41))</f>
        <v>0</v>
      </c>
      <c r="BO41" s="24">
        <f>$BK$13*IF(BM41=1,1,IF(BN41=1,FixedParams!$C$52,FixedParams!$C$53))</f>
        <v>0.41068174962109105</v>
      </c>
      <c r="BP41">
        <f>EXP($C41*FixedParams!$B$47)*EXP(IF(BM41+BN41=1,(1-FixedParams!$B$47)*$D41,0))*($B41^((FixedParams!$B$47-1)*$B$10/($B$10-1)))*((1/$B41-1)^$B$10*(BO41)^($B$10-1)+1)^((FixedParams!$B$47-$B$10)/($B$10-1))/((1+IF(BM41=1,FixedParams!$C$25,IF(BN41=1,FixedParams!$C$23,FixedParams!$C$24)))^FixedParams!$B$47)</f>
        <v>3.8069214894294302E-2</v>
      </c>
      <c r="BQ41">
        <f t="shared" si="28"/>
        <v>1.0951657420669934</v>
      </c>
      <c r="BR41">
        <f t="shared" si="29"/>
        <v>27.931281053321165</v>
      </c>
      <c r="BS41">
        <f t="shared" si="6"/>
        <v>151.92197143042438</v>
      </c>
      <c r="BT41">
        <f t="shared" si="30"/>
        <v>179.85325248374554</v>
      </c>
      <c r="BU41" s="24">
        <f t="shared" si="31"/>
        <v>5.4391336774136292</v>
      </c>
      <c r="BV41" s="24">
        <f t="shared" si="32"/>
        <v>1.4194955067005015</v>
      </c>
      <c r="BW41" s="23">
        <f>IF(BM41=1,BR41*(1+FixedParams!$C$25)+BS41*(1+FixedParams!$C$28)/$BK$12,IF(BN41=1,BR41*(1+FixedParams!$C$23)+BS41*(1+FixedParams!$C$26)/$BK$12,BR41*(1+FixedParams!$C$24)+BS41*(1+FixedParams!$C$27)/$BK$12))</f>
        <v>544.43045328289145</v>
      </c>
      <c r="BX41" s="24">
        <f t="shared" si="33"/>
        <v>121.81403578412733</v>
      </c>
      <c r="BY41" s="24">
        <f>BX41^((FixedParams!$B$47-1)/FixedParams!$B$47)*EXP($C41)</f>
        <v>0.73735256530877047</v>
      </c>
      <c r="BZ41" s="24">
        <f t="shared" si="34"/>
        <v>-1.4652466494434137E-2</v>
      </c>
      <c r="CA41" s="24">
        <f t="shared" si="35"/>
        <v>-1.8331986914380011E-3</v>
      </c>
      <c r="CB41" s="24">
        <f t="shared" si="36"/>
        <v>1.549525722796925E-2</v>
      </c>
      <c r="CC41" s="24"/>
      <c r="CD41" s="24">
        <f>EXP(-$D$17)*(($B41*FixedParams!$B$30)^$B$10*(1+FixedParams!$D$24)^(1-$B$10)+(1-$B41)^$B$10*((1+FixedParams!$D$27)/$CE$12)^(1-$B$10))^(1/(1-$B$10))</f>
        <v>5.7252030072291369</v>
      </c>
      <c r="CE41" s="24">
        <f>EXP($D41-$D$17)*(($B41*FixedParams!$D$31)^$B$10*(1+FixedParams!$D$25)^(1-$B$10)+(1-$B41)^$B$10*((1+FixedParams!$D$28)/$CE$12)^(1-$B$10))^(1/(1-$B$10))</f>
        <v>4.3668675140191162</v>
      </c>
      <c r="CF41" s="24">
        <f>EXP($D41-$D$17)*(($B41*FixedParams!$D$30)^$B$10*(1+FixedParams!$D$23)^(1-$B$10)+(1-$B41)^$B$10*((1+FixedParams!$D$26)/$CE$12)^(1-$B$10))^(1/(1-$B$10))</f>
        <v>4.4691755396717268</v>
      </c>
      <c r="CG41">
        <f>IF(FixedParams!$I$6=1,IF(CE41&lt;=MIN(CD41:CF41),1,0),$H41)</f>
        <v>1</v>
      </c>
      <c r="CH41">
        <f>IF(FixedParams!$I$6=1,IF(CF41&lt;=MIN(CD41:CF41),1,0),IF(CF41&lt;=CD41,1,0)*(1-$H41))</f>
        <v>0</v>
      </c>
      <c r="CI41" s="24">
        <f>$CE$13*IF(CG41=1,1,IF(CH41=1,FixedParams!$D$52,FixedParams!$D$53))</f>
        <v>0.39201585704839609</v>
      </c>
      <c r="CJ41">
        <f>EXP($C41*FixedParams!$B$47)*EXP(IF(CG41+CH41=1,(1-FixedParams!$B$47)*$D41,0))*($B41^((FixedParams!$B$47-1)*$B$10/($B$10-1)))*((1/$B41-1)^$B$10*(CI41)^($B$10-1)+1)^((FixedParams!$B$47-$B$10)/($B$10-1))/((1+IF(CG41=1,FixedParams!$D$25,IF(CH41=1,FixedParams!$D$23,FixedParams!$D$24)))^FixedParams!$B$47)</f>
        <v>4.1571053437802021E-2</v>
      </c>
      <c r="CK41">
        <f t="shared" si="37"/>
        <v>1.0945808105470185</v>
      </c>
      <c r="CL41">
        <f t="shared" si="41"/>
        <v>29.904256173658084</v>
      </c>
      <c r="CM41">
        <f t="shared" si="7"/>
        <v>151.69109401825085</v>
      </c>
      <c r="CN41">
        <f t="shared" si="42"/>
        <v>181.59535019190895</v>
      </c>
      <c r="CO41" s="24">
        <f t="shared" si="43"/>
        <v>5.0725586731654531</v>
      </c>
      <c r="CP41" s="24">
        <f t="shared" si="44"/>
        <v>1.4108124409959633</v>
      </c>
      <c r="CQ41" s="23">
        <f>IF(CG41=1,CL41*(1+FixedParams!$D$25)+CM41*(1+FixedParams!$D$28)/$CE$12,IF(CH41=1,CL41*(1+FixedParams!$D$23)+CM41*(1+FixedParams!$D$26)/$CE$12,CL41*(1+FixedParams!$D$24)+CM41*(1+FixedParams!$D$27)/$CE$12))</f>
        <v>533.77394997323677</v>
      </c>
      <c r="CR41" s="24">
        <f t="shared" si="45"/>
        <v>122.23268699122255</v>
      </c>
      <c r="CS41" s="24">
        <f>CR41^((FixedParams!$B$47-1)/FixedParams!$B$47)*EXP($C41)</f>
        <v>0.73735003298780288</v>
      </c>
      <c r="CT41" s="24"/>
    </row>
    <row r="42" spans="1:98" x14ac:dyDescent="0.15">
      <c r="A42">
        <v>0.125</v>
      </c>
      <c r="B42">
        <f t="shared" si="8"/>
        <v>0.11841742286756105</v>
      </c>
      <c r="C42">
        <f>(D42-$D$17)*FixedParams!$B$47+$A42*$B$9</f>
        <v>-0.31237689511563188</v>
      </c>
      <c r="D42">
        <f>(A42-$B$6)*FixedParams!$B$46/(FixedParams!$B$45*Sectors!$B$6)</f>
        <v>-0.20375678620980306</v>
      </c>
      <c r="E42">
        <f t="shared" si="9"/>
        <v>0.73170569994802148</v>
      </c>
      <c r="F42" s="24">
        <f>EXP(-$D$17)*(($B42*FixedParams!$B$30)^$B$10*(1+FixedParams!$B$23)^(1-$B$10)+(1-$B42)^$B$10*((1+FixedParams!$B$26)/$B$11)^(1-$B$10))^(1/(1-$B$10))</f>
        <v>4.5310044135224166</v>
      </c>
      <c r="G42" s="24">
        <f>EXP($D42-$D$17)*(($B42*FixedParams!$B$31)^$B$10*(1+FixedParams!$B$25)^(1-$B$10)+(1-$B42)^$B$10*((1+FixedParams!$B$28)/$B$11)^(1-$B$10))^(1/(1-$B$10))</f>
        <v>3.5785815675264305</v>
      </c>
      <c r="H42">
        <f t="shared" si="10"/>
        <v>1</v>
      </c>
      <c r="I42" s="24">
        <f>$B$12*IF(H42=1,1,FixedParams!$B$52)</f>
        <v>0.3745928365283252</v>
      </c>
      <c r="J42">
        <f>EXP($C42*FixedParams!$B$47)*EXP(IF(H42=1,(1-FixedParams!$B$47)*$D42,0))*($B42^((FixedParams!$B$47-1)*$B$10/($B$10-1)))*((1/$B42-1)^$B$10*(I42)^($B$10-1)+1)^((FixedParams!$B$47-$B$10)/($B$10-1))/((1+IF(H42=1,FixedParams!$B$25,FixedParams!$B$24))^FixedParams!$B$47)</f>
        <v>5.4449962117067034E-2</v>
      </c>
      <c r="K42">
        <f t="shared" si="38"/>
        <v>1.0978518487585367</v>
      </c>
      <c r="L42">
        <f>K42*FixedParams!$B$8/K$15</f>
        <v>31.917988870286777</v>
      </c>
      <c r="M42">
        <f t="shared" si="0"/>
        <v>148.64346168749455</v>
      </c>
      <c r="N42">
        <f t="shared" si="11"/>
        <v>180.56145055778131</v>
      </c>
      <c r="O42" s="24">
        <f t="shared" si="12"/>
        <v>4.6570434713657765</v>
      </c>
      <c r="P42" s="24">
        <f t="shared" si="1"/>
        <v>1.3992792821390763</v>
      </c>
      <c r="Q42" s="23">
        <f>IF(H42=1,L42*(1+FixedParams!$B$25)+M42*FixedParams!$B$33*(1+FixedParams!$B$28)/FixedParams!$B$32,L42*(1+FixedParams!$B$23)+M42*FixedParams!$B$33*(1+FixedParams!$B$26)/FixedParams!$B$32)</f>
        <v>429.48278674652477</v>
      </c>
      <c r="R42" s="24">
        <f t="shared" si="2"/>
        <v>120.01480995817839</v>
      </c>
      <c r="S42" s="24">
        <f>R42^((FixedParams!$B$47-1)/FixedParams!$B$47)*EXP($C42)</f>
        <v>0.72820745721843749</v>
      </c>
      <c r="T42" s="7">
        <f>(L42*FixedParams!$B$32*(FixedParams!$C$25-FixedParams!$C$23)+FixedParams!$B$33*(FixedParams!$C$28-FixedParams!$C$26)*M42)/N42</f>
        <v>-2452.4097784980722</v>
      </c>
      <c r="U42" s="7">
        <f>(L42*FixedParams!$B$32*(FixedParams!$C$25-FixedParams!$C$23)*$Z$12/$B$11+FixedParams!$B$33*(FixedParams!$C$28-FixedParams!$C$26)*M42)/N42</f>
        <v>-2629.9465943309137</v>
      </c>
      <c r="V42" s="14">
        <f t="shared" si="13"/>
        <v>-2.5202964107293391</v>
      </c>
      <c r="W42" s="14">
        <f t="shared" si="14"/>
        <v>0.26471011612462259</v>
      </c>
      <c r="X42" s="73">
        <f t="shared" si="15"/>
        <v>0.98655754029385889</v>
      </c>
      <c r="Y42" s="24">
        <f>EXP(-$D$17)*(($B42*FixedParams!$B$30)^$B$10*(1+FixedParams!$C$24)^(1-$B$10)+(1-$B42)^$B$10*((1+FixedParams!$C$27)/$Z$12)^(1-$B$10))^(1/(1-$B$10))</f>
        <v>5.7865853973860917</v>
      </c>
      <c r="Z42" s="24">
        <f>EXP($D42-$D$17)*(($B42*FixedParams!$C$31)^$B$10*(1+FixedParams!$C$25)^(1-$B$10)+(1-$B42)^$B$10*((1+FixedParams!$C$28)/$Z$12)^(1-$B$10))^(1/(1-$B$10))</f>
        <v>4.2837280325125944</v>
      </c>
      <c r="AA42" s="24">
        <f>EXP($D42-$D$17)*(($B42*FixedParams!$C$30)^$B$10*(1+FixedParams!$C$23)^(1-$B$10)+(1-$B42)^$B$10*((1+FixedParams!$C$26)/$Z$12)^(1-$B$10))^(1/(1-$B$10))</f>
        <v>4.430042872979346</v>
      </c>
      <c r="AB42">
        <f>IF(FixedParams!$I$6=1,IF(Z42&lt;=MIN(Y42:AA42),1,0),$H42)</f>
        <v>1</v>
      </c>
      <c r="AC42">
        <f>IF(FixedParams!$I$6=1,IF(AA42&lt;=MIN(Y42:AA42),1,0),IF(AA42&lt;=Y42,1,0)*(1-$H42))</f>
        <v>0</v>
      </c>
      <c r="AD42" s="24">
        <f>$Z$13*IF(AB42=1,1,IF(AC42=1,FixedParams!$C$52,FixedParams!$C$53))</f>
        <v>0.43187184563106507</v>
      </c>
      <c r="AE42">
        <f>EXP($C42*FixedParams!$B$47)*EXP(IF(AB42+AC42=1,(1-FixedParams!$B$47)*$D42,0))*($B42^((FixedParams!$B$47-1)*$B$10/($B$10-1)))*((1/$B42-1)^$B$10*(AD42)^($B$10-1)+1)^((FixedParams!$B$47-$B$10)/($B$10-1))/((1+IF(AB42=1,FixedParams!$C$25,IF(AC42=1,FixedParams!$C$23,FixedParams!$C$24)))^FixedParams!$B$47)</f>
        <v>3.7320692069256527E-2</v>
      </c>
      <c r="AF42">
        <f t="shared" si="39"/>
        <v>1.0997355901847794</v>
      </c>
      <c r="AG42">
        <f t="shared" si="40"/>
        <v>25.831100233107886</v>
      </c>
      <c r="AH42">
        <f t="shared" si="3"/>
        <v>148.91770465296105</v>
      </c>
      <c r="AI42">
        <f t="shared" si="16"/>
        <v>174.74880488606894</v>
      </c>
      <c r="AJ42" s="24">
        <f t="shared" si="17"/>
        <v>5.7650546553991644</v>
      </c>
      <c r="AK42" s="24">
        <f t="shared" si="18"/>
        <v>1.4307386967784199</v>
      </c>
      <c r="AL42" s="23">
        <f>IF(AB42=1,AG42*(1+FixedParams!$C$25)+AH42*(1+FixedParams!$C$28)/$Z$12,IF(AC42=1,AG42*(1+FixedParams!$C$23)+AH42*(1+FixedParams!$C$26)/$Z$12,AG42*(1+FixedParams!$C$24)+AH42*(1+FixedParams!$C$27)/$Z$12))</f>
        <v>507.19989194394236</v>
      </c>
      <c r="AM42" s="24">
        <f t="shared" si="19"/>
        <v>118.40151571117539</v>
      </c>
      <c r="AN42" s="24">
        <f>AM42^((FixedParams!$B$47-1)/FixedParams!$B$47)*EXP($C42)</f>
        <v>0.72821732243888437</v>
      </c>
      <c r="AO42" s="24">
        <f t="shared" si="20"/>
        <v>-3.2721624039658809E-2</v>
      </c>
      <c r="AP42" s="24">
        <f t="shared" si="21"/>
        <v>-1.3533627502409617E-2</v>
      </c>
      <c r="AQ42" s="14">
        <f t="shared" si="22"/>
        <v>-2.5914410226112241</v>
      </c>
      <c r="AS42" s="24">
        <f>EXP(-$D$17)*(($B42*FixedParams!$B$30)^$B$10*(1+FixedParams!$D$24)^(1-$B$10)+(1-$B42)^$B$10*((1+FixedParams!$D$27)/$AT$12)^(1-$B$10))^(1/(1-$B$10))</f>
        <v>5.4892193088198491</v>
      </c>
      <c r="AT42" s="24">
        <f>EXP($D42-$D$17)*(($B42*FixedParams!$C$31)^$B$10*(1+FixedParams!$D$25)^(1-$B$10)+(1-$B42)^$B$10*((1+FixedParams!$D$28)/$AT$12)^(1-$B$10))^(1/(1-$B$10))</f>
        <v>4.1983810138334992</v>
      </c>
      <c r="AU42" s="24">
        <f>EXP($D42-$D$17)*(($B42*FixedParams!$C$30)^$B$10*(1+FixedParams!$D$23)^(1-$B$10)+(1-$B42)^$B$10*((1+FixedParams!$D$26)/$AT$12)^(1-$B$10))^(1/(1-$B$10))</f>
        <v>4.2970639106378696</v>
      </c>
      <c r="AV42">
        <f>IF(FixedParams!$I$6=1,IF(AT42&lt;=MIN(AS42:AU42),1,0),$H42)</f>
        <v>1</v>
      </c>
      <c r="AW42">
        <f>IF(FixedParams!$I$6=1,IF(AU42&lt;=MIN(AS42:AU42),1,0),IF(AU42&lt;=AS42,1,0)*(1-$H42))</f>
        <v>0</v>
      </c>
      <c r="AX42" s="24">
        <f>$AT$13*IF(AV42=1,1,IF(AW42=1,FixedParams!$D$52,FixedParams!$D$53))</f>
        <v>0.41089128090616783</v>
      </c>
      <c r="AY42">
        <f>EXP($C42*FixedParams!$B$47)*EXP(IF(AV42+AW42=1,(1-FixedParams!$B$47)*$D42,0))*($B42^((FixedParams!$B$47-1)*$B$10/($B$10-1)))*((1/$B42-1)^$B$10*(AX42)^($B$10-1)+1)^((FixedParams!$B$47-$B$10)/($B$10-1))/((1+IF(AV42=1,FixedParams!$D$25,IF(AW42=1,FixedParams!$D$23,FixedParams!$D$24)))^FixedParams!$B$47)</f>
        <v>4.0816488938617834E-2</v>
      </c>
      <c r="AZ42">
        <f t="shared" si="4"/>
        <v>1.0990893074963386</v>
      </c>
      <c r="BA42">
        <f t="shared" si="23"/>
        <v>27.652939981237282</v>
      </c>
      <c r="BB42">
        <f t="shared" si="5"/>
        <v>147.94585072272946</v>
      </c>
      <c r="BC42">
        <f t="shared" si="24"/>
        <v>175.59879070396676</v>
      </c>
      <c r="BD42" s="24">
        <f t="shared" si="25"/>
        <v>5.3500948117311138</v>
      </c>
      <c r="BE42" s="24">
        <f t="shared" si="26"/>
        <v>1.4216883515403589</v>
      </c>
      <c r="BF42" s="23">
        <f>IF(AV42=1,BA42*(1+FixedParams!$C$25)+BB42*(1+FixedParams!$C$28)/$AT$12,IF(AW42=1,BA42*(1+FixedParams!$C$23)+BB42*(1+FixedParams!$C$26)/$AT$12,BA42*(1+FixedParams!$C$24)+BB42*(1+FixedParams!$C$27)/$AT$12))</f>
        <v>500.19863930046228</v>
      </c>
      <c r="BG42" s="24">
        <f t="shared" si="27"/>
        <v>119.14083968375608</v>
      </c>
      <c r="BH42" s="24">
        <f>BG42^((FixedParams!$B$47-1)/FixedParams!$B$47)*EXP($C42)</f>
        <v>0.72821278491115427</v>
      </c>
      <c r="BI42" s="7"/>
      <c r="BJ42" s="24">
        <f>EXP(-$D$17)*(($B42*FixedParams!$B$30)^$B$10*(1+FixedParams!$C$24)^(1-$B$10)+(1-$B42)^$B$10*((1+FixedParams!$C$27)/$BK$12)^(1-$B$10))^(1/(1-$B$10))</f>
        <v>6.0646120736754652</v>
      </c>
      <c r="BK42" s="24">
        <f>EXP($D42-$D$17)*(($B42*FixedParams!$C$31)^$B$10*(1+FixedParams!$C$25)^(1-$B$10)+(1-$B42)^$B$10*((1+FixedParams!$C$28)/$BK$12)^(1-$B$10))^(1/(1-$B$10))</f>
        <v>4.4888047333864147</v>
      </c>
      <c r="BL42" s="24">
        <f>EXP($D42-$D$17)*(($B42*FixedParams!$C$30)^$B$10*(1+FixedParams!$C$23)^(1-$B$10)+(1-$B42)^$B$10*((1+FixedParams!$C$26)/$BK$12)^(1-$B$10))^(1/(1-$B$10))</f>
        <v>4.6403714086492789</v>
      </c>
      <c r="BM42">
        <f>IF(FixedParams!$I$6=1,IF(BK42&lt;=MIN(BJ42:BL42),1,0),$H42)</f>
        <v>1</v>
      </c>
      <c r="BN42">
        <f>IF(FixedParams!$I$6=1,IF(BL42&lt;=MIN(BJ42:BL42),1,0),IF(BL42&lt;=BJ42,1,0)*(1-$H42))</f>
        <v>0</v>
      </c>
      <c r="BO42" s="24">
        <f>$BK$13*IF(BM42=1,1,IF(BN42=1,FixedParams!$C$52,FixedParams!$C$53))</f>
        <v>0.41068174962109105</v>
      </c>
      <c r="BP42">
        <f>EXP($C42*FixedParams!$B$47)*EXP(IF(BM42+BN42=1,(1-FixedParams!$B$47)*$D42,0))*($B42^((FixedParams!$B$47-1)*$B$10/($B$10-1)))*((1/$B42-1)^$B$10*(BO42)^($B$10-1)+1)^((FixedParams!$B$47-$B$10)/($B$10-1))/((1+IF(BM42=1,FixedParams!$C$25,IF(BN42=1,FixedParams!$C$23,FixedParams!$C$24)))^FixedParams!$B$47)</f>
        <v>3.820536992616877E-2</v>
      </c>
      <c r="BQ42">
        <f t="shared" si="28"/>
        <v>1.0990826162902467</v>
      </c>
      <c r="BR42">
        <f t="shared" si="29"/>
        <v>28.031177635708517</v>
      </c>
      <c r="BS42">
        <f t="shared" si="6"/>
        <v>149.85475876459492</v>
      </c>
      <c r="BT42">
        <f t="shared" si="30"/>
        <v>177.88593640030342</v>
      </c>
      <c r="BU42" s="24">
        <f t="shared" si="31"/>
        <v>5.3460029654158046</v>
      </c>
      <c r="BV42" s="24">
        <f t="shared" si="32"/>
        <v>1.4256721233598988</v>
      </c>
      <c r="BW42" s="23">
        <f>IF(BM42=1,BR42*(1+FixedParams!$C$25)+BS42*(1+FixedParams!$C$28)/$BK$12,IF(BN42=1,BR42*(1+FixedParams!$C$23)+BS42*(1+FixedParams!$C$26)/$BK$12,BR42*(1+FixedParams!$C$24)+BS42*(1+FixedParams!$C$27)/$BK$12))</f>
        <v>537.67912994115295</v>
      </c>
      <c r="BX42" s="24">
        <f t="shared" si="33"/>
        <v>119.78224981408816</v>
      </c>
      <c r="BY42" s="24">
        <f>BX42^((FixedParams!$B$47-1)/FixedParams!$B$47)*EXP($C42)</f>
        <v>0.72820887109540988</v>
      </c>
      <c r="BZ42" s="24">
        <f t="shared" si="34"/>
        <v>-1.4928627989916666E-2</v>
      </c>
      <c r="CA42" s="24">
        <f t="shared" si="35"/>
        <v>-1.9396419390861036E-3</v>
      </c>
      <c r="CB42" s="24">
        <f t="shared" si="36"/>
        <v>1.5388813980321148E-2</v>
      </c>
      <c r="CC42" s="24"/>
      <c r="CD42" s="24">
        <f>EXP(-$D$17)*(($B42*FixedParams!$B$30)^$B$10*(1+FixedParams!$D$24)^(1-$B$10)+(1-$B42)^$B$10*((1+FixedParams!$D$27)/$CE$12)^(1-$B$10))^(1/(1-$B$10))</f>
        <v>5.7346612258704326</v>
      </c>
      <c r="CE42" s="24">
        <f>EXP($D42-$D$17)*(($B42*FixedParams!$D$31)^$B$10*(1+FixedParams!$D$25)^(1-$B$10)+(1-$B42)^$B$10*((1+FixedParams!$D$28)/$CE$12)^(1-$B$10))^(1/(1-$B$10))</f>
        <v>4.3856349301843363</v>
      </c>
      <c r="CF42" s="24">
        <f>EXP($D42-$D$17)*(($B42*FixedParams!$D$30)^$B$10*(1+FixedParams!$D$23)^(1-$B$10)+(1-$B42)^$B$10*((1+FixedParams!$D$26)/$CE$12)^(1-$B$10))^(1/(1-$B$10))</f>
        <v>4.4874422243485022</v>
      </c>
      <c r="CG42">
        <f>IF(FixedParams!$I$6=1,IF(CE42&lt;=MIN(CD42:CF42),1,0),$H42)</f>
        <v>1</v>
      </c>
      <c r="CH42">
        <f>IF(FixedParams!$I$6=1,IF(CF42&lt;=MIN(CD42:CF42),1,0),IF(CF42&lt;=CD42,1,0)*(1-$H42))</f>
        <v>0</v>
      </c>
      <c r="CI42" s="24">
        <f>$CE$13*IF(CG42=1,1,IF(CH42=1,FixedParams!$D$52,FixedParams!$D$53))</f>
        <v>0.39201585704839609</v>
      </c>
      <c r="CJ42">
        <f>EXP($C42*FixedParams!$B$47)*EXP(IF(CG42+CH42=1,(1-FixedParams!$B$47)*$D42,0))*($B42^((FixedParams!$B$47-1)*$B$10/($B$10-1)))*((1/$B42-1)^$B$10*(CI42)^($B$10-1)+1)^((FixedParams!$B$47-$B$10)/($B$10-1))/((1+IF(CG42=1,FixedParams!$D$25,IF(CH42=1,FixedParams!$D$23,FixedParams!$D$24)))^FixedParams!$B$47)</f>
        <v>4.1718617518921898E-2</v>
      </c>
      <c r="CK42">
        <f t="shared" si="37"/>
        <v>1.0984662259541957</v>
      </c>
      <c r="CL42">
        <f t="shared" si="41"/>
        <v>30.010406817409315</v>
      </c>
      <c r="CM42">
        <f t="shared" si="7"/>
        <v>149.62302284012193</v>
      </c>
      <c r="CN42">
        <f t="shared" si="42"/>
        <v>179.63342965753125</v>
      </c>
      <c r="CO42" s="24">
        <f t="shared" si="43"/>
        <v>4.9857045840952825</v>
      </c>
      <c r="CP42" s="24">
        <f t="shared" si="44"/>
        <v>1.4168756668955904</v>
      </c>
      <c r="CQ42" s="23">
        <f>IF(CG42=1,CL42*(1+FixedParams!$D$25)+CM42*(1+FixedParams!$D$28)/$CE$12,IF(CH42=1,CL42*(1+FixedParams!$D$23)+CM42*(1+FixedParams!$D$26)/$CE$12,CL42*(1+FixedParams!$D$24)+CM42*(1+FixedParams!$D$27)/$CE$12))</f>
        <v>527.15474669285197</v>
      </c>
      <c r="CR42" s="24">
        <f t="shared" si="45"/>
        <v>120.20032562780932</v>
      </c>
      <c r="CS42" s="24">
        <f>CR42^((FixedParams!$B$47-1)/FixedParams!$B$47)*EXP($C42)</f>
        <v>0.72820633131897905</v>
      </c>
      <c r="CT42" s="24"/>
    </row>
    <row r="43" spans="1:98" x14ac:dyDescent="0.15">
      <c r="A43">
        <v>0.13</v>
      </c>
      <c r="B43">
        <f t="shared" si="8"/>
        <v>0.11962468850942798</v>
      </c>
      <c r="C43">
        <f>(D43-$D$17)*FixedParams!$B$47+$A43*$B$9</f>
        <v>-0.32487197092025716</v>
      </c>
      <c r="D43">
        <f>(A43-$B$6)*FixedParams!$B$46/(FixedParams!$B$45*Sectors!$B$6)</f>
        <v>-0.20104002906033899</v>
      </c>
      <c r="E43">
        <f t="shared" si="9"/>
        <v>0.72261986407613454</v>
      </c>
      <c r="F43" s="24">
        <f>EXP(-$D$17)*(($B43*FixedParams!$B$30)^$B$10*(1+FixedParams!$B$23)^(1-$B$10)+(1-$B43)^$B$10*((1+FixedParams!$B$26)/$B$11)^(1-$B$10))^(1/(1-$B$10))</f>
        <v>4.5381232774008167</v>
      </c>
      <c r="G43" s="24">
        <f>EXP($D43-$D$17)*(($B43*FixedParams!$B$31)^$B$10*(1+FixedParams!$B$25)^(1-$B$10)+(1-$B43)^$B$10*((1+FixedParams!$B$28)/$B$11)^(1-$B$10))^(1/(1-$B$10))</f>
        <v>3.5937715083068276</v>
      </c>
      <c r="H43">
        <f t="shared" si="10"/>
        <v>1</v>
      </c>
      <c r="I43" s="24">
        <f>$B$12*IF(H43=1,1,FixedParams!$B$52)</f>
        <v>0.3745928365283252</v>
      </c>
      <c r="J43">
        <f>EXP($C43*FixedParams!$B$47)*EXP(IF(H43=1,(1-FixedParams!$B$47)*$D43,0))*($B43^((FixedParams!$B$47-1)*$B$10/($B$10-1)))*((1/$B43-1)^$B$10*(I43)^($B$10-1)+1)^((FixedParams!$B$47-$B$10)/($B$10-1))/((1+IF(H43=1,FixedParams!$B$25,FixedParams!$B$24))^FixedParams!$B$47)</f>
        <v>5.4640663149720506E-2</v>
      </c>
      <c r="K43">
        <f t="shared" si="38"/>
        <v>1.1016968740463164</v>
      </c>
      <c r="L43">
        <f>K43*FixedParams!$B$8/K$15</f>
        <v>32.029775788057243</v>
      </c>
      <c r="M43">
        <f t="shared" si="0"/>
        <v>146.61002006724675</v>
      </c>
      <c r="N43">
        <f t="shared" si="11"/>
        <v>178.63979585530399</v>
      </c>
      <c r="O43" s="24">
        <f t="shared" si="12"/>
        <v>4.5773039760681806</v>
      </c>
      <c r="P43" s="24">
        <f t="shared" si="1"/>
        <v>1.4052187777268828</v>
      </c>
      <c r="Q43" s="23">
        <f>IF(H43=1,L43*(1+FixedParams!$B$25)+M43*FixedParams!$B$33*(1+FixedParams!$B$28)/FixedParams!$B$32,L43*(1+FixedParams!$B$23)+M43*FixedParams!$B$33*(1+FixedParams!$B$26)/FixedParams!$B$32)</f>
        <v>424.15685088951778</v>
      </c>
      <c r="R43" s="24">
        <f t="shared" si="2"/>
        <v>118.02554778708105</v>
      </c>
      <c r="S43" s="24">
        <f>R43^((FixedParams!$B$47-1)/FixedParams!$B$47)*EXP($C43)</f>
        <v>0.71917709249271755</v>
      </c>
      <c r="T43" s="7">
        <f>(L43*FixedParams!$B$32*(FixedParams!$C$25-FixedParams!$C$23)+FixedParams!$B$33*(FixedParams!$C$28-FixedParams!$C$26)*M43)/N43</f>
        <v>-2423.7375282907669</v>
      </c>
      <c r="U43" s="7">
        <f>(L43*FixedParams!$B$32*(FixedParams!$C$25-FixedParams!$C$23)*$Z$12/$B$11+FixedParams!$B$33*(FixedParams!$C$28-FixedParams!$C$26)*M43)/N43</f>
        <v>-2603.8126128197382</v>
      </c>
      <c r="V43" s="14">
        <f t="shared" si="13"/>
        <v>-2.5030257854332558</v>
      </c>
      <c r="W43" s="14">
        <f t="shared" si="14"/>
        <v>0.27347201793797687</v>
      </c>
      <c r="X43" s="73">
        <f t="shared" si="15"/>
        <v>0.98639443694678131</v>
      </c>
      <c r="Y43" s="24">
        <f>EXP(-$D$17)*(($B43*FixedParams!$B$30)^$B$10*(1+FixedParams!$C$24)^(1-$B$10)+(1-$B43)^$B$10*((1+FixedParams!$C$27)/$Z$12)^(1-$B$10))^(1/(1-$B$10))</f>
        <v>5.7969968560851477</v>
      </c>
      <c r="Z43" s="24">
        <f>EXP($D43-$D$17)*(($B43*FixedParams!$C$31)^$B$10*(1+FixedParams!$C$25)^(1-$B$10)+(1-$B43)^$B$10*((1+FixedParams!$C$28)/$Z$12)^(1-$B$10))^(1/(1-$B$10))</f>
        <v>4.3026231421093204</v>
      </c>
      <c r="AA43" s="24">
        <f>EXP($D43-$D$17)*(($B43*FixedParams!$C$30)^$B$10*(1+FixedParams!$C$23)^(1-$B$10)+(1-$B43)^$B$10*((1+FixedParams!$C$26)/$Z$12)^(1-$B$10))^(1/(1-$B$10))</f>
        <v>4.4484337032936754</v>
      </c>
      <c r="AB43">
        <f>IF(FixedParams!$I$6=1,IF(Z43&lt;=MIN(Y43:AA43),1,0),$H43)</f>
        <v>1</v>
      </c>
      <c r="AC43">
        <f>IF(FixedParams!$I$6=1,IF(AA43&lt;=MIN(Y43:AA43),1,0),IF(AA43&lt;=Y43,1,0)*(1-$H43))</f>
        <v>0</v>
      </c>
      <c r="AD43" s="24">
        <f>$Z$13*IF(AB43=1,1,IF(AC43=1,FixedParams!$C$52,FixedParams!$C$53))</f>
        <v>0.43187184563106507</v>
      </c>
      <c r="AE43">
        <f>EXP($C43*FixedParams!$B$47)*EXP(IF(AB43+AC43=1,(1-FixedParams!$B$47)*$D43,0))*($B43^((FixedParams!$B$47-1)*$B$10/($B$10-1)))*((1/$B43-1)^$B$10*(AD43)^($B$10-1)+1)^((FixedParams!$B$47-$B$10)/($B$10-1))/((1+IF(AB43=1,FixedParams!$C$25,IF(AC43=1,FixedParams!$C$23,FixedParams!$C$24)))^FixedParams!$B$47)</f>
        <v>3.745450648915765E-2</v>
      </c>
      <c r="AF43">
        <f t="shared" si="39"/>
        <v>1.103678723923353</v>
      </c>
      <c r="AG43">
        <f t="shared" si="40"/>
        <v>25.923718389456294</v>
      </c>
      <c r="AH43">
        <f t="shared" si="3"/>
        <v>146.89269092754952</v>
      </c>
      <c r="AI43">
        <f t="shared" si="16"/>
        <v>172.81640931700582</v>
      </c>
      <c r="AJ43" s="24">
        <f t="shared" si="17"/>
        <v>5.6663434126523216</v>
      </c>
      <c r="AK43" s="24">
        <f t="shared" si="18"/>
        <v>1.4370495466444067</v>
      </c>
      <c r="AL43" s="23">
        <f>IF(AB43=1,AG43*(1+FixedParams!$C$25)+AH43*(1+FixedParams!$C$28)/$Z$12,IF(AC43=1,AG43*(1+FixedParams!$C$23)+AH43*(1+FixedParams!$C$26)/$Z$12,AG43*(1+FixedParams!$C$24)+AH43*(1+FixedParams!$C$27)/$Z$12))</f>
        <v>500.91028367772441</v>
      </c>
      <c r="AM43" s="24">
        <f t="shared" si="19"/>
        <v>116.41974375477325</v>
      </c>
      <c r="AN43" s="24">
        <f>AM43^((FixedParams!$B$47-1)/FixedParams!$B$47)*EXP($C43)</f>
        <v>0.71918695440536562</v>
      </c>
      <c r="AO43" s="24">
        <f t="shared" si="20"/>
        <v>-3.3141651573096918E-2</v>
      </c>
      <c r="AP43" s="24">
        <f t="shared" si="21"/>
        <v>-1.3698966901777326E-2</v>
      </c>
      <c r="AQ43" s="14">
        <f t="shared" si="22"/>
        <v>-2.5741703973151409</v>
      </c>
      <c r="AS43" s="24">
        <f>EXP(-$D$17)*(($B43*FixedParams!$B$30)^$B$10*(1+FixedParams!$D$24)^(1-$B$10)+(1-$B43)^$B$10*((1+FixedParams!$D$27)/$AT$12)^(1-$B$10))^(1/(1-$B$10))</f>
        <v>5.4985929647450584</v>
      </c>
      <c r="AT43" s="24">
        <f>EXP($D43-$D$17)*(($B43*FixedParams!$C$31)^$B$10*(1+FixedParams!$D$25)^(1-$B$10)+(1-$B43)^$B$10*((1+FixedParams!$D$28)/$AT$12)^(1-$B$10))^(1/(1-$B$10))</f>
        <v>4.2166602217756219</v>
      </c>
      <c r="AU43" s="24">
        <f>EXP($D43-$D$17)*(($B43*FixedParams!$C$30)^$B$10*(1+FixedParams!$D$23)^(1-$B$10)+(1-$B43)^$B$10*((1+FixedParams!$D$26)/$AT$12)^(1-$B$10))^(1/(1-$B$10))</f>
        <v>4.3148733012554423</v>
      </c>
      <c r="AV43">
        <f>IF(FixedParams!$I$6=1,IF(AT43&lt;=MIN(AS43:AU43),1,0),$H43)</f>
        <v>1</v>
      </c>
      <c r="AW43">
        <f>IF(FixedParams!$I$6=1,IF(AU43&lt;=MIN(AS43:AU43),1,0),IF(AU43&lt;=AS43,1,0)*(1-$H43))</f>
        <v>0</v>
      </c>
      <c r="AX43" s="24">
        <f>$AT$13*IF(AV43=1,1,IF(AW43=1,FixedParams!$D$52,FixedParams!$D$53))</f>
        <v>0.41089128090616783</v>
      </c>
      <c r="AY43">
        <f>EXP($C43*FixedParams!$B$47)*EXP(IF(AV43+AW43=1,(1-FixedParams!$B$47)*$D43,0))*($B43^((FixedParams!$B$47-1)*$B$10/($B$10-1)))*((1/$B43-1)^$B$10*(AX43)^($B$10-1)+1)^((FixedParams!$B$47-$B$10)/($B$10-1))/((1+IF(AV43=1,FixedParams!$D$25,IF(AW43=1,FixedParams!$D$23,FixedParams!$D$24)))^FixedParams!$B$47)</f>
        <v>4.0961672319751022E-2</v>
      </c>
      <c r="AZ43">
        <f t="shared" si="4"/>
        <v>1.1029987447355294</v>
      </c>
      <c r="BA43">
        <f t="shared" si="23"/>
        <v>27.751300899315922</v>
      </c>
      <c r="BB43">
        <f t="shared" si="5"/>
        <v>145.92990090514652</v>
      </c>
      <c r="BC43">
        <f t="shared" si="24"/>
        <v>173.68120180446243</v>
      </c>
      <c r="BD43" s="24">
        <f t="shared" si="25"/>
        <v>5.2584886537244726</v>
      </c>
      <c r="BE43" s="24">
        <f t="shared" si="26"/>
        <v>1.4278781987507652</v>
      </c>
      <c r="BF43" s="23">
        <f>IF(AV43=1,BA43*(1+FixedParams!$C$25)+BB43*(1+FixedParams!$C$28)/$AT$12,IF(AW43=1,BA43*(1+FixedParams!$C$23)+BB43*(1+FixedParams!$C$26)/$AT$12,BA43*(1+FixedParams!$C$24)+BB43*(1+FixedParams!$C$27)/$AT$12))</f>
        <v>494.03302007716002</v>
      </c>
      <c r="BG43" s="24">
        <f t="shared" si="27"/>
        <v>117.1621601204387</v>
      </c>
      <c r="BH43" s="24">
        <f>BG43^((FixedParams!$B$47-1)/FixedParams!$B$47)*EXP($C43)</f>
        <v>0.71918237810278374</v>
      </c>
      <c r="BI43" s="7"/>
      <c r="BJ43" s="24">
        <f>EXP(-$D$17)*(($B43*FixedParams!$B$30)^$B$10*(1+FixedParams!$C$24)^(1-$B$10)+(1-$B43)^$B$10*((1+FixedParams!$C$27)/$BK$12)^(1-$B$10))^(1/(1-$B$10))</f>
        <v>6.0751902738373307</v>
      </c>
      <c r="BK43" s="24">
        <f>EXP($D43-$D$17)*(($B43*FixedParams!$C$31)^$B$10*(1+FixedParams!$C$25)^(1-$B$10)+(1-$B43)^$B$10*((1+FixedParams!$C$28)/$BK$12)^(1-$B$10))^(1/(1-$B$10))</f>
        <v>4.5083457582098569</v>
      </c>
      <c r="BL43" s="24">
        <f>EXP($D43-$D$17)*(($B43*FixedParams!$C$30)^$B$10*(1+FixedParams!$C$23)^(1-$B$10)+(1-$B43)^$B$10*((1+FixedParams!$C$26)/$BK$12)^(1-$B$10))^(1/(1-$B$10))</f>
        <v>4.65934204187106</v>
      </c>
      <c r="BM43">
        <f>IF(FixedParams!$I$6=1,IF(BK43&lt;=MIN(BJ43:BL43),1,0),$H43)</f>
        <v>1</v>
      </c>
      <c r="BN43">
        <f>IF(FixedParams!$I$6=1,IF(BL43&lt;=MIN(BJ43:BL43),1,0),IF(BL43&lt;=BJ43,1,0)*(1-$H43))</f>
        <v>0</v>
      </c>
      <c r="BO43" s="24">
        <f>$BK$13*IF(BM43=1,1,IF(BN43=1,FixedParams!$C$52,FixedParams!$C$53))</f>
        <v>0.41068174962109105</v>
      </c>
      <c r="BP43">
        <f>EXP($C43*FixedParams!$B$47)*EXP(IF(BM43+BN43=1,(1-FixedParams!$B$47)*$D43,0))*($B43^((FixedParams!$B$47-1)*$B$10/($B$10-1)))*((1/$B43-1)^$B$10*(BO43)^($B$10-1)+1)^((FixedParams!$B$47-$B$10)/($B$10-1))/((1+IF(BM43=1,FixedParams!$C$25,IF(BN43=1,FixedParams!$C$23,FixedParams!$C$24)))^FixedParams!$B$47)</f>
        <v>3.8341254319785051E-2</v>
      </c>
      <c r="BQ43">
        <f t="shared" si="28"/>
        <v>1.102991704859142</v>
      </c>
      <c r="BR43">
        <f t="shared" si="29"/>
        <v>28.130875651530364</v>
      </c>
      <c r="BS43">
        <f t="shared" si="6"/>
        <v>147.81275411831643</v>
      </c>
      <c r="BT43">
        <f t="shared" si="30"/>
        <v>175.94362976984681</v>
      </c>
      <c r="BU43" s="24">
        <f t="shared" si="31"/>
        <v>5.2544668694049408</v>
      </c>
      <c r="BV43" s="24">
        <f t="shared" si="32"/>
        <v>1.4318784736039754</v>
      </c>
      <c r="BW43" s="23">
        <f>IF(BM43=1,BR43*(1+FixedParams!$C$25)+BS43*(1+FixedParams!$C$28)/$BK$12,IF(BN43=1,BR43*(1+FixedParams!$C$23)+BS43*(1+FixedParams!$C$26)/$BK$12,BR43*(1+FixedParams!$C$24)+BS43*(1+FixedParams!$C$27)/$BK$12))</f>
        <v>531.01152885174076</v>
      </c>
      <c r="BX43" s="24">
        <f t="shared" si="33"/>
        <v>117.78411801817775</v>
      </c>
      <c r="BY43" s="24">
        <f>BX43^((FixedParams!$B$47-1)/FixedParams!$B$47)*EXP($C43)</f>
        <v>0.71917856660364554</v>
      </c>
      <c r="BZ43" s="24">
        <f t="shared" si="34"/>
        <v>-1.5207806422544734E-2</v>
      </c>
      <c r="CA43" s="24">
        <f t="shared" si="35"/>
        <v>-2.0476671508543993E-3</v>
      </c>
      <c r="CB43" s="24">
        <f t="shared" si="36"/>
        <v>1.5280788768552852E-2</v>
      </c>
      <c r="CC43" s="24"/>
      <c r="CD43" s="24">
        <f>EXP(-$D$17)*(($B43*FixedParams!$B$30)^$B$10*(1+FixedParams!$D$24)^(1-$B$10)+(1-$B43)^$B$10*((1+FixedParams!$D$27)/$CE$12)^(1-$B$10))^(1/(1-$B$10))</f>
        <v>5.7441487271703355</v>
      </c>
      <c r="CE43" s="24">
        <f>EXP($D43-$D$17)*(($B43*FixedParams!$D$31)^$B$10*(1+FixedParams!$D$25)^(1-$B$10)+(1-$B43)^$B$10*((1+FixedParams!$D$28)/$CE$12)^(1-$B$10))^(1/(1-$B$10))</f>
        <v>4.4044882928599813</v>
      </c>
      <c r="CF43" s="24">
        <f>EXP($D43-$D$17)*(($B43*FixedParams!$D$30)^$B$10*(1+FixedParams!$D$23)^(1-$B$10)+(1-$B43)^$B$10*((1+FixedParams!$D$26)/$CE$12)^(1-$B$10))^(1/(1-$B$10))</f>
        <v>4.5057750504944609</v>
      </c>
      <c r="CG43">
        <f>IF(FixedParams!$I$6=1,IF(CE43&lt;=MIN(CD43:CF43),1,0),$H43)</f>
        <v>1</v>
      </c>
      <c r="CH43">
        <f>IF(FixedParams!$I$6=1,IF(CF43&lt;=MIN(CD43:CF43),1,0),IF(CF43&lt;=CD43,1,0)*(1-$H43))</f>
        <v>0</v>
      </c>
      <c r="CI43" s="24">
        <f>$CE$13*IF(CG43=1,1,IF(CH43=1,FixedParams!$D$52,FixedParams!$D$53))</f>
        <v>0.39201585704839609</v>
      </c>
      <c r="CJ43">
        <f>EXP($C43*FixedParams!$B$47)*EXP(IF(CG43+CH43=1,(1-FixedParams!$B$47)*$D43,0))*($B43^((FixedParams!$B$47-1)*$B$10/($B$10-1)))*((1/$B43-1)^$B$10*(CI43)^($B$10-1)+1)^((FixedParams!$B$47-$B$10)/($B$10-1))/((1+IF(CG43=1,FixedParams!$D$25,IF(CH43=1,FixedParams!$D$23,FixedParams!$D$24)))^FixedParams!$B$47)</f>
        <v>4.1865861498398362E-2</v>
      </c>
      <c r="CK43">
        <f t="shared" si="37"/>
        <v>1.1023432129698041</v>
      </c>
      <c r="CL43">
        <f t="shared" si="41"/>
        <v>30.116327195127937</v>
      </c>
      <c r="CM43">
        <f t="shared" si="7"/>
        <v>147.58017174856008</v>
      </c>
      <c r="CN43">
        <f t="shared" si="42"/>
        <v>177.69649894368803</v>
      </c>
      <c r="CO43" s="24">
        <f t="shared" si="43"/>
        <v>4.9003376405219434</v>
      </c>
      <c r="CP43" s="24">
        <f t="shared" si="44"/>
        <v>1.4229666597026813</v>
      </c>
      <c r="CQ43" s="23">
        <f>IF(CG43=1,CL43*(1+FixedParams!$D$25)+CM43*(1+FixedParams!$D$28)/$CE$12,IF(CH43=1,CL43*(1+FixedParams!$D$23)+CM43*(1+FixedParams!$D$26)/$CE$12,CL43*(1+FixedParams!$D$24)+CM43*(1+FixedParams!$D$27)/$CE$12))</f>
        <v>520.6176271968792</v>
      </c>
      <c r="CR43" s="24">
        <f t="shared" si="45"/>
        <v>118.20161448512438</v>
      </c>
      <c r="CS43" s="24">
        <f>CR43^((FixedParams!$B$47-1)/FixedParams!$B$47)*EXP($C43)</f>
        <v>0.71917601937467668</v>
      </c>
      <c r="CT43" s="24"/>
    </row>
    <row r="44" spans="1:98" x14ac:dyDescent="0.15">
      <c r="A44">
        <v>0.13500000000000001</v>
      </c>
      <c r="B44">
        <f t="shared" si="8"/>
        <v>0.12084257510049516</v>
      </c>
      <c r="C44">
        <f>(D44-$D$17)*FixedParams!$B$47+$A44*$B$9</f>
        <v>-0.33736704672488244</v>
      </c>
      <c r="D44">
        <f>(A44-$B$6)*FixedParams!$B$46/(FixedParams!$B$45*Sectors!$B$6)</f>
        <v>-0.19832327191087495</v>
      </c>
      <c r="E44">
        <f t="shared" si="9"/>
        <v>0.71364685008536277</v>
      </c>
      <c r="F44" s="24">
        <f>EXP(-$D$17)*(($B44*FixedParams!$B$30)^$B$10*(1+FixedParams!$B$23)^(1-$B$10)+(1-$B44)^$B$10*((1+FixedParams!$B$26)/$B$11)^(1-$B$10))^(1/(1-$B$10))</f>
        <v>4.5452575257845274</v>
      </c>
      <c r="G44" s="24">
        <f>EXP($D44-$D$17)*(($B44*FixedParams!$B$31)^$B$10*(1+FixedParams!$B$25)^(1-$B$10)+(1-$B44)^$B$10*((1+FixedParams!$B$28)/$B$11)^(1-$B$10))^(1/(1-$B$10))</f>
        <v>3.609026539277298</v>
      </c>
      <c r="H44">
        <f t="shared" si="10"/>
        <v>1</v>
      </c>
      <c r="I44" s="24">
        <f>$B$12*IF(H44=1,1,FixedParams!$B$52)</f>
        <v>0.3745928365283252</v>
      </c>
      <c r="J44">
        <f>EXP($C44*FixedParams!$B$47)*EXP(IF(H44=1,(1-FixedParams!$B$47)*$D44,0))*($B44^((FixedParams!$B$47-1)*$B$10/($B$10-1)))*((1/$B44-1)^$B$10*(I44)^($B$10-1)+1)^((FixedParams!$B$47-$B$10)/($B$10-1))/((1+IF(H44=1,FixedParams!$B$25,FixedParams!$B$24))^FixedParams!$B$47)</f>
        <v>5.4830888476373657E-2</v>
      </c>
      <c r="K44">
        <f t="shared" si="38"/>
        <v>1.1055323078726589</v>
      </c>
      <c r="L44">
        <f>K44*FixedParams!$B$8/K$15</f>
        <v>32.141283852028131</v>
      </c>
      <c r="M44">
        <f t="shared" si="0"/>
        <v>144.6013799813434</v>
      </c>
      <c r="N44">
        <f t="shared" si="11"/>
        <v>176.74266383337152</v>
      </c>
      <c r="O44" s="24">
        <f t="shared" si="12"/>
        <v>4.4989298077531208</v>
      </c>
      <c r="P44" s="24">
        <f t="shared" si="1"/>
        <v>1.4111837245591898</v>
      </c>
      <c r="Q44" s="23">
        <f>IF(H44=1,L44*(1+FixedParams!$B$25)+M44*FixedParams!$B$33*(1+FixedParams!$B$28)/FixedParams!$B$32,L44*(1+FixedParams!$B$23)+M44*FixedParams!$B$33*(1+FixedParams!$B$26)/FixedParams!$B$32)</f>
        <v>418.89696103999245</v>
      </c>
      <c r="R44" s="24">
        <f t="shared" si="2"/>
        <v>116.0692381951494</v>
      </c>
      <c r="S44" s="24">
        <f>R44^((FixedParams!$B$47-1)/FixedParams!$B$47)*EXP($C44)</f>
        <v>0.71025871175483601</v>
      </c>
      <c r="T44" s="7">
        <f>(L44*FixedParams!$B$32*(FixedParams!$C$25-FixedParams!$C$23)+FixedParams!$B$33*(FixedParams!$C$28-FixedParams!$C$26)*M44)/N44</f>
        <v>-2394.7459018184677</v>
      </c>
      <c r="U44" s="7">
        <f>(L44*FixedParams!$B$32*(FixedParams!$C$25-FixedParams!$C$23)*$Z$12/$B$11+FixedParams!$B$33*(FixedParams!$C$28-FixedParams!$C$26)*M44)/N44</f>
        <v>-2577.3875284706583</v>
      </c>
      <c r="V44" s="14">
        <f t="shared" si="13"/>
        <v>-2.4857551601371717</v>
      </c>
      <c r="W44" s="14">
        <f t="shared" si="14"/>
        <v>0.28214086946304823</v>
      </c>
      <c r="X44" s="73">
        <f t="shared" si="15"/>
        <v>0.9862289390584601</v>
      </c>
      <c r="Y44" s="24">
        <f>EXP(-$D$17)*(($B44*FixedParams!$B$30)^$B$10*(1+FixedParams!$C$24)^(1-$B$10)+(1-$B44)^$B$10*((1+FixedParams!$C$27)/$Z$12)^(1-$B$10))^(1/(1-$B$10))</f>
        <v>5.8074521626486328</v>
      </c>
      <c r="Z44" s="24">
        <f>EXP($D44-$D$17)*(($B44*FixedParams!$C$31)^$B$10*(1+FixedParams!$C$25)^(1-$B$10)+(1-$B44)^$B$10*((1+FixedParams!$C$28)/$Z$12)^(1-$B$10))^(1/(1-$B$10))</f>
        <v>4.3216129526345535</v>
      </c>
      <c r="AA44" s="24">
        <f>EXP($D44-$D$17)*(($B44*FixedParams!$C$30)^$B$10*(1+FixedParams!$C$23)^(1-$B$10)+(1-$B44)^$B$10*((1+FixedParams!$C$26)/$Z$12)^(1-$B$10))^(1/(1-$B$10))</f>
        <v>4.4668955328595645</v>
      </c>
      <c r="AB44">
        <f>IF(FixedParams!$I$6=1,IF(Z44&lt;=MIN(Y44:AA44),1,0),$H44)</f>
        <v>1</v>
      </c>
      <c r="AC44">
        <f>IF(FixedParams!$I$6=1,IF(AA44&lt;=MIN(Y44:AA44),1,0),IF(AA44&lt;=Y44,1,0)*(1-$H44))</f>
        <v>0</v>
      </c>
      <c r="AD44" s="24">
        <f>$Z$13*IF(AB44=1,1,IF(AC44=1,FixedParams!$C$52,FixedParams!$C$53))</f>
        <v>0.43187184563106507</v>
      </c>
      <c r="AE44">
        <f>EXP($C44*FixedParams!$B$47)*EXP(IF(AB44+AC44=1,(1-FixedParams!$B$47)*$D44,0))*($B44^((FixedParams!$B$47-1)*$B$10/($B$10-1)))*((1/$B44-1)^$B$10*(AD44)^($B$10-1)+1)^((FixedParams!$B$47-$B$10)/($B$10-1))/((1+IF(AB44=1,FixedParams!$C$25,IF(AC44=1,FixedParams!$C$23,FixedParams!$C$24)))^FixedParams!$B$47)</f>
        <v>3.7588063019447761E-2</v>
      </c>
      <c r="AF44">
        <f t="shared" si="39"/>
        <v>1.1076142583820672</v>
      </c>
      <c r="AG44">
        <f t="shared" si="40"/>
        <v>26.016158050390445</v>
      </c>
      <c r="AH44">
        <f t="shared" si="3"/>
        <v>144.89237016996549</v>
      </c>
      <c r="AI44">
        <f t="shared" si="16"/>
        <v>170.90852822035595</v>
      </c>
      <c r="AJ44" s="24">
        <f t="shared" si="17"/>
        <v>5.5693223376535785</v>
      </c>
      <c r="AK44" s="24">
        <f t="shared" si="18"/>
        <v>1.4433920260354256</v>
      </c>
      <c r="AL44" s="23">
        <f>IF(AB44=1,AG44*(1+FixedParams!$C$25)+AH44*(1+FixedParams!$C$28)/$Z$12,IF(AC44=1,AG44*(1+FixedParams!$C$23)+AH44*(1+FixedParams!$C$26)/$Z$12,AG44*(1+FixedParams!$C$24)+AH44*(1+FixedParams!$C$27)/$Z$12))</f>
        <v>494.69867194131871</v>
      </c>
      <c r="AM44" s="24">
        <f t="shared" si="19"/>
        <v>114.47084164252588</v>
      </c>
      <c r="AN44" s="24">
        <f>AM44^((FixedParams!$B$47-1)/FixedParams!$B$47)*EXP($C44)</f>
        <v>0.71026857067034932</v>
      </c>
      <c r="AO44" s="24">
        <f t="shared" si="20"/>
        <v>-3.3566307329558252E-2</v>
      </c>
      <c r="AP44" s="24">
        <f t="shared" si="21"/>
        <v>-1.3866761616898931E-2</v>
      </c>
      <c r="AQ44" s="14">
        <f t="shared" si="22"/>
        <v>-2.5568997720190563</v>
      </c>
      <c r="AS44" s="24">
        <f>EXP(-$D$17)*(($B44*FixedParams!$B$30)^$B$10*(1+FixedParams!$D$24)^(1-$B$10)+(1-$B44)^$B$10*((1+FixedParams!$D$27)/$AT$12)^(1-$B$10))^(1/(1-$B$10))</f>
        <v>5.5079988917359524</v>
      </c>
      <c r="AT44" s="24">
        <f>EXP($D44-$D$17)*(($B44*FixedParams!$C$31)^$B$10*(1+FixedParams!$D$25)^(1-$B$10)+(1-$B44)^$B$10*((1+FixedParams!$D$28)/$AT$12)^(1-$B$10))^(1/(1-$B$10))</f>
        <v>4.2350265593931118</v>
      </c>
      <c r="AU44" s="24">
        <f>EXP($D44-$D$17)*(($B44*FixedParams!$C$30)^$B$10*(1+FixedParams!$D$23)^(1-$B$10)+(1-$B44)^$B$10*((1+FixedParams!$D$26)/$AT$12)^(1-$B$10))^(1/(1-$B$10))</f>
        <v>4.3327508832508332</v>
      </c>
      <c r="AV44">
        <f>IF(FixedParams!$I$6=1,IF(AT44&lt;=MIN(AS44:AU44),1,0),$H44)</f>
        <v>1</v>
      </c>
      <c r="AW44">
        <f>IF(FixedParams!$I$6=1,IF(AU44&lt;=MIN(AS44:AU44),1,0),IF(AU44&lt;=AS44,1,0)*(1-$H44))</f>
        <v>0</v>
      </c>
      <c r="AX44" s="24">
        <f>$AT$13*IF(AV44=1,1,IF(AW44=1,FixedParams!$D$52,FixedParams!$D$53))</f>
        <v>0.41089128090616783</v>
      </c>
      <c r="AY44">
        <f>EXP($C44*FixedParams!$B$47)*EXP(IF(AV44+AW44=1,(1-FixedParams!$B$47)*$D44,0))*($B44^((FixedParams!$B$47-1)*$B$10/($B$10-1)))*((1/$B44-1)^$B$10*(AX44)^($B$10-1)+1)^((FixedParams!$B$47-$B$10)/($B$10-1))/((1+IF(AV44=1,FixedParams!$D$25,IF(AW44=1,FixedParams!$D$23,FixedParams!$D$24)))^FixedParams!$B$47)</f>
        <v>4.1106547946444146E-2</v>
      </c>
      <c r="AZ44">
        <f t="shared" si="4"/>
        <v>1.1068998948921416</v>
      </c>
      <c r="BA44">
        <f t="shared" si="23"/>
        <v>27.849453315505222</v>
      </c>
      <c r="BB44">
        <f t="shared" si="5"/>
        <v>143.93853505432634</v>
      </c>
      <c r="BC44">
        <f t="shared" si="24"/>
        <v>171.78798836983157</v>
      </c>
      <c r="BD44" s="24">
        <f t="shared" si="25"/>
        <v>5.1684510077685566</v>
      </c>
      <c r="BE44" s="24">
        <f t="shared" si="26"/>
        <v>1.4340975504878293</v>
      </c>
      <c r="BF44" s="23">
        <f>IF(AV44=1,BA44*(1+FixedParams!$C$25)+BB44*(1+FixedParams!$C$28)/$AT$12,IF(AW44=1,BA44*(1+FixedParams!$C$23)+BB44*(1+FixedParams!$C$26)/$AT$12,BA44*(1+FixedParams!$C$24)+BB44*(1+FixedParams!$C$27)/$AT$12))</f>
        <v>487.94394499154953</v>
      </c>
      <c r="BG44" s="24">
        <f t="shared" si="27"/>
        <v>115.21626562395701</v>
      </c>
      <c r="BH44" s="24">
        <f>BG44^((FixedParams!$B$47-1)/FixedParams!$B$47)*EXP($C44)</f>
        <v>0.71026395585890145</v>
      </c>
      <c r="BI44" s="7"/>
      <c r="BJ44" s="24">
        <f>EXP(-$D$17)*(($B44*FixedParams!$B$30)^$B$10*(1+FixedParams!$C$24)^(1-$B$10)+(1-$B44)^$B$10*((1+FixedParams!$C$27)/$BK$12)^(1-$B$10))^(1/(1-$B$10))</f>
        <v>6.0858082254523369</v>
      </c>
      <c r="BK44" s="24">
        <f>EXP($D44-$D$17)*(($B44*FixedParams!$C$31)^$B$10*(1+FixedParams!$C$25)^(1-$B$10)+(1-$B44)^$B$10*((1+FixedParams!$C$28)/$BK$12)^(1-$B$10))^(1/(1-$B$10))</f>
        <v>4.5279798772309565</v>
      </c>
      <c r="BL44" s="24">
        <f>EXP($D44-$D$17)*(($B44*FixedParams!$C$30)^$B$10*(1+FixedParams!$C$23)^(1-$B$10)+(1-$B44)^$B$10*((1+FixedParams!$C$26)/$BK$12)^(1-$B$10))^(1/(1-$B$10))</f>
        <v>4.6783803172089327</v>
      </c>
      <c r="BM44">
        <f>IF(FixedParams!$I$6=1,IF(BK44&lt;=MIN(BJ44:BL44),1,0),$H44)</f>
        <v>1</v>
      </c>
      <c r="BN44">
        <f>IF(FixedParams!$I$6=1,IF(BL44&lt;=MIN(BJ44:BL44),1,0),IF(BL44&lt;=BJ44,1,0)*(1-$H44))</f>
        <v>0</v>
      </c>
      <c r="BO44" s="24">
        <f>$BK$13*IF(BM44=1,1,IF(BN44=1,FixedParams!$C$52,FixedParams!$C$53))</f>
        <v>0.41068174962109105</v>
      </c>
      <c r="BP44">
        <f>EXP($C44*FixedParams!$B$47)*EXP(IF(BM44+BN44=1,(1-FixedParams!$B$47)*$D44,0))*($B44^((FixedParams!$B$47-1)*$B$10/($B$10-1)))*((1/$B44-1)^$B$10*(BO44)^($B$10-1)+1)^((FixedParams!$B$47-$B$10)/($B$10-1))/((1+IF(BM44=1,FixedParams!$C$25,IF(BN44=1,FixedParams!$C$23,FixedParams!$C$24)))^FixedParams!$B$47)</f>
        <v>3.84768503982078E-2</v>
      </c>
      <c r="BQ44">
        <f t="shared" si="28"/>
        <v>1.1068924992479823</v>
      </c>
      <c r="BR44">
        <f t="shared" si="29"/>
        <v>28.230362131266553</v>
      </c>
      <c r="BS44">
        <f t="shared" si="6"/>
        <v>145.79565118891131</v>
      </c>
      <c r="BT44">
        <f t="shared" si="30"/>
        <v>174.02601332017787</v>
      </c>
      <c r="BU44" s="24">
        <f t="shared" si="31"/>
        <v>5.1644980858192842</v>
      </c>
      <c r="BV44" s="24">
        <f t="shared" si="32"/>
        <v>1.4381143911405341</v>
      </c>
      <c r="BW44" s="23">
        <f>IF(BM44=1,BR44*(1+FixedParams!$C$25)+BS44*(1+FixedParams!$C$28)/$BK$12,IF(BN44=1,BR44*(1+FixedParams!$C$23)+BS44*(1+FixedParams!$C$26)/$BK$12,BR44*(1+FixedParams!$C$24)+BS44*(1+FixedParams!$C$27)/$BK$12))</f>
        <v>524.42661165623349</v>
      </c>
      <c r="BX44" s="24">
        <f t="shared" si="33"/>
        <v>115.81911268937478</v>
      </c>
      <c r="BY44" s="24">
        <f>BX44^((FixedParams!$B$47-1)/FixedParams!$B$47)*EXP($C44)</f>
        <v>0.71026024552668321</v>
      </c>
      <c r="BZ44" s="24">
        <f t="shared" si="34"/>
        <v>-1.5490008141712981E-2</v>
      </c>
      <c r="CA44" s="24">
        <f t="shared" si="35"/>
        <v>-2.1572933855948991E-3</v>
      </c>
      <c r="CB44" s="24">
        <f t="shared" si="36"/>
        <v>1.5171162533812352E-2</v>
      </c>
      <c r="CC44" s="24"/>
      <c r="CD44" s="24">
        <f>EXP(-$D$17)*(($B44*FixedParams!$B$30)^$B$10*(1+FixedParams!$D$24)^(1-$B$10)+(1-$B44)^$B$10*((1+FixedParams!$D$27)/$CE$12)^(1-$B$10))^(1/(1-$B$10))</f>
        <v>5.7536643490449961</v>
      </c>
      <c r="CE44" s="24">
        <f>EXP($D44-$D$17)*(($B44*FixedParams!$D$31)^$B$10*(1+FixedParams!$D$25)^(1-$B$10)+(1-$B44)^$B$10*((1+FixedParams!$D$28)/$CE$12)^(1-$B$10))^(1/(1-$B$10))</f>
        <v>4.4234269883755823</v>
      </c>
      <c r="CF44" s="24">
        <f>EXP($D44-$D$17)*(($B44*FixedParams!$D$30)^$B$10*(1+FixedParams!$D$23)^(1-$B$10)+(1-$B44)^$B$10*((1+FixedParams!$D$26)/$CE$12)^(1-$B$10))^(1/(1-$B$10))</f>
        <v>4.5241730016766288</v>
      </c>
      <c r="CG44">
        <f>IF(FixedParams!$I$6=1,IF(CE44&lt;=MIN(CD44:CF44),1,0),$H44)</f>
        <v>1</v>
      </c>
      <c r="CH44">
        <f>IF(FixedParams!$I$6=1,IF(CF44&lt;=MIN(CD44:CF44),1,0),IF(CF44&lt;=CD44,1,0)*(1-$H44))</f>
        <v>0</v>
      </c>
      <c r="CI44" s="24">
        <f>$CE$13*IF(CG44=1,1,IF(CH44=1,FixedParams!$D$52,FixedParams!$D$53))</f>
        <v>0.39201585704839609</v>
      </c>
      <c r="CJ44">
        <f>EXP($C44*FixedParams!$B$47)*EXP(IF(CG44+CH44=1,(1-FixedParams!$B$47)*$D44,0))*($B44^((FixedParams!$B$47-1)*$B$10/($B$10-1)))*((1/$B44-1)^$B$10*(CI44)^($B$10-1)+1)^((FixedParams!$B$47-$B$10)/($B$10-1))/((1+IF(CG44=1,FixedParams!$D$25,IF(CH44=1,FixedParams!$D$23,FixedParams!$D$24)))^FixedParams!$B$47)</f>
        <v>4.2012765720914426E-2</v>
      </c>
      <c r="CK44">
        <f t="shared" si="37"/>
        <v>1.1062112540622675</v>
      </c>
      <c r="CL44">
        <f t="shared" si="41"/>
        <v>30.222003167705473</v>
      </c>
      <c r="CM44">
        <f t="shared" si="7"/>
        <v>145.56223461609193</v>
      </c>
      <c r="CN44">
        <f t="shared" si="42"/>
        <v>175.78423778379741</v>
      </c>
      <c r="CO44" s="24">
        <f t="shared" si="43"/>
        <v>4.8164323790302666</v>
      </c>
      <c r="CP44" s="24">
        <f t="shared" si="44"/>
        <v>1.4290852211575154</v>
      </c>
      <c r="CQ44" s="23">
        <f>IF(CG44=1,CL44*(1+FixedParams!$D$25)+CM44*(1+FixedParams!$D$28)/$CE$12,IF(CH44=1,CL44*(1+FixedParams!$D$23)+CM44*(1+FixedParams!$D$26)/$CE$12,CL44*(1+FixedParams!$D$24)+CM44*(1+FixedParams!$D$27)/$CE$12))</f>
        <v>514.16157344884994</v>
      </c>
      <c r="CR44" s="24">
        <f t="shared" si="45"/>
        <v>116.23602577820907</v>
      </c>
      <c r="CS44" s="24">
        <f>CR44^((FixedParams!$B$47-1)/FixedParams!$B$47)*EXP($C44)</f>
        <v>0.7102576908494298</v>
      </c>
      <c r="CT44" s="24"/>
    </row>
    <row r="45" spans="1:98" x14ac:dyDescent="0.15">
      <c r="A45">
        <v>0.14000000000000001</v>
      </c>
      <c r="B45">
        <f t="shared" si="8"/>
        <v>0.12207114162305768</v>
      </c>
      <c r="C45">
        <f>(D45-$D$17)*FixedParams!$B$47+$A45*$B$9</f>
        <v>-0.34986212252950766</v>
      </c>
      <c r="D45">
        <f>(A45-$B$6)*FixedParams!$B$46/(FixedParams!$B$45*Sectors!$B$6)</f>
        <v>-0.19560651476141092</v>
      </c>
      <c r="E45">
        <f t="shared" si="9"/>
        <v>0.70478525702844741</v>
      </c>
      <c r="F45" s="24">
        <f>EXP(-$D$17)*(($B45*FixedParams!$B$30)^$B$10*(1+FixedParams!$B$23)^(1-$B$10)+(1-$B45)^$B$10*((1+FixedParams!$B$26)/$B$11)^(1-$B$10))^(1/(1-$B$10))</f>
        <v>4.552406111718458</v>
      </c>
      <c r="G45" s="24">
        <f>EXP($D45-$D$17)*(($B45*FixedParams!$B$31)^$B$10*(1+FixedParams!$B$25)^(1-$B$10)+(1-$B45)^$B$10*((1+FixedParams!$B$28)/$B$11)^(1-$B$10))^(1/(1-$B$10))</f>
        <v>3.6243460461582289</v>
      </c>
      <c r="H45">
        <f t="shared" si="10"/>
        <v>1</v>
      </c>
      <c r="I45" s="24">
        <f>$B$12*IF(H45=1,1,FixedParams!$B$52)</f>
        <v>0.3745928365283252</v>
      </c>
      <c r="J45">
        <f>EXP($C45*FixedParams!$B$47)*EXP(IF(H45=1,(1-FixedParams!$B$47)*$D45,0))*($B45^((FixedParams!$B$47-1)*$B$10/($B$10-1)))*((1/$B45-1)^$B$10*(I45)^($B$10-1)+1)^((FixedParams!$B$47-$B$10)/($B$10-1))/((1+IF(H45=1,FixedParams!$B$25,FixedParams!$B$24))^FixedParams!$B$47)</f>
        <v>5.5020611558814429E-2</v>
      </c>
      <c r="K45">
        <f t="shared" si="38"/>
        <v>1.1093576151586759</v>
      </c>
      <c r="L45">
        <f>K45*FixedParams!$B$8/K$15</f>
        <v>32.252497505781669</v>
      </c>
      <c r="M45">
        <f t="shared" si="0"/>
        <v>142.61724095436205</v>
      </c>
      <c r="N45">
        <f t="shared" si="11"/>
        <v>174.86973846014371</v>
      </c>
      <c r="O45" s="24">
        <f t="shared" si="12"/>
        <v>4.4218975888238141</v>
      </c>
      <c r="P45" s="24">
        <f t="shared" si="1"/>
        <v>1.4171738824434184</v>
      </c>
      <c r="Q45" s="23">
        <f>IF(H45=1,L45*(1+FixedParams!$B$25)+M45*FixedParams!$B$33*(1+FixedParams!$B$28)/FixedParams!$B$32,L45*(1+FixedParams!$B$23)+M45*FixedParams!$B$33*(1+FixedParams!$B$26)/FixedParams!$B$32)</f>
        <v>413.70229806972497</v>
      </c>
      <c r="R45" s="24">
        <f t="shared" si="2"/>
        <v>114.14536382590877</v>
      </c>
      <c r="S45" s="24">
        <f>R45^((FixedParams!$B$47-1)/FixedParams!$B$47)*EXP($C45)</f>
        <v>0.70145092613590354</v>
      </c>
      <c r="T45" s="7">
        <f>(L45*FixedParams!$B$32*(FixedParams!$C$25-FixedParams!$C$23)+FixedParams!$B$33*(FixedParams!$C$28-FixedParams!$C$26)*M45)/N45</f>
        <v>-2365.4339290617031</v>
      </c>
      <c r="U45" s="7">
        <f>(L45*FixedParams!$B$32*(FixedParams!$C$25-FixedParams!$C$23)*$Z$12/$B$11+FixedParams!$B$33*(FixedParams!$C$28-FixedParams!$C$26)*M45)/N45</f>
        <v>-2550.6704571371283</v>
      </c>
      <c r="V45" s="14">
        <f t="shared" si="13"/>
        <v>-2.468484534841088</v>
      </c>
      <c r="W45" s="14">
        <f t="shared" si="14"/>
        <v>0.29071785798444005</v>
      </c>
      <c r="X45" s="73">
        <f t="shared" si="15"/>
        <v>0.98606101873787777</v>
      </c>
      <c r="Y45" s="24">
        <f>EXP(-$D$17)*(($B45*FixedParams!$B$30)^$B$10*(1+FixedParams!$C$24)^(1-$B$10)+(1-$B45)^$B$10*((1+FixedParams!$C$27)/$Z$12)^(1-$B$10))^(1/(1-$B$10))</f>
        <v>5.8179503423926162</v>
      </c>
      <c r="Z45" s="24">
        <f>EXP($D45-$D$17)*(($B45*FixedParams!$C$31)^$B$10*(1+FixedParams!$C$25)^(1-$B$10)+(1-$B45)^$B$10*((1+FixedParams!$C$28)/$Z$12)^(1-$B$10))^(1/(1-$B$10))</f>
        <v>4.3406970375037055</v>
      </c>
      <c r="AA45" s="24">
        <f>EXP($D45-$D$17)*(($B45*FixedParams!$C$30)^$B$10*(1+FixedParams!$C$23)^(1-$B$10)+(1-$B45)^$B$10*((1+FixedParams!$C$26)/$Z$12)^(1-$B$10))^(1/(1-$B$10))</f>
        <v>4.4854274314944185</v>
      </c>
      <c r="AB45">
        <f>IF(FixedParams!$I$6=1,IF(Z45&lt;=MIN(Y45:AA45),1,0),$H45)</f>
        <v>1</v>
      </c>
      <c r="AC45">
        <f>IF(FixedParams!$I$6=1,IF(AA45&lt;=MIN(Y45:AA45),1,0),IF(AA45&lt;=Y45,1,0)*(1-$H45))</f>
        <v>0</v>
      </c>
      <c r="AD45" s="24">
        <f>$Z$13*IF(AB45=1,1,IF(AC45=1,FixedParams!$C$52,FixedParams!$C$53))</f>
        <v>0.43187184563106507</v>
      </c>
      <c r="AE45">
        <f>EXP($C45*FixedParams!$B$47)*EXP(IF(AB45+AC45=1,(1-FixedParams!$B$47)*$D45,0))*($B45^((FixedParams!$B$47-1)*$B$10/($B$10-1)))*((1/$B45-1)^$B$10*(AD45)^($B$10-1)+1)^((FixedParams!$B$47-$B$10)/($B$10-1))/((1+IF(AB45=1,FixedParams!$C$25,IF(AC45=1,FixedParams!$C$23,FixedParams!$C$24)))^FixedParams!$B$47)</f>
        <v>3.7721344438120571E-2</v>
      </c>
      <c r="AF45">
        <f t="shared" si="39"/>
        <v>1.1115416860769451</v>
      </c>
      <c r="AG45">
        <f t="shared" si="40"/>
        <v>26.10840729589102</v>
      </c>
      <c r="AH45">
        <f t="shared" si="3"/>
        <v>142.9164422314841</v>
      </c>
      <c r="AI45">
        <f t="shared" si="16"/>
        <v>169.02484952737512</v>
      </c>
      <c r="AJ45" s="24">
        <f t="shared" si="17"/>
        <v>5.4739624907711812</v>
      </c>
      <c r="AK45" s="24">
        <f t="shared" si="18"/>
        <v>1.4497659924748598</v>
      </c>
      <c r="AL45" s="23">
        <f>IF(AB45=1,AG45*(1+FixedParams!$C$25)+AH45*(1+FixedParams!$C$28)/$Z$12,IF(AC45=1,AG45*(1+FixedParams!$C$23)+AH45*(1+FixedParams!$C$26)/$Z$12,AG45*(1+FixedParams!$C$24)+AH45*(1+FixedParams!$C$27)/$Z$12))</f>
        <v>488.56408938851359</v>
      </c>
      <c r="AM45" s="24">
        <f t="shared" si="19"/>
        <v>112.5542937383813</v>
      </c>
      <c r="AN45" s="24">
        <f>AM45^((FixedParams!$B$47-1)/FixedParams!$B$47)*EXP($C45)</f>
        <v>0.70146078235682541</v>
      </c>
      <c r="AO45" s="24">
        <f t="shared" si="20"/>
        <v>-3.3995602362473697E-2</v>
      </c>
      <c r="AP45" s="24">
        <f t="shared" si="21"/>
        <v>-1.4037041164613797E-2</v>
      </c>
      <c r="AQ45" s="14">
        <f t="shared" si="22"/>
        <v>-2.5396291467229735</v>
      </c>
      <c r="AS45" s="24">
        <f>EXP(-$D$17)*(($B45*FixedParams!$B$30)^$B$10*(1+FixedParams!$D$24)^(1-$B$10)+(1-$B45)^$B$10*((1+FixedParams!$D$27)/$AT$12)^(1-$B$10))^(1/(1-$B$10))</f>
        <v>5.5174360218800915</v>
      </c>
      <c r="AT45" s="24">
        <f>EXP($D45-$D$17)*(($B45*FixedParams!$C$31)^$B$10*(1+FixedParams!$D$25)^(1-$B$10)+(1-$B45)^$B$10*((1+FixedParams!$D$28)/$AT$12)^(1-$B$10))^(1/(1-$B$10))</f>
        <v>4.2534795024579477</v>
      </c>
      <c r="AU45" s="24">
        <f>EXP($D45-$D$17)*(($B45*FixedParams!$C$30)^$B$10*(1+FixedParams!$D$23)^(1-$B$10)+(1-$B45)^$B$10*((1+FixedParams!$D$26)/$AT$12)^(1-$B$10))^(1/(1-$B$10))</f>
        <v>4.3506957425482327</v>
      </c>
      <c r="AV45">
        <f>IF(FixedParams!$I$6=1,IF(AT45&lt;=MIN(AS45:AU45),1,0),$H45)</f>
        <v>1</v>
      </c>
      <c r="AW45">
        <f>IF(FixedParams!$I$6=1,IF(AU45&lt;=MIN(AS45:AU45),1,0),IF(AU45&lt;=AS45,1,0)*(1-$H45))</f>
        <v>0</v>
      </c>
      <c r="AX45" s="24">
        <f>$AT$13*IF(AV45=1,1,IF(AW45=1,FixedParams!$D$52,FixedParams!$D$53))</f>
        <v>0.41089128090616783</v>
      </c>
      <c r="AY45">
        <f>EXP($C45*FixedParams!$B$47)*EXP(IF(AV45+AW45=1,(1-FixedParams!$B$47)*$D45,0))*($B45^((FixedParams!$B$47-1)*$B$10/($B$10-1)))*((1/$B45-1)^$B$10*(AX45)^($B$10-1)+1)^((FixedParams!$B$47-$B$10)/($B$10-1))/((1+IF(AV45=1,FixedParams!$D$25,IF(AW45=1,FixedParams!$D$23,FixedParams!$D$24)))^FixedParams!$B$47)</f>
        <v>4.1251096613224875E-2</v>
      </c>
      <c r="AZ45">
        <f t="shared" si="4"/>
        <v>1.1107922408092652</v>
      </c>
      <c r="BA45">
        <f t="shared" si="23"/>
        <v>27.947384218206498</v>
      </c>
      <c r="BB45">
        <f t="shared" si="5"/>
        <v>141.97145467863177</v>
      </c>
      <c r="BC45">
        <f t="shared" si="24"/>
        <v>169.91883889683828</v>
      </c>
      <c r="BD45" s="24">
        <f t="shared" si="25"/>
        <v>5.079955017262173</v>
      </c>
      <c r="BE45" s="24">
        <f t="shared" si="26"/>
        <v>1.440346229233392</v>
      </c>
      <c r="BF45" s="23">
        <f>IF(AV45=1,BA45*(1+FixedParams!$C$25)+BB45*(1+FixedParams!$C$28)/$AT$12,IF(AW45=1,BA45*(1+FixedParams!$C$23)+BB45*(1+FixedParams!$C$26)/$AT$12,BA45*(1+FixedParams!$C$24)+BB45*(1+FixedParams!$C$27)/$AT$12))</f>
        <v>481.93046339679643</v>
      </c>
      <c r="BG45" s="24">
        <f t="shared" si="27"/>
        <v>113.30264154753877</v>
      </c>
      <c r="BH45" s="24">
        <f>BG45^((FixedParams!$B$47-1)/FixedParams!$B$47)*EXP($C45)</f>
        <v>0.70145612930261436</v>
      </c>
      <c r="BI45" s="7"/>
      <c r="BJ45" s="24">
        <f>EXP(-$D$17)*(($B45*FixedParams!$B$30)^$B$10*(1+FixedParams!$C$24)^(1-$B$10)+(1-$B45)^$B$10*((1+FixedParams!$C$27)/$BK$12)^(1-$B$10))^(1/(1-$B$10))</f>
        <v>6.0964648109968387</v>
      </c>
      <c r="BK45" s="24">
        <f>EXP($D45-$D$17)*(($B45*FixedParams!$C$31)^$B$10*(1+FixedParams!$C$25)^(1-$B$10)+(1-$B45)^$B$10*((1+FixedParams!$C$28)/$BK$12)^(1-$B$10))^(1/(1-$B$10))</f>
        <v>4.5477065287968488</v>
      </c>
      <c r="BL45" s="24">
        <f>EXP($D45-$D$17)*(($B45*FixedParams!$C$30)^$B$10*(1+FixedParams!$C$23)^(1-$B$10)+(1-$B45)^$B$10*((1+FixedParams!$C$26)/$BK$12)^(1-$B$10))^(1/(1-$B$10))</f>
        <v>4.69748514383173</v>
      </c>
      <c r="BM45">
        <f>IF(FixedParams!$I$6=1,IF(BK45&lt;=MIN(BJ45:BL45),1,0),$H45)</f>
        <v>1</v>
      </c>
      <c r="BN45">
        <f>IF(FixedParams!$I$6=1,IF(BL45&lt;=MIN(BJ45:BL45),1,0),IF(BL45&lt;=BJ45,1,0)*(1-$H45))</f>
        <v>0</v>
      </c>
      <c r="BO45" s="24">
        <f>$BK$13*IF(BM45=1,1,IF(BN45=1,FixedParams!$C$52,FixedParams!$C$53))</f>
        <v>0.41068174962109105</v>
      </c>
      <c r="BP45">
        <f>EXP($C45*FixedParams!$B$47)*EXP(IF(BM45+BN45=1,(1-FixedParams!$B$47)*$D45,0))*($B45^((FixedParams!$B$47-1)*$B$10/($B$10-1)))*((1/$B45-1)^$B$10*(BO45)^($B$10-1)+1)^((FixedParams!$B$47-$B$10)/($B$10-1))/((1+IF(BM45=1,FixedParams!$C$25,IF(BN45=1,FixedParams!$C$23,FixedParams!$C$24)))^FixedParams!$B$47)</f>
        <v>3.861214018102882E-2</v>
      </c>
      <c r="BQ45">
        <f t="shared" si="28"/>
        <v>1.1107844822008399</v>
      </c>
      <c r="BR45">
        <f t="shared" si="29"/>
        <v>28.329623882739735</v>
      </c>
      <c r="BS45">
        <f t="shared" si="6"/>
        <v>143.80314763022437</v>
      </c>
      <c r="BT45">
        <f t="shared" si="30"/>
        <v>172.1327715129641</v>
      </c>
      <c r="BU45" s="24">
        <f t="shared" si="31"/>
        <v>5.076069778598038</v>
      </c>
      <c r="BV45" s="24">
        <f t="shared" si="32"/>
        <v>1.4443796975851542</v>
      </c>
      <c r="BW45" s="23">
        <f>IF(BM45=1,BR45*(1+FixedParams!$C$25)+BS45*(1+FixedParams!$C$28)/$BK$12,IF(BN45=1,BR45*(1+FixedParams!$C$23)+BS45*(1+FixedParams!$C$26)/$BK$12,BR45*(1+FixedParams!$C$24)+BS45*(1+FixedParams!$C$27)/$BK$12))</f>
        <v>517.92335287479057</v>
      </c>
      <c r="BX45" s="24">
        <f t="shared" si="33"/>
        <v>113.8867140162216</v>
      </c>
      <c r="BY45" s="24">
        <f>BX45^((FixedParams!$B$47-1)/FixedParams!$B$47)*EXP($C45)</f>
        <v>0.70145251899990846</v>
      </c>
      <c r="BZ45" s="24">
        <f t="shared" si="34"/>
        <v>-1.5775238668264233E-2</v>
      </c>
      <c r="CA45" s="24">
        <f t="shared" si="35"/>
        <v>-2.2685397866677613E-3</v>
      </c>
      <c r="CB45" s="24">
        <f t="shared" si="36"/>
        <v>1.5059916132739489E-2</v>
      </c>
      <c r="CC45" s="24"/>
      <c r="CD45" s="24">
        <f>EXP(-$D$17)*(($B45*FixedParams!$B$30)^$B$10*(1+FixedParams!$D$24)^(1-$B$10)+(1-$B45)^$B$10*((1+FixedParams!$D$27)/$CE$12)^(1-$B$10))^(1/(1-$B$10))</f>
        <v>5.7632068922204187</v>
      </c>
      <c r="CE45" s="24">
        <f>EXP($D45-$D$17)*(($B45*FixedParams!$D$31)^$B$10*(1+FixedParams!$D$25)^(1-$B$10)+(1-$B45)^$B$10*((1+FixedParams!$D$28)/$CE$12)^(1-$B$10))^(1/(1-$B$10))</f>
        <v>4.4424503646376605</v>
      </c>
      <c r="CF45" s="24">
        <f>EXP($D45-$D$17)*(($B45*FixedParams!$D$30)^$B$10*(1+FixedParams!$D$23)^(1-$B$10)+(1-$B45)^$B$10*((1+FixedParams!$D$26)/$CE$12)^(1-$B$10))^(1/(1-$B$10))</f>
        <v>4.5426350180798085</v>
      </c>
      <c r="CG45">
        <f>IF(FixedParams!$I$6=1,IF(CE45&lt;=MIN(CD45:CF45),1,0),$H45)</f>
        <v>1</v>
      </c>
      <c r="CH45">
        <f>IF(FixedParams!$I$6=1,IF(CF45&lt;=MIN(CD45:CF45),1,0),IF(CF45&lt;=CD45,1,0)*(1-$H45))</f>
        <v>0</v>
      </c>
      <c r="CI45" s="24">
        <f>$CE$13*IF(CG45=1,1,IF(CH45=1,FixedParams!$D$52,FixedParams!$D$53))</f>
        <v>0.39201585704839609</v>
      </c>
      <c r="CJ45">
        <f>EXP($C45*FixedParams!$B$47)*EXP(IF(CG45+CH45=1,(1-FixedParams!$B$47)*$D45,0))*($B45^((FixedParams!$B$47-1)*$B$10/($B$10-1)))*((1/$B45-1)^$B$10*(CI45)^($B$10-1)+1)^((FixedParams!$B$47-$B$10)/($B$10-1))/((1+IF(CG45=1,FixedParams!$D$25,IF(CH45=1,FixedParams!$D$23,FixedParams!$D$24)))^FixedParams!$B$47)</f>
        <v>4.2159310198938857E-2</v>
      </c>
      <c r="CK45">
        <f t="shared" si="37"/>
        <v>1.1100698229526895</v>
      </c>
      <c r="CL45">
        <f t="shared" si="41"/>
        <v>30.327420357054173</v>
      </c>
      <c r="CM45">
        <f t="shared" si="7"/>
        <v>143.56890927452744</v>
      </c>
      <c r="CN45">
        <f t="shared" si="42"/>
        <v>173.89632963158161</v>
      </c>
      <c r="CO45" s="24">
        <f t="shared" si="43"/>
        <v>4.7339637721984236</v>
      </c>
      <c r="CP45" s="24">
        <f t="shared" si="44"/>
        <v>1.4352311405869751</v>
      </c>
      <c r="CQ45" s="23">
        <f>IF(CG45=1,CL45*(1+FixedParams!$D$25)+CM45*(1+FixedParams!$D$28)/$CE$12,IF(CH45=1,CL45*(1+FixedParams!$D$23)+CM45*(1+FixedParams!$D$26)/$CE$12,CL45*(1+FixedParams!$D$24)+CM45*(1+FixedParams!$D$27)/$CE$12))</f>
        <v>507.78558003885138</v>
      </c>
      <c r="CR45" s="24">
        <f t="shared" si="45"/>
        <v>114.3030396199526</v>
      </c>
      <c r="CS45" s="24">
        <f>CR45^((FixedParams!$B$47-1)/FixedParams!$B$47)*EXP($C45)</f>
        <v>0.70144995687996881</v>
      </c>
      <c r="CT45" s="24"/>
    </row>
    <row r="46" spans="1:98" x14ac:dyDescent="0.15">
      <c r="A46">
        <v>0.14499999999999999</v>
      </c>
      <c r="B46">
        <f t="shared" si="8"/>
        <v>0.12331044667019939</v>
      </c>
      <c r="C46">
        <f>(D46-$D$17)*FixedParams!$B$47+$A46*$B$9</f>
        <v>-0.36235719833413294</v>
      </c>
      <c r="D46">
        <f>(A46-$B$6)*FixedParams!$B$46/(FixedParams!$B$45*Sectors!$B$6)</f>
        <v>-0.19288975761194688</v>
      </c>
      <c r="E46">
        <f t="shared" si="9"/>
        <v>0.69603370135416331</v>
      </c>
      <c r="F46" s="24">
        <f>EXP(-$D$17)*(($B46*FixedParams!$B$30)^$B$10*(1+FixedParams!$B$23)^(1-$B$10)+(1-$B46)^$B$10*((1+FixedParams!$B$26)/$B$11)^(1-$B$10))^(1/(1-$B$10))</f>
        <v>4.5595679578877562</v>
      </c>
      <c r="G46" s="24">
        <f>EXP($D46-$D$17)*(($B46*FixedParams!$B$31)^$B$10*(1+FixedParams!$B$25)^(1-$B$10)+(1-$B46)^$B$10*((1+FixedParams!$B$28)/$B$11)^(1-$B$10))^(1/(1-$B$10))</f>
        <v>3.6397293816914749</v>
      </c>
      <c r="H46">
        <f t="shared" si="10"/>
        <v>1</v>
      </c>
      <c r="I46" s="24">
        <f>$B$12*IF(H46=1,1,FixedParams!$B$52)</f>
        <v>0.3745928365283252</v>
      </c>
      <c r="J46">
        <f>EXP($C46*FixedParams!$B$47)*EXP(IF(H46=1,(1-FixedParams!$B$47)*$D46,0))*($B46^((FixedParams!$B$47-1)*$B$10/($B$10-1)))*((1/$B46-1)^$B$10*(I46)^($B$10-1)+1)^((FixedParams!$B$47-$B$10)/($B$10-1))/((1+IF(H46=1,FixedParams!$B$25,FixedParams!$B$24))^FixedParams!$B$47)</f>
        <v>5.5209805422545492E-2</v>
      </c>
      <c r="K46">
        <f t="shared" si="38"/>
        <v>1.1131722520288421</v>
      </c>
      <c r="L46">
        <f>K46*FixedParams!$B$8/K$15</f>
        <v>32.363400937154339</v>
      </c>
      <c r="M46">
        <f t="shared" si="0"/>
        <v>140.65730640572107</v>
      </c>
      <c r="N46">
        <f t="shared" si="11"/>
        <v>173.02070734287543</v>
      </c>
      <c r="O46" s="24">
        <f t="shared" si="12"/>
        <v>4.3461843419626973</v>
      </c>
      <c r="P46" s="24">
        <f t="shared" si="1"/>
        <v>1.4231889982918868</v>
      </c>
      <c r="Q46" s="23">
        <f>IF(H46=1,L46*(1+FixedParams!$B$25)+M46*FixedParams!$B$33*(1+FixedParams!$B$28)/FixedParams!$B$32,L46*(1+FixedParams!$B$23)+M46*FixedParams!$B$33*(1+FixedParams!$B$26)/FixedParams!$B$32)</f>
        <v>408.57205301005189</v>
      </c>
      <c r="R46" s="24">
        <f t="shared" si="2"/>
        <v>112.25341506575909</v>
      </c>
      <c r="S46" s="24">
        <f>R46^((FixedParams!$B$47-1)/FixedParams!$B$47)*EXP($C46)</f>
        <v>0.69275236399302376</v>
      </c>
      <c r="T46" s="7">
        <f>(L46*FixedParams!$B$32*(FixedParams!$C$25-FixedParams!$C$23)+FixedParams!$B$33*(FixedParams!$C$28-FixedParams!$C$26)*M46)/N46</f>
        <v>-2335.8007150475582</v>
      </c>
      <c r="U46" s="7">
        <f>(L46*FixedParams!$B$32*(FixedParams!$C$25-FixedParams!$C$23)*$Z$12/$B$11+FixedParams!$B$33*(FixedParams!$C$28-FixedParams!$C$26)*M46)/N46</f>
        <v>-2523.6605830755157</v>
      </c>
      <c r="V46" s="14">
        <f t="shared" si="13"/>
        <v>-2.4512139095450047</v>
      </c>
      <c r="W46" s="14">
        <f t="shared" si="14"/>
        <v>0.29920415546455648</v>
      </c>
      <c r="X46" s="73">
        <f t="shared" si="15"/>
        <v>0.9858906480047781</v>
      </c>
      <c r="Y46" s="24">
        <f>EXP(-$D$17)*(($B46*FixedParams!$B$30)^$B$10*(1+FixedParams!$C$24)^(1-$B$10)+(1-$B46)^$B$10*((1+FixedParams!$C$27)/$Z$12)^(1-$B$10))^(1/(1-$B$10))</f>
        <v>5.8284903841908502</v>
      </c>
      <c r="Z46" s="24">
        <f>EXP($D46-$D$17)*(($B46*FixedParams!$C$31)^$B$10*(1+FixedParams!$C$25)^(1-$B$10)+(1-$B46)^$B$10*((1+FixedParams!$C$28)/$Z$12)^(1-$B$10))^(1/(1-$B$10))</f>
        <v>4.3598749342821481</v>
      </c>
      <c r="AA46" s="24">
        <f>EXP($D46-$D$17)*(($B46*FixedParams!$C$30)^$B$10*(1+FixedParams!$C$23)^(1-$B$10)+(1-$B46)^$B$10*((1+FixedParams!$C$26)/$Z$12)^(1-$B$10))^(1/(1-$B$10))</f>
        <v>4.5040284264549992</v>
      </c>
      <c r="AB46">
        <f>IF(FixedParams!$I$6=1,IF(Z46&lt;=MIN(Y46:AA46),1,0),$H46)</f>
        <v>1</v>
      </c>
      <c r="AC46">
        <f>IF(FixedParams!$I$6=1,IF(AA46&lt;=MIN(Y46:AA46),1,0),IF(AA46&lt;=Y46,1,0)*(1-$H46))</f>
        <v>0</v>
      </c>
      <c r="AD46" s="24">
        <f>$Z$13*IF(AB46=1,1,IF(AC46=1,FixedParams!$C$52,FixedParams!$C$53))</f>
        <v>0.43187184563106507</v>
      </c>
      <c r="AE46">
        <f>EXP($C46*FixedParams!$B$47)*EXP(IF(AB46+AC46=1,(1-FixedParams!$B$47)*$D46,0))*($B46^((FixedParams!$B$47-1)*$B$10/($B$10-1)))*((1/$B46-1)^$B$10*(AD46)^($B$10-1)+1)^((FixedParams!$B$47-$B$10)/($B$10-1))/((1+IF(AB46=1,FixedParams!$C$25,IF(AC46=1,FixedParams!$C$23,FixedParams!$C$24)))^FixedParams!$B$47)</f>
        <v>3.7854333225957625E-2</v>
      </c>
      <c r="AF46">
        <f t="shared" si="39"/>
        <v>1.1154604907660044</v>
      </c>
      <c r="AG46">
        <f t="shared" si="40"/>
        <v>26.200454000226607</v>
      </c>
      <c r="AH46">
        <f t="shared" si="3"/>
        <v>140.96461083875974</v>
      </c>
      <c r="AI46">
        <f t="shared" si="16"/>
        <v>167.16506483898635</v>
      </c>
      <c r="AJ46" s="24">
        <f t="shared" si="17"/>
        <v>5.3802354278876443</v>
      </c>
      <c r="AK46" s="24">
        <f t="shared" si="18"/>
        <v>1.4561712915124008</v>
      </c>
      <c r="AL46" s="23">
        <f>IF(AB46=1,AG46*(1+FixedParams!$C$25)+AH46*(1+FixedParams!$C$28)/$Z$12,IF(AC46=1,AG46*(1+FixedParams!$C$23)+AH46*(1+FixedParams!$C$26)/$Z$12,AG46*(1+FixedParams!$C$24)+AH46*(1+FixedParams!$C$27)/$Z$12))</f>
        <v>482.50558067091436</v>
      </c>
      <c r="AM46" s="24">
        <f t="shared" si="19"/>
        <v>110.66959211993054</v>
      </c>
      <c r="AN46" s="24">
        <f>AM46^((FixedParams!$B$47-1)/FixedParams!$B$47)*EXP($C46)</f>
        <v>0.69276221781377478</v>
      </c>
      <c r="AO46" s="24">
        <f t="shared" si="20"/>
        <v>-3.4429546489839605E-2</v>
      </c>
      <c r="AP46" s="24">
        <f t="shared" si="21"/>
        <v>-1.4209835190346689E-2</v>
      </c>
      <c r="AQ46" s="14">
        <f t="shared" si="22"/>
        <v>-2.5223585214268902</v>
      </c>
      <c r="AS46" s="24">
        <f>EXP(-$D$17)*(($B46*FixedParams!$B$30)^$B$10*(1+FixedParams!$D$24)^(1-$B$10)+(1-$B46)^$B$10*((1+FixedParams!$D$27)/$AT$12)^(1-$B$10))^(1/(1-$B$10))</f>
        <v>5.526903251623871</v>
      </c>
      <c r="AT46" s="24">
        <f>EXP($D46-$D$17)*(($B46*FixedParams!$C$31)^$B$10*(1+FixedParams!$D$25)^(1-$B$10)+(1-$B46)^$B$10*((1+FixedParams!$D$28)/$AT$12)^(1-$B$10))^(1/(1-$B$10))</f>
        <v>4.2720184902948022</v>
      </c>
      <c r="AU46" s="24">
        <f>EXP($D46-$D$17)*(($B46*FixedParams!$C$30)^$B$10*(1+FixedParams!$D$23)^(1-$B$10)+(1-$B46)^$B$10*((1+FixedParams!$D$26)/$AT$12)^(1-$B$10))^(1/(1-$B$10))</f>
        <v>4.3687069236752034</v>
      </c>
      <c r="AV46">
        <f>IF(FixedParams!$I$6=1,IF(AT46&lt;=MIN(AS46:AU46),1,0),$H46)</f>
        <v>1</v>
      </c>
      <c r="AW46">
        <f>IF(FixedParams!$I$6=1,IF(AU46&lt;=MIN(AS46:AU46),1,0),IF(AU46&lt;=AS46,1,0)*(1-$H46))</f>
        <v>0</v>
      </c>
      <c r="AX46" s="24">
        <f>$AT$13*IF(AV46=1,1,IF(AW46=1,FixedParams!$D$52,FixedParams!$D$53))</f>
        <v>0.41089128090616783</v>
      </c>
      <c r="AY46">
        <f>EXP($C46*FixedParams!$B$47)*EXP(IF(AV46+AW46=1,(1-FixedParams!$B$47)*$D46,0))*($B46^((FixedParams!$B$47-1)*$B$10/($B$10-1)))*((1/$B46-1)^$B$10*(AX46)^($B$10-1)+1)^((FixedParams!$B$47-$B$10)/($B$10-1))/((1+IF(AV46=1,FixedParams!$D$25,IF(AW46=1,FixedParams!$D$23,FixedParams!$D$24)))^FixedParams!$B$47)</f>
        <v>4.1395298788629353E-2</v>
      </c>
      <c r="AZ46">
        <f t="shared" si="4"/>
        <v>1.1146752565518274</v>
      </c>
      <c r="BA46">
        <f t="shared" si="23"/>
        <v>28.04508037496365</v>
      </c>
      <c r="BB46">
        <f t="shared" si="5"/>
        <v>140.02836514562921</v>
      </c>
      <c r="BC46">
        <f t="shared" si="24"/>
        <v>168.07344552059286</v>
      </c>
      <c r="BD46" s="24">
        <f t="shared" si="25"/>
        <v>4.9929742854520418</v>
      </c>
      <c r="BE46" s="24">
        <f t="shared" si="26"/>
        <v>1.4466240451272234</v>
      </c>
      <c r="BF46" s="23">
        <f>IF(AV46=1,BA46*(1+FixedParams!$C$25)+BB46*(1+FixedParams!$C$28)/$AT$12,IF(AW46=1,BA46*(1+FixedParams!$C$23)+BB46*(1+FixedParams!$C$26)/$AT$12,BA46*(1+FixedParams!$C$24)+BB46*(1+FixedParams!$C$27)/$AT$12))</f>
        <v>475.99163640456993</v>
      </c>
      <c r="BG46" s="24">
        <f t="shared" si="27"/>
        <v>111.42078094604005</v>
      </c>
      <c r="BH46" s="24">
        <f>BG46^((FixedParams!$B$47-1)/FixedParams!$B$47)*EXP($C46)</f>
        <v>0.69275752678310187</v>
      </c>
      <c r="BI46" s="7"/>
      <c r="BJ46" s="24">
        <f>EXP(-$D$17)*(($B46*FixedParams!$B$30)^$B$10*(1+FixedParams!$C$24)^(1-$B$10)+(1-$B46)^$B$10*((1+FixedParams!$C$27)/$BK$12)^(1-$B$10))^(1/(1-$B$10))</f>
        <v>6.1071588740097811</v>
      </c>
      <c r="BK46" s="24">
        <f>EXP($D46-$D$17)*(($B46*FixedParams!$C$31)^$B$10*(1+FixedParams!$C$25)^(1-$B$10)+(1-$B46)^$B$10*((1+FixedParams!$C$28)/$BK$12)^(1-$B$10))^(1/(1-$B$10))</f>
        <v>4.5675251122721319</v>
      </c>
      <c r="BL46" s="24">
        <f>EXP($D46-$D$17)*(($B46*FixedParams!$C$30)^$B$10*(1+FixedParams!$C$23)^(1-$B$10)+(1-$B46)^$B$10*((1+FixedParams!$C$26)/$BK$12)^(1-$B$10))^(1/(1-$B$10))</f>
        <v>4.7166553852483117</v>
      </c>
      <c r="BM46">
        <f>IF(FixedParams!$I$6=1,IF(BK46&lt;=MIN(BJ46:BL46),1,0),$H46)</f>
        <v>1</v>
      </c>
      <c r="BN46">
        <f>IF(FixedParams!$I$6=1,IF(BL46&lt;=MIN(BJ46:BL46),1,0),IF(BL46&lt;=BJ46,1,0)*(1-$H46))</f>
        <v>0</v>
      </c>
      <c r="BO46" s="24">
        <f>$BK$13*IF(BM46=1,1,IF(BN46=1,FixedParams!$C$52,FixedParams!$C$53))</f>
        <v>0.41068174962109105</v>
      </c>
      <c r="BP46">
        <f>EXP($C46*FixedParams!$B$47)*EXP(IF(BM46+BN46=1,(1-FixedParams!$B$47)*$D46,0))*($B46^((FixedParams!$B$47-1)*$B$10/($B$10-1)))*((1/$B46-1)^$B$10*(BO46)^($B$10-1)+1)^((FixedParams!$B$47-$B$10)/($B$10-1))/((1+IF(BM46=1,FixedParams!$C$25,IF(BN46=1,FixedParams!$C$23,FixedParams!$C$24)))^FixedParams!$B$47)</f>
        <v>3.8747105382694887E-2</v>
      </c>
      <c r="BQ46">
        <f t="shared" si="28"/>
        <v>1.1146671276834499</v>
      </c>
      <c r="BR46">
        <f t="shared" si="29"/>
        <v>28.428647489888469</v>
      </c>
      <c r="BS46">
        <f t="shared" si="6"/>
        <v>141.83494500519362</v>
      </c>
      <c r="BT46">
        <f t="shared" si="30"/>
        <v>170.26359249508209</v>
      </c>
      <c r="BU46" s="24">
        <f t="shared" si="31"/>
        <v>4.9891555711766316</v>
      </c>
      <c r="BV46" s="24">
        <f t="shared" si="32"/>
        <v>1.4506742021723198</v>
      </c>
      <c r="BW46" s="23">
        <f>IF(BM46=1,BR46*(1+FixedParams!$C$25)+BS46*(1+FixedParams!$C$28)/$BK$12,IF(BN46=1,BR46*(1+FixedParams!$C$23)+BS46*(1+FixedParams!$C$26)/$BK$12,BR46*(1+FixedParams!$C$24)+BS46*(1+FixedParams!$C$27)/$BK$12))</f>
        <v>511.50073974643811</v>
      </c>
      <c r="BX46" s="24">
        <f t="shared" si="33"/>
        <v>111.9864099645837</v>
      </c>
      <c r="BY46" s="24">
        <f>BX46^((FixedParams!$B$47-1)/FixedParams!$B$47)*EXP($C46)</f>
        <v>0.69275401538457981</v>
      </c>
      <c r="BZ46" s="24">
        <f t="shared" si="34"/>
        <v>-1.6063502671736292E-2</v>
      </c>
      <c r="CA46" s="24">
        <f t="shared" si="35"/>
        <v>-2.3814255770631199E-3</v>
      </c>
      <c r="CB46" s="24">
        <f t="shared" si="36"/>
        <v>1.4947030342344132E-2</v>
      </c>
      <c r="CC46" s="24"/>
      <c r="CD46" s="24">
        <f>EXP(-$D$17)*(($B46*FixedParams!$B$30)^$B$10*(1+FixedParams!$D$24)^(1-$B$10)+(1-$B46)^$B$10*((1+FixedParams!$D$27)/$CE$12)^(1-$B$10))^(1/(1-$B$10))</f>
        <v>5.7727751196567549</v>
      </c>
      <c r="CE46" s="24">
        <f>EXP($D46-$D$17)*(($B46*FixedParams!$D$31)^$B$10*(1+FixedParams!$D$25)^(1-$B$10)+(1-$B46)^$B$10*((1+FixedParams!$D$28)/$CE$12)^(1-$B$10))^(1/(1-$B$10))</f>
        <v>4.4615577302545653</v>
      </c>
      <c r="CF46" s="24">
        <f>EXP($D46-$D$17)*(($B46*FixedParams!$D$30)^$B$10*(1+FixedParams!$D$23)^(1-$B$10)+(1-$B46)^$B$10*((1+FixedParams!$D$26)/$CE$12)^(1-$B$10))^(1/(1-$B$10))</f>
        <v>4.5611599956899882</v>
      </c>
      <c r="CG46">
        <f>IF(FixedParams!$I$6=1,IF(CE46&lt;=MIN(CD46:CF46),1,0),$H46)</f>
        <v>1</v>
      </c>
      <c r="CH46">
        <f>IF(FixedParams!$I$6=1,IF(CF46&lt;=MIN(CD46:CF46),1,0),IF(CF46&lt;=CD46,1,0)*(1-$H46))</f>
        <v>0</v>
      </c>
      <c r="CI46" s="24">
        <f>$CE$13*IF(CG46=1,1,IF(CH46=1,FixedParams!$D$52,FixedParams!$D$53))</f>
        <v>0.39201585704839609</v>
      </c>
      <c r="CJ46">
        <f>EXP($C46*FixedParams!$B$47)*EXP(IF(CG46+CH46=1,(1-FixedParams!$B$47)*$D46,0))*($B46^((FixedParams!$B$47-1)*$B$10/($B$10-1)))*((1/$B46-1)^$B$10*(CI46)^($B$10-1)+1)^((FixedParams!$B$47-$B$10)/($B$10-1))/((1+IF(CG46=1,FixedParams!$D$25,IF(CH46=1,FixedParams!$D$23,FixedParams!$D$24)))^FixedParams!$B$47)</f>
        <v>4.2305474611077219E-2</v>
      </c>
      <c r="CK46">
        <f t="shared" si="37"/>
        <v>1.1139183845714349</v>
      </c>
      <c r="CL46">
        <f t="shared" si="41"/>
        <v>30.432564144920832</v>
      </c>
      <c r="CM46">
        <f t="shared" si="7"/>
        <v>141.59989746748522</v>
      </c>
      <c r="CN46">
        <f t="shared" si="42"/>
        <v>172.03246161240605</v>
      </c>
      <c r="CO46" s="24">
        <f t="shared" si="43"/>
        <v>4.6529072211326667</v>
      </c>
      <c r="CP46" s="24">
        <f t="shared" si="44"/>
        <v>1.4414041946218061</v>
      </c>
      <c r="CQ46" s="23">
        <f>IF(CG46=1,CL46*(1+FixedParams!$D$25)+CM46*(1+FixedParams!$D$28)/$CE$12,IF(CH46=1,CL46*(1+FixedParams!$D$23)+CM46*(1+FixedParams!$D$26)/$CE$12,CL46*(1+FixedParams!$D$24)+CM46*(1+FixedParams!$D$27)/$CE$12))</f>
        <v>501.48865402693627</v>
      </c>
      <c r="CR46" s="24">
        <f t="shared" si="45"/>
        <v>112.4021439028477</v>
      </c>
      <c r="CS46" s="24">
        <f>CR46^((FixedParams!$B$47-1)/FixedParams!$B$47)*EXP($C46)</f>
        <v>0.69275144582891446</v>
      </c>
      <c r="CT46" s="24"/>
    </row>
    <row r="47" spans="1:98" x14ac:dyDescent="0.15">
      <c r="A47">
        <v>0.15</v>
      </c>
      <c r="B47">
        <f t="shared" si="8"/>
        <v>0.12456054842776837</v>
      </c>
      <c r="C47">
        <f>(D47-$D$17)*FixedParams!$B$47+$A47*$B$9</f>
        <v>-0.37485227413875821</v>
      </c>
      <c r="D47">
        <f>(A47-$B$6)*FixedParams!$B$46/(FixedParams!$B$45*Sectors!$B$6)</f>
        <v>-0.19017300046248284</v>
      </c>
      <c r="E47">
        <f t="shared" si="9"/>
        <v>0.68739081669130608</v>
      </c>
      <c r="F47" s="24">
        <f>EXP(-$D$17)*(($B47*FixedParams!$B$30)^$B$10*(1+FixedParams!$B$23)^(1-$B$10)+(1-$B47)^$B$10*((1+FixedParams!$B$26)/$B$11)^(1-$B$10))^(1/(1-$B$10))</f>
        <v>4.5667419562046474</v>
      </c>
      <c r="G47" s="24">
        <f>EXP($D47-$D$17)*(($B47*FixedParams!$B$31)^$B$10*(1+FixedParams!$B$25)^(1-$B$10)+(1-$B47)^$B$10*((1+FixedParams!$B$28)/$B$11)^(1-$B$10))^(1/(1-$B$10))</f>
        <v>3.6551758649363046</v>
      </c>
      <c r="H47">
        <f t="shared" si="10"/>
        <v>1</v>
      </c>
      <c r="I47" s="24">
        <f>$B$12*IF(H47=1,1,FixedParams!$B$52)</f>
        <v>0.3745928365283252</v>
      </c>
      <c r="J47">
        <f>EXP($C47*FixedParams!$B$47)*EXP(IF(H47=1,(1-FixedParams!$B$47)*$D47,0))*($B47^((FixedParams!$B$47-1)*$B$10/($B$10-1)))*((1/$B47-1)^$B$10*(I47)^($B$10-1)+1)^((FixedParams!$B$47-$B$10)/($B$10-1))/((1+IF(H47=1,FixedParams!$B$25,FixedParams!$B$24))^FixedParams!$B$47)</f>
        <v>5.5398442655051817E-2</v>
      </c>
      <c r="K47">
        <f t="shared" si="38"/>
        <v>1.1169756657760641</v>
      </c>
      <c r="L47">
        <f>K47*FixedParams!$B$8/K$15</f>
        <v>32.473978077221282</v>
      </c>
      <c r="M47">
        <f t="shared" si="0"/>
        <v>138.72128360294741</v>
      </c>
      <c r="N47">
        <f t="shared" si="11"/>
        <v>171.1952616801687</v>
      </c>
      <c r="O47" s="24">
        <f t="shared" si="12"/>
        <v>4.2717674832777197</v>
      </c>
      <c r="P47" s="24">
        <f t="shared" si="1"/>
        <v>1.4292288058465148</v>
      </c>
      <c r="Q47" s="23">
        <f>IF(H47=1,L47*(1+FixedParams!$B$25)+M47*FixedParams!$B$33*(1+FixedParams!$B$28)/FixedParams!$B$32,L47*(1+FixedParams!$B$23)+M47*FixedParams!$B$33*(1+FixedParams!$B$26)/FixedParams!$B$32)</f>
        <v>403.50542692587845</v>
      </c>
      <c r="R47" s="24">
        <f t="shared" si="2"/>
        <v>110.39288992813208</v>
      </c>
      <c r="S47" s="24">
        <f>R47^((FixedParams!$B$47-1)/FixedParams!$B$47)*EXP($C47)</f>
        <v>0.6841616706956688</v>
      </c>
      <c r="T47" s="7">
        <f>(L47*FixedParams!$B$32*(FixedParams!$C$25-FixedParams!$C$23)+FixedParams!$B$33*(FixedParams!$C$28-FixedParams!$C$26)*M47)/N47</f>
        <v>-2305.8454419416635</v>
      </c>
      <c r="U47" s="7">
        <f>(L47*FixedParams!$B$32*(FixedParams!$C$25-FixedParams!$C$23)*$Z$12/$B$11+FixedParams!$B$33*(FixedParams!$C$28-FixedParams!$C$26)*M47)/N47</f>
        <v>-2496.3571608518841</v>
      </c>
      <c r="V47" s="14">
        <f t="shared" si="13"/>
        <v>-2.433943284248921</v>
      </c>
      <c r="W47" s="14">
        <f t="shared" si="14"/>
        <v>0.30760091871975026</v>
      </c>
      <c r="X47" s="73">
        <f t="shared" si="15"/>
        <v>0.98571779879800692</v>
      </c>
      <c r="Y47" s="24">
        <f>EXP(-$D$17)*(($B47*FixedParams!$B$30)^$B$10*(1+FixedParams!$C$24)^(1-$B$10)+(1-$B47)^$B$10*((1+FixedParams!$C$27)/$Z$12)^(1-$B$10))^(1/(1-$B$10))</f>
        <v>5.8390712398253743</v>
      </c>
      <c r="Z47" s="24">
        <f>EXP($D47-$D$17)*(($B47*FixedParams!$C$31)^$B$10*(1+FixedParams!$C$25)^(1-$B$10)+(1-$B47)^$B$10*((1+FixedParams!$C$28)/$Z$12)^(1-$B$10))^(1/(1-$B$10))</f>
        <v>4.3791461437979997</v>
      </c>
      <c r="AA47" s="24">
        <f>EXP($D47-$D$17)*(($B47*FixedParams!$C$30)^$B$10*(1+FixedParams!$C$23)^(1-$B$10)+(1-$B47)^$B$10*((1+FixedParams!$C$26)/$Z$12)^(1-$B$10))^(1/(1-$B$10))</f>
        <v>4.5226975016023792</v>
      </c>
      <c r="AB47">
        <f>IF(FixedParams!$I$6=1,IF(Z47&lt;=MIN(Y47:AA47),1,0),$H47)</f>
        <v>1</v>
      </c>
      <c r="AC47">
        <f>IF(FixedParams!$I$6=1,IF(AA47&lt;=MIN(Y47:AA47),1,0),IF(AA47&lt;=Y47,1,0)*(1-$H47))</f>
        <v>0</v>
      </c>
      <c r="AD47" s="24">
        <f>$Z$13*IF(AB47=1,1,IF(AC47=1,FixedParams!$C$52,FixedParams!$C$53))</f>
        <v>0.43187184563106507</v>
      </c>
      <c r="AE47">
        <f>EXP($C47*FixedParams!$B$47)*EXP(IF(AB47+AC47=1,(1-FixedParams!$B$47)*$D47,0))*($B47^((FixedParams!$B$47-1)*$B$10/($B$10-1)))*((1/$B47-1)^$B$10*(AD47)^($B$10-1)+1)^((FixedParams!$B$47-$B$10)/($B$10-1))/((1+IF(AB47=1,FixedParams!$C$25,IF(AC47=1,FixedParams!$C$23,FixedParams!$C$24)))^FixedParams!$B$47)</f>
        <v>3.7987011564836963E-2</v>
      </c>
      <c r="AF47">
        <f t="shared" si="39"/>
        <v>1.1193701473994193</v>
      </c>
      <c r="AG47">
        <f t="shared" si="40"/>
        <v>26.292285830783083</v>
      </c>
      <c r="AH47">
        <f t="shared" si="3"/>
        <v>139.03658354737513</v>
      </c>
      <c r="AI47">
        <f t="shared" si="16"/>
        <v>165.3288693781582</v>
      </c>
      <c r="AJ47" s="24">
        <f t="shared" si="17"/>
        <v>5.2881131919154285</v>
      </c>
      <c r="AK47" s="24">
        <f t="shared" si="18"/>
        <v>1.462607756427724</v>
      </c>
      <c r="AL47" s="23">
        <f>IF(AB47=1,AG47*(1+FixedParams!$C$25)+AH47*(1+FixedParams!$C$28)/$Z$12,IF(AC47=1,AG47*(1+FixedParams!$C$23)+AH47*(1+FixedParams!$C$26)/$Z$12,AG47*(1+FixedParams!$C$24)+AH47*(1+FixedParams!$C$27)/$Z$12))</f>
        <v>476.52220228915934</v>
      </c>
      <c r="AM47" s="24">
        <f t="shared" si="19"/>
        <v>108.81623646290902</v>
      </c>
      <c r="AN47" s="24">
        <f>AM47^((FixedParams!$B$47-1)/FixedParams!$B$47)*EXP($C47)</f>
        <v>0.68417152240254253</v>
      </c>
      <c r="AO47" s="24">
        <f t="shared" si="20"/>
        <v>-3.4868148259368584E-2</v>
      </c>
      <c r="AP47" s="24">
        <f t="shared" si="21"/>
        <v>-1.43851734604726E-2</v>
      </c>
      <c r="AQ47" s="14">
        <f t="shared" si="22"/>
        <v>-2.5050878961308061</v>
      </c>
      <c r="AS47" s="24">
        <f>EXP(-$D$17)*(($B47*FixedParams!$B$30)^$B$10*(1+FixedParams!$D$24)^(1-$B$10)+(1-$B47)^$B$10*((1+FixedParams!$D$27)/$AT$12)^(1-$B$10))^(1/(1-$B$10))</f>
        <v>5.5363994411982409</v>
      </c>
      <c r="AT47" s="24">
        <f>EXP($D47-$D$17)*(($B47*FixedParams!$C$31)^$B$10*(1+FixedParams!$D$25)^(1-$B$10)+(1-$B47)^$B$10*((1+FixedParams!$D$28)/$AT$12)^(1-$B$10))^(1/(1-$B$10))</f>
        <v>4.2906429249236915</v>
      </c>
      <c r="AU47" s="24">
        <f>EXP($D47-$D$17)*(($B47*FixedParams!$C$30)^$B$10*(1+FixedParams!$D$23)^(1-$B$10)+(1-$B47)^$B$10*((1+FixedParams!$D$26)/$AT$12)^(1-$B$10))^(1/(1-$B$10))</f>
        <v>4.3867834289555843</v>
      </c>
      <c r="AV47">
        <f>IF(FixedParams!$I$6=1,IF(AT47&lt;=MIN(AS47:AU47),1,0),$H47)</f>
        <v>1</v>
      </c>
      <c r="AW47">
        <f>IF(FixedParams!$I$6=1,IF(AU47&lt;=MIN(AS47:AU47),1,0),IF(AU47&lt;=AS47,1,0)*(1-$H47))</f>
        <v>0</v>
      </c>
      <c r="AX47" s="24">
        <f>$AT$13*IF(AV47=1,1,IF(AW47=1,FixedParams!$D$52,FixedParams!$D$53))</f>
        <v>0.41089128090616783</v>
      </c>
      <c r="AY47">
        <f>EXP($C47*FixedParams!$B$47)*EXP(IF(AV47+AW47=1,(1-FixedParams!$B$47)*$D47,0))*($B47^((FixedParams!$B$47-1)*$B$10/($B$10-1)))*((1/$B47-1)^$B$10*(AX47)^($B$10-1)+1)^((FixedParams!$B$47-$B$10)/($B$10-1))/((1+IF(AV47=1,FixedParams!$D$25,IF(AW47=1,FixedParams!$D$23,FixedParams!$D$24)))^FixedParams!$B$47)</f>
        <v>4.1539134613535367E-2</v>
      </c>
      <c r="AZ47">
        <f t="shared" si="4"/>
        <v>1.1185484073617087</v>
      </c>
      <c r="BA47">
        <f t="shared" si="23"/>
        <v>28.142528331333914</v>
      </c>
      <c r="BB47">
        <f t="shared" si="5"/>
        <v>138.10897563581952</v>
      </c>
      <c r="BC47">
        <f t="shared" si="24"/>
        <v>166.25150396715344</v>
      </c>
      <c r="BD47" s="24">
        <f t="shared" si="25"/>
        <v>4.9074828675591622</v>
      </c>
      <c r="BE47" s="24">
        <f t="shared" si="26"/>
        <v>1.4529307956767024</v>
      </c>
      <c r="BF47" s="23">
        <f>IF(AV47=1,BA47*(1+FixedParams!$C$25)+BB47*(1+FixedParams!$C$28)/$AT$12,IF(AW47=1,BA47*(1+FixedParams!$C$23)+BB47*(1+FixedParams!$C$26)/$AT$12,BA47*(1+FixedParams!$C$24)+BB47*(1+FixedParams!$C$27)/$AT$12))</f>
        <v>470.12653673889849</v>
      </c>
      <c r="BG47" s="24">
        <f t="shared" si="27"/>
        <v>109.57018446070286</v>
      </c>
      <c r="BH47" s="24">
        <f>BG47^((FixedParams!$B$47-1)/FixedParams!$B$47)*EXP($C47)</f>
        <v>0.68416679366198818</v>
      </c>
      <c r="BI47" s="7"/>
      <c r="BJ47" s="24">
        <f>EXP(-$D$17)*(($B47*FixedParams!$B$30)^$B$10*(1+FixedParams!$C$24)^(1-$B$10)+(1-$B47)^$B$10*((1+FixedParams!$C$27)/$BK$12)^(1-$B$10))^(1/(1-$B$10))</f>
        <v>6.1178892184389193</v>
      </c>
      <c r="BK47" s="24">
        <f>EXP($D47-$D$17)*(($B47*FixedParams!$C$31)^$B$10*(1+FixedParams!$C$25)^(1-$B$10)+(1-$B47)^$B$10*((1+FixedParams!$C$28)/$BK$12)^(1-$B$10))^(1/(1-$B$10))</f>
        <v>4.5874349871223732</v>
      </c>
      <c r="BL47" s="24">
        <f>EXP($D47-$D$17)*(($B47*FixedParams!$C$30)^$B$10*(1+FixedParams!$C$23)^(1-$B$10)+(1-$B47)^$B$10*((1+FixedParams!$C$26)/$BK$12)^(1-$B$10))^(1/(1-$B$10))</f>
        <v>4.7358898584630715</v>
      </c>
      <c r="BM47">
        <f>IF(FixedParams!$I$6=1,IF(BK47&lt;=MIN(BJ47:BL47),1,0),$H47)</f>
        <v>1</v>
      </c>
      <c r="BN47">
        <f>IF(FixedParams!$I$6=1,IF(BL47&lt;=MIN(BJ47:BL47),1,0),IF(BL47&lt;=BJ47,1,0)*(1-$H47))</f>
        <v>0</v>
      </c>
      <c r="BO47" s="24">
        <f>$BK$13*IF(BM47=1,1,IF(BN47=1,FixedParams!$C$52,FixedParams!$C$53))</f>
        <v>0.41068174962109105</v>
      </c>
      <c r="BP47">
        <f>EXP($C47*FixedParams!$B$47)*EXP(IF(BM47+BN47=1,(1-FixedParams!$B$47)*$D47,0))*($B47^((FixedParams!$B$47-1)*$B$10/($B$10-1)))*((1/$B47-1)^$B$10*(BO47)^($B$10-1)+1)^((FixedParams!$B$47-$B$10)/($B$10-1))/((1+IF(BM47=1,FixedParams!$C$25,IF(BN47=1,FixedParams!$C$23,FixedParams!$C$24)))^FixedParams!$B$47)</f>
        <v>3.8881727410949508E-2</v>
      </c>
      <c r="BQ47">
        <f t="shared" si="28"/>
        <v>1.1185399008383838</v>
      </c>
      <c r="BR47">
        <f t="shared" si="29"/>
        <v>28.52741931162392</v>
      </c>
      <c r="BS47">
        <f t="shared" si="6"/>
        <v>139.89074873898258</v>
      </c>
      <c r="BT47">
        <f t="shared" si="30"/>
        <v>168.41816805060651</v>
      </c>
      <c r="BU47" s="24">
        <f t="shared" si="31"/>
        <v>4.9037295386190793</v>
      </c>
      <c r="BV47" s="24">
        <f t="shared" si="32"/>
        <v>1.4569977014643374</v>
      </c>
      <c r="BW47" s="23">
        <f>IF(BM47=1,BR47*(1+FixedParams!$C$25)+BS47*(1+FixedParams!$C$28)/$BK$12,IF(BN47=1,BR47*(1+FixedParams!$C$23)+BS47*(1+FixedParams!$C$26)/$BK$12,BR47*(1+FixedParams!$C$24)+BS47*(1+FixedParams!$C$27)/$BK$12))</f>
        <v>505.1577720713388</v>
      </c>
      <c r="BX47" s="24">
        <f t="shared" si="33"/>
        <v>110.11769616123027</v>
      </c>
      <c r="BY47" s="24">
        <f>BX47^((FixedParams!$B$47-1)/FixedParams!$B$47)*EXP($C47)</f>
        <v>0.68416338005420296</v>
      </c>
      <c r="BZ47" s="24">
        <f t="shared" si="34"/>
        <v>-1.635480394762388E-2</v>
      </c>
      <c r="CA47" s="24">
        <f t="shared" si="35"/>
        <v>-2.4959700543232296E-3</v>
      </c>
      <c r="CB47" s="24">
        <f t="shared" si="36"/>
        <v>1.4832485865084021E-2</v>
      </c>
      <c r="CC47" s="24"/>
      <c r="CD47" s="24">
        <f>EXP(-$D$17)*(($B47*FixedParams!$B$30)^$B$10*(1+FixedParams!$D$24)^(1-$B$10)+(1-$B47)^$B$10*((1+FixedParams!$D$27)/$CE$12)^(1-$B$10))^(1/(1-$B$10))</f>
        <v>5.7823677559767557</v>
      </c>
      <c r="CE47" s="24">
        <f>EXP($D47-$D$17)*(($B47*FixedParams!$D$31)^$B$10*(1+FixedParams!$D$25)^(1-$B$10)+(1-$B47)^$B$10*((1+FixedParams!$D$28)/$CE$12)^(1-$B$10))^(1/(1-$B$10))</f>
        <v>4.4807483536560397</v>
      </c>
      <c r="CF47" s="24">
        <f>EXP($D47-$D$17)*(($B47*FixedParams!$D$30)^$B$10*(1+FixedParams!$D$23)^(1-$B$10)+(1-$B47)^$B$10*((1+FixedParams!$D$26)/$CE$12)^(1-$B$10))^(1/(1-$B$10))</f>
        <v>4.5797467854790561</v>
      </c>
      <c r="CG47">
        <f>IF(FixedParams!$I$6=1,IF(CE47&lt;=MIN(CD47:CF47),1,0),$H47)</f>
        <v>1</v>
      </c>
      <c r="CH47">
        <f>IF(FixedParams!$I$6=1,IF(CF47&lt;=MIN(CD47:CF47),1,0),IF(CF47&lt;=CD47,1,0)*(1-$H47))</f>
        <v>0</v>
      </c>
      <c r="CI47" s="24">
        <f>$CE$13*IF(CG47=1,1,IF(CH47=1,FixedParams!$D$52,FixedParams!$D$53))</f>
        <v>0.39201585704839609</v>
      </c>
      <c r="CJ47">
        <f>EXP($C47*FixedParams!$B$47)*EXP(IF(CG47+CH47=1,(1-FixedParams!$B$47)*$D47,0))*($B47^((FixedParams!$B$47-1)*$B$10/($B$10-1)))*((1/$B47-1)^$B$10*(CI47)^($B$10-1)+1)^((FixedParams!$B$47-$B$10)/($B$10-1))/((1+IF(CG47=1,FixedParams!$D$25,IF(CH47=1,FixedParams!$D$23,FixedParams!$D$24)))^FixedParams!$B$47)</f>
        <v>4.2451238300554882E-2</v>
      </c>
      <c r="CK47">
        <f t="shared" si="37"/>
        <v>1.1177563950181872</v>
      </c>
      <c r="CL47">
        <f t="shared" si="41"/>
        <v>30.53741967179554</v>
      </c>
      <c r="CM47">
        <f t="shared" si="7"/>
        <v>139.65490480347728</v>
      </c>
      <c r="CN47">
        <f t="shared" si="42"/>
        <v>170.19232447527281</v>
      </c>
      <c r="CO47" s="24">
        <f t="shared" si="43"/>
        <v>4.573238548129952</v>
      </c>
      <c r="CP47" s="24">
        <f t="shared" si="44"/>
        <v>1.4476041469121723</v>
      </c>
      <c r="CQ47" s="23">
        <f>IF(CG47=1,CL47*(1+FixedParams!$D$25)+CM47*(1+FixedParams!$D$28)/$CE$12,IF(CH47=1,CL47*(1+FixedParams!$D$23)+CM47*(1+FixedParams!$D$26)/$CE$12,CL47*(1+FixedParams!$D$24)+CM47*(1+FixedParams!$D$27)/$CE$12))</f>
        <v>495.26981478848262</v>
      </c>
      <c r="CR47" s="24">
        <f t="shared" si="45"/>
        <v>110.5328341825691</v>
      </c>
      <c r="CS47" s="24">
        <f>CR47^((FixedParams!$B$47-1)/FixedParams!$B$47)*EXP($C47)</f>
        <v>0.68416080307115201</v>
      </c>
      <c r="CT47" s="24"/>
    </row>
    <row r="48" spans="1:98" x14ac:dyDescent="0.15">
      <c r="A48">
        <v>0.155</v>
      </c>
      <c r="B48">
        <f t="shared" si="8"/>
        <v>0.12582150465610842</v>
      </c>
      <c r="C48">
        <f>(D48-$D$17)*FixedParams!$B$47+$A48*$B$9</f>
        <v>-0.38734734994338343</v>
      </c>
      <c r="D48">
        <f>(A48-$B$6)*FixedParams!$B$46/(FixedParams!$B$45*Sectors!$B$6)</f>
        <v>-0.18745624331301877</v>
      </c>
      <c r="E48">
        <f t="shared" si="9"/>
        <v>0.6788552536353627</v>
      </c>
      <c r="F48" s="24">
        <f>EXP(-$D$17)*(($B48*FixedParams!$B$30)^$B$10*(1+FixedParams!$B$23)^(1-$B$10)+(1-$B48)^$B$10*((1+FixedParams!$B$26)/$B$11)^(1-$B$10))^(1/(1-$B$10))</f>
        <v>4.5739269674011034</v>
      </c>
      <c r="G48" s="24">
        <f>EXP($D48-$D$17)*(($B48*FixedParams!$B$31)^$B$10*(1+FixedParams!$B$25)^(1-$B$10)+(1-$B48)^$B$10*((1+FixedParams!$B$28)/$B$11)^(1-$B$10))^(1/(1-$B$10))</f>
        <v>3.6706847805629264</v>
      </c>
      <c r="H48">
        <f t="shared" si="10"/>
        <v>1</v>
      </c>
      <c r="I48" s="24">
        <f>$B$12*IF(H48=1,1,FixedParams!$B$52)</f>
        <v>0.3745928365283252</v>
      </c>
      <c r="J48">
        <f>EXP($C48*FixedParams!$B$47)*EXP(IF(H48=1,(1-FixedParams!$B$47)*$D48,0))*($B48^((FixedParams!$B$47-1)*$B$10/($B$10-1)))*((1/$B48-1)^$B$10*(I48)^($B$10-1)+1)^((FixedParams!$B$47-$B$10)/($B$10-1))/((1+IF(H48=1,FixedParams!$B$25,FixedParams!$B$24))^FixedParams!$B$47)</f>
        <v>5.5586495404258252E-2</v>
      </c>
      <c r="K48">
        <f t="shared" si="38"/>
        <v>1.1207672948305807</v>
      </c>
      <c r="L48">
        <f>K48*FixedParams!$B$8/K$15</f>
        <v>32.584212599392167</v>
      </c>
      <c r="M48">
        <f t="shared" si="0"/>
        <v>136.80888361548554</v>
      </c>
      <c r="N48">
        <f t="shared" si="11"/>
        <v>169.39309621487772</v>
      </c>
      <c r="O48" s="24">
        <f t="shared" si="12"/>
        <v>4.198624815565978</v>
      </c>
      <c r="P48" s="24">
        <f t="shared" si="1"/>
        <v>1.4352930254025817</v>
      </c>
      <c r="Q48" s="23">
        <f>IF(H48=1,L48*(1+FixedParams!$B$25)+M48*FixedParams!$B$33*(1+FixedParams!$B$28)/FixedParams!$B$32,L48*(1+FixedParams!$B$23)+M48*FixedParams!$B$33*(1+FixedParams!$B$26)/FixedParams!$B$32)</f>
        <v>398.50163079124792</v>
      </c>
      <c r="R48" s="24">
        <f t="shared" si="2"/>
        <v>108.56329393943078</v>
      </c>
      <c r="S48" s="24">
        <f>R48^((FixedParams!$B$47-1)/FixedParams!$B$47)*EXP($C48)</f>
        <v>0.67567750841470298</v>
      </c>
      <c r="T48" s="7">
        <f>(L48*FixedParams!$B$32*(FixedParams!$C$25-FixedParams!$C$23)+FixedParams!$B$33*(FixedParams!$C$28-FixedParams!$C$26)*M48)/N48</f>
        <v>-2275.5673711367176</v>
      </c>
      <c r="U48" s="7">
        <f>(L48*FixedParams!$B$32*(FixedParams!$C$25-FixedParams!$C$23)*$Z$12/$B$11+FixedParams!$B$33*(FixedParams!$C$28-FixedParams!$C$26)*M48)/N48</f>
        <v>-2468.7595172456313</v>
      </c>
      <c r="V48" s="14">
        <f t="shared" si="13"/>
        <v>-2.4166726589528378</v>
      </c>
      <c r="W48" s="14">
        <f t="shared" si="14"/>
        <v>0.3159092895941607</v>
      </c>
      <c r="X48" s="73">
        <f t="shared" si="15"/>
        <v>0.98554244298417415</v>
      </c>
      <c r="Y48" s="24">
        <f>EXP(-$D$17)*(($B48*FixedParams!$B$30)^$B$10*(1+FixedParams!$C$24)^(1-$B$10)+(1-$B48)^$B$10*((1+FixedParams!$C$27)/$Z$12)^(1-$B$10))^(1/(1-$B$10))</f>
        <v>5.8496918233377109</v>
      </c>
      <c r="Z48" s="24">
        <f>EXP($D48-$D$17)*(($B48*FixedParams!$C$31)^$B$10*(1+FixedParams!$C$25)^(1-$B$10)+(1-$B48)^$B$10*((1+FixedParams!$C$28)/$Z$12)^(1-$B$10))^(1/(1-$B$10))</f>
        <v>4.398510129247116</v>
      </c>
      <c r="AA48" s="24">
        <f>EXP($D48-$D$17)*(($B48*FixedParams!$C$30)^$B$10*(1+FixedParams!$C$23)^(1-$B$10)+(1-$B48)^$B$10*((1+FixedParams!$C$26)/$Z$12)^(1-$B$10))^(1/(1-$B$10))</f>
        <v>4.5414335965668782</v>
      </c>
      <c r="AB48">
        <f>IF(FixedParams!$I$6=1,IF(Z48&lt;=MIN(Y48:AA48),1,0),$H48)</f>
        <v>1</v>
      </c>
      <c r="AC48">
        <f>IF(FixedParams!$I$6=1,IF(AA48&lt;=MIN(Y48:AA48),1,0),IF(AA48&lt;=Y48,1,0)*(1-$H48))</f>
        <v>0</v>
      </c>
      <c r="AD48" s="24">
        <f>$Z$13*IF(AB48=1,1,IF(AC48=1,FixedParams!$C$52,FixedParams!$C$53))</f>
        <v>0.43187184563106507</v>
      </c>
      <c r="AE48">
        <f>EXP($C48*FixedParams!$B$47)*EXP(IF(AB48+AC48=1,(1-FixedParams!$B$47)*$D48,0))*($B48^((FixedParams!$B$47-1)*$B$10/($B$10-1)))*((1/$B48-1)^$B$10*(AD48)^($B$10-1)+1)^((FixedParams!$B$47-$B$10)/($B$10-1))/((1+IF(AB48=1,FixedParams!$C$25,IF(AC48=1,FixedParams!$C$23,FixedParams!$C$24)))^FixedParams!$B$47)</f>
        <v>3.8119361336150813E-2</v>
      </c>
      <c r="AF48">
        <f t="shared" si="39"/>
        <v>1.1232701220728945</v>
      </c>
      <c r="AG48">
        <f t="shared" si="40"/>
        <v>26.383890246968424</v>
      </c>
      <c r="AH48">
        <f t="shared" si="3"/>
        <v>137.13207169593747</v>
      </c>
      <c r="AI48">
        <f t="shared" si="16"/>
        <v>163.5159619429059</v>
      </c>
      <c r="AJ48" s="24">
        <f t="shared" si="17"/>
        <v>5.1975683044578425</v>
      </c>
      <c r="AK48" s="24">
        <f t="shared" si="18"/>
        <v>1.4690752079315614</v>
      </c>
      <c r="AL48" s="23">
        <f>IF(AB48=1,AG48*(1+FixedParams!$C$25)+AH48*(1+FixedParams!$C$28)/$Z$12,IF(AC48=1,AG48*(1+FixedParams!$C$23)+AH48*(1+FixedParams!$C$26)/$Z$12,AG48*(1+FixedParams!$C$24)+AH48*(1+FixedParams!$C$27)/$Z$12))</f>
        <v>470.61302244597221</v>
      </c>
      <c r="AM48" s="24">
        <f t="shared" si="19"/>
        <v>106.9937339274756</v>
      </c>
      <c r="AN48" s="24">
        <f>AM48^((FixedParams!$B$47-1)/FixedParams!$B$47)*EXP($C48)</f>
        <v>0.67568735828586113</v>
      </c>
      <c r="AO48" s="24">
        <f t="shared" si="20"/>
        <v>-3.5311414913647476E-2</v>
      </c>
      <c r="AP48" s="24">
        <f t="shared" si="21"/>
        <v>-1.456308585436005E-2</v>
      </c>
      <c r="AQ48" s="14">
        <f t="shared" si="22"/>
        <v>-2.4878172708347224</v>
      </c>
      <c r="AS48" s="24">
        <f>EXP(-$D$17)*(($B48*FixedParams!$B$30)^$B$10*(1+FixedParams!$D$24)^(1-$B$10)+(1-$B48)^$B$10*((1+FixedParams!$D$27)/$AT$12)^(1-$B$10))^(1/(1-$B$10))</f>
        <v>5.5459234140475617</v>
      </c>
      <c r="AT48" s="24">
        <f>EXP($D48-$D$17)*(($B48*FixedParams!$C$31)^$B$10*(1+FixedParams!$D$25)^(1-$B$10)+(1-$B48)^$B$10*((1+FixedParams!$D$28)/$AT$12)^(1-$B$10))^(1/(1-$B$10))</f>
        <v>4.3093521701966111</v>
      </c>
      <c r="AU48" s="24">
        <f>EXP($D48-$D$17)*(($B48*FixedParams!$C$30)^$B$10*(1+FixedParams!$D$23)^(1-$B$10)+(1-$B48)^$B$10*((1+FixedParams!$D$26)/$AT$12)^(1-$B$10))^(1/(1-$B$10))</f>
        <v>4.4049242177025754</v>
      </c>
      <c r="AV48">
        <f>IF(FixedParams!$I$6=1,IF(AT48&lt;=MIN(AS48:AU48),1,0),$H48)</f>
        <v>1</v>
      </c>
      <c r="AW48">
        <f>IF(FixedParams!$I$6=1,IF(AU48&lt;=MIN(AS48:AU48),1,0),IF(AU48&lt;=AS48,1,0)*(1-$H48))</f>
        <v>0</v>
      </c>
      <c r="AX48" s="24">
        <f>$AT$13*IF(AV48=1,1,IF(AW48=1,FixedParams!$D$52,FixedParams!$D$53))</f>
        <v>0.41089128090616783</v>
      </c>
      <c r="AY48">
        <f>EXP($C48*FixedParams!$B$47)*EXP(IF(AV48+AW48=1,(1-FixedParams!$B$47)*$D48,0))*($B48^((FixedParams!$B$47-1)*$B$10/($B$10-1)))*((1/$B48-1)^$B$10*(AX48)^($B$10-1)+1)^((FixedParams!$B$47-$B$10)/($B$10-1))/((1+IF(AV48=1,FixedParams!$D$25,IF(AW48=1,FixedParams!$D$23,FixedParams!$D$24)))^FixedParams!$B$47)</f>
        <v>4.1682583899622858E-2</v>
      </c>
      <c r="AZ48">
        <f t="shared" si="4"/>
        <v>1.1224111496162874</v>
      </c>
      <c r="BA48">
        <f t="shared" si="23"/>
        <v>28.23971440984484</v>
      </c>
      <c r="BB48">
        <f t="shared" si="5"/>
        <v>136.21299909691086</v>
      </c>
      <c r="BC48">
        <f t="shared" si="24"/>
        <v>164.45271350675571</v>
      </c>
      <c r="BD48" s="24">
        <f t="shared" si="25"/>
        <v>4.8234552630399374</v>
      </c>
      <c r="BE48" s="24">
        <f t="shared" si="26"/>
        <v>1.4592662654644561</v>
      </c>
      <c r="BF48" s="23">
        <f>IF(AV48=1,BA48*(1+FixedParams!$C$25)+BB48*(1+FixedParams!$C$28)/$AT$12,IF(AW48=1,BA48*(1+FixedParams!$C$23)+BB48*(1+FixedParams!$C$26)/$AT$12,BA48*(1+FixedParams!$C$24)+BB48*(1+FixedParams!$C$27)/$AT$12))</f>
        <v>464.33424859183674</v>
      </c>
      <c r="BG48" s="24">
        <f t="shared" si="27"/>
        <v>107.75036020568535</v>
      </c>
      <c r="BH48" s="24">
        <f>BG48^((FixedParams!$B$47-1)/FixedParams!$B$47)*EXP($C48)</f>
        <v>0.67568259210236681</v>
      </c>
      <c r="BI48" s="7"/>
      <c r="BJ48" s="24">
        <f>EXP(-$D$17)*(($B48*FixedParams!$B$30)^$B$10*(1+FixedParams!$C$24)^(1-$B$10)+(1-$B48)^$B$10*((1+FixedParams!$C$27)/$BK$12)^(1-$B$10))^(1/(1-$B$10))</f>
        <v>6.1286546079893656</v>
      </c>
      <c r="BK48" s="24">
        <f>EXP($D48-$D$17)*(($B48*FixedParams!$C$31)^$B$10*(1+FixedParams!$C$25)^(1-$B$10)+(1-$B48)^$B$10*((1+FixedParams!$C$28)/$BK$12)^(1-$B$10))^(1/(1-$B$10))</f>
        <v>4.6074354719911819</v>
      </c>
      <c r="BL48" s="24">
        <f>EXP($D48-$D$17)*(($B48*FixedParams!$C$30)^$B$10*(1+FixedParams!$C$23)^(1-$B$10)+(1-$B48)^$B$10*((1+FixedParams!$C$26)/$BK$12)^(1-$B$10))^(1/(1-$B$10))</f>
        <v>4.7551873331335734</v>
      </c>
      <c r="BM48">
        <f>IF(FixedParams!$I$6=1,IF(BK48&lt;=MIN(BJ48:BL48),1,0),$H48)</f>
        <v>1</v>
      </c>
      <c r="BN48">
        <f>IF(FixedParams!$I$6=1,IF(BL48&lt;=MIN(BJ48:BL48),1,0),IF(BL48&lt;=BJ48,1,0)*(1-$H48))</f>
        <v>0</v>
      </c>
      <c r="BO48" s="24">
        <f>$BK$13*IF(BM48=1,1,IF(BN48=1,FixedParams!$C$52,FixedParams!$C$53))</f>
        <v>0.41068174962109105</v>
      </c>
      <c r="BP48">
        <f>EXP($C48*FixedParams!$B$47)*EXP(IF(BM48+BN48=1,(1-FixedParams!$B$47)*$D48,0))*($B48^((FixedParams!$B$47-1)*$B$10/($B$10-1)))*((1/$B48-1)^$B$10*(BO48)^($B$10-1)+1)^((FixedParams!$B$47-$B$10)/($B$10-1))/((1+IF(BM48=1,FixedParams!$C$25,IF(BN48=1,FixedParams!$C$23,FixedParams!$C$24)))^FixedParams!$B$47)</f>
        <v>3.9015987365393731E-2</v>
      </c>
      <c r="BQ48">
        <f t="shared" si="28"/>
        <v>1.1224022579436475</v>
      </c>
      <c r="BR48">
        <f t="shared" si="29"/>
        <v>28.625925480773986</v>
      </c>
      <c r="BS48">
        <f t="shared" si="6"/>
        <v>137.97026807266261</v>
      </c>
      <c r="BT48">
        <f t="shared" si="30"/>
        <v>166.59619355343659</v>
      </c>
      <c r="BU48" s="24">
        <f t="shared" si="31"/>
        <v>4.8197661998850485</v>
      </c>
      <c r="BV48" s="24">
        <f t="shared" si="32"/>
        <v>1.4633499790582059</v>
      </c>
      <c r="BW48" s="23">
        <f>IF(BM48=1,BR48*(1+FixedParams!$C$25)+BS48*(1+FixedParams!$C$28)/$BK$12,IF(BN48=1,BR48*(1+FixedParams!$C$23)+BS48*(1+FixedParams!$C$26)/$BK$12,BR48*(1+FixedParams!$C$24)+BS48*(1+FixedParams!$C$27)/$BK$12))</f>
        <v>498.89346205501556</v>
      </c>
      <c r="BX48" s="24">
        <f t="shared" si="33"/>
        <v>108.28007577920789</v>
      </c>
      <c r="BY48" s="24">
        <f>BX48^((FixedParams!$B$47-1)/FixedParams!$B$47)*EXP($C48)</f>
        <v>0.67567927518355697</v>
      </c>
      <c r="BZ48" s="24">
        <f t="shared" si="34"/>
        <v>-1.6649145394689483E-2</v>
      </c>
      <c r="CA48" s="24">
        <f t="shared" si="35"/>
        <v>-2.6121925852421535E-3</v>
      </c>
      <c r="CB48" s="24">
        <f t="shared" si="36"/>
        <v>1.4716263334165099E-2</v>
      </c>
      <c r="CC48" s="24"/>
      <c r="CD48" s="24">
        <f>EXP(-$D$17)*(($B48*FixedParams!$B$30)^$B$10*(1+FixedParams!$D$24)^(1-$B$10)+(1-$B48)^$B$10*((1+FixedParams!$D$27)/$CE$12)^(1-$B$10))^(1/(1-$B$10))</f>
        <v>5.7919834868990616</v>
      </c>
      <c r="CE48" s="24">
        <f>EXP($D48-$D$17)*(($B48*FixedParams!$D$31)^$B$10*(1+FixedParams!$D$25)^(1-$B$10)+(1-$B48)^$B$10*((1+FixedParams!$D$28)/$CE$12)^(1-$B$10))^(1/(1-$B$10))</f>
        <v>4.5000214622081529</v>
      </c>
      <c r="CF48" s="24">
        <f>EXP($D48-$D$17)*(($B48*FixedParams!$D$30)^$B$10*(1+FixedParams!$D$23)^(1-$B$10)+(1-$B48)^$B$10*((1+FixedParams!$D$26)/$CE$12)^(1-$B$10))^(1/(1-$B$10))</f>
        <v>4.5983941925916563</v>
      </c>
      <c r="CG48">
        <f>IF(FixedParams!$I$6=1,IF(CE48&lt;=MIN(CD48:CF48),1,0),$H48)</f>
        <v>1</v>
      </c>
      <c r="CH48">
        <f>IF(FixedParams!$I$6=1,IF(CF48&lt;=MIN(CD48:CF48),1,0),IF(CF48&lt;=CD48,1,0)*(1-$H48))</f>
        <v>0</v>
      </c>
      <c r="CI48" s="24">
        <f>$CE$13*IF(CG48=1,1,IF(CH48=1,FixedParams!$D$52,FixedParams!$D$53))</f>
        <v>0.39201585704839609</v>
      </c>
      <c r="CJ48">
        <f>EXP($C48*FixedParams!$B$47)*EXP(IF(CG48+CH48=1,(1-FixedParams!$B$47)*$D48,0))*($B48^((FixedParams!$B$47-1)*$B$10/($B$10-1)))*((1/$B48-1)^$B$10*(CI48)^($B$10-1)+1)^((FixedParams!$B$47-$B$10)/($B$10-1))/((1+IF(CG48=1,FixedParams!$D$25,IF(CH48=1,FixedParams!$D$23,FixedParams!$D$24)))^FixedParams!$B$47)</f>
        <v>4.259658027383792E-2</v>
      </c>
      <c r="CK48">
        <f t="shared" si="37"/>
        <v>1.1215833015256365</v>
      </c>
      <c r="CL48">
        <f t="shared" si="41"/>
        <v>30.641971835919644</v>
      </c>
      <c r="CM48">
        <f t="shared" si="7"/>
        <v>137.73364070953997</v>
      </c>
      <c r="CN48">
        <f t="shared" si="42"/>
        <v>168.3756125454596</v>
      </c>
      <c r="CO48" s="24">
        <f t="shared" si="43"/>
        <v>4.4949339894661593</v>
      </c>
      <c r="CP48" s="24">
        <f t="shared" si="44"/>
        <v>1.4538307478417163</v>
      </c>
      <c r="CQ48" s="23">
        <f>IF(CG48=1,CL48*(1+FixedParams!$D$25)+CM48*(1+FixedParams!$D$28)/$CE$12,IF(CH48=1,CL48*(1+FixedParams!$D$23)+CM48*(1+FixedParams!$D$26)/$CE$12,CL48*(1+FixedParams!$D$24)+CM48*(1+FixedParams!$D$27)/$CE$12))</f>
        <v>489.12809386146364</v>
      </c>
      <c r="CR48" s="24">
        <f t="shared" si="45"/>
        <v>108.69461356334271</v>
      </c>
      <c r="CS48" s="24">
        <f>CR48^((FixedParams!$B$47-1)/FixedParams!$B$47)*EXP($C48)</f>
        <v>0.67567669078285786</v>
      </c>
      <c r="CT48" s="24"/>
    </row>
    <row r="49" spans="1:98" x14ac:dyDescent="0.15">
      <c r="A49">
        <v>0.16</v>
      </c>
      <c r="B49">
        <f t="shared" si="8"/>
        <v>0.12709337267154797</v>
      </c>
      <c r="C49">
        <f>(D49-$D$17)*FixedParams!$B$47+$A49*$B$9</f>
        <v>-0.39984242574800877</v>
      </c>
      <c r="D49">
        <f>(A49-$B$6)*FixedParams!$B$46/(FixedParams!$B$45*Sectors!$B$6)</f>
        <v>-0.18473948616355476</v>
      </c>
      <c r="E49">
        <f t="shared" si="9"/>
        <v>0.67042567953782961</v>
      </c>
      <c r="F49" s="24">
        <f>EXP(-$D$17)*(($B49*FixedParams!$B$30)^$B$10*(1+FixedParams!$B$23)^(1-$B$10)+(1-$B49)^$B$10*((1+FixedParams!$B$26)/$B$11)^(1-$B$10))^(1/(1-$B$10))</f>
        <v>4.5811218206279483</v>
      </c>
      <c r="G49" s="24">
        <f>EXP($D49-$D$17)*(($B49*FixedParams!$B$31)^$B$10*(1+FixedParams!$B$25)^(1-$B$10)+(1-$B49)^$B$10*((1+FixedParams!$B$28)/$B$11)^(1-$B$10))^(1/(1-$B$10))</f>
        <v>3.6862553781440957</v>
      </c>
      <c r="H49">
        <f t="shared" si="10"/>
        <v>1</v>
      </c>
      <c r="I49" s="24">
        <f>$B$12*IF(H49=1,1,FixedParams!$B$52)</f>
        <v>0.3745928365283252</v>
      </c>
      <c r="J49">
        <f>EXP($C49*FixedParams!$B$47)*EXP(IF(H49=1,(1-FixedParams!$B$47)*$D49,0))*($B49^((FixedParams!$B$47-1)*$B$10/($B$10-1)))*((1/$B49-1)^$B$10*(I49)^($B$10-1)+1)^((FixedParams!$B$47-$B$10)/($B$10-1))/((1+IF(H49=1,FixedParams!$B$25,FixedParams!$B$24))^FixedParams!$B$47)</f>
        <v>5.5773935377186647E-2</v>
      </c>
      <c r="K49">
        <f t="shared" si="38"/>
        <v>1.1245465687328888</v>
      </c>
      <c r="L49">
        <f>K49*FixedParams!$B$8/K$15</f>
        <v>32.694087918624028</v>
      </c>
      <c r="M49">
        <f t="shared" si="0"/>
        <v>134.91982126904136</v>
      </c>
      <c r="N49">
        <f t="shared" si="11"/>
        <v>167.6139091876654</v>
      </c>
      <c r="O49" s="24">
        <f t="shared" si="12"/>
        <v>4.1267345216926801</v>
      </c>
      <c r="P49" s="24">
        <f t="shared" si="1"/>
        <v>1.4413813635317347</v>
      </c>
      <c r="Q49" s="23">
        <f>IF(H49=1,L49*(1+FixedParams!$B$25)+M49*FixedParams!$B$33*(1+FixedParams!$B$28)/FixedParams!$B$32,L49*(1+FixedParams!$B$23)+M49*FixedParams!$B$33*(1+FixedParams!$B$26)/FixedParams!$B$32)</f>
        <v>393.55988536645629</v>
      </c>
      <c r="R49" s="24">
        <f t="shared" si="2"/>
        <v>106.76414002672823</v>
      </c>
      <c r="S49" s="24">
        <f>R49^((FixedParams!$B$47-1)/FixedParams!$B$47)*EXP($C49)</f>
        <v>0.66729855591402409</v>
      </c>
      <c r="T49" s="7">
        <f>(L49*FixedParams!$B$32*(FixedParams!$C$25-FixedParams!$C$23)+FixedParams!$B$33*(FixedParams!$C$28-FixedParams!$C$26)*M49)/N49</f>
        <v>-2244.9658453352486</v>
      </c>
      <c r="U49" s="7">
        <f>(L49*FixedParams!$B$32*(FixedParams!$C$25-FixedParams!$C$23)*$Z$12/$B$11+FixedParams!$B$33*(FixedParams!$C$28-FixedParams!$C$26)*M49)/N49</f>
        <v>-2440.867053147867</v>
      </c>
      <c r="V49" s="14">
        <f t="shared" si="13"/>
        <v>-2.3994020336567536</v>
      </c>
      <c r="W49" s="14">
        <f t="shared" si="14"/>
        <v>0.3241303951312739</v>
      </c>
      <c r="X49" s="73">
        <f t="shared" si="15"/>
        <v>0.9853645523666279</v>
      </c>
      <c r="Y49" s="24">
        <f>EXP(-$D$17)*(($B49*FixedParams!$B$30)^$B$10*(1+FixedParams!$C$24)^(1-$B$10)+(1-$B49)^$B$10*((1+FixedParams!$C$27)/$Z$12)^(1-$B$10))^(1/(1-$B$10))</f>
        <v>5.8603510103811685</v>
      </c>
      <c r="Z49" s="24">
        <f>EXP($D49-$D$17)*(($B49*FixedParams!$C$31)^$B$10*(1+FixedParams!$C$25)^(1-$B$10)+(1-$B49)^$B$10*((1+FixedParams!$C$28)/$Z$12)^(1-$B$10))^(1/(1-$B$10))</f>
        <v>4.4179663152908182</v>
      </c>
      <c r="AA49" s="24">
        <f>EXP($D49-$D$17)*(($B49*FixedParams!$C$30)^$B$10*(1+FixedParams!$C$23)^(1-$B$10)+(1-$B49)^$B$10*((1+FixedParams!$C$26)/$Z$12)^(1-$B$10))^(1/(1-$B$10))</f>
        <v>4.5602356059137197</v>
      </c>
      <c r="AB49">
        <f>IF(FixedParams!$I$6=1,IF(Z49&lt;=MIN(Y49:AA49),1,0),$H49)</f>
        <v>1</v>
      </c>
      <c r="AC49">
        <f>IF(FixedParams!$I$6=1,IF(AA49&lt;=MIN(Y49:AA49),1,0),IF(AA49&lt;=Y49,1,0)*(1-$H49))</f>
        <v>0</v>
      </c>
      <c r="AD49" s="24">
        <f>$Z$13*IF(AB49=1,1,IF(AC49=1,FixedParams!$C$52,FixedParams!$C$53))</f>
        <v>0.43187184563106507</v>
      </c>
      <c r="AE49">
        <f>EXP($C49*FixedParams!$B$47)*EXP(IF(AB49+AC49=1,(1-FixedParams!$B$47)*$D49,0))*($B49^((FixedParams!$B$47-1)*$B$10/($B$10-1)))*((1/$B49-1)^$B$10*(AD49)^($B$10-1)+1)^((FixedParams!$B$47-$B$10)/($B$10-1))/((1+IF(AB49=1,FixedParams!$C$25,IF(AC49=1,FixedParams!$C$23,FixedParams!$C$24)))^FixedParams!$B$47)</f>
        <v>3.8251364119338271E-2</v>
      </c>
      <c r="AF49">
        <f t="shared" si="39"/>
        <v>1.127159871984426</v>
      </c>
      <c r="AG49">
        <f t="shared" si="40"/>
        <v>26.475254499197103</v>
      </c>
      <c r="AH49">
        <f t="shared" si="3"/>
        <v>135.25079036071628</v>
      </c>
      <c r="AI49">
        <f t="shared" si="16"/>
        <v>161.72604485991337</v>
      </c>
      <c r="AJ49" s="24">
        <f t="shared" si="17"/>
        <v>5.1085737576127146</v>
      </c>
      <c r="AK49" s="24">
        <f t="shared" si="18"/>
        <v>1.4755734538643495</v>
      </c>
      <c r="AL49" s="23">
        <f>IF(AB49=1,AG49*(1+FixedParams!$C$25)+AH49*(1+FixedParams!$C$28)/$Z$12,IF(AC49=1,AG49*(1+FixedParams!$C$23)+AH49*(1+FixedParams!$C$26)/$Z$12,AG49*(1+FixedParams!$C$24)+AH49*(1+FixedParams!$C$27)/$Z$12))</f>
        <v>464.77712090104126</v>
      </c>
      <c r="AM49" s="24">
        <f t="shared" si="19"/>
        <v>105.20159904624504</v>
      </c>
      <c r="AN49" s="24">
        <f>AM49^((FixedParams!$B$47-1)/FixedParams!$B$47)*EXP($C49)</f>
        <v>0.66730840421949023</v>
      </c>
      <c r="AO49" s="24">
        <f t="shared" si="20"/>
        <v>-3.5759352355334992E-2</v>
      </c>
      <c r="AP49" s="24">
        <f t="shared" si="21"/>
        <v>-1.4743602356101577E-2</v>
      </c>
      <c r="AQ49" s="14">
        <f t="shared" si="22"/>
        <v>-2.4705466455386387</v>
      </c>
      <c r="AS49" s="24">
        <f>EXP(-$D$17)*(($B49*FixedParams!$B$30)^$B$10*(1+FixedParams!$D$24)^(1-$B$10)+(1-$B49)^$B$10*((1+FixedParams!$D$27)/$AT$12)^(1-$B$10))^(1/(1-$B$10))</f>
        <v>5.5554739562621851</v>
      </c>
      <c r="AT49" s="24">
        <f>EXP($D49-$D$17)*(($B49*FixedParams!$C$31)^$B$10*(1+FixedParams!$D$25)^(1-$B$10)+(1-$B49)^$B$10*((1+FixedParams!$D$28)/$AT$12)^(1-$B$10))^(1/(1-$B$10))</f>
        <v>4.3281455509286522</v>
      </c>
      <c r="AU49" s="24">
        <f>EXP($D49-$D$17)*(($B49*FixedParams!$C$30)^$B$10*(1+FixedParams!$D$23)^(1-$B$10)+(1-$B49)^$B$10*((1+FixedParams!$D$26)/$AT$12)^(1-$B$10))^(1/(1-$B$10))</f>
        <v>4.4231282054127616</v>
      </c>
      <c r="AV49">
        <f>IF(FixedParams!$I$6=1,IF(AT49&lt;=MIN(AS49:AU49),1,0),$H49)</f>
        <v>1</v>
      </c>
      <c r="AW49">
        <f>IF(FixedParams!$I$6=1,IF(AU49&lt;=MIN(AS49:AU49),1,0),IF(AU49&lt;=AS49,1,0)*(1-$H49))</f>
        <v>0</v>
      </c>
      <c r="AX49" s="24">
        <f>$AT$13*IF(AV49=1,1,IF(AW49=1,FixedParams!$D$52,FixedParams!$D$53))</f>
        <v>0.41089128090616783</v>
      </c>
      <c r="AY49">
        <f>EXP($C49*FixedParams!$B$47)*EXP(IF(AV49+AW49=1,(1-FixedParams!$B$47)*$D49,0))*($B49^((FixedParams!$B$47-1)*$B$10/($B$10-1)))*((1/$B49-1)^$B$10*(AX49)^($B$10-1)+1)^((FixedParams!$B$47-$B$10)/($B$10-1))/((1+IF(AV49=1,FixedParams!$D$25,IF(AW49=1,FixedParams!$D$23,FixedParams!$D$24)))^FixedParams!$B$47)</f>
        <v>4.1825626127968502E-2</v>
      </c>
      <c r="AZ49">
        <f t="shared" si="4"/>
        <v>1.126262930790596</v>
      </c>
      <c r="BA49">
        <f t="shared" si="23"/>
        <v>28.33662470904213</v>
      </c>
      <c r="BB49">
        <f t="shared" si="5"/>
        <v>134.34015219862846</v>
      </c>
      <c r="BC49">
        <f t="shared" si="24"/>
        <v>162.67677690767059</v>
      </c>
      <c r="BD49" s="24">
        <f t="shared" si="25"/>
        <v>4.7408664079798086</v>
      </c>
      <c r="BE49" s="24">
        <f t="shared" si="26"/>
        <v>1.4656302258541327</v>
      </c>
      <c r="BF49" s="23">
        <f>IF(AV49=1,BA49*(1+FixedParams!$C$25)+BB49*(1+FixedParams!$C$28)/$AT$12,IF(AW49=1,BA49*(1+FixedParams!$C$23)+BB49*(1+FixedParams!$C$26)/$AT$12,BA49*(1+FixedParams!$C$24)+BB49*(1+FixedParams!$C$27)/$AT$12))</f>
        <v>458.61386748093435</v>
      </c>
      <c r="BG49" s="24">
        <f t="shared" si="27"/>
        <v>105.9608236563425</v>
      </c>
      <c r="BH49" s="24">
        <f>BG49^((FixedParams!$B$47-1)/FixedParams!$B$47)*EXP($C49)</f>
        <v>0.66730360086043883</v>
      </c>
      <c r="BI49" s="7"/>
      <c r="BJ49" s="24">
        <f>EXP(-$D$17)*(($B49*FixedParams!$B$30)^$B$10*(1+FixedParams!$C$24)^(1-$B$10)+(1-$B49)^$B$10*((1+FixedParams!$C$27)/$BK$12)^(1-$B$10))^(1/(1-$B$10))</f>
        <v>6.1394537654750625</v>
      </c>
      <c r="BK49" s="24">
        <f>EXP($D49-$D$17)*(($B49*FixedParams!$C$31)^$B$10*(1+FixedParams!$C$25)^(1-$B$10)+(1-$B49)^$B$10*((1+FixedParams!$C$28)/$BK$12)^(1-$B$10))^(1/(1-$B$10))</f>
        <v>4.6275258437714184</v>
      </c>
      <c r="BL49" s="24">
        <f>EXP($D49-$D$17)*(($B49*FixedParams!$C$30)^$B$10*(1+FixedParams!$C$23)^(1-$B$10)+(1-$B49)^$B$10*((1+FixedParams!$C$26)/$BK$12)^(1-$B$10))^(1/(1-$B$10))</f>
        <v>4.7745465307311798</v>
      </c>
      <c r="BM49">
        <f>IF(FixedParams!$I$6=1,IF(BK49&lt;=MIN(BJ49:BL49),1,0),$H49)</f>
        <v>1</v>
      </c>
      <c r="BN49">
        <f>IF(FixedParams!$I$6=1,IF(BL49&lt;=MIN(BJ49:BL49),1,0),IF(BL49&lt;=BJ49,1,0)*(1-$H49))</f>
        <v>0</v>
      </c>
      <c r="BO49" s="24">
        <f>$BK$13*IF(BM49=1,1,IF(BN49=1,FixedParams!$C$52,FixedParams!$C$53))</f>
        <v>0.41068174962109105</v>
      </c>
      <c r="BP49">
        <f>EXP($C49*FixedParams!$B$47)*EXP(IF(BM49+BN49=1,(1-FixedParams!$B$47)*$D49,0))*($B49^((FixedParams!$B$47-1)*$B$10/($B$10-1)))*((1/$B49-1)^$B$10*(BO49)^($B$10-1)+1)^((FixedParams!$B$47-$B$10)/($B$10-1))/((1+IF(BM49=1,FixedParams!$C$25,IF(BN49=1,FixedParams!$C$23,FixedParams!$C$24)))^FixedParams!$B$47)</f>
        <v>3.9149866036172667E-2</v>
      </c>
      <c r="BQ49">
        <f t="shared" si="28"/>
        <v>1.1262536463748949</v>
      </c>
      <c r="BR49">
        <f t="shared" si="29"/>
        <v>28.724151903119562</v>
      </c>
      <c r="BS49">
        <f t="shared" si="6"/>
        <v>136.07321601743806</v>
      </c>
      <c r="BT49">
        <f t="shared" si="30"/>
        <v>164.79736792055763</v>
      </c>
      <c r="BU49" s="24">
        <f t="shared" si="31"/>
        <v>4.7372405102293005</v>
      </c>
      <c r="BV49" s="24">
        <f t="shared" si="32"/>
        <v>1.4697308052906297</v>
      </c>
      <c r="BW49" s="23">
        <f>IF(BM49=1,BR49*(1+FixedParams!$C$25)+BS49*(1+FixedParams!$C$28)/$BK$12,IF(BN49=1,BR49*(1+FixedParams!$C$23)+BS49*(1+FixedParams!$C$26)/$BK$12,BR49*(1+FixedParams!$C$24)+BS49*(1+FixedParams!$C$27)/$BK$12))</f>
        <v>492.70683415450947</v>
      </c>
      <c r="BX49" s="24">
        <f t="shared" si="33"/>
        <v>106.47305942498097</v>
      </c>
      <c r="BY49" s="24">
        <f>BX49^((FixedParams!$B$47-1)/FixedParams!$B$47)*EXP($C49)</f>
        <v>0.6673003795403355</v>
      </c>
      <c r="BZ49" s="24">
        <f t="shared" si="34"/>
        <v>-1.6946528992348445E-2</v>
      </c>
      <c r="CA49" s="24">
        <f t="shared" si="35"/>
        <v>-2.7301126003669417E-3</v>
      </c>
      <c r="CB49" s="24">
        <f t="shared" si="36"/>
        <v>1.459834331904031E-2</v>
      </c>
      <c r="CC49" s="24"/>
      <c r="CD49" s="24">
        <f>EXP(-$D$17)*(($B49*FixedParams!$B$30)^$B$10*(1+FixedParams!$D$24)^(1-$B$10)+(1-$B49)^$B$10*((1+FixedParams!$D$27)/$CE$12)^(1-$B$10))^(1/(1-$B$10))</f>
        <v>5.8016209586770691</v>
      </c>
      <c r="CE49" s="24">
        <f>EXP($D49-$D$17)*(($B49*FixedParams!$D$31)^$B$10*(1+FixedParams!$D$25)^(1-$B$10)+(1-$B49)^$B$10*((1+FixedParams!$D$28)/$CE$12)^(1-$B$10))^(1/(1-$B$10))</f>
        <v>4.519376241324176</v>
      </c>
      <c r="CF49" s="24">
        <f>EXP($D49-$D$17)*(($B49*FixedParams!$D$30)^$B$10*(1+FixedParams!$D$23)^(1-$B$10)+(1-$B49)^$B$10*((1+FixedParams!$D$26)/$CE$12)^(1-$B$10))^(1/(1-$B$10))</f>
        <v>4.6171009755350489</v>
      </c>
      <c r="CG49">
        <f>IF(FixedParams!$I$6=1,IF(CE49&lt;=MIN(CD49:CF49),1,0),$H49)</f>
        <v>1</v>
      </c>
      <c r="CH49">
        <f>IF(FixedParams!$I$6=1,IF(CF49&lt;=MIN(CD49:CF49),1,0),IF(CF49&lt;=CD49,1,0)*(1-$H49))</f>
        <v>0</v>
      </c>
      <c r="CI49" s="24">
        <f>$CE$13*IF(CG49=1,1,IF(CH49=1,FixedParams!$D$52,FixedParams!$D$53))</f>
        <v>0.39201585704839609</v>
      </c>
      <c r="CJ49">
        <f>EXP($C49*FixedParams!$B$47)*EXP(IF(CG49+CH49=1,(1-FixedParams!$B$47)*$D49,0))*($B49^((FixedParams!$B$47-1)*$B$10/($B$10-1)))*((1/$B49-1)^$B$10*(CI49)^($B$10-1)+1)^((FixedParams!$B$47-$B$10)/($B$10-1))/((1+IF(CG49=1,FixedParams!$D$25,IF(CH49=1,FixedParams!$D$23,FixedParams!$D$24)))^FixedParams!$B$47)</f>
        <v>4.2741479199399086E-2</v>
      </c>
      <c r="CK49">
        <f t="shared" si="37"/>
        <v>1.1253985424269872</v>
      </c>
      <c r="CL49">
        <f t="shared" si="41"/>
        <v>30.746205292398013</v>
      </c>
      <c r="CM49">
        <f t="shared" si="7"/>
        <v>135.83581838540579</v>
      </c>
      <c r="CN49">
        <f t="shared" si="42"/>
        <v>166.58202367780379</v>
      </c>
      <c r="CO49" s="24">
        <f t="shared" si="43"/>
        <v>4.4179701883077955</v>
      </c>
      <c r="CP49" s="24">
        <f t="shared" si="44"/>
        <v>1.4600837342403081</v>
      </c>
      <c r="CQ49" s="23">
        <f>IF(CG49=1,CL49*(1+FixedParams!$D$25)+CM49*(1+FixedParams!$D$28)/$CE$12,IF(CH49=1,CL49*(1+FixedParams!$D$23)+CM49*(1+FixedParams!$D$26)/$CE$12,CL49*(1+FixedParams!$D$24)+CM49*(1+FixedParams!$D$27)/$CE$12))</f>
        <v>483.06253479561803</v>
      </c>
      <c r="CR49" s="24">
        <f t="shared" si="45"/>
        <v>106.88699258508314</v>
      </c>
      <c r="CS49" s="24">
        <f>CR49^((FixedParams!$B$47-1)/FixedParams!$B$47)*EXP($C49)</f>
        <v>0.66729778773313975</v>
      </c>
      <c r="CT49" s="24"/>
    </row>
    <row r="50" spans="1:98" x14ac:dyDescent="0.15">
      <c r="A50">
        <v>0.16500000000000001</v>
      </c>
      <c r="B50">
        <f t="shared" si="8"/>
        <v>0.12837620932764782</v>
      </c>
      <c r="C50">
        <f>(D50-$D$17)*FixedParams!$B$47+$A50*$B$9</f>
        <v>-0.41233750155263404</v>
      </c>
      <c r="D50">
        <f>(A50-$B$6)*FixedParams!$B$46/(FixedParams!$B$45*Sectors!$B$6)</f>
        <v>-0.1820227290140907</v>
      </c>
      <c r="E50">
        <f t="shared" si="9"/>
        <v>0.6621007782981484</v>
      </c>
      <c r="F50" s="24">
        <f>EXP(-$D$17)*(($B50*FixedParams!$B$30)^$B$10*(1+FixedParams!$B$23)^(1-$B$10)+(1-$B50)^$B$10*((1+FixedParams!$B$26)/$B$11)^(1-$B$10))^(1/(1-$B$10))</f>
        <v>4.5883253130610848</v>
      </c>
      <c r="G50" s="24">
        <f>EXP($D50-$D$17)*(($B50*FixedParams!$B$31)^$B$10*(1+FixedParams!$B$25)^(1-$B$10)+(1-$B50)^$B$10*((1+FixedParams!$B$28)/$B$11)^(1-$B$10))^(1/(1-$B$10))</f>
        <v>3.7018868714454638</v>
      </c>
      <c r="H50">
        <f t="shared" si="10"/>
        <v>1</v>
      </c>
      <c r="I50" s="24">
        <f>$B$12*IF(H50=1,1,FixedParams!$B$52)</f>
        <v>0.3745928365283252</v>
      </c>
      <c r="J50">
        <f>EXP($C50*FixedParams!$B$47)*EXP(IF(H50=1,(1-FixedParams!$B$47)*$D50,0))*($B50^((FixedParams!$B$47-1)*$B$10/($B$10-1)))*((1/$B50-1)^$B$10*(I50)^($B$10-1)+1)^((FixedParams!$B$47-$B$10)/($B$10-1))/((1+IF(H50=1,FixedParams!$B$25,FixedParams!$B$24))^FixedParams!$B$47)</f>
        <v>5.5960733838820061E-2</v>
      </c>
      <c r="K50">
        <f t="shared" si="38"/>
        <v>1.1283129081108405</v>
      </c>
      <c r="L50">
        <f>K50*FixedParams!$B$8/K$15</f>
        <v>32.803587190755444</v>
      </c>
      <c r="M50">
        <f t="shared" si="0"/>
        <v>133.05381510044961</v>
      </c>
      <c r="N50">
        <f t="shared" si="11"/>
        <v>165.85740229120506</v>
      </c>
      <c r="O50" s="24">
        <f t="shared" si="12"/>
        <v>4.0560751580835106</v>
      </c>
      <c r="P50" s="24">
        <f t="shared" si="1"/>
        <v>1.4474935128045034</v>
      </c>
      <c r="Q50" s="23">
        <f>IF(H50=1,L50*(1+FixedParams!$B$25)+M50*FixedParams!$B$33*(1+FixedParams!$B$28)/FixedParams!$B$32,L50*(1+FixedParams!$B$23)+M50*FixedParams!$B$33*(1+FixedParams!$B$26)/FixedParams!$B$32)</f>
        <v>388.6794210766908</v>
      </c>
      <c r="R50" s="24">
        <f t="shared" si="2"/>
        <v>104.99494840719549</v>
      </c>
      <c r="S50" s="24">
        <f>R50^((FixedParams!$B$47-1)/FixedParams!$B$47)*EXP($C50)</f>
        <v>0.65902350834478807</v>
      </c>
      <c r="T50" s="7">
        <f>(L50*FixedParams!$B$32*(FixedParams!$C$25-FixedParams!$C$23)+FixedParams!$B$33*(FixedParams!$C$28-FixedParams!$C$26)*M50)/N50</f>
        <v>-2214.0402906242375</v>
      </c>
      <c r="U50" s="7">
        <f>(L50*FixedParams!$B$32*(FixedParams!$C$25-FixedParams!$C$23)*$Z$12/$B$11+FixedParams!$B$33*(FixedParams!$C$28-FixedParams!$C$26)*M50)/N50</f>
        <v>-2412.6792454523802</v>
      </c>
      <c r="V50" s="14">
        <f t="shared" si="13"/>
        <v>-2.3821314083606699</v>
      </c>
      <c r="W50" s="14">
        <f t="shared" ref="W50:W81" si="46">N50/(N$15*COUNT($N$17:$N$217))+W49</f>
        <v>0.33226534774323635</v>
      </c>
      <c r="X50" s="73">
        <f t="shared" si="15"/>
        <v>0.98518409869477019</v>
      </c>
      <c r="Y50" s="24">
        <f>EXP(-$D$17)*(($B50*FixedParams!$B$30)^$B$10*(1+FixedParams!$C$24)^(1-$B$10)+(1-$B50)^$B$10*((1+FixedParams!$C$27)/$Z$12)^(1-$B$10))^(1/(1-$B$10))</f>
        <v>5.871047637574943</v>
      </c>
      <c r="Z50" s="24">
        <f>EXP($D50-$D$17)*(($B50*FixedParams!$C$31)^$B$10*(1+FixedParams!$C$25)^(1-$B$10)+(1-$B50)^$B$10*((1+FixedParams!$C$28)/$Z$12)^(1-$B$10))^(1/(1-$B$10))</f>
        <v>4.437514087146857</v>
      </c>
      <c r="AA50" s="24">
        <f>EXP($D50-$D$17)*(($B50*FixedParams!$C$30)^$B$10*(1+FixedParams!$C$23)^(1-$B$10)+(1-$B50)^$B$10*((1+FixedParams!$C$26)/$Z$12)^(1-$B$10))^(1/(1-$B$10))</f>
        <v>4.5791023783102789</v>
      </c>
      <c r="AB50">
        <f>IF(FixedParams!$I$6=1,IF(Z50&lt;=MIN(Y50:AA50),1,0),$H50)</f>
        <v>1</v>
      </c>
      <c r="AC50">
        <f>IF(FixedParams!$I$6=1,IF(AA50&lt;=MIN(Y50:AA50),1,0),IF(AA50&lt;=Y50,1,0)*(1-$H50))</f>
        <v>0</v>
      </c>
      <c r="AD50" s="24">
        <f>$Z$13*IF(AB50=1,1,IF(AC50=1,FixedParams!$C$52,FixedParams!$C$53))</f>
        <v>0.43187184563106507</v>
      </c>
      <c r="AE50">
        <f>EXP($C50*FixedParams!$B$47)*EXP(IF(AB50+AC50=1,(1-FixedParams!$B$47)*$D50,0))*($B50^((FixedParams!$B$47-1)*$B$10/($B$10-1)))*((1/$B50-1)^$B$10*(AD50)^($B$10-1)+1)^((FixedParams!$B$47-$B$10)/($B$10-1))/((1+IF(AB50=1,FixedParams!$C$25,IF(AC50=1,FixedParams!$C$23,FixedParams!$C$24)))^FixedParams!$B$47)</f>
        <v>3.8383001190538182E-2</v>
      </c>
      <c r="AF50">
        <f t="shared" si="39"/>
        <v>1.1310388453946079</v>
      </c>
      <c r="AG50">
        <f t="shared" si="40"/>
        <v>26.56636562795773</v>
      </c>
      <c r="AH50">
        <f t="shared" si="3"/>
        <v>133.39245831081377</v>
      </c>
      <c r="AI50">
        <f t="shared" si="16"/>
        <v>159.9588239387715</v>
      </c>
      <c r="AJ50" s="24">
        <f t="shared" si="17"/>
        <v>5.0211030059164408</v>
      </c>
      <c r="AK50" s="24">
        <f t="shared" si="18"/>
        <v>1.482102288892615</v>
      </c>
      <c r="AL50" s="23">
        <f>IF(AB50=1,AG50*(1+FixedParams!$C$25)+AH50*(1+FixedParams!$C$28)/$Z$12,IF(AC50=1,AG50*(1+FixedParams!$C$23)+AH50*(1+FixedParams!$C$26)/$Z$12,AG50*(1+FixedParams!$C$24)+AH50*(1+FixedParams!$C$27)/$Z$12))</f>
        <v>459.01358882769779</v>
      </c>
      <c r="AM50" s="24">
        <f t="shared" si="19"/>
        <v>103.43935361404679</v>
      </c>
      <c r="AN50" s="24">
        <f>AM50^((FixedParams!$B$47-1)/FixedParams!$B$47)*EXP($C50)</f>
        <v>0.65903335534644192</v>
      </c>
      <c r="AO50" s="24">
        <f t="shared" si="20"/>
        <v>-3.6211965112423708E-2</v>
      </c>
      <c r="AP50" s="24">
        <f t="shared" si="21"/>
        <v>-1.492675304590052E-2</v>
      </c>
      <c r="AQ50" s="14">
        <f t="shared" si="22"/>
        <v>-2.453276020242555</v>
      </c>
      <c r="AS50" s="24">
        <f>EXP(-$D$17)*(($B50*FixedParams!$B$30)^$B$10*(1+FixedParams!$D$24)^(1-$B$10)+(1-$B50)^$B$10*((1+FixedParams!$D$27)/$AT$12)^(1-$B$10))^(1/(1-$B$10))</f>
        <v>5.5650498160154829</v>
      </c>
      <c r="AT50" s="24">
        <f>EXP($D50-$D$17)*(($B50*FixedParams!$C$31)^$B$10*(1+FixedParams!$D$25)^(1-$B$10)+(1-$B50)^$B$10*((1+FixedParams!$D$28)/$AT$12)^(1-$B$10))^(1/(1-$B$10))</f>
        <v>4.3470223520242506</v>
      </c>
      <c r="AU50" s="24">
        <f>EXP($D50-$D$17)*(($B50*FixedParams!$C$30)^$B$10*(1+FixedParams!$D$23)^(1-$B$10)+(1-$B50)^$B$10*((1+FixedParams!$D$26)/$AT$12)^(1-$B$10))^(1/(1-$B$10))</f>
        <v>4.4413942629618823</v>
      </c>
      <c r="AV50">
        <f>IF(FixedParams!$I$6=1,IF(AT50&lt;=MIN(AS50:AU50),1,0),$H50)</f>
        <v>1</v>
      </c>
      <c r="AW50">
        <f>IF(FixedParams!$I$6=1,IF(AU50&lt;=MIN(AS50:AU50),1,0),IF(AU50&lt;=AS50,1,0)*(1-$H50))</f>
        <v>0</v>
      </c>
      <c r="AX50" s="24">
        <f>$AT$13*IF(AV50=1,1,IF(AW50=1,FixedParams!$D$52,FixedParams!$D$53))</f>
        <v>0.41089128090616783</v>
      </c>
      <c r="AY50">
        <f>EXP($C50*FixedParams!$B$47)*EXP(IF(AV50+AW50=1,(1-FixedParams!$B$47)*$D50,0))*($B50^((FixedParams!$B$47-1)*$B$10/($B$10-1)))*((1/$B50-1)^$B$10*(AX50)^($B$10-1)+1)^((FixedParams!$B$47-$B$10)/($B$10-1))/((1+IF(AV50=1,FixedParams!$D$25,IF(AW50=1,FixedParams!$D$23,FixedParams!$D$24)))^FixedParams!$B$47)</f>
        <v>4.196824044777981E-2</v>
      </c>
      <c r="AZ50">
        <f t="shared" si="4"/>
        <v>1.1301031894232334</v>
      </c>
      <c r="BA50">
        <f t="shared" si="23"/>
        <v>28.433245102632032</v>
      </c>
      <c r="BB50">
        <f t="shared" si="5"/>
        <v>132.4901552880512</v>
      </c>
      <c r="BC50">
        <f t="shared" si="24"/>
        <v>160.92340039068324</v>
      </c>
      <c r="BD50" s="24">
        <f t="shared" si="25"/>
        <v>4.65969166761717</v>
      </c>
      <c r="BE50" s="24">
        <f t="shared" si="26"/>
        <v>1.4720224346945237</v>
      </c>
      <c r="BF50" s="23">
        <f>IF(AV50=1,BA50*(1+FixedParams!$C$25)+BB50*(1+FixedParams!$C$28)/$AT$12,IF(AW50=1,BA50*(1+FixedParams!$C$23)+BB50*(1+FixedParams!$C$26)/$AT$12,BA50*(1+FixedParams!$C$24)+BB50*(1+FixedParams!$C$27)/$AT$12))</f>
        <v>452.96450010848133</v>
      </c>
      <c r="BG50" s="24">
        <f t="shared" si="27"/>
        <v>104.20109753922756</v>
      </c>
      <c r="BH50" s="24">
        <f>BG50^((FixedParams!$B$47-1)/FixedParams!$B$47)*EXP($C50)</f>
        <v>0.65902851507973759</v>
      </c>
      <c r="BI50" s="7"/>
      <c r="BJ50" s="24">
        <f>EXP(-$D$17)*(($B50*FixedParams!$B$30)^$B$10*(1+FixedParams!$C$24)^(1-$B$10)+(1-$B50)^$B$10*((1+FixedParams!$C$27)/$BK$12)^(1-$B$10))^(1/(1-$B$10))</f>
        <v>6.1502853721739559</v>
      </c>
      <c r="BK50" s="24">
        <f>EXP($D50-$D$17)*(($B50*FixedParams!$C$31)^$B$10*(1+FixedParams!$C$25)^(1-$B$10)+(1-$B50)^$B$10*((1+FixedParams!$C$28)/$BK$12)^(1-$B$10))^(1/(1-$B$10))</f>
        <v>4.6477053366711978</v>
      </c>
      <c r="BL50" s="24">
        <f>EXP($D50-$D$17)*(($B50*FixedParams!$C$30)^$B$10*(1+FixedParams!$C$23)^(1-$B$10)+(1-$B50)^$B$10*((1+FixedParams!$C$26)/$BK$12)^(1-$B$10))^(1/(1-$B$10))</f>
        <v>4.7939661237056335</v>
      </c>
      <c r="BM50">
        <f>IF(FixedParams!$I$6=1,IF(BK50&lt;=MIN(BJ50:BL50),1,0),$H50)</f>
        <v>1</v>
      </c>
      <c r="BN50">
        <f>IF(FixedParams!$I$6=1,IF(BL50&lt;=MIN(BJ50:BL50),1,0),IF(BL50&lt;=BJ50,1,0)*(1-$H50))</f>
        <v>0</v>
      </c>
      <c r="BO50" s="24">
        <f>$BK$13*IF(BM50=1,1,IF(BN50=1,FixedParams!$C$52,FixedParams!$C$53))</f>
        <v>0.41068174962109105</v>
      </c>
      <c r="BP50">
        <f>EXP($C50*FixedParams!$B$47)*EXP(IF(BM50+BN50=1,(1-FixedParams!$B$47)*$D50,0))*($B50^((FixedParams!$B$47-1)*$B$10/($B$10-1)))*((1/$B50-1)^$B$10*(BO50)^($B$10-1)+1)^((FixedParams!$B$47-$B$10)/($B$10-1))/((1+IF(BM50=1,FixedParams!$C$25,IF(BN50=1,FixedParams!$C$23,FixedParams!$C$24)))^FixedParams!$B$47)</f>
        <v>3.9283343902792388E-2</v>
      </c>
      <c r="BQ50">
        <f t="shared" si="28"/>
        <v>1.1300935045713931</v>
      </c>
      <c r="BR50">
        <f t="shared" si="29"/>
        <v>28.822084256526519</v>
      </c>
      <c r="BS50">
        <f t="shared" si="6"/>
        <v>134.19930930940438</v>
      </c>
      <c r="BT50">
        <f t="shared" si="30"/>
        <v>163.02139356593091</v>
      </c>
      <c r="BU50" s="24">
        <f t="shared" si="31"/>
        <v>4.6561278537313298</v>
      </c>
      <c r="BV50" s="24">
        <f t="shared" si="32"/>
        <v>1.4761399369413732</v>
      </c>
      <c r="BW50" s="23">
        <f>IF(BM50=1,BR50*(1+FixedParams!$C$25)+BS50*(1+FixedParams!$C$28)/$BK$12,IF(BN50=1,BR50*(1+FixedParams!$C$23)+BS50*(1+FixedParams!$C$26)/$BK$12,BR50*(1+FixedParams!$C$24)+BS50*(1+FixedParams!$C$27)/$BK$12))</f>
        <v>486.59692492644416</v>
      </c>
      <c r="BX50" s="24">
        <f t="shared" si="33"/>
        <v>104.69616502731151</v>
      </c>
      <c r="BY50" s="24">
        <f>BX50^((FixedParams!$B$47-1)/FixedParams!$B$47)*EXP($C50)</f>
        <v>0.65902538827937285</v>
      </c>
      <c r="BZ50" s="24">
        <f t="shared" si="34"/>
        <v>-1.724695577815568E-2</v>
      </c>
      <c r="CA50" s="24">
        <f t="shared" si="35"/>
        <v>-2.8497495882747158E-3</v>
      </c>
      <c r="CB50" s="24">
        <f t="shared" si="36"/>
        <v>1.4478706331132535E-2</v>
      </c>
      <c r="CC50" s="24"/>
      <c r="CD50" s="24">
        <f>EXP(-$D$17)*(($B50*FixedParams!$B$30)^$B$10*(1+FixedParams!$D$24)^(1-$B$10)+(1-$B50)^$B$10*((1+FixedParams!$D$27)/$CE$12)^(1-$B$10))^(1/(1-$B$10))</f>
        <v>5.8112787775441124</v>
      </c>
      <c r="CE50" s="24">
        <f>EXP($D50-$D$17)*(($B50*FixedParams!$D$31)^$B$10*(1+FixedParams!$D$25)^(1-$B$10)+(1-$B50)^$B$10*((1+FixedParams!$D$28)/$CE$12)^(1-$B$10))^(1/(1-$B$10))</f>
        <v>4.538811833572117</v>
      </c>
      <c r="CF50" s="24">
        <f>EXP($D50-$D$17)*(($B50*FixedParams!$D$30)^$B$10*(1+FixedParams!$D$23)^(1-$B$10)+(1-$B50)^$B$10*((1+FixedParams!$D$26)/$CE$12)^(1-$B$10))^(1/(1-$B$10))</f>
        <v>4.6358658453728765</v>
      </c>
      <c r="CG50">
        <f>IF(FixedParams!$I$6=1,IF(CE50&lt;=MIN(CD50:CF50),1,0),$H50)</f>
        <v>1</v>
      </c>
      <c r="CH50">
        <f>IF(FixedParams!$I$6=1,IF(CF50&lt;=MIN(CD50:CF50),1,0),IF(CF50&lt;=CD50,1,0)*(1-$H50))</f>
        <v>0</v>
      </c>
      <c r="CI50" s="24">
        <f>$CE$13*IF(CG50=1,1,IF(CH50=1,FixedParams!$D$52,FixedParams!$D$53))</f>
        <v>0.39201585704839609</v>
      </c>
      <c r="CJ50">
        <f>EXP($C50*FixedParams!$B$47)*EXP(IF(CG50+CH50=1,(1-FixedParams!$B$47)*$D50,0))*($B50^((FixedParams!$B$47-1)*$B$10/($B$10-1)))*((1/$B50-1)^$B$10*(CI50)^($B$10-1)+1)^((FixedParams!$B$47-$B$10)/($B$10-1))/((1+IF(CG50=1,FixedParams!$D$25,IF(CH50=1,FixedParams!$D$23,FixedParams!$D$24)))^FixedParams!$B$47)</f>
        <v>4.2885913406634266E-2</v>
      </c>
      <c r="CK50">
        <f t="shared" si="37"/>
        <v>1.129201547127427</v>
      </c>
      <c r="CL50">
        <f t="shared" si="41"/>
        <v>30.850104452419597</v>
      </c>
      <c r="CM50">
        <f t="shared" si="7"/>
        <v>133.96115475820403</v>
      </c>
      <c r="CN50">
        <f t="shared" si="42"/>
        <v>164.81125921062363</v>
      </c>
      <c r="CO50" s="24">
        <f t="shared" si="43"/>
        <v>4.3423241877450875</v>
      </c>
      <c r="CP50" s="24">
        <f t="shared" si="44"/>
        <v>1.4663628290957147</v>
      </c>
      <c r="CQ50" s="23">
        <f>IF(CG50=1,CL50*(1+FixedParams!$D$25)+CM50*(1+FixedParams!$D$28)/$CE$12,IF(CH50=1,CL50*(1+FixedParams!$D$23)+CM50*(1+FixedParams!$D$26)/$CE$12,CL50*(1+FixedParams!$D$24)+CM50*(1+FixedParams!$D$27)/$CE$12))</f>
        <v>477.07219300348748</v>
      </c>
      <c r="CR50" s="24">
        <f t="shared" si="45"/>
        <v>105.1094891122693</v>
      </c>
      <c r="CS50" s="24">
        <f>CR50^((FixedParams!$B$47-1)/FixedParams!$B$47)*EXP($C50)</f>
        <v>0.65902278907826484</v>
      </c>
      <c r="CT50" s="24"/>
    </row>
    <row r="51" spans="1:98" x14ac:dyDescent="0.15">
      <c r="A51">
        <v>0.17</v>
      </c>
      <c r="B51">
        <f t="shared" si="8"/>
        <v>0.12967007099621092</v>
      </c>
      <c r="C51">
        <f>(D51-$D$17)*FixedParams!$B$47+$A51*$B$9</f>
        <v>-0.42483257735725932</v>
      </c>
      <c r="D51">
        <f>(A51-$B$6)*FixedParams!$B$46/(FixedParams!$B$45*Sectors!$B$6)</f>
        <v>-0.17930597186462666</v>
      </c>
      <c r="E51">
        <f t="shared" si="9"/>
        <v>0.65387925015822423</v>
      </c>
      <c r="F51" s="24">
        <f>EXP(-$D$17)*(($B51*FixedParams!$B$30)^$B$10*(1+FixedParams!$B$23)^(1-$B$10)+(1-$B51)^$B$10*((1+FixedParams!$B$26)/$B$11)^(1-$B$10))^(1/(1-$B$10))</f>
        <v>4.5955362095154451</v>
      </c>
      <c r="G51" s="24">
        <f>EXP($D51-$D$17)*(($B51*FixedParams!$B$31)^$B$10*(1+FixedParams!$B$25)^(1-$B$10)+(1-$B51)^$B$10*((1+FixedParams!$B$28)/$B$11)^(1-$B$10))^(1/(1-$B$10))</f>
        <v>3.7175784377152419</v>
      </c>
      <c r="H51">
        <f t="shared" si="10"/>
        <v>1</v>
      </c>
      <c r="I51" s="24">
        <f>$B$12*IF(H51=1,1,FixedParams!$B$52)</f>
        <v>0.3745928365283252</v>
      </c>
      <c r="J51">
        <f>EXP($C51*FixedParams!$B$47)*EXP(IF(H51=1,(1-FixedParams!$B$47)*$D51,0))*($B51^((FixedParams!$B$47-1)*$B$10/($B$10-1)))*((1/$B51-1)^$B$10*(I51)^($B$10-1)+1)^((FixedParams!$B$47-$B$10)/($B$10-1))/((1+IF(H51=1,FixedParams!$B$25,FixedParams!$B$24))^FixedParams!$B$47)</f>
        <v>5.6146861611183631E-2</v>
      </c>
      <c r="K51">
        <f t="shared" si="38"/>
        <v>1.1320657246611132</v>
      </c>
      <c r="L51">
        <f>K51*FixedParams!$B$8/K$15</f>
        <v>32.912693311967772</v>
      </c>
      <c r="M51">
        <f t="shared" si="0"/>
        <v>131.21058731305658</v>
      </c>
      <c r="N51">
        <f t="shared" si="11"/>
        <v>164.12328062502434</v>
      </c>
      <c r="O51" s="24">
        <f t="shared" si="12"/>
        <v>3.9866256483283777</v>
      </c>
      <c r="P51" s="24">
        <f t="shared" si="1"/>
        <v>1.4536291515125488</v>
      </c>
      <c r="Q51" s="23">
        <f>IF(H51=1,L51*(1+FixedParams!$B$25)+M51*FixedParams!$B$33*(1+FixedParams!$B$28)/FixedParams!$B$32,L51*(1+FixedParams!$B$23)+M51*FixedParams!$B$33*(1+FixedParams!$B$26)/FixedParams!$B$32)</f>
        <v>383.85947789217192</v>
      </c>
      <c r="R51" s="24">
        <f t="shared" si="2"/>
        <v>103.25524647923372</v>
      </c>
      <c r="S51" s="24">
        <f>R51^((FixedParams!$B$47-1)/FixedParams!$B$47)*EXP($C51)</f>
        <v>0.65085107704218703</v>
      </c>
      <c r="T51" s="7">
        <f>(L51*FixedParams!$B$32*(FixedParams!$C$25-FixedParams!$C$23)+FixedParams!$B$33*(FixedParams!$C$28-FixedParams!$C$26)*M51)/N51</f>
        <v>-2182.7902185391476</v>
      </c>
      <c r="U51" s="7">
        <f>(L51*FixedParams!$B$32*(FixedParams!$C$25-FixedParams!$C$23)*$Z$12/$B$11+FixedParams!$B$33*(FixedParams!$C$28-FixedParams!$C$26)*M51)/N51</f>
        <v>-2384.1956489369395</v>
      </c>
      <c r="V51" s="14">
        <f t="shared" si="13"/>
        <v>-2.3648607830645867</v>
      </c>
      <c r="W51" s="14">
        <f t="shared" si="46"/>
        <v>0.34031524537795399</v>
      </c>
      <c r="X51" s="73">
        <f t="shared" si="15"/>
        <v>0.98500105367371027</v>
      </c>
      <c r="Y51" s="24">
        <f>EXP(-$D$17)*(($B51*FixedParams!$B$30)^$B$10*(1+FixedParams!$C$24)^(1-$B$10)+(1-$B51)^$B$10*((1+FixedParams!$C$27)/$Z$12)^(1-$B$10))^(1/(1-$B$10))</f>
        <v>5.8817805018606446</v>
      </c>
      <c r="Z51" s="24">
        <f>EXP($D51-$D$17)*(($B51*FixedParams!$C$31)^$B$10*(1+FixedParams!$C$25)^(1-$B$10)+(1-$B51)^$B$10*((1+FixedParams!$C$28)/$Z$12)^(1-$B$10))^(1/(1-$B$10))</f>
        <v>4.4571527896741703</v>
      </c>
      <c r="AA51" s="24">
        <f>EXP($D51-$D$17)*(($B51*FixedParams!$C$30)^$B$10*(1+FixedParams!$C$23)^(1-$B$10)+(1-$B51)^$B$10*((1+FixedParams!$C$26)/$Z$12)^(1-$B$10))^(1/(1-$B$10))</f>
        <v>4.5980327156957452</v>
      </c>
      <c r="AB51">
        <f>IF(FixedParams!$I$6=1,IF(Z51&lt;=MIN(Y51:AA51),1,0),$H51)</f>
        <v>1</v>
      </c>
      <c r="AC51">
        <f>IF(FixedParams!$I$6=1,IF(AA51&lt;=MIN(Y51:AA51),1,0),IF(AA51&lt;=Y51,1,0)*(1-$H51))</f>
        <v>0</v>
      </c>
      <c r="AD51" s="24">
        <f>$Z$13*IF(AB51=1,1,IF(AC51=1,FixedParams!$C$52,FixedParams!$C$53))</f>
        <v>0.43187184563106507</v>
      </c>
      <c r="AE51">
        <f>EXP($C51*FixedParams!$B$47)*EXP(IF(AB51+AC51=1,(1-FixedParams!$B$47)*$D51,0))*($B51^((FixedParams!$B$47-1)*$B$10/($B$10-1)))*((1/$B51-1)^$B$10*(AD51)^($B$10-1)+1)^((FixedParams!$B$47-$B$10)/($B$10-1))/((1+IF(AB51=1,FixedParams!$C$25,IF(AC51=1,FixedParams!$C$23,FixedParams!$C$24)))^FixedParams!$B$47)</f>
        <v>3.8514253521367857E-2</v>
      </c>
      <c r="AF51">
        <f t="shared" si="39"/>
        <v>1.134906481590642</v>
      </c>
      <c r="AG51">
        <f t="shared" si="40"/>
        <v>26.657210462967722</v>
      </c>
      <c r="AH51">
        <f t="shared" si="3"/>
        <v>131.55679796385769</v>
      </c>
      <c r="AI51">
        <f t="shared" si="16"/>
        <v>158.21400842682542</v>
      </c>
      <c r="AJ51" s="24">
        <f t="shared" si="17"/>
        <v>4.93512995842595</v>
      </c>
      <c r="AK51" s="24">
        <f t="shared" si="18"/>
        <v>1.4886614942032907</v>
      </c>
      <c r="AL51" s="23">
        <f>IF(AB51=1,AG51*(1+FixedParams!$C$25)+AH51*(1+FixedParams!$C$28)/$Z$12,IF(AC51=1,AG51*(1+FixedParams!$C$23)+AH51*(1+FixedParams!$C$26)/$Z$12,AG51*(1+FixedParams!$C$24)+AH51*(1+FixedParams!$C$27)/$Z$12))</f>
        <v>453.32152867137103</v>
      </c>
      <c r="AM51" s="24">
        <f t="shared" si="19"/>
        <v>101.70652657938388</v>
      </c>
      <c r="AN51" s="24">
        <f>AM51^((FixedParams!$B$47-1)/FixedParams!$B$47)*EXP($C51)</f>
        <v>0.6508609229937562</v>
      </c>
      <c r="AO51" s="24">
        <f t="shared" si="20"/>
        <v>-3.6669256303626406E-2</v>
      </c>
      <c r="AP51" s="24">
        <f t="shared" si="21"/>
        <v>-1.5112568091117509E-2</v>
      </c>
      <c r="AQ51" s="14">
        <f t="shared" si="22"/>
        <v>-2.4360053949464717</v>
      </c>
      <c r="AS51" s="24">
        <f>EXP(-$D$17)*(($B51*FixedParams!$B$30)^$B$10*(1+FixedParams!$D$24)^(1-$B$10)+(1-$B51)^$B$10*((1+FixedParams!$D$27)/$AT$12)^(1-$B$10))^(1/(1-$B$10))</f>
        <v>5.5746497030059832</v>
      </c>
      <c r="AT51" s="24">
        <f>EXP($D51-$D$17)*(($B51*FixedParams!$C$31)^$B$10*(1+FixedParams!$D$25)^(1-$B$10)+(1-$B51)^$B$10*((1+FixedParams!$D$28)/$AT$12)^(1-$B$10))^(1/(1-$B$10))</f>
        <v>4.365981817599085</v>
      </c>
      <c r="AU51" s="24">
        <f>EXP($D51-$D$17)*(($B51*FixedParams!$C$30)^$B$10*(1+FixedParams!$D$23)^(1-$B$10)+(1-$B51)^$B$10*((1+FixedParams!$D$26)/$AT$12)^(1-$B$10))^(1/(1-$B$10))</f>
        <v>4.4597212158032056</v>
      </c>
      <c r="AV51">
        <f>IF(FixedParams!$I$6=1,IF(AT51&lt;=MIN(AS51:AU51),1,0),$H51)</f>
        <v>1</v>
      </c>
      <c r="AW51">
        <f>IF(FixedParams!$I$6=1,IF(AU51&lt;=MIN(AS51:AU51),1,0),IF(AU51&lt;=AS51,1,0)*(1-$H51))</f>
        <v>0</v>
      </c>
      <c r="AX51" s="24">
        <f>$AT$13*IF(AV51=1,1,IF(AW51=1,FixedParams!$D$52,FixedParams!$D$53))</f>
        <v>0.41089128090616783</v>
      </c>
      <c r="AY51">
        <f>EXP($C51*FixedParams!$B$47)*EXP(IF(AV51+AW51=1,(1-FixedParams!$B$47)*$D51,0))*($B51^((FixedParams!$B$47-1)*$B$10/($B$10-1)))*((1/$B51-1)^$B$10*(AX51)^($B$10-1)+1)^((FixedParams!$B$47-$B$10)/($B$10-1))/((1+IF(AV51=1,FixedParams!$D$25,IF(AW51=1,FixedParams!$D$23,FixedParams!$D$24)))^FixedParams!$B$47)</f>
        <v>4.2110405675275304E-2</v>
      </c>
      <c r="AZ51">
        <f t="shared" si="4"/>
        <v>1.13393135508621</v>
      </c>
      <c r="BA51">
        <f t="shared" si="23"/>
        <v>28.529561238722621</v>
      </c>
      <c r="BB51">
        <f t="shared" si="5"/>
        <v>130.66273234546375</v>
      </c>
      <c r="BC51">
        <f t="shared" si="24"/>
        <v>159.19229358418636</v>
      </c>
      <c r="BD51" s="24">
        <f t="shared" si="25"/>
        <v>4.5799068289952443</v>
      </c>
      <c r="BE51" s="24">
        <f t="shared" si="26"/>
        <v>1.478442636022216</v>
      </c>
      <c r="BF51" s="23">
        <f>IF(AV51=1,BA51*(1+FixedParams!$C$25)+BB51*(1+FixedParams!$C$28)/$AT$12,IF(AW51=1,BA51*(1+FixedParams!$C$23)+BB51*(1+FixedParams!$C$26)/$AT$12,BA51*(1+FixedParams!$C$24)+BB51*(1+FixedParams!$C$27)/$AT$12))</f>
        <v>447.38526422249953</v>
      </c>
      <c r="BG51" s="24">
        <f t="shared" si="27"/>
        <v>102.47071172378887</v>
      </c>
      <c r="BH51" s="24">
        <f>BG51^((FixedParams!$B$47-1)/FixedParams!$B$47)*EXP($C51)</f>
        <v>0.65085604608790537</v>
      </c>
      <c r="BI51" s="7"/>
      <c r="BJ51" s="24">
        <f>EXP(-$D$17)*(($B51*FixedParams!$B$30)^$B$10*(1+FixedParams!$C$24)^(1-$B$10)+(1-$B51)^$B$10*((1+FixedParams!$C$27)/$BK$12)^(1-$B$10))^(1/(1-$B$10))</f>
        <v>6.1611480671875558</v>
      </c>
      <c r="BK51" s="24">
        <f>EXP($D51-$D$17)*(($B51*FixedParams!$C$31)^$B$10*(1+FixedParams!$C$25)^(1-$B$10)+(1-$B51)^$B$10*((1+FixedParams!$C$28)/$BK$12)^(1-$B$10))^(1/(1-$B$10))</f>
        <v>4.6679731412752803</v>
      </c>
      <c r="BL51" s="24">
        <f>EXP($D51-$D$17)*(($B51*FixedParams!$C$30)^$B$10*(1+FixedParams!$C$23)^(1-$B$10)+(1-$B51)^$B$10*((1+FixedParams!$C$26)/$BK$12)^(1-$B$10))^(1/(1-$B$10))</f>
        <v>4.813444734654535</v>
      </c>
      <c r="BM51">
        <f>IF(FixedParams!$I$6=1,IF(BK51&lt;=MIN(BJ51:BL51),1,0),$H51)</f>
        <v>1</v>
      </c>
      <c r="BN51">
        <f>IF(FixedParams!$I$6=1,IF(BL51&lt;=MIN(BJ51:BL51),1,0),IF(BL51&lt;=BJ51,1,0)*(1-$H51))</f>
        <v>0</v>
      </c>
      <c r="BO51" s="24">
        <f>$BK$13*IF(BM51=1,1,IF(BN51=1,FixedParams!$C$52,FixedParams!$C$53))</f>
        <v>0.41068174962109105</v>
      </c>
      <c r="BP51">
        <f>EXP($C51*FixedParams!$B$47)*EXP(IF(BM51+BN51=1,(1-FixedParams!$B$47)*$D51,0))*($B51^((FixedParams!$B$47-1)*$B$10/($B$10-1)))*((1/$B51-1)^$B$10*(BO51)^($B$10-1)+1)^((FixedParams!$B$47-$B$10)/($B$10-1))/((1+IF(BM51=1,FixedParams!$C$25,IF(BN51=1,FixedParams!$C$23,FixedParams!$C$24)))^FixedParams!$B$47)</f>
        <v>3.9416401133074222E-2</v>
      </c>
      <c r="BQ51">
        <f t="shared" si="28"/>
        <v>1.1339212620059396</v>
      </c>
      <c r="BR51">
        <f t="shared" si="29"/>
        <v>28.919707990178438</v>
      </c>
      <c r="BS51">
        <f t="shared" si="6"/>
        <v>132.34826836483052</v>
      </c>
      <c r="BT51">
        <f t="shared" si="30"/>
        <v>161.26797635500895</v>
      </c>
      <c r="BU51" s="24">
        <f t="shared" si="31"/>
        <v>4.5764040359528506</v>
      </c>
      <c r="BV51" s="24">
        <f t="shared" si="32"/>
        <v>1.4825771169351545</v>
      </c>
      <c r="BW51" s="23">
        <f>IF(BM51=1,BR51*(1+FixedParams!$C$25)+BS51*(1+FixedParams!$C$28)/$BK$12,IF(BN51=1,BR51*(1+FixedParams!$C$23)+BS51*(1+FixedParams!$C$26)/$BK$12,BR51*(1+FixedParams!$C$24)+BS51*(1+FixedParams!$C$27)/$BK$12))</f>
        <v>480.56278287697563</v>
      </c>
      <c r="BX51" s="24">
        <f t="shared" si="33"/>
        <v>102.94891772785284</v>
      </c>
      <c r="BY51" s="24">
        <f>BX51^((FixedParams!$B$47-1)/FixedParams!$B$47)*EXP($C51)</f>
        <v>0.65085301273942275</v>
      </c>
      <c r="BZ51" s="24">
        <f t="shared" si="34"/>
        <v>-1.7550425825415272E-2</v>
      </c>
      <c r="CA51" s="24">
        <f t="shared" si="35"/>
        <v>-2.9711230896204022E-3</v>
      </c>
      <c r="CB51" s="24">
        <f t="shared" si="36"/>
        <v>1.4357332829786849E-2</v>
      </c>
      <c r="CC51" s="24"/>
      <c r="CD51" s="24">
        <f>EXP(-$D$17)*(($B51*FixedParams!$B$30)^$B$10*(1+FixedParams!$D$24)^(1-$B$10)+(1-$B51)^$B$10*((1+FixedParams!$D$27)/$CE$12)^(1-$B$10))^(1/(1-$B$10))</f>
        <v>5.8209555091657315</v>
      </c>
      <c r="CE51" s="24">
        <f>EXP($D51-$D$17)*(($B51*FixedParams!$D$31)^$B$10*(1+FixedParams!$D$25)^(1-$B$10)+(1-$B51)^$B$10*((1+FixedParams!$D$28)/$CE$12)^(1-$B$10))^(1/(1-$B$10))</f>
        <v>4.5583273377795885</v>
      </c>
      <c r="CF51" s="24">
        <f>EXP($D51-$D$17)*(($B51*FixedParams!$D$30)^$B$10*(1+FixedParams!$D$23)^(1-$B$10)+(1-$B51)^$B$10*((1+FixedParams!$D$26)/$CE$12)^(1-$B$10))^(1/(1-$B$10))</f>
        <v>4.6546874649237839</v>
      </c>
      <c r="CG51">
        <f>IF(FixedParams!$I$6=1,IF(CE51&lt;=MIN(CD51:CF51),1,0),$H51)</f>
        <v>1</v>
      </c>
      <c r="CH51">
        <f>IF(FixedParams!$I$6=1,IF(CF51&lt;=MIN(CD51:CF51),1,0),IF(CF51&lt;=CD51,1,0)*(1-$H51))</f>
        <v>0</v>
      </c>
      <c r="CI51" s="24">
        <f>$CE$13*IF(CG51=1,1,IF(CH51=1,FixedParams!$D$52,FixedParams!$D$53))</f>
        <v>0.39201585704839609</v>
      </c>
      <c r="CJ51">
        <f>EXP($C51*FixedParams!$B$47)*EXP(IF(CG51+CH51=1,(1-FixedParams!$B$47)*$D51,0))*($B51^((FixedParams!$B$47-1)*$B$10/($B$10-1)))*((1/$B51-1)^$B$10*(CI51)^($B$10-1)+1)^((FixedParams!$B$47-$B$10)/($B$10-1))/((1+IF(CG51=1,FixedParams!$D$25,IF(CH51=1,FixedParams!$D$23,FixedParams!$D$24)))^FixedParams!$B$47)</f>
        <v>4.3029860884936939E-2</v>
      </c>
      <c r="CK51">
        <f t="shared" si="37"/>
        <v>1.1329917360797586</v>
      </c>
      <c r="CL51">
        <f t="shared" si="41"/>
        <v>30.953653482591651</v>
      </c>
      <c r="CM51">
        <f t="shared" si="7"/>
        <v>132.10937043768328</v>
      </c>
      <c r="CN51">
        <f t="shared" si="42"/>
        <v>163.06302392027493</v>
      </c>
      <c r="CO51" s="24">
        <f t="shared" si="43"/>
        <v>4.2679734239443388</v>
      </c>
      <c r="CP51" s="24">
        <f t="shared" si="44"/>
        <v>1.4726677412644078</v>
      </c>
      <c r="CQ51" s="23">
        <f>IF(CG51=1,CL51*(1+FixedParams!$D$25)+CM51*(1+FixedParams!$D$28)/$CE$12,IF(CH51=1,CL51*(1+FixedParams!$D$23)+CM51*(1+FixedParams!$D$26)/$CE$12,CL51*(1+FixedParams!$D$24)+CM51*(1+FixedParams!$D$27)/$CE$12))</f>
        <v>471.15613561330241</v>
      </c>
      <c r="CR51" s="24">
        <f t="shared" si="45"/>
        <v>103.36162822453373</v>
      </c>
      <c r="CS51" s="24">
        <f>CR51^((FixedParams!$B$47-1)/FixedParams!$B$47)*EXP($C51)</f>
        <v>0.6508504061584367</v>
      </c>
      <c r="CT51" s="24"/>
    </row>
    <row r="52" spans="1:98" x14ac:dyDescent="0.15">
      <c r="A52">
        <v>0.17500000000000002</v>
      </c>
      <c r="B52">
        <f t="shared" si="8"/>
        <v>0.13097501354805557</v>
      </c>
      <c r="C52">
        <f>(D52-$D$17)*FixedParams!$B$47+$A52*$B$9</f>
        <v>-0.43732765316188466</v>
      </c>
      <c r="D52">
        <f>(A52-$B$6)*FixedParams!$B$46/(FixedParams!$B$45*Sectors!$B$6)</f>
        <v>-0.17658921471516262</v>
      </c>
      <c r="E52">
        <f t="shared" si="9"/>
        <v>0.64575981149949535</v>
      </c>
      <c r="F52" s="24">
        <f>EXP(-$D$17)*(($B52*FixedParams!$B$30)^$B$10*(1+FixedParams!$B$23)^(1-$B$10)+(1-$B52)^$B$10*((1+FixedParams!$B$26)/$B$11)^(1-$B$10))^(1/(1-$B$10))</f>
        <v>4.6027532420674033</v>
      </c>
      <c r="G52" s="24">
        <f>EXP($D52-$D$17)*(($B52*FixedParams!$B$31)^$B$10*(1+FixedParams!$B$25)^(1-$B$10)+(1-$B52)^$B$10*((1+FixedParams!$B$28)/$B$11)^(1-$B$10))^(1/(1-$B$10))</f>
        <v>3.7333292169738446</v>
      </c>
      <c r="H52">
        <f t="shared" si="10"/>
        <v>1</v>
      </c>
      <c r="I52" s="24">
        <f>$B$12*IF(H52=1,1,FixedParams!$B$52)</f>
        <v>0.3745928365283252</v>
      </c>
      <c r="J52">
        <f>EXP($C52*FixedParams!$B$47)*EXP(IF(H52=1,(1-FixedParams!$B$47)*$D52,0))*($B52^((FixedParams!$B$47-1)*$B$10/($B$10-1)))*((1/$B52-1)^$B$10*(I52)^($B$10-1)+1)^((FixedParams!$B$47-$B$10)/($B$10-1))/((1+IF(H52=1,FixedParams!$B$25,FixedParams!$B$24))^FixedParams!$B$47)</f>
        <v>5.6332289072650615E-2</v>
      </c>
      <c r="K52">
        <f t="shared" si="38"/>
        <v>1.1358044211352165</v>
      </c>
      <c r="L52">
        <f>K52*FixedParams!$B$8/K$15</f>
        <v>33.021388918378378</v>
      </c>
      <c r="M52">
        <f t="shared" si="0"/>
        <v>129.38986373260963</v>
      </c>
      <c r="N52">
        <f t="shared" si="11"/>
        <v>162.41125265098799</v>
      </c>
      <c r="O52" s="24">
        <f t="shared" si="12"/>
        <v>3.9183652768947108</v>
      </c>
      <c r="P52" s="24">
        <f t="shared" si="1"/>
        <v>1.4597879433909027</v>
      </c>
      <c r="Q52" s="23">
        <f>IF(H52=1,L52*(1+FixedParams!$B$25)+M52*FixedParams!$B$33*(1+FixedParams!$B$28)/FixedParams!$B$32,L52*(1+FixedParams!$B$23)+M52*FixedParams!$B$33*(1+FixedParams!$B$26)/FixedParams!$B$32)</f>
        <v>379.09930520978446</v>
      </c>
      <c r="R52" s="24">
        <f t="shared" si="2"/>
        <v>101.54456871528573</v>
      </c>
      <c r="S52" s="24">
        <f>R52^((FixedParams!$B$47-1)/FixedParams!$B$47)*EXP($C52)</f>
        <v>0.642779989324746</v>
      </c>
      <c r="T52" s="7">
        <f>(L52*FixedParams!$B$32*(FixedParams!$C$25-FixedParams!$C$23)+FixedParams!$B$33*(FixedParams!$C$28-FixedParams!$C$26)*M52)/N52</f>
        <v>-2151.215228114841</v>
      </c>
      <c r="U52" s="7">
        <f>(L52*FixedParams!$B$32*(FixedParams!$C$25-FixedParams!$C$23)*$Z$12/$B$11+FixedParams!$B$33*(FixedParams!$C$28-FixedParams!$C$26)*M52)/N52</f>
        <v>-2355.4158981326536</v>
      </c>
      <c r="V52" s="14">
        <f t="shared" si="13"/>
        <v>-2.347590157768503</v>
      </c>
      <c r="W52" s="14">
        <f t="shared" si="46"/>
        <v>0.34828117168400774</v>
      </c>
      <c r="X52" s="73">
        <f t="shared" si="15"/>
        <v>0.98481538897424847</v>
      </c>
      <c r="Y52" s="24">
        <f>EXP(-$D$17)*(($B52*FixedParams!$B$30)^$B$10*(1+FixedParams!$C$24)^(1-$B$10)+(1-$B52)^$B$10*((1+FixedParams!$C$27)/$Z$12)^(1-$B$10))^(1/(1-$B$10))</f>
        <v>5.8925483598619497</v>
      </c>
      <c r="Z52" s="24">
        <f>EXP($D52-$D$17)*(($B52*FixedParams!$C$31)^$B$10*(1+FixedParams!$C$25)^(1-$B$10)+(1-$B52)^$B$10*((1+FixedParams!$C$28)/$Z$12)^(1-$B$10))^(1/(1-$B$10))</f>
        <v>4.4768817264520582</v>
      </c>
      <c r="AA52" s="24">
        <f>EXP($D52-$D$17)*(($B52*FixedParams!$C$30)^$B$10*(1+FixedParams!$C$23)^(1-$B$10)+(1-$B52)^$B$10*((1+FixedParams!$C$26)/$Z$12)^(1-$B$10))^(1/(1-$B$10))</f>
        <v>4.6170253724541483</v>
      </c>
      <c r="AB52">
        <f>IF(FixedParams!$I$6=1,IF(Z52&lt;=MIN(Y52:AA52),1,0),$H52)</f>
        <v>1</v>
      </c>
      <c r="AC52">
        <f>IF(FixedParams!$I$6=1,IF(AA52&lt;=MIN(Y52:AA52),1,0),IF(AA52&lt;=Y52,1,0)*(1-$H52))</f>
        <v>0</v>
      </c>
      <c r="AD52" s="24">
        <f>$Z$13*IF(AB52=1,1,IF(AC52=1,FixedParams!$C$52,FixedParams!$C$53))</f>
        <v>0.43187184563106507</v>
      </c>
      <c r="AE52">
        <f>EXP($C52*FixedParams!$B$47)*EXP(IF(AB52+AC52=1,(1-FixedParams!$B$47)*$D52,0))*($B52^((FixedParams!$B$47-1)*$B$10/($B$10-1)))*((1/$B52-1)^$B$10*(AD52)^($B$10-1)+1)^((FixedParams!$B$47-$B$10)/($B$10-1))/((1+IF(AB52=1,FixedParams!$C$25,IF(AC52=1,FixedParams!$C$23,FixedParams!$C$24)))^FixedParams!$B$47)</f>
        <v>3.8645101777833861E-2</v>
      </c>
      <c r="AF52">
        <f t="shared" si="39"/>
        <v>1.1387622108542435</v>
      </c>
      <c r="AG52">
        <f t="shared" si="40"/>
        <v>26.747775622419443</v>
      </c>
      <c r="AH52">
        <f t="shared" si="3"/>
        <v>129.7435353422097</v>
      </c>
      <c r="AI52">
        <f t="shared" si="16"/>
        <v>156.49131096462915</v>
      </c>
      <c r="AJ52" s="24">
        <f t="shared" si="17"/>
        <v>4.8506289709362331</v>
      </c>
      <c r="AK52" s="24">
        <f t="shared" si="18"/>
        <v>1.4952508371961657</v>
      </c>
      <c r="AL52" s="23">
        <f>IF(AB52=1,AG52*(1+FixedParams!$C$25)+AH52*(1+FixedParams!$C$28)/$Z$12,IF(AC52=1,AG52*(1+FixedParams!$C$23)+AH52*(1+FixedParams!$C$26)/$Z$12,AG52*(1+FixedParams!$C$24)+AH52*(1+FixedParams!$C$27)/$Z$12))</f>
        <v>447.70005400980006</v>
      </c>
      <c r="AM52" s="24">
        <f t="shared" si="19"/>
        <v>100.00265393756642</v>
      </c>
      <c r="AN52" s="24">
        <f>AM52^((FixedParams!$B$47-1)/FixedParams!$B$47)*EXP($C52)</f>
        <v>0.64278983447179805</v>
      </c>
      <c r="AO52" s="24">
        <f t="shared" si="20"/>
        <v>-3.7131227603912506E-2</v>
      </c>
      <c r="AP52" s="24">
        <f t="shared" si="21"/>
        <v>-1.5301077736982811E-2</v>
      </c>
      <c r="AQ52" s="14">
        <f t="shared" si="22"/>
        <v>-2.4187347696503876</v>
      </c>
      <c r="AS52" s="24">
        <f>EXP(-$D$17)*(($B52*FixedParams!$B$30)^$B$10*(1+FixedParams!$D$24)^(1-$B$10)+(1-$B52)^$B$10*((1+FixedParams!$D$27)/$AT$12)^(1-$B$10))^(1/(1-$B$10))</f>
        <v>5.584272287905387</v>
      </c>
      <c r="AT52" s="24">
        <f>EXP($D52-$D$17)*(($B52*FixedParams!$C$31)^$B$10*(1+FixedParams!$D$25)^(1-$B$10)+(1-$B52)^$B$10*((1+FixedParams!$D$28)/$AT$12)^(1-$B$10))^(1/(1-$B$10))</f>
        <v>4.3850231500983687</v>
      </c>
      <c r="AU52" s="24">
        <f>EXP($D52-$D$17)*(($B52*FixedParams!$C$30)^$B$10*(1+FixedParams!$D$23)^(1-$B$10)+(1-$B52)^$B$10*((1+FixedParams!$D$26)/$AT$12)^(1-$B$10))^(1/(1-$B$10))</f>
        <v>4.4781078431693944</v>
      </c>
      <c r="AV52">
        <f>IF(FixedParams!$I$6=1,IF(AT52&lt;=MIN(AS52:AU52),1,0),$H52)</f>
        <v>1</v>
      </c>
      <c r="AW52">
        <f>IF(FixedParams!$I$6=1,IF(AU52&lt;=MIN(AS52:AU52),1,0),IF(AU52&lt;=AS52,1,0)*(1-$H52))</f>
        <v>0</v>
      </c>
      <c r="AX52" s="24">
        <f>$AT$13*IF(AV52=1,1,IF(AW52=1,FixedParams!$D$52,FixedParams!$D$53))</f>
        <v>0.41089128090616783</v>
      </c>
      <c r="AY52">
        <f>EXP($C52*FixedParams!$B$47)*EXP(IF(AV52+AW52=1,(1-FixedParams!$B$47)*$D52,0))*($B52^((FixedParams!$B$47-1)*$B$10/($B$10-1)))*((1/$B52-1)^$B$10*(AX52)^($B$10-1)+1)^((FixedParams!$B$47-$B$10)/($B$10-1))/((1+IF(AV52=1,FixedParams!$D$25,IF(AW52=1,FixedParams!$D$23,FixedParams!$D$24)))^FixedParams!$B$47)</f>
        <v>4.2252100292717649E-2</v>
      </c>
      <c r="AZ52">
        <f t="shared" si="4"/>
        <v>1.1377468483589135</v>
      </c>
      <c r="BA52">
        <f t="shared" si="23"/>
        <v>28.625558539168775</v>
      </c>
      <c r="BB52">
        <f t="shared" si="5"/>
        <v>128.85761094072009</v>
      </c>
      <c r="BC52">
        <f t="shared" si="24"/>
        <v>157.48316947988886</v>
      </c>
      <c r="BD52" s="24">
        <f t="shared" si="25"/>
        <v>4.5014880937398063</v>
      </c>
      <c r="BE52" s="24">
        <f t="shared" si="26"/>
        <v>1.4848905597630202</v>
      </c>
      <c r="BF52" s="23">
        <f>IF(AV52=1,BA52*(1+FixedParams!$C$25)+BB52*(1+FixedParams!$C$28)/$AT$12,IF(AW52=1,BA52*(1+FixedParams!$C$23)+BB52*(1+FixedParams!$C$26)/$AT$12,BA52*(1+FixedParams!$C$24)+BB52*(1+FixedParams!$C$27)/$AT$12))</f>
        <v>441.87528847947397</v>
      </c>
      <c r="BG52" s="24">
        <f t="shared" si="27"/>
        <v>100.76920311573758</v>
      </c>
      <c r="BH52" s="24">
        <f>BG52^((FixedParams!$B$47-1)/FixedParams!$B$47)*EXP($C52)</f>
        <v>0.64278492119598918</v>
      </c>
      <c r="BI52" s="7"/>
      <c r="BJ52" s="24">
        <f>EXP(-$D$17)*(($B52*FixedParams!$B$30)^$B$10*(1+FixedParams!$C$24)^(1-$B$10)+(1-$B52)^$B$10*((1+FixedParams!$C$27)/$BK$12)^(1-$B$10))^(1/(1-$B$10))</f>
        <v>6.1720404468057088</v>
      </c>
      <c r="BK52" s="24">
        <f>EXP($D52-$D$17)*(($B52*FixedParams!$C$31)^$B$10*(1+FixedParams!$C$25)^(1-$B$10)+(1-$B52)^$B$10*((1+FixedParams!$C$28)/$BK$12)^(1-$B$10))^(1/(1-$B$10))</f>
        <v>4.6883284036026094</v>
      </c>
      <c r="BL52" s="24">
        <f>EXP($D52-$D$17)*(($B52*FixedParams!$C$30)^$B$10*(1+FixedParams!$C$23)^(1-$B$10)+(1-$B52)^$B$10*((1+FixedParams!$C$26)/$BK$12)^(1-$B$10))^(1/(1-$B$10))</f>
        <v>4.8329809354987727</v>
      </c>
      <c r="BM52">
        <f>IF(FixedParams!$I$6=1,IF(BK52&lt;=MIN(BJ52:BL52),1,0),$H52)</f>
        <v>1</v>
      </c>
      <c r="BN52">
        <f>IF(FixedParams!$I$6=1,IF(BL52&lt;=MIN(BJ52:BL52),1,0),IF(BL52&lt;=BJ52,1,0)*(1-$H52))</f>
        <v>0</v>
      </c>
      <c r="BO52" s="24">
        <f>$BK$13*IF(BM52=1,1,IF(BN52=1,FixedParams!$C$52,FixedParams!$C$53))</f>
        <v>0.41068174962109105</v>
      </c>
      <c r="BP52">
        <f>EXP($C52*FixedParams!$B$47)*EXP(IF(BM52+BN52=1,(1-FixedParams!$B$47)*$D52,0))*($B52^((FixedParams!$B$47-1)*$B$10/($B$10-1)))*((1/$B52-1)^$B$10*(BO52)^($B$10-1)+1)^((FixedParams!$B$47-$B$10)/($B$10-1))/((1+IF(BM52=1,FixedParams!$C$25,IF(BN52=1,FixedParams!$C$23,FixedParams!$C$24)))^FixedParams!$B$47)</f>
        <v>3.9549017582251621E-2</v>
      </c>
      <c r="BQ52">
        <f t="shared" si="28"/>
        <v>1.1377363391588815</v>
      </c>
      <c r="BR52">
        <f t="shared" si="29"/>
        <v>29.017008323914048</v>
      </c>
      <c r="BS52">
        <f t="shared" si="6"/>
        <v>130.51981723595702</v>
      </c>
      <c r="BT52">
        <f t="shared" si="30"/>
        <v>159.53682555987106</v>
      </c>
      <c r="BU52" s="24">
        <f t="shared" si="31"/>
        <v>4.4980452767210517</v>
      </c>
      <c r="BV52" s="24">
        <f t="shared" si="32"/>
        <v>1.4890420740423125</v>
      </c>
      <c r="BW52" s="23">
        <f>IF(BM52=1,BR52*(1+FixedParams!$C$25)+BS52*(1+FixedParams!$C$28)/$BK$12,IF(BN52=1,BR52*(1+FixedParams!$C$23)+BS52*(1+FixedParams!$C$26)/$BK$12,BR52*(1+FixedParams!$C$24)+BS52*(1+FixedParams!$C$27)/$BK$12))</f>
        <v>474.60346831360289</v>
      </c>
      <c r="BX52" s="24">
        <f t="shared" si="33"/>
        <v>101.23084977343049</v>
      </c>
      <c r="BY52" s="24">
        <f>BX52^((FixedParams!$B$47-1)/FixedParams!$B$47)*EXP($C52)</f>
        <v>0.64278198024245559</v>
      </c>
      <c r="BZ52" s="24">
        <f t="shared" si="34"/>
        <v>-1.7856938220953422E-2</v>
      </c>
      <c r="CA52" s="24">
        <f t="shared" si="35"/>
        <v>-3.0942526909743463E-3</v>
      </c>
      <c r="CB52" s="24">
        <f t="shared" si="36"/>
        <v>1.4234203228432905E-2</v>
      </c>
      <c r="CC52" s="24"/>
      <c r="CD52" s="24">
        <f>EXP(-$D$17)*(($B52*FixedParams!$B$30)^$B$10*(1+FixedParams!$D$24)^(1-$B$10)+(1-$B52)^$B$10*((1+FixedParams!$D$27)/$CE$12)^(1-$B$10))^(1/(1-$B$10))</f>
        <v>5.8306496780998165</v>
      </c>
      <c r="CE52" s="24">
        <f>EXP($D52-$D$17)*(($B52*FixedParams!$D$31)^$B$10*(1+FixedParams!$D$25)^(1-$B$10)+(1-$B52)^$B$10*((1+FixedParams!$D$28)/$CE$12)^(1-$B$10))^(1/(1-$B$10))</f>
        <v>4.5779218081367477</v>
      </c>
      <c r="CF52" s="24">
        <f>EXP($D52-$D$17)*(($B52*FixedParams!$D$30)^$B$10*(1+FixedParams!$D$23)^(1-$B$10)+(1-$B52)^$B$10*((1+FixedParams!$D$26)/$CE$12)^(1-$B$10))^(1/(1-$B$10))</f>
        <v>4.6735644479658873</v>
      </c>
      <c r="CG52">
        <f>IF(FixedParams!$I$6=1,IF(CE52&lt;=MIN(CD52:CF52),1,0),$H52)</f>
        <v>1</v>
      </c>
      <c r="CH52">
        <f>IF(FixedParams!$I$6=1,IF(CF52&lt;=MIN(CD52:CF52),1,0),IF(CF52&lt;=CD52,1,0)*(1-$H52))</f>
        <v>0</v>
      </c>
      <c r="CI52" s="24">
        <f>$CE$13*IF(CG52=1,1,IF(CH52=1,FixedParams!$D$52,FixedParams!$D$53))</f>
        <v>0.39201585704839609</v>
      </c>
      <c r="CJ52">
        <f>EXP($C52*FixedParams!$B$47)*EXP(IF(CG52+CH52=1,(1-FixedParams!$B$47)*$D52,0))*($B52^((FixedParams!$B$47-1)*$B$10/($B$10-1)))*((1/$B52-1)^$B$10*(CI52)^($B$10-1)+1)^((FixedParams!$B$47-$B$10)/($B$10-1))/((1+IF(CG52=1,FixedParams!$D$25,IF(CH52=1,FixedParams!$D$23,FixedParams!$D$24)))^FixedParams!$B$47)</f>
        <v>4.3173299282936964E-2</v>
      </c>
      <c r="CK52">
        <f t="shared" si="37"/>
        <v>1.136768520764355</v>
      </c>
      <c r="CL52">
        <f t="shared" si="41"/>
        <v>31.056836304392153</v>
      </c>
      <c r="CM52">
        <f t="shared" si="7"/>
        <v>130.28018967194618</v>
      </c>
      <c r="CN52">
        <f t="shared" si="42"/>
        <v>161.33702597633834</v>
      </c>
      <c r="CO52" s="24">
        <f t="shared" si="43"/>
        <v>4.1948957194175494</v>
      </c>
      <c r="CP52" s="24">
        <f t="shared" si="44"/>
        <v>1.478998165181749</v>
      </c>
      <c r="CQ52" s="23">
        <f>IF(CG52=1,CL52*(1+FixedParams!$D$25)+CM52*(1+FixedParams!$D$28)/$CE$12,IF(CH52=1,CL52*(1+FixedParams!$D$23)+CM52*(1+FixedParams!$D$26)/$CE$12,CL52*(1+FixedParams!$D$24)+CM52*(1+FixedParams!$D$27)/$CE$12))</f>
        <v>465.31344132369372</v>
      </c>
      <c r="CR52" s="24">
        <f t="shared" si="45"/>
        <v>101.64294210893921</v>
      </c>
      <c r="CS52" s="24">
        <f>CR52^((FixedParams!$B$47-1)/FixedParams!$B$47)*EXP($C52)</f>
        <v>0.64277936629709365</v>
      </c>
      <c r="CT52" s="24"/>
    </row>
    <row r="53" spans="1:98" x14ac:dyDescent="0.15">
      <c r="A53">
        <v>0.18</v>
      </c>
      <c r="B53">
        <f t="shared" si="8"/>
        <v>0.1322910923335549</v>
      </c>
      <c r="C53">
        <f>(D53-$D$17)*FixedParams!$B$47+$A53*$B$9</f>
        <v>-0.44982272896650988</v>
      </c>
      <c r="D53">
        <f>(A53-$B$6)*FixedParams!$B$46/(FixedParams!$B$45*Sectors!$B$6)</f>
        <v>-0.17387245756569861</v>
      </c>
      <c r="E53">
        <f t="shared" si="9"/>
        <v>0.63774119464252421</v>
      </c>
      <c r="F53" s="24">
        <f>EXP(-$D$17)*(($B53*FixedParams!$B$30)^$B$10*(1+FixedParams!$B$23)^(1-$B$10)+(1-$B53)^$B$10*((1+FixedParams!$B$26)/$B$11)^(1-$B$10))^(1/(1-$B$10))</f>
        <v>4.6099751096862791</v>
      </c>
      <c r="G53" s="24">
        <f>EXP($D53-$D$17)*(($B53*FixedParams!$B$31)^$B$10*(1+FixedParams!$B$25)^(1-$B$10)+(1-$B53)^$B$10*((1+FixedParams!$B$28)/$B$11)^(1-$B$10))^(1/(1-$B$10))</f>
        <v>3.7491383113041823</v>
      </c>
      <c r="H53">
        <f t="shared" si="10"/>
        <v>1</v>
      </c>
      <c r="I53" s="24">
        <f>$B$12*IF(H53=1,1,FixedParams!$B$52)</f>
        <v>0.3745928365283252</v>
      </c>
      <c r="J53">
        <f>EXP($C53*FixedParams!$B$47)*EXP(IF(H53=1,(1-FixedParams!$B$47)*$D53,0))*($B53^((FixedParams!$B$47-1)*$B$10/($B$10-1)))*((1/$B53-1)^$B$10*(I53)^($B$10-1)+1)^((FixedParams!$B$47-$B$10)/($B$10-1))/((1+IF(H53=1,FixedParams!$B$25,FixedParams!$B$24))^FixedParams!$B$47)</f>
        <v>5.6516986157482747E-2</v>
      </c>
      <c r="K53">
        <f t="shared" si="38"/>
        <v>1.1395283913302245</v>
      </c>
      <c r="L53">
        <f>K53*FixedParams!$B$8/K$15</f>
        <v>33.129656385771135</v>
      </c>
      <c r="M53">
        <f t="shared" si="0"/>
        <v>127.59137376364365</v>
      </c>
      <c r="N53">
        <f t="shared" si="11"/>
        <v>160.72103014941479</v>
      </c>
      <c r="O53" s="24">
        <f t="shared" si="12"/>
        <v>3.851273682948396</v>
      </c>
      <c r="P53" s="24">
        <f t="shared" si="1"/>
        <v>1.4659695373404613</v>
      </c>
      <c r="Q53" s="23">
        <f>IF(H53=1,L53*(1+FixedParams!$B$25)+M53*FixedParams!$B$33*(1+FixedParams!$B$28)/FixedParams!$B$32,L53*(1+FixedParams!$B$23)+M53*FixedParams!$B$33*(1+FixedParams!$B$26)/FixedParams!$B$32)</f>
        <v>374.39816173617345</v>
      </c>
      <c r="R53" s="24">
        <f t="shared" si="2"/>
        <v>99.86245655629989</v>
      </c>
      <c r="S53" s="24">
        <f>R53^((FixedParams!$B$47-1)/FixedParams!$B$47)*EXP($C53)</f>
        <v>0.63480898829611165</v>
      </c>
      <c r="T53" s="7">
        <f>(L53*FixedParams!$B$32*(FixedParams!$C$25-FixedParams!$C$23)+FixedParams!$B$33*(FixedParams!$C$28-FixedParams!$C$26)*M53)/N53</f>
        <v>-2119.3150079208153</v>
      </c>
      <c r="U53" s="7">
        <f>(L53*FixedParams!$B$32*(FixedParams!$C$25-FixedParams!$C$23)*$Z$12/$B$11+FixedParams!$B$33*(FixedParams!$C$28-FixedParams!$C$26)*M53)/N53</f>
        <v>-2326.339709179033</v>
      </c>
      <c r="V53" s="14">
        <f t="shared" si="13"/>
        <v>-2.3303195324724197</v>
      </c>
      <c r="W53" s="14">
        <f t="shared" si="46"/>
        <v>0.35616419617341644</v>
      </c>
      <c r="X53" s="73">
        <f t="shared" si="15"/>
        <v>0.98462707624321877</v>
      </c>
      <c r="Y53" s="24">
        <f>EXP(-$D$17)*(($B53*FixedParams!$B$30)^$B$10*(1+FixedParams!$C$24)^(1-$B$10)+(1-$B53)^$B$10*((1+FixedParams!$C$27)/$Z$12)^(1-$B$10))^(1/(1-$B$10))</f>
        <v>5.9033499272480583</v>
      </c>
      <c r="Z53" s="24">
        <f>EXP($D53-$D$17)*(($B53*FixedParams!$C$31)^$B$10*(1+FixedParams!$C$25)^(1-$B$10)+(1-$B53)^$B$10*((1+FixedParams!$C$28)/$Z$12)^(1-$B$10))^(1/(1-$B$10))</f>
        <v>4.4967001588543516</v>
      </c>
      <c r="AA53" s="24">
        <f>EXP($D53-$D$17)*(($B53*FixedParams!$C$30)^$B$10*(1+FixedParams!$C$23)^(1-$B$10)+(1-$B53)^$B$10*((1+FixedParams!$C$26)/$Z$12)^(1-$B$10))^(1/(1-$B$10))</f>
        <v>4.6360790545916322</v>
      </c>
      <c r="AB53">
        <f>IF(FixedParams!$I$6=1,IF(Z53&lt;=MIN(Y53:AA53),1,0),$H53)</f>
        <v>1</v>
      </c>
      <c r="AC53">
        <f>IF(FixedParams!$I$6=1,IF(AA53&lt;=MIN(Y53:AA53),1,0),IF(AA53&lt;=Y53,1,0)*(1-$H53))</f>
        <v>0</v>
      </c>
      <c r="AD53" s="24">
        <f>$Z$13*IF(AB53=1,1,IF(AC53=1,FixedParams!$C$52,FixedParams!$C$53))</f>
        <v>0.43187184563106507</v>
      </c>
      <c r="AE53">
        <f>EXP($C53*FixedParams!$B$47)*EXP(IF(AB53+AC53=1,(1-FixedParams!$B$47)*$D53,0))*($B53^((FixedParams!$B$47-1)*$B$10/($B$10-1)))*((1/$B53-1)^$B$10*(AD53)^($B$10-1)+1)^((FixedParams!$B$47-$B$10)/($B$10-1))/((1+IF(AB53=1,FixedParams!$C$25,IF(AC53=1,FixedParams!$C$23,FixedParams!$C$24)))^FixedParams!$B$47)</f>
        <v>3.8775526319380055E-2</v>
      </c>
      <c r="AF53">
        <f t="shared" si="39"/>
        <v>1.1426054544335884</v>
      </c>
      <c r="AG53">
        <f t="shared" si="40"/>
        <v>26.838047512321289</v>
      </c>
      <c r="AH53">
        <f t="shared" si="3"/>
        <v>127.95240002967951</v>
      </c>
      <c r="AI53">
        <f t="shared" si="16"/>
        <v>154.79044754200081</v>
      </c>
      <c r="AJ53" s="24">
        <f t="shared" si="17"/>
        <v>4.7675748383311731</v>
      </c>
      <c r="AK53" s="24">
        <f t="shared" si="18"/>
        <v>1.5018700711746631</v>
      </c>
      <c r="AL53" s="23">
        <f>IF(AB53=1,AG53*(1+FixedParams!$C$25)+AH53*(1+FixedParams!$C$28)/$Z$12,IF(AC53=1,AG53*(1+FixedParams!$C$23)+AH53*(1+FixedParams!$C$26)/$Z$12,AG53*(1+FixedParams!$C$24)+AH53*(1+FixedParams!$C$27)/$Z$12))</f>
        <v>442.14828941497956</v>
      </c>
      <c r="AM53" s="24">
        <f t="shared" si="19"/>
        <v>98.327278625495012</v>
      </c>
      <c r="AN53" s="24">
        <f>AM53^((FixedParams!$B$47-1)/FixedParams!$B$47)*EXP($C53)</f>
        <v>0.63481883287604457</v>
      </c>
      <c r="AO53" s="24">
        <f t="shared" si="20"/>
        <v>-3.759787921024367E-2</v>
      </c>
      <c r="AP53" s="24">
        <f t="shared" si="21"/>
        <v>-1.5492312296945247E-2</v>
      </c>
      <c r="AQ53" s="14">
        <f t="shared" si="22"/>
        <v>-2.4014641443543048</v>
      </c>
      <c r="AS53" s="24">
        <f>EXP(-$D$17)*(($B53*FixedParams!$B$30)^$B$10*(1+FixedParams!$D$24)^(1-$B$10)+(1-$B53)^$B$10*((1+FixedParams!$D$27)/$AT$12)^(1-$B$10))^(1/(1-$B$10))</f>
        <v>5.5939162018131405</v>
      </c>
      <c r="AT53" s="24">
        <f>EXP($D53-$D$17)*(($B53*FixedParams!$C$31)^$B$10*(1+FixedParams!$D$25)^(1-$B$10)+(1-$B53)^$B$10*((1+FixedParams!$D$28)/$AT$12)^(1-$B$10))^(1/(1-$B$10))</f>
        <v>4.404145509412114</v>
      </c>
      <c r="AU53" s="24">
        <f>EXP($D53-$D$17)*(($B53*FixedParams!$C$30)^$B$10*(1+FixedParams!$D$23)^(1-$B$10)+(1-$B53)^$B$10*((1+FixedParams!$D$26)/$AT$12)^(1-$B$10))^(1/(1-$B$10))</f>
        <v>4.496552877278738</v>
      </c>
      <c r="AV53">
        <f>IF(FixedParams!$I$6=1,IF(AT53&lt;=MIN(AS53:AU53),1,0),$H53)</f>
        <v>1</v>
      </c>
      <c r="AW53">
        <f>IF(FixedParams!$I$6=1,IF(AU53&lt;=MIN(AS53:AU53),1,0),IF(AU53&lt;=AS53,1,0)*(1-$H53))</f>
        <v>0</v>
      </c>
      <c r="AX53" s="24">
        <f>$AT$13*IF(AV53=1,1,IF(AW53=1,FixedParams!$D$52,FixedParams!$D$53))</f>
        <v>0.41089128090616783</v>
      </c>
      <c r="AY53">
        <f>EXP($C53*FixedParams!$B$47)*EXP(IF(AV53+AW53=1,(1-FixedParams!$B$47)*$D53,0))*($B53^((FixedParams!$B$47-1)*$B$10/($B$10-1)))*((1/$B53-1)^$B$10*(AX53)^($B$10-1)+1)^((FixedParams!$B$47-$B$10)/($B$10-1))/((1+IF(AV53=1,FixedParams!$D$25,IF(AW53=1,FixedParams!$D$23,FixedParams!$D$24)))^FixedParams!$B$47)</f>
        <v>4.2393302447605634E-2</v>
      </c>
      <c r="AZ53">
        <f t="shared" si="4"/>
        <v>1.1415490808063493</v>
      </c>
      <c r="BA53">
        <f t="shared" si="23"/>
        <v>28.721222199024741</v>
      </c>
      <c r="BB53">
        <f t="shared" si="5"/>
        <v>127.07452219010534</v>
      </c>
      <c r="BC53">
        <f t="shared" si="24"/>
        <v>155.79574438913008</v>
      </c>
      <c r="BD53" s="24">
        <f t="shared" si="25"/>
        <v>4.4244120709605559</v>
      </c>
      <c r="BE53" s="24">
        <f t="shared" si="26"/>
        <v>1.4913659214323742</v>
      </c>
      <c r="BF53" s="23">
        <f>IF(AV53=1,BA53*(1+FixedParams!$C$25)+BB53*(1+FixedParams!$C$28)/$AT$12,IF(AW53=1,BA53*(1+FixedParams!$C$23)+BB53*(1+FixedParams!$C$26)/$AT$12,BA53*(1+FixedParams!$C$24)+BB53*(1+FixedParams!$C$27)/$AT$12))</f>
        <v>436.4337123087891</v>
      </c>
      <c r="BG53" s="24">
        <f t="shared" si="27"/>
        <v>99.096115552060027</v>
      </c>
      <c r="BH53" s="24">
        <f>BG53^((FixedParams!$B$47-1)/FixedParams!$B$47)*EXP($C53)</f>
        <v>0.6348138835002276</v>
      </c>
      <c r="BI53" s="7"/>
      <c r="BJ53" s="24">
        <f>EXP(-$D$17)*(($B53*FixedParams!$B$30)^$B$10*(1+FixedParams!$C$24)^(1-$B$10)+(1-$B53)^$B$10*((1+FixedParams!$C$27)/$BK$12)^(1-$B$10))^(1/(1-$B$10))</f>
        <v>6.1829610638773023</v>
      </c>
      <c r="BK53" s="24">
        <f>EXP($D53-$D$17)*(($B53*FixedParams!$C$31)^$B$10*(1+FixedParams!$C$25)^(1-$B$10)+(1-$B53)^$B$10*((1+FixedParams!$C$28)/$BK$12)^(1-$B$10))^(1/(1-$B$10))</f>
        <v>4.7087702241606522</v>
      </c>
      <c r="BL53" s="24">
        <f>EXP($D53-$D$17)*(($B53*FixedParams!$C$30)^$B$10*(1+FixedParams!$C$23)^(1-$B$10)+(1-$B53)^$B$10*((1+FixedParams!$C$26)/$BK$12)^(1-$B$10))^(1/(1-$B$10))</f>
        <v>4.852573246664873</v>
      </c>
      <c r="BM53">
        <f>IF(FixedParams!$I$6=1,IF(BK53&lt;=MIN(BJ53:BL53),1,0),$H53)</f>
        <v>1</v>
      </c>
      <c r="BN53">
        <f>IF(FixedParams!$I$6=1,IF(BL53&lt;=MIN(BJ53:BL53),1,0),IF(BL53&lt;=BJ53,1,0)*(1-$H53))</f>
        <v>0</v>
      </c>
      <c r="BO53" s="24">
        <f>$BK$13*IF(BM53=1,1,IF(BN53=1,FixedParams!$C$52,FixedParams!$C$53))</f>
        <v>0.41068174962109105</v>
      </c>
      <c r="BP53">
        <f>EXP($C53*FixedParams!$B$47)*EXP(IF(BM53+BN53=1,(1-FixedParams!$B$47)*$D53,0))*($B53^((FixedParams!$B$47-1)*$B$10/($B$10-1)))*((1/$B53-1)^$B$10*(BO53)^($B$10-1)+1)^((FixedParams!$B$47-$B$10)/($B$10-1))/((1+IF(BM53=1,FixedParams!$C$25,IF(BN53=1,FixedParams!$C$23,FixedParams!$C$24)))^FixedParams!$B$47)</f>
        <v>3.9681172792216265E-2</v>
      </c>
      <c r="BQ53">
        <f t="shared" si="28"/>
        <v>1.1415381474964272</v>
      </c>
      <c r="BR53">
        <f t="shared" si="29"/>
        <v>29.11397024767404</v>
      </c>
      <c r="BS53">
        <f t="shared" si="6"/>
        <v>128.71368356730045</v>
      </c>
      <c r="BT53">
        <f t="shared" si="30"/>
        <v>157.8276538149745</v>
      </c>
      <c r="BU53" s="24">
        <f t="shared" si="31"/>
        <v>4.4210282030353998</v>
      </c>
      <c r="BV53" s="24">
        <f t="shared" si="32"/>
        <v>1.49553452257846</v>
      </c>
      <c r="BW53" s="23">
        <f>IF(BM53=1,BR53*(1+FixedParams!$C$25)+BS53*(1+FixedParams!$C$28)/$BK$12,IF(BN53=1,BR53*(1+FixedParams!$C$23)+BS53*(1+FixedParams!$C$26)/$BK$12,BR53*(1+FixedParams!$C$24)+BS53*(1+FixedParams!$C$27)/$BK$12))</f>
        <v>468.71805319881662</v>
      </c>
      <c r="BX53" s="24">
        <f t="shared" si="33"/>
        <v>99.541500409985844</v>
      </c>
      <c r="BY53" s="24">
        <f>BX53^((FixedParams!$B$47-1)/FixedParams!$B$47)*EXP($C53)</f>
        <v>0.63481103389544835</v>
      </c>
      <c r="BZ53" s="24">
        <f t="shared" si="34"/>
        <v>-1.8166491043073035E-2</v>
      </c>
      <c r="CA53" s="24">
        <f t="shared" si="35"/>
        <v>-3.2191580184144559E-3</v>
      </c>
      <c r="CB53" s="24">
        <f t="shared" si="36"/>
        <v>1.4109297900992796E-2</v>
      </c>
      <c r="CC53" s="24"/>
      <c r="CD53" s="24">
        <f>EXP(-$D$17)*(($B53*FixedParams!$B$30)^$B$10*(1+FixedParams!$D$24)^(1-$B$10)+(1-$B53)^$B$10*((1+FixedParams!$D$27)/$CE$12)^(1-$B$10))^(1/(1-$B$10))</f>
        <v>5.8403597672654772</v>
      </c>
      <c r="CE53" s="24">
        <f>EXP($D53-$D$17)*(($B53*FixedParams!$D$31)^$B$10*(1+FixedParams!$D$25)^(1-$B$10)+(1-$B53)^$B$10*((1+FixedParams!$D$28)/$CE$12)^(1-$B$10))^(1/(1-$B$10))</f>
        <v>4.5975942532980607</v>
      </c>
      <c r="CF53" s="24">
        <f>EXP($D53-$D$17)*(($B53*FixedParams!$D$30)^$B$10*(1+FixedParams!$D$23)^(1-$B$10)+(1-$B53)^$B$10*((1+FixedParams!$D$26)/$CE$12)^(1-$B$10))^(1/(1-$B$10))</f>
        <v>4.6924953584480411</v>
      </c>
      <c r="CG53">
        <f>IF(FixedParams!$I$6=1,IF(CE53&lt;=MIN(CD53:CF53),1,0),$H53)</f>
        <v>1</v>
      </c>
      <c r="CH53">
        <f>IF(FixedParams!$I$6=1,IF(CF53&lt;=MIN(CD53:CF53),1,0),IF(CF53&lt;=CD53,1,0)*(1-$H53))</f>
        <v>0</v>
      </c>
      <c r="CI53" s="24">
        <f>$CE$13*IF(CG53=1,1,IF(CH53=1,FixedParams!$D$52,FixedParams!$D$53))</f>
        <v>0.39201585704839609</v>
      </c>
      <c r="CJ53">
        <f>EXP($C53*FixedParams!$B$47)*EXP(IF(CG53+CH53=1,(1-FixedParams!$B$47)*$D53,0))*($B53^((FixedParams!$B$47-1)*$B$10/($B$10-1)))*((1/$B53-1)^$B$10*(CI53)^($B$10-1)+1)^((FixedParams!$B$47-$B$10)/($B$10-1))/((1+IF(CG53=1,FixedParams!$D$25,IF(CH53=1,FixedParams!$D$23,FixedParams!$D$24)))^FixedParams!$B$47)</f>
        <v>4.3316205907910486E-2</v>
      </c>
      <c r="CK53">
        <f t="shared" si="37"/>
        <v>1.1405313036736238</v>
      </c>
      <c r="CL53">
        <f t="shared" si="41"/>
        <v>31.159636593745301</v>
      </c>
      <c r="CM53">
        <f t="shared" si="7"/>
        <v>128.47334030368728</v>
      </c>
      <c r="CN53">
        <f t="shared" si="42"/>
        <v>159.63297689743257</v>
      </c>
      <c r="CO53" s="24">
        <f t="shared" si="43"/>
        <v>4.1230692764072812</v>
      </c>
      <c r="CP53" s="24">
        <f t="shared" si="44"/>
        <v>1.4853537805717949</v>
      </c>
      <c r="CQ53" s="23">
        <f>IF(CG53=1,CL53*(1+FixedParams!$D$25)+CM53*(1+FixedParams!$D$28)/$CE$12,IF(CH53=1,CL53*(1+FixedParams!$D$23)+CM53*(1+FixedParams!$D$26)/$CE$12,CL53*(1+FixedParams!$D$24)+CM53*(1+FixedParams!$D$27)/$CE$12))</f>
        <v>459.54320026020514</v>
      </c>
      <c r="CR53" s="24">
        <f t="shared" si="45"/>
        <v>99.95296995391756</v>
      </c>
      <c r="CS53" s="24">
        <f>CR53^((FixedParams!$B$47-1)/FixedParams!$B$47)*EXP($C53)</f>
        <v>0.63480841260269827</v>
      </c>
      <c r="CT53" s="24"/>
    </row>
    <row r="54" spans="1:98" x14ac:dyDescent="0.15">
      <c r="A54">
        <v>0.185</v>
      </c>
      <c r="B54">
        <f t="shared" si="8"/>
        <v>0.1336183621629459</v>
      </c>
      <c r="C54">
        <f>(D54-$D$17)*FixedParams!$B$47+$A54*$B$9</f>
        <v>-0.46231780477113515</v>
      </c>
      <c r="D54">
        <f>(A54-$B$6)*FixedParams!$B$46/(FixedParams!$B$45*Sectors!$B$6)</f>
        <v>-0.17115570041623457</v>
      </c>
      <c r="E54">
        <f t="shared" si="9"/>
        <v>0.62982214764907485</v>
      </c>
      <c r="F54" s="24">
        <f>EXP(-$D$17)*(($B54*FixedParams!$B$30)^$B$10*(1+FixedParams!$B$23)^(1-$B$10)+(1-$B54)^$B$10*((1+FixedParams!$B$26)/$B$11)^(1-$B$10))^(1/(1-$B$10))</f>
        <v>4.6172004778757554</v>
      </c>
      <c r="G54" s="24">
        <f>EXP($D54-$D$17)*(($B54*FixedParams!$B$31)^$B$10*(1+FixedParams!$B$25)^(1-$B$10)+(1-$B54)^$B$10*((1+FixedParams!$B$28)/$B$11)^(1-$B$10))^(1/(1-$B$10))</f>
        <v>3.7650047841433403</v>
      </c>
      <c r="H54">
        <f t="shared" si="10"/>
        <v>1</v>
      </c>
      <c r="I54" s="24">
        <f>$B$12*IF(H54=1,1,FixedParams!$B$52)</f>
        <v>0.3745928365283252</v>
      </c>
      <c r="J54">
        <f>EXP($C54*FixedParams!$B$47)*EXP(IF(H54=1,(1-FixedParams!$B$47)*$D54,0))*($B54^((FixedParams!$B$47-1)*$B$10/($B$10-1)))*((1/$B54-1)^$B$10*(I54)^($B$10-1)+1)^((FixedParams!$B$47-$B$10)/($B$10-1))/((1+IF(H54=1,FixedParams!$B$25,FixedParams!$B$24))^FixedParams!$B$47)</f>
        <v>5.6700922355614476E-2</v>
      </c>
      <c r="K54">
        <f t="shared" si="38"/>
        <v>1.143237020084426</v>
      </c>
      <c r="L54">
        <f>K54*FixedParams!$B$8/K$15</f>
        <v>33.237477829470009</v>
      </c>
      <c r="M54">
        <f t="shared" si="0"/>
        <v>125.81485034635683</v>
      </c>
      <c r="N54">
        <f t="shared" si="11"/>
        <v>159.05232817582686</v>
      </c>
      <c r="O54" s="24">
        <f t="shared" si="12"/>
        <v>3.7853308542804984</v>
      </c>
      <c r="P54" s="24">
        <f t="shared" si="1"/>
        <v>1.4721735671510219</v>
      </c>
      <c r="Q54" s="23">
        <f>IF(H54=1,L54*(1+FixedParams!$B$25)+M54*FixedParams!$B$33*(1+FixedParams!$B$28)/FixedParams!$B$32,L54*(1+FixedParams!$B$23)+M54*FixedParams!$B$33*(1+FixedParams!$B$26)/FixedParams!$B$32)</f>
        <v>369.75531537229347</v>
      </c>
      <c r="R54" s="24">
        <f t="shared" si="2"/>
        <v>98.208458307822497</v>
      </c>
      <c r="S54" s="24">
        <f>R54^((FixedParams!$B$47-1)/FixedParams!$B$47)*EXP($C54)</f>
        <v>0.62693683264929578</v>
      </c>
      <c r="T54" s="7">
        <f>(L54*FixedParams!$B$32*(FixedParams!$C$25-FixedParams!$C$23)+FixedParams!$B$33*(FixedParams!$C$28-FixedParams!$C$26)*M54)/N54</f>
        <v>-2087.0893380780935</v>
      </c>
      <c r="U54" s="7">
        <f>(L54*FixedParams!$B$32*(FixedParams!$C$25-FixedParams!$C$23)*$Z$12/$B$11+FixedParams!$B$33*(FixedParams!$C$28-FixedParams!$C$26)*M54)/N54</f>
        <v>-2296.9668816623289</v>
      </c>
      <c r="V54" s="14">
        <f t="shared" si="13"/>
        <v>-2.313048907176336</v>
      </c>
      <c r="W54" s="14">
        <f t="shared" si="46"/>
        <v>0.36396537438227872</v>
      </c>
      <c r="X54" s="73">
        <f t="shared" si="15"/>
        <v>0.98443608711416808</v>
      </c>
      <c r="Y54" s="24">
        <f>EXP(-$D$17)*(($B54*FixedParams!$B$30)^$B$10*(1+FixedParams!$C$24)^(1-$B$10)+(1-$B54)^$B$10*((1+FixedParams!$C$27)/$Z$12)^(1-$B$10))^(1/(1-$B$10))</f>
        <v>5.9141838781017571</v>
      </c>
      <c r="Z54" s="24">
        <f>EXP($D54-$D$17)*(($B54*FixedParams!$C$31)^$B$10*(1+FixedParams!$C$25)^(1-$B$10)+(1-$B54)^$B$10*((1+FixedParams!$C$28)/$Z$12)^(1-$B$10))^(1/(1-$B$10))</f>
        <v>4.5166073051192992</v>
      </c>
      <c r="AA54" s="24">
        <f>EXP($D54-$D$17)*(($B54*FixedParams!$C$30)^$B$10*(1+FixedParams!$C$23)^(1-$B$10)+(1-$B54)^$B$10*((1+FixedParams!$C$26)/$Z$12)^(1-$B$10))^(1/(1-$B$10))</f>
        <v>4.6551924189190244</v>
      </c>
      <c r="AB54">
        <f>IF(FixedParams!$I$6=1,IF(Z54&lt;=MIN(Y54:AA54),1,0),$H54)</f>
        <v>1</v>
      </c>
      <c r="AC54">
        <f>IF(FixedParams!$I$6=1,IF(AA54&lt;=MIN(Y54:AA54),1,0),IF(AA54&lt;=Y54,1,0)*(1-$H54))</f>
        <v>0</v>
      </c>
      <c r="AD54" s="24">
        <f>$Z$13*IF(AB54=1,1,IF(AC54=1,FixedParams!$C$52,FixedParams!$C$53))</f>
        <v>0.43187184563106507</v>
      </c>
      <c r="AE54">
        <f>EXP($C54*FixedParams!$B$47)*EXP(IF(AB54+AC54=1,(1-FixedParams!$B$47)*$D54,0))*($B54^((FixedParams!$B$47-1)*$B$10/($B$10-1)))*((1/$B54-1)^$B$10*(AD54)^($B$10-1)+1)^((FixedParams!$B$47-$B$10)/($B$10-1))/((1+IF(AB54=1,FixedParams!$C$25,IF(AC54=1,FixedParams!$C$23,FixedParams!$C$24)))^FixedParams!$B$47)</f>
        <v>3.8905507198079607E-2</v>
      </c>
      <c r="AF54">
        <f t="shared" si="39"/>
        <v>1.1464356245195055</v>
      </c>
      <c r="AG54">
        <f t="shared" si="40"/>
        <v>26.928012325938493</v>
      </c>
      <c r="AH54">
        <f t="shared" si="3"/>
        <v>126.18312512873625</v>
      </c>
      <c r="AI54">
        <f t="shared" si="16"/>
        <v>153.11113745467475</v>
      </c>
      <c r="AJ54" s="24">
        <f t="shared" si="17"/>
        <v>4.6859427870652732</v>
      </c>
      <c r="AK54" s="24">
        <f t="shared" si="18"/>
        <v>1.5085189350351875</v>
      </c>
      <c r="AL54" s="23">
        <f>IF(AB54=1,AG54*(1+FixedParams!$C$25)+AH54*(1+FixedParams!$C$28)/$Z$12,IF(AC54=1,AG54*(1+FixedParams!$C$23)+AH54*(1+FixedParams!$C$26)/$Z$12,AG54*(1+FixedParams!$C$24)+AH54*(1+FixedParams!$C$27)/$Z$12))</f>
        <v>436.66537031681622</v>
      </c>
      <c r="AM54" s="24">
        <f t="shared" si="19"/>
        <v>96.679950418067691</v>
      </c>
      <c r="AN54" s="24">
        <f>AM54^((FixedParams!$B$47-1)/FixedParams!$B$47)*EXP($C54)</f>
        <v>0.62694667689132877</v>
      </c>
      <c r="AO54" s="24">
        <f t="shared" si="20"/>
        <v>-3.8069209807558409E-2</v>
      </c>
      <c r="AP54" s="24">
        <f t="shared" si="21"/>
        <v>-1.5686302142678771E-2</v>
      </c>
      <c r="AQ54" s="14">
        <f t="shared" si="22"/>
        <v>-2.3841935190582211</v>
      </c>
      <c r="AS54" s="24">
        <f>EXP(-$D$17)*(($B54*FixedParams!$B$30)^$B$10*(1+FixedParams!$D$24)^(1-$B$10)+(1-$B54)^$B$10*((1+FixedParams!$D$27)/$AT$12)^(1-$B$10))^(1/(1-$B$10))</f>
        <v>5.6035800357184504</v>
      </c>
      <c r="AT54" s="24">
        <f>EXP($D54-$D$17)*(($B54*FixedParams!$C$31)^$B$10*(1+FixedParams!$D$25)^(1-$B$10)+(1-$B54)^$B$10*((1+FixedParams!$D$28)/$AT$12)^(1-$B$10))^(1/(1-$B$10))</f>
        <v>4.4233480119881774</v>
      </c>
      <c r="AU54" s="24">
        <f>EXP($D54-$D$17)*(($B54*FixedParams!$C$30)^$B$10*(1+FixedParams!$D$23)^(1-$B$10)+(1-$B54)^$B$10*((1+FixedParams!$D$26)/$AT$12)^(1-$B$10))^(1/(1-$B$10))</f>
        <v>4.5150550025467791</v>
      </c>
      <c r="AV54">
        <f>IF(FixedParams!$I$6=1,IF(AT54&lt;=MIN(AS54:AU54),1,0),$H54)</f>
        <v>1</v>
      </c>
      <c r="AW54">
        <f>IF(FixedParams!$I$6=1,IF(AU54&lt;=MIN(AS54:AU54),1,0),IF(AU54&lt;=AS54,1,0)*(1-$H54))</f>
        <v>0</v>
      </c>
      <c r="AX54" s="24">
        <f>$AT$13*IF(AV54=1,1,IF(AW54=1,FixedParams!$D$52,FixedParams!$D$53))</f>
        <v>0.41089128090616783</v>
      </c>
      <c r="AY54">
        <f>EXP($C54*FixedParams!$B$47)*EXP(IF(AV54+AW54=1,(1-FixedParams!$B$47)*$D54,0))*($B54^((FixedParams!$B$47-1)*$B$10/($B$10-1)))*((1/$B54-1)^$B$10*(AX54)^($B$10-1)+1)^((FixedParams!$B$47-$B$10)/($B$10-1))/((1+IF(AV54=1,FixedParams!$D$25,IF(AW54=1,FixedParams!$D$23,FixedParams!$D$24)))^FixedParams!$B$47)</f>
        <v>4.253398995203226E-2</v>
      </c>
      <c r="AZ54">
        <f t="shared" si="4"/>
        <v>1.1453374549618576</v>
      </c>
      <c r="BA54">
        <f t="shared" si="23"/>
        <v>28.816537186109255</v>
      </c>
      <c r="BB54">
        <f t="shared" si="5"/>
        <v>125.31320071369028</v>
      </c>
      <c r="BC54">
        <f t="shared" si="24"/>
        <v>154.12973789979952</v>
      </c>
      <c r="BD54" s="24">
        <f t="shared" si="25"/>
        <v>4.3486557702740338</v>
      </c>
      <c r="BE54" s="24">
        <f t="shared" si="26"/>
        <v>1.4978684218349962</v>
      </c>
      <c r="BF54" s="23">
        <f>IF(AV54=1,BA54*(1+FixedParams!$C$25)+BB54*(1+FixedParams!$C$28)/$AT$12,IF(AW54=1,BA54*(1+FixedParams!$C$23)+BB54*(1+FixedParams!$C$26)/$AT$12,BA54*(1+FixedParams!$C$24)+BB54*(1+FixedParams!$C$27)/$AT$12))</f>
        <v>431.05968577885864</v>
      </c>
      <c r="BG54" s="24">
        <f t="shared" si="27"/>
        <v>97.450999697649564</v>
      </c>
      <c r="BH54" s="24">
        <f>BG54^((FixedParams!$B$47-1)/FixedParams!$B$47)*EXP($C54)</f>
        <v>0.62694169168629477</v>
      </c>
      <c r="BI54" s="7"/>
      <c r="BJ54" s="24">
        <f>EXP(-$D$17)*(($B54*FixedParams!$B$30)^$B$10*(1+FixedParams!$C$24)^(1-$B$10)+(1-$B54)^$B$10*((1+FixedParams!$C$27)/$BK$12)^(1-$B$10))^(1/(1-$B$10))</f>
        <v>6.1939084271878349</v>
      </c>
      <c r="BK54" s="24">
        <f>EXP($D54-$D$17)*(($B54*FixedParams!$C$31)^$B$10*(1+FixedParams!$C$25)^(1-$B$10)+(1-$B54)^$B$10*((1+FixedParams!$C$28)/$BK$12)^(1-$B$10))^(1/(1-$B$10))</f>
        <v>4.7292976569973781</v>
      </c>
      <c r="BL54" s="24">
        <f>EXP($D54-$D$17)*(($B54*FixedParams!$C$30)^$B$10*(1+FixedParams!$C$23)^(1-$B$10)+(1-$B54)^$B$10*((1+FixedParams!$C$26)/$BK$12)^(1-$B$10))^(1/(1-$B$10))</f>
        <v>4.8722201362754687</v>
      </c>
      <c r="BM54">
        <f>IF(FixedParams!$I$6=1,IF(BK54&lt;=MIN(BJ54:BL54),1,0),$H54)</f>
        <v>1</v>
      </c>
      <c r="BN54">
        <f>IF(FixedParams!$I$6=1,IF(BL54&lt;=MIN(BJ54:BL54),1,0),IF(BL54&lt;=BJ54,1,0)*(1-$H54))</f>
        <v>0</v>
      </c>
      <c r="BO54" s="24">
        <f>$BK$13*IF(BM54=1,1,IF(BN54=1,FixedParams!$C$52,FixedParams!$C$53))</f>
        <v>0.41068174962109105</v>
      </c>
      <c r="BP54">
        <f>EXP($C54*FixedParams!$B$47)*EXP(IF(BM54+BN54=1,(1-FixedParams!$B$47)*$D54,0))*($B54^((FixedParams!$B$47-1)*$B$10/($B$10-1)))*((1/$B54-1)^$B$10*(BO54)^($B$10-1)+1)^((FixedParams!$B$47-$B$10)/($B$10-1))/((1+IF(BM54=1,FixedParams!$C$25,IF(BN54=1,FixedParams!$C$23,FixedParams!$C$24)))^FixedParams!$B$47)</f>
        <v>3.9812845990919658E-2</v>
      </c>
      <c r="BQ54">
        <f t="shared" si="28"/>
        <v>1.1453260894534323</v>
      </c>
      <c r="BR54">
        <f t="shared" si="29"/>
        <v>29.210578521062029</v>
      </c>
      <c r="BS54">
        <f t="shared" si="6"/>
        <v>126.92959855245569</v>
      </c>
      <c r="BT54">
        <f t="shared" si="30"/>
        <v>156.14017707351772</v>
      </c>
      <c r="BU54" s="24">
        <f t="shared" si="31"/>
        <v>4.345329842095877</v>
      </c>
      <c r="BV54" s="24">
        <f t="shared" si="32"/>
        <v>1.5020541621033865</v>
      </c>
      <c r="BW54" s="23">
        <f>IF(BM54=1,BR54*(1+FixedParams!$C$25)+BS54*(1+FixedParams!$C$28)/$BK$12,IF(BN54=1,BR54*(1+FixedParams!$C$23)+BS54*(1+FixedParams!$C$26)/$BK$12,BR54*(1+FixedParams!$C$24)+BS54*(1+FixedParams!$C$27)/$BK$12))</f>
        <v>462.90562100556122</v>
      </c>
      <c r="BX54" s="24">
        <f t="shared" si="33"/>
        <v>97.880415778155751</v>
      </c>
      <c r="BY54" s="24">
        <f>BX54^((FixedParams!$B$47-1)/FixedParams!$B$47)*EXP($C54)</f>
        <v>0.62693893239462906</v>
      </c>
      <c r="BZ54" s="24">
        <f t="shared" si="34"/>
        <v>-1.8479081339733576E-2</v>
      </c>
      <c r="CA54" s="24">
        <f t="shared" si="35"/>
        <v>-3.3458587309030852E-3</v>
      </c>
      <c r="CB54" s="24">
        <f t="shared" si="36"/>
        <v>1.3982597188504167E-2</v>
      </c>
      <c r="CC54" s="24"/>
      <c r="CD54" s="24">
        <f>EXP(-$D$17)*(($B54*FixedParams!$B$30)^$B$10*(1+FixedParams!$D$24)^(1-$B$10)+(1-$B54)^$B$10*((1+FixedParams!$D$27)/$CE$12)^(1-$B$10))^(1/(1-$B$10))</f>
        <v>5.8500842174214895</v>
      </c>
      <c r="CE54" s="24">
        <f>EXP($D54-$D$17)*(($B54*FixedParams!$D$31)^$B$10*(1+FixedParams!$D$25)^(1-$B$10)+(1-$B54)^$B$10*((1+FixedParams!$D$28)/$CE$12)^(1-$B$10))^(1/(1-$B$10))</f>
        <v>4.6173436354837696</v>
      </c>
      <c r="CF54" s="24">
        <f>EXP($D54-$D$17)*(($B54*FixedParams!$D$30)^$B$10*(1+FixedParams!$D$23)^(1-$B$10)+(1-$B54)^$B$10*((1+FixedParams!$D$26)/$CE$12)^(1-$B$10))^(1/(1-$B$10))</f>
        <v>4.7114787097090769</v>
      </c>
      <c r="CG54">
        <f>IF(FixedParams!$I$6=1,IF(CE54&lt;=MIN(CD54:CF54),1,0),$H54)</f>
        <v>1</v>
      </c>
      <c r="CH54">
        <f>IF(FixedParams!$I$6=1,IF(CF54&lt;=MIN(CD54:CF54),1,0),IF(CF54&lt;=CD54,1,0)*(1-$H54))</f>
        <v>0</v>
      </c>
      <c r="CI54" s="24">
        <f>$CE$13*IF(CG54=1,1,IF(CH54=1,FixedParams!$D$52,FixedParams!$D$53))</f>
        <v>0.39201585704839609</v>
      </c>
      <c r="CJ54">
        <f>EXP($C54*FixedParams!$B$47)*EXP(IF(CG54+CH54=1,(1-FixedParams!$B$47)*$D54,0))*($B54^((FixedParams!$B$47-1)*$B$10/($B$10-1)))*((1/$B54-1)^$B$10*(CI54)^($B$10-1)+1)^((FixedParams!$B$47-$B$10)/($B$10-1))/((1+IF(CG54=1,FixedParams!$D$25,IF(CH54=1,FixedParams!$D$23,FixedParams!$D$24)))^FixedParams!$B$47)</f>
        <v>4.3458557725368135E-2</v>
      </c>
      <c r="CK54">
        <f t="shared" si="37"/>
        <v>1.1442794783011627</v>
      </c>
      <c r="CL54">
        <f t="shared" si="41"/>
        <v>31.262037780725286</v>
      </c>
      <c r="CM54">
        <f t="shared" si="7"/>
        <v>126.68855372692514</v>
      </c>
      <c r="CN54">
        <f t="shared" si="42"/>
        <v>157.95059150765042</v>
      </c>
      <c r="CO54" s="24">
        <f t="shared" si="43"/>
        <v>4.0524726703847627</v>
      </c>
      <c r="CP54" s="24">
        <f t="shared" si="44"/>
        <v>1.4917342521570065</v>
      </c>
      <c r="CQ54" s="23">
        <f>IF(CG54=1,CL54*(1+FixedParams!$D$25)+CM54*(1+FixedParams!$D$28)/$CE$12,IF(CH54=1,CL54*(1+FixedParams!$D$23)+CM54*(1+FixedParams!$D$26)/$CE$12,CL54*(1+FixedParams!$D$24)+CM54*(1+FixedParams!$D$27)/$CE$12))</f>
        <v>453.84451383358362</v>
      </c>
      <c r="CR54" s="24">
        <f t="shared" si="45"/>
        <v>98.291257844843784</v>
      </c>
      <c r="CS54" s="24">
        <f>CR54^((FixedParams!$B$47-1)/FixedParams!$B$47)*EXP($C54)</f>
        <v>0.62693630377298293</v>
      </c>
      <c r="CT54" s="24"/>
    </row>
    <row r="55" spans="1:98" x14ac:dyDescent="0.15">
      <c r="A55">
        <v>0.19</v>
      </c>
      <c r="B55">
        <f t="shared" si="8"/>
        <v>0.13495687728640959</v>
      </c>
      <c r="C55">
        <f>(D55-$D$17)*FixedParams!$B$47+$A55*$B$9</f>
        <v>-0.47481288057576043</v>
      </c>
      <c r="D55">
        <f>(A55-$B$6)*FixedParams!$B$46/(FixedParams!$B$45*Sectors!$B$6)</f>
        <v>-0.1684389432667705</v>
      </c>
      <c r="E55">
        <f t="shared" si="9"/>
        <v>0.62200143412664999</v>
      </c>
      <c r="F55" s="24">
        <f>EXP(-$D$17)*(($B55*FixedParams!$B$30)^$B$10*(1+FixedParams!$B$23)^(1-$B$10)+(1-$B55)^$B$10*((1+FixedParams!$B$26)/$B$11)^(1-$B$10))^(1/(1-$B$10))</f>
        <v>4.6244279783258628</v>
      </c>
      <c r="G55" s="24">
        <f>EXP($D55-$D$17)*(($B55*FixedParams!$B$31)^$B$10*(1+FixedParams!$B$25)^(1-$B$10)+(1-$B55)^$B$10*((1+FixedParams!$B$28)/$B$11)^(1-$B$10))^(1/(1-$B$10))</f>
        <v>3.780927659576351</v>
      </c>
      <c r="H55">
        <f t="shared" si="10"/>
        <v>1</v>
      </c>
      <c r="I55" s="24">
        <f>$B$12*IF(H55=1,1,FixedParams!$B$52)</f>
        <v>0.3745928365283252</v>
      </c>
      <c r="J55">
        <f>EXP($C55*FixedParams!$B$47)*EXP(IF(H55=1,(1-FixedParams!$B$47)*$D55,0))*($B55^((FixedParams!$B$47-1)*$B$10/($B$10-1)))*((1/$B55-1)^$B$10*(I55)^($B$10-1)+1)^((FixedParams!$B$47-$B$10)/($B$10-1))/((1+IF(H55=1,FixedParams!$B$25,FixedParams!$B$24))^FixedParams!$B$47)</f>
        <v>5.6884066712689842E-2</v>
      </c>
      <c r="K55">
        <f t="shared" si="38"/>
        <v>1.1469296832780678</v>
      </c>
      <c r="L55">
        <f>K55*FixedParams!$B$8/K$15</f>
        <v>33.344835104360662</v>
      </c>
      <c r="M55">
        <f t="shared" si="0"/>
        <v>124.06002991396598</v>
      </c>
      <c r="N55">
        <f t="shared" si="11"/>
        <v>157.40486501832663</v>
      </c>
      <c r="O55" s="24">
        <f t="shared" si="12"/>
        <v>3.7205171213379926</v>
      </c>
      <c r="P55" s="24">
        <f t="shared" si="1"/>
        <v>1.4783996512251356</v>
      </c>
      <c r="Q55" s="23">
        <f>IF(H55=1,L55*(1+FixedParams!$B$25)+M55*FixedParams!$B$33*(1+FixedParams!$B$28)/FixedParams!$B$32,L55*(1+FixedParams!$B$23)+M55*FixedParams!$B$33*(1+FixedParams!$B$26)/FixedParams!$B$32)</f>
        <v>365.1700430993879</v>
      </c>
      <c r="R55" s="24">
        <f t="shared" si="2"/>
        <v>96.582129037693576</v>
      </c>
      <c r="S55" s="24">
        <f>R55^((FixedParams!$B$47-1)/FixedParams!$B$47)*EXP($C55)</f>
        <v>0.6191622964733503</v>
      </c>
      <c r="T55" s="7">
        <f>(L55*FixedParams!$B$32*(FixedParams!$C$25-FixedParams!$C$23)+FixedParams!$B$33*(FixedParams!$C$28-FixedParams!$C$26)*M55)/N55</f>
        <v>-2054.5380922550744</v>
      </c>
      <c r="U55" s="7">
        <f>(L55*FixedParams!$B$32*(FixedParams!$C$25-FixedParams!$C$23)*$Z$12/$B$11+FixedParams!$B$33*(FixedParams!$C$28-FixedParams!$C$26)*M55)/N55</f>
        <v>-2267.2973004347014</v>
      </c>
      <c r="V55" s="14">
        <f t="shared" si="13"/>
        <v>-2.2957782818802528</v>
      </c>
      <c r="W55" s="14">
        <f t="shared" si="46"/>
        <v>0.37168574802932414</v>
      </c>
      <c r="X55" s="73">
        <f t="shared" si="15"/>
        <v>0.98424239321839213</v>
      </c>
      <c r="Y55" s="24">
        <f>EXP(-$D$17)*(($B55*FixedParams!$B$30)^$B$10*(1+FixedParams!$C$24)^(1-$B$10)+(1-$B55)^$B$10*((1+FixedParams!$C$27)/$Z$12)^(1-$B$10))^(1/(1-$B$10))</f>
        <v>5.9250488442927995</v>
      </c>
      <c r="Z55" s="24">
        <f>EXP($D55-$D$17)*(($B55*FixedParams!$C$31)^$B$10*(1+FixedParams!$C$25)^(1-$B$10)+(1-$B55)^$B$10*((1+FixedParams!$C$28)/$Z$12)^(1-$B$10))^(1/(1-$B$10))</f>
        <v>4.5366023394158193</v>
      </c>
      <c r="AA55" s="24">
        <f>EXP($D55-$D$17)*(($B55*FixedParams!$C$30)^$B$10*(1+FixedParams!$C$23)^(1-$B$10)+(1-$B55)^$B$10*((1+FixedParams!$C$26)/$Z$12)^(1-$B$10))^(1/(1-$B$10))</f>
        <v>4.6743640722406354</v>
      </c>
      <c r="AB55">
        <f>IF(FixedParams!$I$6=1,IF(Z55&lt;=MIN(Y55:AA55),1,0),$H55)</f>
        <v>1</v>
      </c>
      <c r="AC55">
        <f>IF(FixedParams!$I$6=1,IF(AA55&lt;=MIN(Y55:AA55),1,0),IF(AA55&lt;=Y55,1,0)*(1-$H55))</f>
        <v>0</v>
      </c>
      <c r="AD55" s="24">
        <f>$Z$13*IF(AB55=1,1,IF(AC55=1,FixedParams!$C$52,FixedParams!$C$53))</f>
        <v>0.43187184563106507</v>
      </c>
      <c r="AE55">
        <f>EXP($C55*FixedParams!$B$47)*EXP(IF(AB55+AC55=1,(1-FixedParams!$B$47)*$D55,0))*($B55^((FixedParams!$B$47-1)*$B$10/($B$10-1)))*((1/$B55-1)^$B$10*(AD55)^($B$10-1)+1)^((FixedParams!$B$47-$B$10)/($B$10-1))/((1+IF(AB55=1,FixedParams!$C$25,IF(AC55=1,FixedParams!$C$23,FixedParams!$C$24)))^FixedParams!$B$47)</f>
        <v>3.9035024157976286E-2</v>
      </c>
      <c r="AF55">
        <f t="shared" si="39"/>
        <v>1.150252124226065</v>
      </c>
      <c r="AG55">
        <f t="shared" si="40"/>
        <v>27.017656043337148</v>
      </c>
      <c r="AH55">
        <f t="shared" si="3"/>
        <v>124.43544721820857</v>
      </c>
      <c r="AI55">
        <f t="shared" si="16"/>
        <v>151.45310326154572</v>
      </c>
      <c r="AJ55" s="24">
        <f t="shared" si="17"/>
        <v>4.6057084677741953</v>
      </c>
      <c r="AK55" s="24">
        <f t="shared" si="18"/>
        <v>1.5151971529552601</v>
      </c>
      <c r="AL55" s="23">
        <f>IF(AB55=1,AG55*(1+FixedParams!$C$25)+AH55*(1+FixedParams!$C$28)/$Z$12,IF(AC55=1,AG55*(1+FixedParams!$C$23)+AH55*(1+FixedParams!$C$26)/$Z$12,AG55*(1+FixedParams!$C$24)+AH55*(1+FixedParams!$C$27)/$Z$12))</f>
        <v>431.25044286847645</v>
      </c>
      <c r="AM55" s="24">
        <f t="shared" si="19"/>
        <v>95.060225826187093</v>
      </c>
      <c r="AN55" s="24">
        <f>AM55^((FixedParams!$B$47-1)/FixedParams!$B$47)*EXP($C55)</f>
        <v>0.61917214059851267</v>
      </c>
      <c r="AO55" s="24">
        <f t="shared" si="20"/>
        <v>-3.8545216535047437E-2</v>
      </c>
      <c r="AP55" s="24">
        <f t="shared" si="21"/>
        <v>-1.5883077693725812E-2</v>
      </c>
      <c r="AQ55" s="14">
        <f t="shared" si="22"/>
        <v>-2.3669228937621378</v>
      </c>
      <c r="AS55" s="24">
        <f>EXP(-$D$17)*(($B55*FixedParams!$B$30)^$B$10*(1+FixedParams!$D$24)^(1-$B$10)+(1-$B55)^$B$10*((1+FixedParams!$D$27)/$AT$12)^(1-$B$10))^(1/(1-$B$10))</f>
        <v>5.6132623399704302</v>
      </c>
      <c r="AT55" s="24">
        <f>EXP($D55-$D$17)*(($B55*FixedParams!$C$31)^$B$10*(1+FixedParams!$D$25)^(1-$B$10)+(1-$B55)^$B$10*((1+FixedParams!$D$28)/$AT$12)^(1-$B$10))^(1/(1-$B$10))</f>
        <v>4.44262972994379</v>
      </c>
      <c r="AU55" s="24">
        <f>EXP($D55-$D$17)*(($B55*FixedParams!$C$30)^$B$10*(1+FixedParams!$D$23)^(1-$B$10)+(1-$B55)^$B$10*((1+FixedParams!$D$26)/$AT$12)^(1-$B$10))^(1/(1-$B$10))</f>
        <v>4.5336128548042627</v>
      </c>
      <c r="AV55">
        <f>IF(FixedParams!$I$6=1,IF(AT55&lt;=MIN(AS55:AU55),1,0),$H55)</f>
        <v>1</v>
      </c>
      <c r="AW55">
        <f>IF(FixedParams!$I$6=1,IF(AU55&lt;=MIN(AS55:AU55),1,0),IF(AU55&lt;=AS55,1,0)*(1-$H55))</f>
        <v>0</v>
      </c>
      <c r="AX55" s="24">
        <f>$AT$13*IF(AV55=1,1,IF(AW55=1,FixedParams!$D$52,FixedParams!$D$53))</f>
        <v>0.41089128090616783</v>
      </c>
      <c r="AY55">
        <f>EXP($C55*FixedParams!$B$47)*EXP(IF(AV55+AW55=1,(1-FixedParams!$B$47)*$D55,0))*($B55^((FixedParams!$B$47-1)*$B$10/($B$10-1)))*((1/$B55-1)^$B$10*(AX55)^($B$10-1)+1)^((FixedParams!$B$47-$B$10)/($B$10-1))/((1+IF(AV55=1,FixedParams!$D$25,IF(AW55=1,FixedParams!$D$23,FixedParams!$D$24)))^FixedParams!$B$47)</f>
        <v>4.2674140282215452E-2</v>
      </c>
      <c r="AZ55">
        <f t="shared" si="4"/>
        <v>1.1491113643144744</v>
      </c>
      <c r="BA55">
        <f t="shared" si="23"/>
        <v>28.911488240687582</v>
      </c>
      <c r="BB55">
        <f t="shared" si="5"/>
        <v>123.57338459316861</v>
      </c>
      <c r="BC55">
        <f t="shared" si="24"/>
        <v>152.4848728338562</v>
      </c>
      <c r="BD55" s="24">
        <f t="shared" si="25"/>
        <v>4.274196594946015</v>
      </c>
      <c r="BE55" s="24">
        <f t="shared" si="26"/>
        <v>1.5043977467640244</v>
      </c>
      <c r="BF55" s="23">
        <f>IF(AV55=1,BA55*(1+FixedParams!$C$25)+BB55*(1+FixedParams!$C$28)/$AT$12,IF(AW55=1,BA55*(1+FixedParams!$C$23)+BB55*(1+FixedParams!$C$26)/$AT$12,BA55*(1+FixedParams!$C$24)+BB55*(1+FixedParams!$C$27)/$AT$12))</f>
        <v>425.75236946492441</v>
      </c>
      <c r="BG55" s="24">
        <f t="shared" si="27"/>
        <v>95.833412943534043</v>
      </c>
      <c r="BH55" s="24">
        <f>BG55^((FixedParams!$B$47-1)/FixedParams!$B$47)*EXP($C55)</f>
        <v>0.61916711983597283</v>
      </c>
      <c r="BI55" s="7"/>
      <c r="BJ55" s="24">
        <f>EXP(-$D$17)*(($B55*FixedParams!$B$30)^$B$10*(1+FixedParams!$C$24)^(1-$B$10)+(1-$B55)^$B$10*((1+FixedParams!$C$27)/$BK$12)^(1-$B$10))^(1/(1-$B$10))</f>
        <v>6.204881000844602</v>
      </c>
      <c r="BK55" s="24">
        <f>EXP($D55-$D$17)*(($B55*FixedParams!$C$31)^$B$10*(1+FixedParams!$C$25)^(1-$B$10)+(1-$B55)^$B$10*((1+FixedParams!$C$28)/$BK$12)^(1-$B$10))^(1/(1-$B$10))</f>
        <v>4.7499097087516349</v>
      </c>
      <c r="BL55" s="24">
        <f>EXP($D55-$D$17)*(($B55*FixedParams!$C$30)^$B$10*(1+FixedParams!$C$23)^(1-$B$10)+(1-$B55)^$B$10*((1+FixedParams!$C$26)/$BK$12)^(1-$B$10))^(1/(1-$B$10))</f>
        <v>4.8919200193489178</v>
      </c>
      <c r="BM55">
        <f>IF(FixedParams!$I$6=1,IF(BK55&lt;=MIN(BJ55:BL55),1,0),$H55)</f>
        <v>1</v>
      </c>
      <c r="BN55">
        <f>IF(FixedParams!$I$6=1,IF(BL55&lt;=MIN(BJ55:BL55),1,0),IF(BL55&lt;=BJ55,1,0)*(1-$H55))</f>
        <v>0</v>
      </c>
      <c r="BO55" s="24">
        <f>$BK$13*IF(BM55=1,1,IF(BN55=1,FixedParams!$C$52,FixedParams!$C$53))</f>
        <v>0.41068174962109105</v>
      </c>
      <c r="BP55">
        <f>EXP($C55*FixedParams!$B$47)*EXP(IF(BM55+BN55=1,(1-FixedParams!$B$47)*$D55,0))*($B55^((FixedParams!$B$47-1)*$B$10/($B$10-1)))*((1/$B55-1)^$B$10*(BO55)^($B$10-1)+1)^((FixedParams!$B$47-$B$10)/($B$10-1))/((1+IF(BM55=1,FixedParams!$C$25,IF(BN55=1,FixedParams!$C$23,FixedParams!$C$24)))^FixedParams!$B$47)</f>
        <v>3.9944016091936159E-2</v>
      </c>
      <c r="BQ55">
        <f t="shared" si="28"/>
        <v>1.1490995584208279</v>
      </c>
      <c r="BR55">
        <f t="shared" si="29"/>
        <v>29.306817673023986</v>
      </c>
      <c r="BS55">
        <f t="shared" si="6"/>
        <v>125.16729689138829</v>
      </c>
      <c r="BT55">
        <f t="shared" si="30"/>
        <v>154.47411456441228</v>
      </c>
      <c r="BU55" s="24">
        <f t="shared" si="31"/>
        <v>4.2709276144506436</v>
      </c>
      <c r="BV55" s="24">
        <f t="shared" si="32"/>
        <v>1.5086006771194509</v>
      </c>
      <c r="BW55" s="23">
        <f>IF(BM55=1,BR55*(1+FixedParams!$C$25)+BS55*(1+FixedParams!$C$28)/$BK$12,IF(BN55=1,BR55*(1+FixedParams!$C$23)+BS55*(1+FixedParams!$C$26)/$BK$12,BR55*(1+FixedParams!$C$24)+BS55*(1+FixedParams!$C$27)/$BK$12))</f>
        <v>457.16526657449373</v>
      </c>
      <c r="BX55" s="24">
        <f t="shared" si="33"/>
        <v>96.247148810465575</v>
      </c>
      <c r="BY55" s="24">
        <f>BX55^((FixedParams!$B$47-1)/FixedParams!$B$47)*EXP($C55)</f>
        <v>0.61916444983215246</v>
      </c>
      <c r="BZ55" s="24">
        <f t="shared" si="34"/>
        <v>-1.8794705106970584E-2</v>
      </c>
      <c r="CA55" s="24">
        <f t="shared" si="35"/>
        <v>-3.4743745134146018E-3</v>
      </c>
      <c r="CB55" s="24">
        <f t="shared" si="36"/>
        <v>1.385408140599265E-2</v>
      </c>
      <c r="CC55" s="24"/>
      <c r="CD55" s="24">
        <f>EXP(-$D$17)*(($B55*FixedParams!$B$30)^$B$10*(1+FixedParams!$D$24)^(1-$B$10)+(1-$B55)^$B$10*((1+FixedParams!$D$27)/$CE$12)^(1-$B$10))^(1/(1-$B$10))</f>
        <v>5.859821426655186</v>
      </c>
      <c r="CE55" s="24">
        <f>EXP($D55-$D$17)*(($B55*FixedParams!$D$31)^$B$10*(1+FixedParams!$D$25)^(1-$B$10)+(1-$B55)^$B$10*((1+FixedParams!$D$28)/$CE$12)^(1-$B$10))^(1/(1-$B$10))</f>
        <v>4.6371688695818225</v>
      </c>
      <c r="CF55" s="24">
        <f>EXP($D55-$D$17)*(($B55*FixedParams!$D$30)^$B$10*(1+FixedParams!$D$23)^(1-$B$10)+(1-$B55)^$B$10*((1+FixedParams!$D$26)/$CE$12)^(1-$B$10))^(1/(1-$B$10))</f>
        <v>4.7305129637060022</v>
      </c>
      <c r="CG55">
        <f>IF(FixedParams!$I$6=1,IF(CE55&lt;=MIN(CD55:CF55),1,0),$H55)</f>
        <v>1</v>
      </c>
      <c r="CH55">
        <f>IF(FixedParams!$I$6=1,IF(CF55&lt;=MIN(CD55:CF55),1,0),IF(CF55&lt;=CD55,1,0)*(1-$H55))</f>
        <v>0</v>
      </c>
      <c r="CI55" s="24">
        <f>$CE$13*IF(CG55=1,1,IF(CH55=1,FixedParams!$D$52,FixedParams!$D$53))</f>
        <v>0.39201585704839609</v>
      </c>
      <c r="CJ55">
        <f>EXP($C55*FixedParams!$B$47)*EXP(IF(CG55+CH55=1,(1-FixedParams!$B$47)*$D55,0))*($B55^((FixedParams!$B$47-1)*$B$10/($B$10-1)))*((1/$B55-1)^$B$10*(CI55)^($B$10-1)+1)^((FixedParams!$B$47-$B$10)/($B$10-1))/((1+IF(CG55=1,FixedParams!$D$25,IF(CH55=1,FixedParams!$D$23,FixedParams!$D$24)))^FixedParams!$B$47)</f>
        <v>4.3600331358828459E-2</v>
      </c>
      <c r="CK55">
        <f t="shared" si="37"/>
        <v>1.1480124291357952</v>
      </c>
      <c r="CL55">
        <f t="shared" si="41"/>
        <v>31.364023049393325</v>
      </c>
      <c r="CM55">
        <f t="shared" si="7"/>
        <v>124.92556484422148</v>
      </c>
      <c r="CN55">
        <f t="shared" si="42"/>
        <v>156.28958789361479</v>
      </c>
      <c r="CO55" s="24">
        <f t="shared" si="43"/>
        <v>3.9830848436593635</v>
      </c>
      <c r="CP55" s="24">
        <f t="shared" si="44"/>
        <v>1.4981392293681075</v>
      </c>
      <c r="CQ55" s="23">
        <f>IF(CG55=1,CL55*(1+FixedParams!$D$25)+CM55*(1+FixedParams!$D$28)/$CE$12,IF(CH55=1,CL55*(1+FixedParams!$D$23)+CM55*(1+FixedParams!$D$26)/$CE$12,CL55*(1+FixedParams!$D$24)+CM55*(1+FixedParams!$D$27)/$CE$12))</f>
        <v>448.21649459983217</v>
      </c>
      <c r="CR55" s="24">
        <f t="shared" si="45"/>
        <v>96.657358661223853</v>
      </c>
      <c r="CS55" s="24">
        <f>CR55^((FixedParams!$B$47-1)/FixedParams!$B$47)*EXP($C55)</f>
        <v>0.61916181390162361</v>
      </c>
      <c r="CT55" s="24"/>
    </row>
    <row r="56" spans="1:98" x14ac:dyDescent="0.15">
      <c r="A56">
        <v>0.19500000000000001</v>
      </c>
      <c r="B56">
        <f t="shared" si="8"/>
        <v>0.13630669137392731</v>
      </c>
      <c r="C56">
        <f>(D56-$D$17)*FixedParams!$B$47+$A56*$B$9</f>
        <v>-0.48730795638038577</v>
      </c>
      <c r="D56">
        <f>(A56-$B$6)*FixedParams!$B$46/(FixedParams!$B$45*Sectors!$B$6)</f>
        <v>-0.16572218611730646</v>
      </c>
      <c r="E56">
        <f t="shared" si="9"/>
        <v>0.61427783303545358</v>
      </c>
      <c r="F56" s="24">
        <f>EXP(-$D$17)*(($B56*FixedParams!$B$30)^$B$10*(1+FixedParams!$B$23)^(1-$B$10)+(1-$B56)^$B$10*((1+FixedParams!$B$26)/$B$11)^(1-$B$10))^(1/(1-$B$10))</f>
        <v>4.631656208576338</v>
      </c>
      <c r="G56" s="24">
        <f>EXP($D56-$D$17)*(($B56*FixedParams!$B$31)^$B$10*(1+FixedParams!$B$25)^(1-$B$10)+(1-$B56)^$B$10*((1+FixedParams!$B$28)/$B$11)^(1-$B$10))^(1/(1-$B$10))</f>
        <v>3.796905921632852</v>
      </c>
      <c r="H56">
        <f t="shared" si="10"/>
        <v>1</v>
      </c>
      <c r="I56" s="24">
        <f>$B$12*IF(H56=1,1,FixedParams!$B$52)</f>
        <v>0.3745928365283252</v>
      </c>
      <c r="J56">
        <f>EXP($C56*FixedParams!$B$47)*EXP(IF(H56=1,(1-FixedParams!$B$47)*$D56,0))*($B56^((FixedParams!$B$47-1)*$B$10/($B$10-1)))*((1/$B56-1)^$B$10*(I56)^($B$10-1)+1)^((FixedParams!$B$47-$B$10)/($B$10-1))/((1+IF(H56=1,FixedParams!$B$25,FixedParams!$B$24))^FixedParams!$B$47)</f>
        <v>5.7066387830362289E-2</v>
      </c>
      <c r="K56">
        <f t="shared" si="38"/>
        <v>1.1506057478393996</v>
      </c>
      <c r="L56">
        <f>K56*FixedParams!$B$8/K$15</f>
        <v>33.451709805066159</v>
      </c>
      <c r="M56">
        <f t="shared" si="0"/>
        <v>122.326652350533</v>
      </c>
      <c r="N56">
        <f t="shared" si="11"/>
        <v>155.77836215559915</v>
      </c>
      <c r="O56" s="24">
        <f t="shared" si="12"/>
        <v>3.6568131513566757</v>
      </c>
      <c r="P56" s="24">
        <f t="shared" si="1"/>
        <v>1.4846473923030914</v>
      </c>
      <c r="Q56" s="23">
        <f>IF(H56=1,L56*(1+FixedParams!$B$25)+M56*FixedParams!$B$33*(1+FixedParams!$B$28)/FixedParams!$B$32,L56*(1+FixedParams!$B$23)+M56*FixedParams!$B$33*(1+FixedParams!$B$26)/FixedParams!$B$32)</f>
        <v>360.64163086638257</v>
      </c>
      <c r="R56" s="24">
        <f t="shared" si="2"/>
        <v>94.983030475321698</v>
      </c>
      <c r="S56" s="24">
        <f>R56^((FixedParams!$B$47-1)/FixedParams!$B$47)*EXP($C56)</f>
        <v>0.61148416906243719</v>
      </c>
      <c r="T56" s="7">
        <f>(L56*FixedParams!$B$32*(FixedParams!$C$25-FixedParams!$C$23)+FixedParams!$B$33*(FixedParams!$C$28-FixedParams!$C$26)*M56)/N56</f>
        <v>-2021.6612396395712</v>
      </c>
      <c r="U56" s="7">
        <f>(L56*FixedParams!$B$32*(FixedParams!$C$25-FixedParams!$C$23)*$Z$12/$B$11+FixedParams!$B$33*(FixedParams!$C$28-FixedParams!$C$26)*M56)/N56</f>
        <v>-2237.3309374116739</v>
      </c>
      <c r="V56" s="14">
        <f t="shared" si="13"/>
        <v>-2.2785076565841687</v>
      </c>
      <c r="W56" s="14">
        <f t="shared" si="46"/>
        <v>0.37932634517240454</v>
      </c>
      <c r="X56" s="73">
        <f t="shared" si="15"/>
        <v>0.98404596619633777</v>
      </c>
      <c r="Y56" s="24">
        <f>EXP(-$D$17)*(($B56*FixedParams!$B$30)^$B$10*(1+FixedParams!$C$24)^(1-$B$10)+(1-$B56)^$B$10*((1+FixedParams!$C$27)/$Z$12)^(1-$B$10))^(1/(1-$B$10))</f>
        <v>5.9359434148574426</v>
      </c>
      <c r="Z56" s="24">
        <f>EXP($D56-$D$17)*(($B56*FixedParams!$C$31)^$B$10*(1+FixedParams!$C$25)^(1-$B$10)+(1-$B56)^$B$10*((1+FixedParams!$C$28)/$Z$12)^(1-$B$10))^(1/(1-$B$10))</f>
        <v>4.5566843909068764</v>
      </c>
      <c r="AA56" s="24">
        <f>EXP($D56-$D$17)*(($B56*FixedParams!$C$30)^$B$10*(1+FixedParams!$C$23)^(1-$B$10)+(1-$B56)^$B$10*((1+FixedParams!$C$26)/$Z$12)^(1-$B$10))^(1/(1-$B$10))</f>
        <v>4.6935925705504253</v>
      </c>
      <c r="AB56">
        <f>IF(FixedParams!$I$6=1,IF(Z56&lt;=MIN(Y56:AA56),1,0),$H56)</f>
        <v>1</v>
      </c>
      <c r="AC56">
        <f>IF(FixedParams!$I$6=1,IF(AA56&lt;=MIN(Y56:AA56),1,0),IF(AA56&lt;=Y56,1,0)*(1-$H56))</f>
        <v>0</v>
      </c>
      <c r="AD56" s="24">
        <f>$Z$13*IF(AB56=1,1,IF(AC56=1,FixedParams!$C$52,FixedParams!$C$53))</f>
        <v>0.43187184563106507</v>
      </c>
      <c r="AE56">
        <f>EXP($C56*FixedParams!$B$47)*EXP(IF(AB56+AC56=1,(1-FixedParams!$B$47)*$D56,0))*($B56^((FixedParams!$B$47-1)*$B$10/($B$10-1)))*((1/$B56-1)^$B$10*(AD56)^($B$10-1)+1)^((FixedParams!$B$47-$B$10)/($B$10-1))/((1+IF(AB56=1,FixedParams!$C$25,IF(AC56=1,FixedParams!$C$23,FixedParams!$C$24)))^FixedParams!$B$47)</f>
        <v>3.9164056634582459E-2</v>
      </c>
      <c r="AF56">
        <f t="shared" si="39"/>
        <v>1.1540543475757865</v>
      </c>
      <c r="AG56">
        <f t="shared" si="40"/>
        <v>27.10696443103679</v>
      </c>
      <c r="AH56">
        <f t="shared" si="3"/>
        <v>122.70910631146646</v>
      </c>
      <c r="AI56">
        <f t="shared" si="16"/>
        <v>149.81607074250326</v>
      </c>
      <c r="AJ56" s="24">
        <f t="shared" si="17"/>
        <v>4.5268479480117527</v>
      </c>
      <c r="AK56" s="24">
        <f t="shared" si="18"/>
        <v>1.5219044340806913</v>
      </c>
      <c r="AL56" s="23">
        <f>IF(AB56=1,AG56*(1+FixedParams!$C$25)+AH56*(1+FixedParams!$C$28)/$Z$12,IF(AC56=1,AG56*(1+FixedParams!$C$23)+AH56*(1+FixedParams!$C$26)/$Z$12,AG56*(1+FixedParams!$C$24)+AH56*(1+FixedParams!$C$27)/$Z$12))</f>
        <v>425.90266381340757</v>
      </c>
      <c r="AM56" s="24">
        <f t="shared" si="19"/>
        <v>93.467667996344133</v>
      </c>
      <c r="AN56" s="24">
        <f>AM56^((FixedParams!$B$47-1)/FixedParams!$B$47)*EXP($C56)</f>
        <v>0.61149401328355724</v>
      </c>
      <c r="AO56" s="24">
        <f t="shared" si="20"/>
        <v>-3.9025894952755248E-2</v>
      </c>
      <c r="AP56" s="24">
        <f t="shared" si="21"/>
        <v>-1.6082669406766122E-2</v>
      </c>
      <c r="AQ56" s="14">
        <f t="shared" si="22"/>
        <v>-2.3496522684660537</v>
      </c>
      <c r="AS56" s="24">
        <f>EXP(-$D$17)*(($B56*FixedParams!$B$30)^$B$10*(1+FixedParams!$D$24)^(1-$B$10)+(1-$B56)^$B$10*((1+FixedParams!$D$27)/$AT$12)^(1-$B$10))^(1/(1-$B$10))</f>
        <v>5.6229616237573126</v>
      </c>
      <c r="AT56" s="24">
        <f>EXP($D56-$D$17)*(($B56*FixedParams!$C$31)^$B$10*(1+FixedParams!$D$25)^(1-$B$10)+(1-$B56)^$B$10*((1+FixedParams!$D$28)/$AT$12)^(1-$B$10))^(1/(1-$B$10))</f>
        <v>4.4619896901763303</v>
      </c>
      <c r="AU56" s="24">
        <f>EXP($D56-$D$17)*(($B56*FixedParams!$C$30)^$B$10*(1+FixedParams!$D$23)^(1-$B$10)+(1-$B56)^$B$10*((1+FixedParams!$D$26)/$AT$12)^(1-$B$10))^(1/(1-$B$10))</f>
        <v>4.5522250205224521</v>
      </c>
      <c r="AV56">
        <f>IF(FixedParams!$I$6=1,IF(AT56&lt;=MIN(AS56:AU56),1,0),$H56)</f>
        <v>1</v>
      </c>
      <c r="AW56">
        <f>IF(FixedParams!$I$6=1,IF(AU56&lt;=MIN(AS56:AU56),1,0),IF(AU56&lt;=AS56,1,0)*(1-$H56))</f>
        <v>0</v>
      </c>
      <c r="AX56" s="24">
        <f>$AT$13*IF(AV56=1,1,IF(AW56=1,FixedParams!$D$52,FixedParams!$D$53))</f>
        <v>0.41089128090616783</v>
      </c>
      <c r="AY56">
        <f>EXP($C56*FixedParams!$B$47)*EXP(IF(AV56+AW56=1,(1-FixedParams!$B$47)*$D56,0))*($B56^((FixedParams!$B$47-1)*$B$10/($B$10-1)))*((1/$B56-1)^$B$10*(AX56)^($B$10-1)+1)^((FixedParams!$B$47-$B$10)/($B$10-1))/((1+IF(AV56=1,FixedParams!$D$25,IF(AW56=1,FixedParams!$D$23,FixedParams!$D$24)))^FixedParams!$B$47)</f>
        <v>4.2813730578208475E-2</v>
      </c>
      <c r="AZ56">
        <f t="shared" si="4"/>
        <v>1.1528701933011347</v>
      </c>
      <c r="BA56">
        <f t="shared" si="23"/>
        <v>29.006059875275337</v>
      </c>
      <c r="BB56">
        <f t="shared" si="5"/>
        <v>121.85481533016885</v>
      </c>
      <c r="BC56">
        <f t="shared" si="24"/>
        <v>150.86087520544419</v>
      </c>
      <c r="BD56" s="24">
        <f t="shared" si="25"/>
        <v>4.2010123351512991</v>
      </c>
      <c r="BE56" s="24">
        <f t="shared" si="26"/>
        <v>1.510953566699899</v>
      </c>
      <c r="BF56" s="23">
        <f>IF(AV56=1,BA56*(1+FixedParams!$C$25)+BB56*(1+FixedParams!$C$28)/$AT$12,IF(AW56=1,BA56*(1+FixedParams!$C$23)+BB56*(1+FixedParams!$C$26)/$AT$12,BA56*(1+FixedParams!$C$24)+BB56*(1+FixedParams!$C$27)/$AT$12))</f>
        <v>420.51093431850427</v>
      </c>
      <c r="BG56" s="24">
        <f t="shared" si="27"/>
        <v>94.242919306675134</v>
      </c>
      <c r="BH56" s="24">
        <f>BG56^((FixedParams!$B$47-1)/FixedParams!$B$47)*EXP($C56)</f>
        <v>0.61148895723622143</v>
      </c>
      <c r="BI56" s="7"/>
      <c r="BJ56" s="24">
        <f>EXP(-$D$17)*(($B56*FixedParams!$B$30)^$B$10*(1+FixedParams!$C$24)^(1-$B$10)+(1-$B56)^$B$10*((1+FixedParams!$C$27)/$BK$12)^(1-$B$10))^(1/(1-$B$10))</f>
        <v>6.2158772036704706</v>
      </c>
      <c r="BK56" s="24">
        <f>EXP($D56-$D$17)*(($B56*FixedParams!$C$31)^$B$10*(1+FixedParams!$C$25)^(1-$B$10)+(1-$B56)^$B$10*((1+FixedParams!$C$28)/$BK$12)^(1-$B$10))^(1/(1-$B$10))</f>
        <v>4.7706053377027589</v>
      </c>
      <c r="BL56" s="24">
        <f>EXP($D56-$D$17)*(($B56*FixedParams!$C$30)^$B$10*(1+FixedParams!$C$23)^(1-$B$10)+(1-$B56)^$B$10*((1+FixedParams!$C$26)/$BK$12)^(1-$B$10))^(1/(1-$B$10))</f>
        <v>4.911671257009302</v>
      </c>
      <c r="BM56">
        <f>IF(FixedParams!$I$6=1,IF(BK56&lt;=MIN(BJ56:BL56),1,0),$H56)</f>
        <v>1</v>
      </c>
      <c r="BN56">
        <f>IF(FixedParams!$I$6=1,IF(BL56&lt;=MIN(BJ56:BL56),1,0),IF(BL56&lt;=BJ56,1,0)*(1-$H56))</f>
        <v>0</v>
      </c>
      <c r="BO56" s="24">
        <f>$BK$13*IF(BM56=1,1,IF(BN56=1,FixedParams!$C$52,FixedParams!$C$53))</f>
        <v>0.41068174962109105</v>
      </c>
      <c r="BP56">
        <f>EXP($C56*FixedParams!$B$47)*EXP(IF(BM56+BN56=1,(1-FixedParams!$B$47)*$D56,0))*($B56^((FixedParams!$B$47-1)*$B$10/($B$10-1)))*((1/$B56-1)^$B$10*(BO56)^($B$10-1)+1)^((FixedParams!$B$47-$B$10)/($B$10-1))/((1+IF(BM56=1,FixedParams!$C$25,IF(BN56=1,FixedParams!$C$23,FixedParams!$C$24)))^FixedParams!$B$47)</f>
        <v>4.0074661694194588E-2</v>
      </c>
      <c r="BQ56">
        <f t="shared" si="28"/>
        <v>1.152857938737901</v>
      </c>
      <c r="BR56">
        <f t="shared" si="29"/>
        <v>29.402672001651272</v>
      </c>
      <c r="BS56">
        <f t="shared" si="6"/>
        <v>123.42651674820641</v>
      </c>
      <c r="BT56">
        <f t="shared" si="30"/>
        <v>152.82918874985768</v>
      </c>
      <c r="BU56" s="24">
        <f t="shared" si="31"/>
        <v>4.1977993272609613</v>
      </c>
      <c r="BV56" s="24">
        <f t="shared" si="32"/>
        <v>1.5151737367697331</v>
      </c>
      <c r="BW56" s="23">
        <f>IF(BM56=1,BR56*(1+FixedParams!$C$25)+BS56*(1+FixedParams!$C$28)/$BK$12,IF(BN56=1,BR56*(1+FixedParams!$C$23)+BS56*(1+FixedParams!$C$26)/$BK$12,BR56*(1+FixedParams!$C$24)+BS56*(1+FixedParams!$C$27)/$BK$12))</f>
        <v>451.49609597300849</v>
      </c>
      <c r="BX56" s="24">
        <f t="shared" si="33"/>
        <v>94.641259130109106</v>
      </c>
      <c r="BY56" s="24">
        <f>BX56^((FixedParams!$B$47-1)/FixedParams!$B$47)*EXP($C56)</f>
        <v>0.61148637550517071</v>
      </c>
      <c r="BZ56" s="24">
        <f t="shared" si="34"/>
        <v>-1.9113357267606823E-2</v>
      </c>
      <c r="CA56" s="24">
        <f t="shared" si="35"/>
        <v>-3.6047250698345605E-3</v>
      </c>
      <c r="CB56" s="24">
        <f t="shared" si="36"/>
        <v>1.372373084957269E-2</v>
      </c>
      <c r="CC56" s="24"/>
      <c r="CD56" s="24">
        <f>EXP(-$D$17)*(($B56*FixedParams!$B$30)^$B$10*(1+FixedParams!$D$24)^(1-$B$10)+(1-$B56)^$B$10*((1+FixedParams!$D$27)/$CE$12)^(1-$B$10))^(1/(1-$B$10))</f>
        <v>5.8695697498827233</v>
      </c>
      <c r="CE56" s="24">
        <f>EXP($D56-$D$17)*(($B56*FixedParams!$D$31)^$B$10*(1+FixedParams!$D$25)^(1-$B$10)+(1-$B56)^$B$10*((1+FixedParams!$D$28)/$CE$12)^(1-$B$10))^(1/(1-$B$10))</f>
        <v>4.6570688222512118</v>
      </c>
      <c r="CF56" s="24">
        <f>EXP($D56-$D$17)*(($B56*FixedParams!$D$30)^$B$10*(1+FixedParams!$D$23)^(1-$B$10)+(1-$B56)^$B$10*((1+FixedParams!$D$26)/$CE$12)^(1-$B$10))^(1/(1-$B$10))</f>
        <v>4.7495965302523295</v>
      </c>
      <c r="CG56">
        <f>IF(FixedParams!$I$6=1,IF(CE56&lt;=MIN(CD56:CF56),1,0),$H56)</f>
        <v>1</v>
      </c>
      <c r="CH56">
        <f>IF(FixedParams!$I$6=1,IF(CF56&lt;=MIN(CD56:CF56),1,0),IF(CF56&lt;=CD56,1,0)*(1-$H56))</f>
        <v>0</v>
      </c>
      <c r="CI56" s="24">
        <f>$CE$13*IF(CG56=1,1,IF(CH56=1,FixedParams!$D$52,FixedParams!$D$53))</f>
        <v>0.39201585704839609</v>
      </c>
      <c r="CJ56">
        <f>EXP($C56*FixedParams!$B$47)*EXP(IF(CG56+CH56=1,(1-FixedParams!$B$47)*$D56,0))*($B56^((FixedParams!$B$47-1)*$B$10/($B$10-1)))*((1/$B56-1)^$B$10*(CI56)^($B$10-1)+1)^((FixedParams!$B$47-$B$10)/($B$10-1))/((1+IF(CG56=1,FixedParams!$D$25,IF(CH56=1,FixedParams!$D$23,FixedParams!$D$24)))^FixedParams!$B$47)</f>
        <v>4.374150308978398E-2</v>
      </c>
      <c r="CK56">
        <f t="shared" si="37"/>
        <v>1.1517295316606762</v>
      </c>
      <c r="CL56">
        <f t="shared" si="41"/>
        <v>31.465575337773242</v>
      </c>
      <c r="CM56">
        <f t="shared" si="7"/>
        <v>123.18411202437639</v>
      </c>
      <c r="CN56">
        <f t="shared" si="42"/>
        <v>154.64968736214962</v>
      </c>
      <c r="CO56" s="24">
        <f t="shared" si="43"/>
        <v>3.9148850990974409</v>
      </c>
      <c r="CP56" s="24">
        <f t="shared" si="44"/>
        <v>1.5045683460543993</v>
      </c>
      <c r="CQ56" s="23">
        <f>IF(CG56=1,CL56*(1+FixedParams!$D$25)+CM56*(1+FixedParams!$D$28)/$CE$12,IF(CH56=1,CL56*(1+FixedParams!$D$23)+CM56*(1+FixedParams!$D$26)/$CE$12,CL56*(1+FixedParams!$D$24)+CM56*(1+FixedParams!$D$27)/$CE$12))</f>
        <v>442.65826612199453</v>
      </c>
      <c r="CR56" s="24">
        <f t="shared" si="45"/>
        <v>95.050831975468853</v>
      </c>
      <c r="CS56" s="24">
        <f>CR56^((FixedParams!$B$47-1)/FixedParams!$B$47)*EXP($C56)</f>
        <v>0.61148373228731279</v>
      </c>
      <c r="CT56" s="24"/>
    </row>
    <row r="57" spans="1:98" x14ac:dyDescent="0.15">
      <c r="A57">
        <v>0.2</v>
      </c>
      <c r="B57">
        <f t="shared" si="8"/>
        <v>0.13766785749491431</v>
      </c>
      <c r="C57">
        <f>(D57-$D$17)*FixedParams!$B$47+$A57*$B$9</f>
        <v>-0.49980303218501104</v>
      </c>
      <c r="D57">
        <f>(A57-$B$6)*FixedParams!$B$46/(FixedParams!$B$45*Sectors!$B$6)</f>
        <v>-0.16300542896784243</v>
      </c>
      <c r="E57">
        <f t="shared" si="9"/>
        <v>0.60665013849775218</v>
      </c>
      <c r="F57" s="24">
        <f>EXP(-$D$17)*(($B57*FixedParams!$B$30)^$B$10*(1+FixedParams!$B$23)^(1-$B$10)+(1-$B57)^$B$10*((1+FixedParams!$B$26)/$B$11)^(1-$B$10))^(1/(1-$B$10))</f>
        <v>4.6388837316921698</v>
      </c>
      <c r="G57" s="24">
        <f>EXP($D57-$D$17)*(($B57*FixedParams!$B$31)^$B$10*(1+FixedParams!$B$25)^(1-$B$10)+(1-$B57)^$B$10*((1+FixedParams!$B$28)/$B$11)^(1-$B$10))^(1/(1-$B$10))</f>
        <v>3.8129385135874565</v>
      </c>
      <c r="H57">
        <f t="shared" si="10"/>
        <v>1</v>
      </c>
      <c r="I57" s="24">
        <f>$B$12*IF(H57=1,1,FixedParams!$B$52)</f>
        <v>0.3745928365283252</v>
      </c>
      <c r="J57">
        <f>EXP($C57*FixedParams!$B$47)*EXP(IF(H57=1,(1-FixedParams!$B$47)*$D57,0))*($B57^((FixedParams!$B$47-1)*$B$10/($B$10-1)))*((1/$B57-1)^$B$10*(I57)^($B$10-1)+1)^((FixedParams!$B$47-$B$10)/($B$10-1))/((1+IF(H57=1,FixedParams!$B$25,FixedParams!$B$24))^FixedParams!$B$47)</f>
        <v>5.7247853866865615E-2</v>
      </c>
      <c r="K57">
        <f t="shared" si="38"/>
        <v>1.1542645717561866</v>
      </c>
      <c r="L57">
        <f>K57*FixedParams!$B$8/K$15</f>
        <v>33.558083266281713</v>
      </c>
      <c r="M57">
        <f t="shared" si="0"/>
        <v>120.61446094925388</v>
      </c>
      <c r="N57">
        <f t="shared" si="11"/>
        <v>154.17254421553559</v>
      </c>
      <c r="O57" s="24">
        <f t="shared" si="12"/>
        <v>3.5941999425945803</v>
      </c>
      <c r="P57" s="24">
        <f t="shared" si="1"/>
        <v>1.4909163771893503</v>
      </c>
      <c r="Q57" s="23">
        <f>IF(H57=1,L57*(1+FixedParams!$B$25)+M57*FixedParams!$B$33*(1+FixedParams!$B$28)/FixedParams!$B$32,L57*(1+FixedParams!$B$23)+M57*FixedParams!$B$33*(1+FixedParams!$B$26)/FixedParams!$B$32)</f>
        <v>356.16937347867548</v>
      </c>
      <c r="R57" s="24">
        <f t="shared" si="2"/>
        <v>93.410730912513074</v>
      </c>
      <c r="S57" s="24">
        <f>R57^((FixedParams!$B$47-1)/FixedParams!$B$47)*EXP($C57)</f>
        <v>0.6039012547272683</v>
      </c>
      <c r="T57" s="7">
        <f>(L57*FixedParams!$B$32*(FixedParams!$C$25-FixedParams!$C$23)+FixedParams!$B$33*(FixedParams!$C$28-FixedParams!$C$26)*M57)/N57</f>
        <v>-1988.4588468842405</v>
      </c>
      <c r="U57" s="7">
        <f>(L57*FixedParams!$B$32*(FixedParams!$C$25-FixedParams!$C$23)*$Z$12/$B$11+FixedParams!$B$33*(FixedParams!$C$28-FixedParams!$C$26)*M57)/N57</f>
        <v>-2207.0678533453406</v>
      </c>
      <c r="V57" s="14">
        <f t="shared" si="13"/>
        <v>-2.2612370312880858</v>
      </c>
      <c r="W57" s="14">
        <f t="shared" si="46"/>
        <v>0.38688818036295591</v>
      </c>
      <c r="X57" s="73">
        <f t="shared" si="15"/>
        <v>0.98384677770935447</v>
      </c>
      <c r="Y57" s="24">
        <f>EXP(-$D$17)*(($B57*FixedParams!$B$30)^$B$10*(1+FixedParams!$C$24)^(1-$B$10)+(1-$B57)^$B$10*((1+FixedParams!$C$27)/$Z$12)^(1-$B$10))^(1/(1-$B$10))</f>
        <v>5.9468661353849646</v>
      </c>
      <c r="Z57" s="24">
        <f>EXP($D57-$D$17)*(($B57*FixedParams!$C$31)^$B$10*(1+FixedParams!$C$25)^(1-$B$10)+(1-$B57)^$B$10*((1+FixedParams!$C$28)/$Z$12)^(1-$B$10))^(1/(1-$B$10))</f>
        <v>4.5768525428107827</v>
      </c>
      <c r="AA57" s="24">
        <f>EXP($D57-$D$17)*(($B57*FixedParams!$C$30)^$B$10*(1+FixedParams!$C$23)^(1-$B$10)+(1-$B57)^$B$10*((1+FixedParams!$C$26)/$Z$12)^(1-$B$10))^(1/(1-$B$10))</f>
        <v>4.7128764182365739</v>
      </c>
      <c r="AB57">
        <f>IF(FixedParams!$I$6=1,IF(Z57&lt;=MIN(Y57:AA57),1,0),$H57)</f>
        <v>1</v>
      </c>
      <c r="AC57">
        <f>IF(FixedParams!$I$6=1,IF(AA57&lt;=MIN(Y57:AA57),1,0),IF(AA57&lt;=Y57,1,0)*(1-$H57))</f>
        <v>0</v>
      </c>
      <c r="AD57" s="24">
        <f>$Z$13*IF(AB57=1,1,IF(AC57=1,FixedParams!$C$52,FixedParams!$C$53))</f>
        <v>0.43187184563106507</v>
      </c>
      <c r="AE57">
        <f>EXP($C57*FixedParams!$B$47)*EXP(IF(AB57+AC57=1,(1-FixedParams!$B$47)*$D57,0))*($B57^((FixedParams!$B$47-1)*$B$10/($B$10-1)))*((1/$B57-1)^$B$10*(AD57)^($B$10-1)+1)^((FixedParams!$B$47-$B$10)/($B$10-1))/((1+IF(AB57=1,FixedParams!$C$25,IF(AC57=1,FixedParams!$C$23,FixedParams!$C$24)))^FixedParams!$B$47)</f>
        <v>3.9292583754538243E-2</v>
      </c>
      <c r="AF57">
        <f t="shared" si="39"/>
        <v>1.1578416794895952</v>
      </c>
      <c r="AG57">
        <f t="shared" si="40"/>
        <v>27.195923041774485</v>
      </c>
      <c r="AH57">
        <f t="shared" si="3"/>
        <v>121.00384581507311</v>
      </c>
      <c r="AI57">
        <f t="shared" si="16"/>
        <v>148.19976885684758</v>
      </c>
      <c r="AJ57" s="24">
        <f t="shared" si="17"/>
        <v>4.4493377051113256</v>
      </c>
      <c r="AK57" s="24">
        <f t="shared" si="18"/>
        <v>1.5286404722120615</v>
      </c>
      <c r="AL57" s="23">
        <f>IF(AB57=1,AG57*(1+FixedParams!$C$25)+AH57*(1+FixedParams!$C$28)/$Z$12,IF(AC57=1,AG57*(1+FixedParams!$C$23)+AH57*(1+FixedParams!$C$26)/$Z$12,AG57*(1+FixedParams!$C$24)+AH57*(1+FixedParams!$C$27)/$Z$12))</f>
        <v>420.62120035400176</v>
      </c>
      <c r="AM57" s="24">
        <f t="shared" si="19"/>
        <v>91.90184661175158</v>
      </c>
      <c r="AN57" s="24">
        <f>AM57^((FixedParams!$B$47-1)/FixedParams!$B$47)*EXP($C57)</f>
        <v>0.6039110992489618</v>
      </c>
      <c r="AO57" s="24">
        <f t="shared" si="20"/>
        <v>-3.9511239008580473E-2</v>
      </c>
      <c r="AP57" s="24">
        <f t="shared" si="21"/>
        <v>-1.6285107764527657E-2</v>
      </c>
      <c r="AQ57" s="14">
        <f t="shared" si="22"/>
        <v>-2.3323816431699704</v>
      </c>
      <c r="AS57" s="24">
        <f>EXP(-$D$17)*(($B57*FixedParams!$B$30)^$B$10*(1+FixedParams!$D$24)^(1-$B$10)+(1-$B57)^$B$10*((1+FixedParams!$D$27)/$AT$12)^(1-$B$10))^(1/(1-$B$10))</f>
        <v>5.6326763545955378</v>
      </c>
      <c r="AT57" s="24">
        <f>EXP($D57-$D$17)*(($B57*FixedParams!$C$31)^$B$10*(1+FixedParams!$D$25)^(1-$B$10)+(1-$B57)^$B$10*((1+FixedParams!$D$28)/$AT$12)^(1-$B$10))^(1/(1-$B$10))</f>
        <v>4.481426873474267</v>
      </c>
      <c r="AU57" s="24">
        <f>EXP($D57-$D$17)*(($B57*FixedParams!$C$30)^$B$10*(1+FixedParams!$D$23)^(1-$B$10)+(1-$B57)^$B$10*((1+FixedParams!$D$26)/$AT$12)^(1-$B$10))^(1/(1-$B$10))</f>
        <v>4.5708900360469347</v>
      </c>
      <c r="AV57">
        <f>IF(FixedParams!$I$6=1,IF(AT57&lt;=MIN(AS57:AU57),1,0),$H57)</f>
        <v>1</v>
      </c>
      <c r="AW57">
        <f>IF(FixedParams!$I$6=1,IF(AU57&lt;=MIN(AS57:AU57),1,0),IF(AU57&lt;=AS57,1,0)*(1-$H57))</f>
        <v>0</v>
      </c>
      <c r="AX57" s="24">
        <f>$AT$13*IF(AV57=1,1,IF(AW57=1,FixedParams!$D$52,FixedParams!$D$53))</f>
        <v>0.41089128090616783</v>
      </c>
      <c r="AY57">
        <f>EXP($C57*FixedParams!$B$47)*EXP(IF(AV57+AW57=1,(1-FixedParams!$B$47)*$D57,0))*($B57^((FixedParams!$B$47-1)*$B$10/($B$10-1)))*((1/$B57-1)^$B$10*(AX57)^($B$10-1)+1)^((FixedParams!$B$47-$B$10)/($B$10-1))/((1+IF(AV57=1,FixedParams!$D$25,IF(AW57=1,FixedParams!$D$23,FixedParams!$D$24)))^FixedParams!$B$47)</f>
        <v>4.295273764379668E-2</v>
      </c>
      <c r="AZ57">
        <f t="shared" si="4"/>
        <v>1.1566133173038926</v>
      </c>
      <c r="BA57">
        <f t="shared" si="23"/>
        <v>29.100236374568539</v>
      </c>
      <c r="BB57">
        <f t="shared" si="5"/>
        <v>120.15723780503231</v>
      </c>
      <c r="BC57">
        <f t="shared" si="24"/>
        <v>149.25747417960085</v>
      </c>
      <c r="BD57" s="24">
        <f t="shared" si="25"/>
        <v>4.129081161348946</v>
      </c>
      <c r="BE57" s="24">
        <f t="shared" si="26"/>
        <v>1.517535536509304</v>
      </c>
      <c r="BF57" s="23">
        <f>IF(AV57=1,BA57*(1+FixedParams!$C$25)+BB57*(1+FixedParams!$C$28)/$AT$12,IF(AW57=1,BA57*(1+FixedParams!$C$23)+BB57*(1+FixedParams!$C$26)/$AT$12,BA57*(1+FixedParams!$C$24)+BB57*(1+FixedParams!$C$27)/$AT$12))</f>
        <v>415.33456153847038</v>
      </c>
      <c r="BG57" s="24">
        <f t="shared" si="27"/>
        <v>92.679089331313477</v>
      </c>
      <c r="BH57" s="24">
        <f>BG57^((FixedParams!$B$47-1)/FixedParams!$B$47)*EXP($C57)</f>
        <v>0.60390600819061713</v>
      </c>
      <c r="BI57" s="7"/>
      <c r="BJ57" s="24">
        <f>EXP(-$D$17)*(($B57*FixedParams!$B$30)^$B$10*(1+FixedParams!$C$24)^(1-$B$10)+(1-$B57)^$B$10*((1+FixedParams!$C$27)/$BK$12)^(1-$B$10))^(1/(1-$B$10))</f>
        <v>6.2268954086071311</v>
      </c>
      <c r="BK57" s="24">
        <f>EXP($D57-$D$17)*(($B57*FixedParams!$C$31)^$B$10*(1+FixedParams!$C$25)^(1-$B$10)+(1-$B57)^$B$10*((1+FixedParams!$C$28)/$BK$12)^(1-$B$10))^(1/(1-$B$10))</f>
        <v>4.7913834528203694</v>
      </c>
      <c r="BL57" s="24">
        <f>EXP($D57-$D$17)*(($B57*FixedParams!$C$30)^$B$10*(1+FixedParams!$C$23)^(1-$B$10)+(1-$B57)^$B$10*((1+FixedParams!$C$26)/$BK$12)^(1-$B$10))^(1/(1-$B$10))</f>
        <v>4.9314721557079855</v>
      </c>
      <c r="BM57">
        <f>IF(FixedParams!$I$6=1,IF(BK57&lt;=MIN(BJ57:BL57),1,0),$H57)</f>
        <v>1</v>
      </c>
      <c r="BN57">
        <f>IF(FixedParams!$I$6=1,IF(BL57&lt;=MIN(BJ57:BL57),1,0),IF(BL57&lt;=BJ57,1,0)*(1-$H57))</f>
        <v>0</v>
      </c>
      <c r="BO57" s="24">
        <f>$BK$13*IF(BM57=1,1,IF(BN57=1,FixedParams!$C$52,FixedParams!$C$53))</f>
        <v>0.41068174962109105</v>
      </c>
      <c r="BP57">
        <f>EXP($C57*FixedParams!$B$47)*EXP(IF(BM57+BN57=1,(1-FixedParams!$B$47)*$D57,0))*($B57^((FixedParams!$B$47-1)*$B$10/($B$10-1)))*((1/$B57-1)^$B$10*(BO57)^($B$10-1)+1)^((FixedParams!$B$47-$B$10)/($B$10-1))/((1+IF(BM57=1,FixedParams!$C$25,IF(BN57=1,FixedParams!$C$23,FixedParams!$C$24)))^FixedParams!$B$47)</f>
        <v>4.0204761081884165E-2</v>
      </c>
      <c r="BQ57">
        <f t="shared" si="28"/>
        <v>1.1566006056895872</v>
      </c>
      <c r="BR57">
        <f t="shared" si="29"/>
        <v>29.498125574111661</v>
      </c>
      <c r="BS57">
        <f t="shared" si="6"/>
        <v>121.70699970940551</v>
      </c>
      <c r="BT57">
        <f t="shared" si="30"/>
        <v>151.20512528351716</v>
      </c>
      <c r="BU57" s="24">
        <f t="shared" si="31"/>
        <v>4.1259231676815018</v>
      </c>
      <c r="BV57" s="24">
        <f t="shared" si="32"/>
        <v>1.5217729945362415</v>
      </c>
      <c r="BW57" s="23">
        <f>IF(BM57=1,BR57*(1+FixedParams!$C$25)+BS57*(1+FixedParams!$C$28)/$BK$12,IF(BN57=1,BR57*(1+FixedParams!$C$23)+BS57*(1+FixedParams!$C$26)/$BK$12,BR57*(1+FixedParams!$C$24)+BS57*(1+FixedParams!$C$27)/$BK$12))</f>
        <v>445.89722635601248</v>
      </c>
      <c r="BX57" s="24">
        <f t="shared" si="33"/>
        <v>93.062312951292256</v>
      </c>
      <c r="BY57" s="24">
        <f>BX57^((FixedParams!$B$47-1)/FixedParams!$B$47)*EXP($C57)</f>
        <v>0.60390351372727491</v>
      </c>
      <c r="BZ57" s="24">
        <f t="shared" si="34"/>
        <v>-1.943503165026797E-2</v>
      </c>
      <c r="CA57" s="24">
        <f t="shared" si="35"/>
        <v>-3.736930115607961E-3</v>
      </c>
      <c r="CB57" s="24">
        <f t="shared" si="36"/>
        <v>1.3591525803799291E-2</v>
      </c>
      <c r="CC57" s="24"/>
      <c r="CD57" s="24">
        <f>EXP(-$D$17)*(($B57*FixedParams!$B$30)^$B$10*(1+FixedParams!$D$24)^(1-$B$10)+(1-$B57)^$B$10*((1+FixedParams!$D$27)/$CE$12)^(1-$B$10))^(1/(1-$B$10))</f>
        <v>5.8793274983616701</v>
      </c>
      <c r="CE57" s="24">
        <f>EXP($D57-$D$17)*(($B57*FixedParams!$D$31)^$B$10*(1+FixedParams!$D$25)^(1-$B$10)+(1-$B57)^$B$10*((1+FixedParams!$D$28)/$CE$12)^(1-$B$10))^(1/(1-$B$10))</f>
        <v>4.6770423110276589</v>
      </c>
      <c r="CF57" s="24">
        <f>EXP($D57-$D$17)*(($B57*FixedParams!$D$30)^$B$10*(1+FixedParams!$D$23)^(1-$B$10)+(1-$B57)^$B$10*((1+FixedParams!$D$26)/$CE$12)^(1-$B$10))^(1/(1-$B$10))</f>
        <v>4.7687277662677454</v>
      </c>
      <c r="CG57">
        <f>IF(FixedParams!$I$6=1,IF(CE57&lt;=MIN(CD57:CF57),1,0),$H57)</f>
        <v>1</v>
      </c>
      <c r="CH57">
        <f>IF(FixedParams!$I$6=1,IF(CF57&lt;=MIN(CD57:CF57),1,0),IF(CF57&lt;=CD57,1,0)*(1-$H57))</f>
        <v>0</v>
      </c>
      <c r="CI57" s="24">
        <f>$CE$13*IF(CG57=1,1,IF(CH57=1,FixedParams!$D$52,FixedParams!$D$53))</f>
        <v>0.39201585704839609</v>
      </c>
      <c r="CJ57">
        <f>EXP($C57*FixedParams!$B$47)*EXP(IF(CG57+CH57=1,(1-FixedParams!$B$47)*$D57,0))*($B57^((FixedParams!$B$47-1)*$B$10/($B$10-1)))*((1/$B57-1)^$B$10*(CI57)^($B$10-1)+1)^((FixedParams!$B$47-$B$10)/($B$10-1))/((1+IF(CG57=1,FixedParams!$D$25,IF(CH57=1,FixedParams!$D$23,FixedParams!$D$24)))^FixedParams!$B$47)</f>
        <v>4.3882048857866326E-2</v>
      </c>
      <c r="CK57">
        <f t="shared" si="37"/>
        <v>1.1554301523576402</v>
      </c>
      <c r="CL57">
        <f t="shared" si="41"/>
        <v>31.566677337970241</v>
      </c>
      <c r="CM57">
        <f t="shared" si="7"/>
        <v>121.46393706059185</v>
      </c>
      <c r="CN57">
        <f t="shared" si="42"/>
        <v>153.03061439856208</v>
      </c>
      <c r="CO57" s="24">
        <f t="shared" si="43"/>
        <v>3.8478530939487867</v>
      </c>
      <c r="CP57" s="24">
        <f t="shared" si="44"/>
        <v>1.5110212201948308</v>
      </c>
      <c r="CQ57" s="23">
        <f>IF(CG57=1,CL57*(1+FixedParams!$D$25)+CM57*(1+FixedParams!$D$28)/$CE$12,IF(CH57=1,CL57*(1+FixedParams!$D$23)+CM57*(1+FixedParams!$D$26)/$CE$12,CL57*(1+FixedParams!$D$24)+CM57*(1+FixedParams!$D$27)/$CE$12))</f>
        <v>437.16896283365293</v>
      </c>
      <c r="CR57" s="24">
        <f t="shared" si="45"/>
        <v>93.471243953231721</v>
      </c>
      <c r="CS57" s="24">
        <f>CR57^((FixedParams!$B$47-1)/FixedParams!$B$47)*EXP($C57)</f>
        <v>0.60390086324519909</v>
      </c>
      <c r="CT57" s="24"/>
    </row>
    <row r="58" spans="1:98" x14ac:dyDescent="0.15">
      <c r="A58">
        <v>0.20500000000000002</v>
      </c>
      <c r="B58">
        <f t="shared" si="8"/>
        <v>0.13904042809763667</v>
      </c>
      <c r="C58">
        <f>(D58-$D$17)*FixedParams!$B$47+$A58*$B$9</f>
        <v>-0.51229810798963626</v>
      </c>
      <c r="D58">
        <f>(A58-$B$6)*FixedParams!$B$46/(FixedParams!$B$45*Sectors!$B$6)</f>
        <v>-0.16028867181837839</v>
      </c>
      <c r="E58">
        <f t="shared" si="9"/>
        <v>0.59911715960960132</v>
      </c>
      <c r="F58" s="24">
        <f>EXP(-$D$17)*(($B58*FixedParams!$B$30)^$B$10*(1+FixedParams!$B$23)^(1-$B$10)+(1-$B58)^$B$10*((1+FixedParams!$B$26)/$B$11)^(1-$B$10))^(1/(1-$B$10))</f>
        <v>4.6461090759520811</v>
      </c>
      <c r="G58" s="24">
        <f>EXP($D58-$D$17)*(($B58*FixedParams!$B$31)^$B$10*(1+FixedParams!$B$25)^(1-$B$10)+(1-$B58)^$B$10*((1+FixedParams!$B$28)/$B$11)^(1-$B$10))^(1/(1-$B$10))</f>
        <v>3.8290243372646189</v>
      </c>
      <c r="H58">
        <f t="shared" si="10"/>
        <v>1</v>
      </c>
      <c r="I58" s="24">
        <f>$B$12*IF(H58=1,1,FixedParams!$B$52)</f>
        <v>0.3745928365283252</v>
      </c>
      <c r="J58">
        <f>EXP($C58*FixedParams!$B$47)*EXP(IF(H58=1,(1-FixedParams!$B$47)*$D58,0))*($B58^((FixedParams!$B$47-1)*$B$10/($B$10-1)))*((1/$B58-1)^$B$10*(I58)^($B$10-1)+1)^((FixedParams!$B$47-$B$10)/($B$10-1))/((1+IF(H58=1,FixedParams!$B$25,FixedParams!$B$24))^FixedParams!$B$47)</f>
        <v>5.7428432537868113E-2</v>
      </c>
      <c r="K58">
        <f t="shared" si="38"/>
        <v>1.1579055040929294</v>
      </c>
      <c r="L58">
        <f>K58*FixedParams!$B$8/K$15</f>
        <v>33.663936563275328</v>
      </c>
      <c r="M58">
        <f t="shared" si="0"/>
        <v>118.92320237120197</v>
      </c>
      <c r="N58">
        <f t="shared" si="11"/>
        <v>152.58713893447731</v>
      </c>
      <c r="O58" s="24">
        <f t="shared" si="12"/>
        <v>3.5326588186640566</v>
      </c>
      <c r="P58" s="24">
        <f t="shared" si="1"/>
        <v>1.4972061764807365</v>
      </c>
      <c r="Q58" s="23">
        <f>IF(H58=1,L58*(1+FixedParams!$B$25)+M58*FixedParams!$B$33*(1+FixedParams!$B$28)/FixedParams!$B$32,L58*(1+FixedParams!$B$23)+M58*FixedParams!$B$33*(1+FixedParams!$B$26)/FixedParams!$B$32)</f>
        <v>351.75257448830808</v>
      </c>
      <c r="R58" s="24">
        <f t="shared" si="2"/>
        <v>91.864805105833668</v>
      </c>
      <c r="S58" s="24">
        <f>R58^((FixedParams!$B$47-1)/FixedParams!$B$47)*EXP($C58)</f>
        <v>0.5964123726088828</v>
      </c>
      <c r="T58" s="7">
        <f>(L58*FixedParams!$B$32*(FixedParams!$C$25-FixedParams!$C$23)+FixedParams!$B$33*(FixedParams!$C$28-FixedParams!$C$26)*M58)/N58</f>
        <v>-1954.9310800224664</v>
      </c>
      <c r="U58" s="7">
        <f>(L58*FixedParams!$B$32*(FixedParams!$C$25-FixedParams!$C$23)*$Z$12/$B$11+FixedParams!$B$33*(FixedParams!$C$28-FixedParams!$C$26)*M58)/N58</f>
        <v>-2176.5081995706482</v>
      </c>
      <c r="V58" s="14">
        <f t="shared" si="13"/>
        <v>-2.2439664059920013</v>
      </c>
      <c r="W58" s="14">
        <f t="shared" si="46"/>
        <v>0.39437225479846105</v>
      </c>
      <c r="X58" s="73">
        <f t="shared" si="15"/>
        <v>0.98364479945181904</v>
      </c>
      <c r="Y58" s="24">
        <f>EXP(-$D$17)*(($B58*FixedParams!$B$30)^$B$10*(1+FixedParams!$C$24)^(1-$B$10)+(1-$B58)^$B$10*((1+FixedParams!$C$27)/$Z$12)^(1-$B$10))^(1/(1-$B$10))</f>
        <v>5.9578155074120138</v>
      </c>
      <c r="Z58" s="24">
        <f>EXP($D58-$D$17)*(($B58*FixedParams!$C$31)^$B$10*(1+FixedParams!$C$25)^(1-$B$10)+(1-$B58)^$B$10*((1+FixedParams!$C$28)/$Z$12)^(1-$B$10))^(1/(1-$B$10))</f>
        <v>4.5971058314611781</v>
      </c>
      <c r="AA58" s="24">
        <f>EXP($D58-$D$17)*(($B58*FixedParams!$C$30)^$B$10*(1+FixedParams!$C$23)^(1-$B$10)+(1-$B58)^$B$10*((1+FixedParams!$C$26)/$Z$12)^(1-$B$10))^(1/(1-$B$10))</f>
        <v>4.7322140672956223</v>
      </c>
      <c r="AB58">
        <f>IF(FixedParams!$I$6=1,IF(Z58&lt;=MIN(Y58:AA58),1,0),$H58)</f>
        <v>1</v>
      </c>
      <c r="AC58">
        <f>IF(FixedParams!$I$6=1,IF(AA58&lt;=MIN(Y58:AA58),1,0),IF(AA58&lt;=Y58,1,0)*(1-$H58))</f>
        <v>0</v>
      </c>
      <c r="AD58" s="24">
        <f>$Z$13*IF(AB58=1,1,IF(AC58=1,FixedParams!$C$52,FixedParams!$C$53))</f>
        <v>0.43187184563106507</v>
      </c>
      <c r="AE58">
        <f>EXP($C58*FixedParams!$B$47)*EXP(IF(AB58+AC58=1,(1-FixedParams!$B$47)*$D58,0))*($B58^((FixedParams!$B$47-1)*$B$10/($B$10-1)))*((1/$B58-1)^$B$10*(AD58)^($B$10-1)+1)^((FixedParams!$B$47-$B$10)/($B$10-1))/((1+IF(AB58=1,FixedParams!$C$25,IF(AC58=1,FixedParams!$C$23,FixedParams!$C$24)))^FixedParams!$B$47)</f>
        <v>3.9420584335440649E-2</v>
      </c>
      <c r="AF58">
        <f t="shared" si="39"/>
        <v>1.1616134957817872</v>
      </c>
      <c r="AG58">
        <f t="shared" si="40"/>
        <v>27.284517214386572</v>
      </c>
      <c r="AH58">
        <f t="shared" si="3"/>
        <v>119.31941248790271</v>
      </c>
      <c r="AI58">
        <f t="shared" si="16"/>
        <v>146.60392970228929</v>
      </c>
      <c r="AJ58" s="24">
        <f t="shared" si="17"/>
        <v>4.3731546191694388</v>
      </c>
      <c r="AK58" s="24">
        <f t="shared" si="18"/>
        <v>1.5354049454907601</v>
      </c>
      <c r="AL58" s="23">
        <f>IF(AB58=1,AG58*(1+FixedParams!$C$25)+AH58*(1+FixedParams!$C$28)/$Z$12,IF(AC58=1,AG58*(1+FixedParams!$C$23)+AH58*(1+FixedParams!$C$26)/$Z$12,AG58*(1+FixedParams!$C$24)+AH58*(1+FixedParams!$C$27)/$Z$12))</f>
        <v>415.40523002189701</v>
      </c>
      <c r="AM58" s="24">
        <f t="shared" si="19"/>
        <v>90.362337795008202</v>
      </c>
      <c r="AN58" s="24">
        <f>AM58^((FixedParams!$B$47-1)/FixedParams!$B$47)*EXP($C58)</f>
        <v>0.59642221762754</v>
      </c>
      <c r="AO58" s="24">
        <f t="shared" si="20"/>
        <v>-4.000124100569645E-2</v>
      </c>
      <c r="AP58" s="24">
        <f t="shared" si="21"/>
        <v>-1.6490423264313814E-2</v>
      </c>
      <c r="AQ58" s="14">
        <f t="shared" si="22"/>
        <v>-2.3151110178738863</v>
      </c>
      <c r="AS58" s="24">
        <f>EXP(-$D$17)*(($B58*FixedParams!$B$30)^$B$10*(1+FixedParams!$D$24)^(1-$B$10)+(1-$B58)^$B$10*((1+FixedParams!$D$27)/$AT$12)^(1-$B$10))^(1/(1-$B$10))</f>
        <v>5.6424049578296165</v>
      </c>
      <c r="AT58" s="24">
        <f>EXP($D58-$D$17)*(($B58*FixedParams!$C$31)^$B$10*(1+FixedParams!$D$25)^(1-$B$10)+(1-$B58)^$B$10*((1+FixedParams!$D$28)/$AT$12)^(1-$B$10))^(1/(1-$B$10))</f>
        <v>4.5009402136290255</v>
      </c>
      <c r="AU58" s="24">
        <f>EXP($D58-$D$17)*(($B58*FixedParams!$C$30)^$B$10*(1+FixedParams!$D$23)^(1-$B$10)+(1-$B58)^$B$10*((1+FixedParams!$D$26)/$AT$12)^(1-$B$10))^(1/(1-$B$10))</f>
        <v>4.5896063868409396</v>
      </c>
      <c r="AV58">
        <f>IF(FixedParams!$I$6=1,IF(AT58&lt;=MIN(AS58:AU58),1,0),$H58)</f>
        <v>1</v>
      </c>
      <c r="AW58">
        <f>IF(FixedParams!$I$6=1,IF(AU58&lt;=MIN(AS58:AU58),1,0),IF(AU58&lt;=AS58,1,0)*(1-$H58))</f>
        <v>0</v>
      </c>
      <c r="AX58" s="24">
        <f>$AT$13*IF(AV58=1,1,IF(AW58=1,FixedParams!$D$52,FixedParams!$D$53))</f>
        <v>0.41089128090616783</v>
      </c>
      <c r="AY58">
        <f>EXP($C58*FixedParams!$B$47)*EXP(IF(AV58+AW58=1,(1-FixedParams!$B$47)*$D58,0))*($B58^((FixedParams!$B$47-1)*$B$10/($B$10-1)))*((1/$B58-1)^$B$10*(AX58)^($B$10-1)+1)^((FixedParams!$B$47-$B$10)/($B$10-1))/((1+IF(AV58=1,FixedParams!$D$25,IF(AW58=1,FixedParams!$D$23,FixedParams!$D$24)))^FixedParams!$B$47)</f>
        <v>4.3091137946588545E-2</v>
      </c>
      <c r="AZ58">
        <f t="shared" si="4"/>
        <v>1.1603401026523716</v>
      </c>
      <c r="BA58">
        <f t="shared" si="23"/>
        <v>29.194001795505258</v>
      </c>
      <c r="BB58">
        <f t="shared" si="5"/>
        <v>118.48040023604847</v>
      </c>
      <c r="BC58">
        <f t="shared" si="24"/>
        <v>147.67440203155371</v>
      </c>
      <c r="BD58" s="24">
        <f t="shared" si="25"/>
        <v>4.0583816177708751</v>
      </c>
      <c r="BE58" s="24">
        <f t="shared" si="26"/>
        <v>1.5241432951444198</v>
      </c>
      <c r="BF58" s="23">
        <f>IF(AV58=1,BA58*(1+FixedParams!$C$25)+BB58*(1+FixedParams!$C$28)/$AT$12,IF(AW58=1,BA58*(1+FixedParams!$C$23)+BB58*(1+FixedParams!$C$26)/$AT$12,BA58*(1+FixedParams!$C$24)+BB58*(1+FixedParams!$C$27)/$AT$12))</f>
        <v>410.22244244373633</v>
      </c>
      <c r="BG58" s="24">
        <f t="shared" si="27"/>
        <v>91.1414999918387</v>
      </c>
      <c r="BH58" s="24">
        <f>BG58^((FixedParams!$B$47-1)/FixedParams!$B$47)*EXP($C58)</f>
        <v>0.59641709183312841</v>
      </c>
      <c r="BI58" s="7"/>
      <c r="BJ58" s="24">
        <f>EXP(-$D$17)*(($B58*FixedParams!$B$30)^$B$10*(1+FixedParams!$C$24)^(1-$B$10)+(1-$B58)^$B$10*((1+FixedParams!$C$27)/$BK$12)^(1-$B$10))^(1/(1-$B$10))</f>
        <v>6.2379339421287794</v>
      </c>
      <c r="BK58" s="24">
        <f>EXP($D58-$D$17)*(($B58*FixedParams!$C$31)^$B$10*(1+FixedParams!$C$25)^(1-$B$10)+(1-$B58)^$B$10*((1+FixedParams!$C$28)/$BK$12)^(1-$B$10))^(1/(1-$B$10))</f>
        <v>4.8122429128151847</v>
      </c>
      <c r="BL58" s="24">
        <f>EXP($D58-$D$17)*(($B58*FixedParams!$C$30)^$B$10*(1+FixedParams!$C$23)^(1-$B$10)+(1-$B58)^$B$10*((1+FixedParams!$C$26)/$BK$12)^(1-$B$10))^(1/(1-$B$10))</f>
        <v>4.9513209664580042</v>
      </c>
      <c r="BM58">
        <f>IF(FixedParams!$I$6=1,IF(BK58&lt;=MIN(BJ58:BL58),1,0),$H58)</f>
        <v>1</v>
      </c>
      <c r="BN58">
        <f>IF(FixedParams!$I$6=1,IF(BL58&lt;=MIN(BJ58:BL58),1,0),IF(BL58&lt;=BJ58,1,0)*(1-$H58))</f>
        <v>0</v>
      </c>
      <c r="BO58" s="24">
        <f>$BK$13*IF(BM58=1,1,IF(BN58=1,FixedParams!$C$52,FixedParams!$C$53))</f>
        <v>0.41068174962109105</v>
      </c>
      <c r="BP58">
        <f>EXP($C58*FixedParams!$B$47)*EXP(IF(BM58+BN58=1,(1-FixedParams!$B$47)*$D58,0))*($B58^((FixedParams!$B$47-1)*$B$10/($B$10-1)))*((1/$B58-1)^$B$10*(BO58)^($B$10-1)+1)^((FixedParams!$B$47-$B$10)/($B$10-1))/((1+IF(BM58=1,FixedParams!$C$25,IF(BN58=1,FixedParams!$C$23,FixedParams!$C$24)))^FixedParams!$B$47)</f>
        <v>4.033429222454251E-2</v>
      </c>
      <c r="BQ58">
        <f t="shared" si="28"/>
        <v>1.1603269255090032</v>
      </c>
      <c r="BR58">
        <f t="shared" si="29"/>
        <v>29.593162226713879</v>
      </c>
      <c r="BS58">
        <f t="shared" si="6"/>
        <v>120.00849074257657</v>
      </c>
      <c r="BT58">
        <f t="shared" si="30"/>
        <v>149.60165296929046</v>
      </c>
      <c r="BU58" s="24">
        <f t="shared" si="31"/>
        <v>4.0552776963539356</v>
      </c>
      <c r="BV58" s="24">
        <f t="shared" si="32"/>
        <v>1.5283980879384473</v>
      </c>
      <c r="BW58" s="23">
        <f>IF(BM58=1,BR58*(1+FixedParams!$C$25)+BS58*(1+FixedParams!$C$28)/$BK$12,IF(BN58=1,BR58*(1+FixedParams!$C$23)+BS58*(1+FixedParams!$C$26)/$BK$12,BR58*(1+FixedParams!$C$24)+BS58*(1+FixedParams!$C$27)/$BK$12))</f>
        <v>440.3677858284284</v>
      </c>
      <c r="BX58" s="24">
        <f t="shared" si="33"/>
        <v>91.509882981117272</v>
      </c>
      <c r="BY58" s="24">
        <f>BX58^((FixedParams!$B$47-1)/FixedParams!$B$47)*EXP($C58)</f>
        <v>0.59641468364227213</v>
      </c>
      <c r="BZ58" s="24">
        <f t="shared" si="34"/>
        <v>-1.9759720968754051E-2</v>
      </c>
      <c r="CA58" s="24">
        <f t="shared" si="35"/>
        <v>-3.8710093701539113E-3</v>
      </c>
      <c r="CB58" s="24">
        <f t="shared" si="36"/>
        <v>1.345744654925334E-2</v>
      </c>
      <c r="CC58" s="24"/>
      <c r="CD58" s="24">
        <f>EXP(-$D$17)*(($B58*FixedParams!$B$30)^$B$10*(1+FixedParams!$D$24)^(1-$B$10)+(1-$B58)^$B$10*((1+FixedParams!$D$27)/$CE$12)^(1-$B$10))^(1/(1-$B$10))</f>
        <v>5.8890929392168605</v>
      </c>
      <c r="CE58" s="24">
        <f>EXP($D58-$D$17)*(($B58*FixedParams!$D$31)^$B$10*(1+FixedParams!$D$25)^(1-$B$10)+(1-$B58)^$B$10*((1+FixedParams!$D$28)/$CE$12)^(1-$B$10))^(1/(1-$B$10))</f>
        <v>4.6970881034325505</v>
      </c>
      <c r="CF58" s="24">
        <f>EXP($D58-$D$17)*(($B58*FixedParams!$D$30)^$B$10*(1+FixedParams!$D$23)^(1-$B$10)+(1-$B58)^$B$10*((1+FixedParams!$D$26)/$CE$12)^(1-$B$10))^(1/(1-$B$10))</f>
        <v>4.787904975040262</v>
      </c>
      <c r="CG58">
        <f>IF(FixedParams!$I$6=1,IF(CE58&lt;=MIN(CD58:CF58),1,0),$H58)</f>
        <v>1</v>
      </c>
      <c r="CH58">
        <f>IF(FixedParams!$I$6=1,IF(CF58&lt;=MIN(CD58:CF58),1,0),IF(CF58&lt;=CD58,1,0)*(1-$H58))</f>
        <v>0</v>
      </c>
      <c r="CI58" s="24">
        <f>$CE$13*IF(CG58=1,1,IF(CH58=1,FixedParams!$D$52,FixedParams!$D$53))</f>
        <v>0.39201585704839609</v>
      </c>
      <c r="CJ58">
        <f>EXP($C58*FixedParams!$B$47)*EXP(IF(CG58+CH58=1,(1-FixedParams!$B$47)*$D58,0))*($B58^((FixedParams!$B$47-1)*$B$10/($B$10-1)))*((1/$B58-1)^$B$10*(CI58)^($B$10-1)+1)^((FixedParams!$B$47-$B$10)/($B$10-1))/((1+IF(CG58=1,FixedParams!$D$25,IF(CH58=1,FixedParams!$D$23,FixedParams!$D$24)))^FixedParams!$B$47)</f>
        <v>4.4021944261219463E-2</v>
      </c>
      <c r="CK58">
        <f t="shared" si="37"/>
        <v>1.1591136487170286</v>
      </c>
      <c r="CL58">
        <f t="shared" si="41"/>
        <v>31.6673114964394</v>
      </c>
      <c r="CM58">
        <f t="shared" si="7"/>
        <v>119.76478512909625</v>
      </c>
      <c r="CN58">
        <f t="shared" si="42"/>
        <v>151.43209662553565</v>
      </c>
      <c r="CO58" s="24">
        <f t="shared" si="43"/>
        <v>3.7819688337787163</v>
      </c>
      <c r="CP58" s="24">
        <f t="shared" si="44"/>
        <v>1.5174974536101227</v>
      </c>
      <c r="CQ58" s="23">
        <f>IF(CG58=1,CL58*(1+FixedParams!$D$25)+CM58*(1+FixedParams!$D$28)/$CE$12,IF(CH58=1,CL58*(1+FixedParams!$D$23)+CM58*(1+FixedParams!$D$26)/$CE$12,CL58*(1+FixedParams!$D$24)+CM58*(1+FixedParams!$D$27)/$CE$12))</f>
        <v>431.74772990412339</v>
      </c>
      <c r="CR58" s="24">
        <f t="shared" si="45"/>
        <v>91.918167255285184</v>
      </c>
      <c r="CS58" s="24">
        <f>CR58^((FixedParams!$B$47-1)/FixedParams!$B$47)*EXP($C58)</f>
        <v>0.59641202592066589</v>
      </c>
      <c r="CT58" s="24"/>
    </row>
    <row r="59" spans="1:98" x14ac:dyDescent="0.15">
      <c r="A59">
        <v>0.21</v>
      </c>
      <c r="B59">
        <f t="shared" si="8"/>
        <v>0.14042445498841247</v>
      </c>
      <c r="C59">
        <f>(D59-$D$17)*FixedParams!$B$47+$A59*$B$9</f>
        <v>-0.52479318379426154</v>
      </c>
      <c r="D59">
        <f>(A59-$B$6)*FixedParams!$B$46/(FixedParams!$B$45*Sectors!$B$6)</f>
        <v>-0.15757191466891438</v>
      </c>
      <c r="E59">
        <f t="shared" si="9"/>
        <v>0.59167772025491183</v>
      </c>
      <c r="F59" s="24">
        <f>EXP(-$D$17)*(($B59*FixedParams!$B$30)^$B$10*(1+FixedParams!$B$23)^(1-$B$10)+(1-$B59)^$B$10*((1+FixedParams!$B$26)/$B$11)^(1-$B$10))^(1/(1-$B$10))</f>
        <v>4.6533307345508357</v>
      </c>
      <c r="G59" s="24">
        <f>EXP($D59-$D$17)*(($B59*FixedParams!$B$31)^$B$10*(1+FixedParams!$B$25)^(1-$B$10)+(1-$B59)^$B$10*((1+FixedParams!$B$28)/$B$11)^(1-$B$10))^(1/(1-$B$10))</f>
        <v>3.8451622523489388</v>
      </c>
      <c r="H59">
        <f t="shared" si="10"/>
        <v>1</v>
      </c>
      <c r="I59" s="24">
        <f>$B$12*IF(H59=1,1,FixedParams!$B$52)</f>
        <v>0.3745928365283252</v>
      </c>
      <c r="J59">
        <f>EXP($C59*FixedParams!$B$47)*EXP(IF(H59=1,(1-FixedParams!$B$47)*$D59,0))*($B59^((FixedParams!$B$47-1)*$B$10/($B$10-1)))*((1/$B59-1)^$B$10*(I59)^($B$10-1)+1)^((FixedParams!$B$47-$B$10)/($B$10-1))/((1+IF(H59=1,FixedParams!$B$25,FixedParams!$B$24))^FixedParams!$B$47)</f>
        <v>5.7608091117616396E-2</v>
      </c>
      <c r="K59">
        <f t="shared" si="38"/>
        <v>1.1615278850139283</v>
      </c>
      <c r="L59">
        <f>K59*FixedParams!$B$8/K$15</f>
        <v>33.769250512558308</v>
      </c>
      <c r="M59">
        <f t="shared" si="0"/>
        <v>117.2526266045158</v>
      </c>
      <c r="N59">
        <f t="shared" si="11"/>
        <v>151.0218771170741</v>
      </c>
      <c r="O59" s="24">
        <f t="shared" si="12"/>
        <v>3.4721714229609923</v>
      </c>
      <c r="P59" s="24">
        <f t="shared" si="1"/>
        <v>1.5035163442967567</v>
      </c>
      <c r="Q59" s="23">
        <f>IF(H59=1,L59*(1+FixedParams!$B$25)+M59*FixedParams!$B$33*(1+FixedParams!$B$28)/FixedParams!$B$32,L59*(1+FixedParams!$B$23)+M59*FixedParams!$B$33*(1+FixedParams!$B$26)/FixedParams!$B$32)</f>
        <v>347.39054608549532</v>
      </c>
      <c r="R59" s="24">
        <f t="shared" si="2"/>
        <v>90.34483418047725</v>
      </c>
      <c r="S59" s="24">
        <f>R59^((FixedParams!$B$47-1)/FixedParams!$B$47)*EXP($C59)</f>
        <v>0.58901635649473427</v>
      </c>
      <c r="T59" s="7">
        <f>(L59*FixedParams!$B$32*(FixedParams!$C$25-FixedParams!$C$23)+FixedParams!$B$33*(FixedParams!$C$28-FixedParams!$C$26)*M59)/N59</f>
        <v>-1921.0782063518902</v>
      </c>
      <c r="U59" s="7">
        <f>(L59*FixedParams!$B$32*(FixedParams!$C$25-FixedParams!$C$23)*$Z$12/$B$11+FixedParams!$B$33*(FixedParams!$C$28-FixedParams!$C$26)*M59)/N59</f>
        <v>-2145.6522197221743</v>
      </c>
      <c r="V59" s="14">
        <f t="shared" si="13"/>
        <v>-2.226695780695918</v>
      </c>
      <c r="W59" s="14">
        <f t="shared" si="46"/>
        <v>0.40177955647294389</v>
      </c>
      <c r="X59" s="73">
        <f t="shared" si="15"/>
        <v>0.98344000316362123</v>
      </c>
      <c r="Y59" s="24">
        <f>EXP(-$D$17)*(($B59*FixedParams!$B$30)^$B$10*(1+FixedParams!$C$24)^(1-$B$10)+(1-$B59)^$B$10*((1+FixedParams!$C$27)/$Z$12)^(1-$B$10))^(1/(1-$B$10))</f>
        <v>5.9687899878256987</v>
      </c>
      <c r="Z59" s="24">
        <f>EXP($D59-$D$17)*(($B59*FixedParams!$C$31)^$B$10*(1+FixedParams!$C$25)^(1-$B$10)+(1-$B59)^$B$10*((1+FixedParams!$C$28)/$Z$12)^(1-$B$10))^(1/(1-$B$10))</f>
        <v>4.6174432453666254</v>
      </c>
      <c r="AA59" s="24">
        <f>EXP($D59-$D$17)*(($B59*FixedParams!$C$30)^$B$10*(1+FixedParams!$C$23)^(1-$B$10)+(1-$B59)^$B$10*((1+FixedParams!$C$26)/$Z$12)^(1-$B$10))^(1/(1-$B$10))</f>
        <v>4.7516039165573458</v>
      </c>
      <c r="AB59">
        <f>IF(FixedParams!$I$6=1,IF(Z59&lt;=MIN(Y59:AA59),1,0),$H59)</f>
        <v>1</v>
      </c>
      <c r="AC59">
        <f>IF(FixedParams!$I$6=1,IF(AA59&lt;=MIN(Y59:AA59),1,0),IF(AA59&lt;=Y59,1,0)*(1-$H59))</f>
        <v>0</v>
      </c>
      <c r="AD59" s="24">
        <f>$Z$13*IF(AB59=1,1,IF(AC59=1,FixedParams!$C$52,FixedParams!$C$53))</f>
        <v>0.43187184563106507</v>
      </c>
      <c r="AE59">
        <f>EXP($C59*FixedParams!$B$47)*EXP(IF(AB59+AC59=1,(1-FixedParams!$B$47)*$D59,0))*($B59^((FixedParams!$B$47-1)*$B$10/($B$10-1)))*((1/$B59-1)^$B$10*(AD59)^($B$10-1)+1)^((FixedParams!$B$47-$B$10)/($B$10-1))/((1+IF(AB59=1,FixedParams!$C$25,IF(AC59=1,FixedParams!$C$23,FixedParams!$C$24)))^FixedParams!$B$47)</f>
        <v>3.9548036885846488E-2</v>
      </c>
      <c r="AF59">
        <f t="shared" si="39"/>
        <v>1.1653691631601149</v>
      </c>
      <c r="AG59">
        <f t="shared" si="40"/>
        <v>27.372732073810639</v>
      </c>
      <c r="AH59">
        <f t="shared" si="3"/>
        <v>117.65555640071132</v>
      </c>
      <c r="AI59">
        <f t="shared" si="16"/>
        <v>145.02828847452196</v>
      </c>
      <c r="AJ59" s="24">
        <f t="shared" si="17"/>
        <v>4.2982759661495544</v>
      </c>
      <c r="AK59" s="24">
        <f t="shared" si="18"/>
        <v>1.5421975160848966</v>
      </c>
      <c r="AL59" s="23">
        <f>IF(AB59=1,AG59*(1+FixedParams!$C$25)+AH59*(1+FixedParams!$C$28)/$Z$12,IF(AC59=1,AG59*(1+FixedParams!$C$23)+AH59*(1+FixedParams!$C$26)/$Z$12,AG59*(1+FixedParams!$C$24)+AH59*(1+FixedParams!$C$27)/$Z$12))</f>
        <v>410.25394054987834</v>
      </c>
      <c r="AM59" s="24">
        <f t="shared" si="19"/>
        <v>88.848724012265379</v>
      </c>
      <c r="AN59" s="24">
        <f>AM59^((FixedParams!$B$47-1)/FixedParams!$B$47)*EXP($C59)</f>
        <v>0.58902620219850732</v>
      </c>
      <c r="AO59" s="24">
        <f t="shared" si="20"/>
        <v>-4.0495891570468782E-2</v>
      </c>
      <c r="AP59" s="24">
        <f t="shared" si="21"/>
        <v>-1.669864640615849E-2</v>
      </c>
      <c r="AQ59" s="14">
        <f t="shared" si="22"/>
        <v>-2.297840392577803</v>
      </c>
      <c r="AS59" s="24">
        <f>EXP(-$D$17)*(($B59*FixedParams!$B$30)^$B$10*(1+FixedParams!$D$24)^(1-$B$10)+(1-$B59)^$B$10*((1+FixedParams!$D$27)/$AT$12)^(1-$B$10))^(1/(1-$B$10))</f>
        <v>5.6521458161436895</v>
      </c>
      <c r="AT59" s="24">
        <f>EXP($D59-$D$17)*(($B59*FixedParams!$C$31)^$B$10*(1+FixedParams!$D$25)^(1-$B$10)+(1-$B59)^$B$10*((1+FixedParams!$D$28)/$AT$12)^(1-$B$10))^(1/(1-$B$10))</f>
        <v>4.520528596548762</v>
      </c>
      <c r="AU59" s="24">
        <f>EXP($D59-$D$17)*(($B59*FixedParams!$C$30)^$B$10*(1+FixedParams!$D$23)^(1-$B$10)+(1-$B59)^$B$10*((1+FixedParams!$D$26)/$AT$12)^(1-$B$10))^(1/(1-$B$10))</f>
        <v>4.6083725067393848</v>
      </c>
      <c r="AV59">
        <f>IF(FixedParams!$I$6=1,IF(AT59&lt;=MIN(AS59:AU59),1,0),$H59)</f>
        <v>1</v>
      </c>
      <c r="AW59">
        <f>IF(FixedParams!$I$6=1,IF(AU59&lt;=MIN(AS59:AU59),1,0),IF(AU59&lt;=AS59,1,0)*(1-$H59))</f>
        <v>0</v>
      </c>
      <c r="AX59" s="24">
        <f>$AT$13*IF(AV59=1,1,IF(AW59=1,FixedParams!$D$52,FixedParams!$D$53))</f>
        <v>0.41089128090616783</v>
      </c>
      <c r="AY59">
        <f>EXP($C59*FixedParams!$B$47)*EXP(IF(AV59+AW59=1,(1-FixedParams!$B$47)*$D59,0))*($B59^((FixedParams!$B$47-1)*$B$10/($B$10-1)))*((1/$B59-1)^$B$10*(AX59)^($B$10-1)+1)^((FixedParams!$B$47-$B$10)/($B$10-1))/((1+IF(AV59=1,FixedParams!$D$25,IF(AW59=1,FixedParams!$D$23,FixedParams!$D$24)))^FixedParams!$B$47)</f>
        <v>4.3228907618306806E-2</v>
      </c>
      <c r="AZ59">
        <f t="shared" si="4"/>
        <v>1.164049906631605</v>
      </c>
      <c r="BA59">
        <f t="shared" si="23"/>
        <v>29.287339967462902</v>
      </c>
      <c r="BB59">
        <f t="shared" si="5"/>
        <v>116.82405413914029</v>
      </c>
      <c r="BC59">
        <f t="shared" si="24"/>
        <v>146.1113941066032</v>
      </c>
      <c r="BD59" s="24">
        <f t="shared" si="25"/>
        <v>3.9888926160220519</v>
      </c>
      <c r="BE59" s="24">
        <f t="shared" si="26"/>
        <v>1.5307764653428229</v>
      </c>
      <c r="BF59" s="23">
        <f>IF(AV59=1,BA59*(1+FixedParams!$C$25)+BB59*(1+FixedParams!$C$28)/$AT$12,IF(AW59=1,BA59*(1+FixedParams!$C$23)+BB59*(1+FixedParams!$C$26)/$AT$12,BA59*(1+FixedParams!$C$24)+BB59*(1+FixedParams!$C$27)/$AT$12))</f>
        <v>405.17377834753631</v>
      </c>
      <c r="BG59" s="24">
        <f t="shared" si="27"/>
        <v>89.629734597159697</v>
      </c>
      <c r="BH59" s="24">
        <f>BG59^((FixedParams!$B$47-1)/FixedParams!$B$47)*EXP($C59)</f>
        <v>0.58902104194420335</v>
      </c>
      <c r="BI59" s="7"/>
      <c r="BJ59" s="24">
        <f>EXP(-$D$17)*(($B59*FixedParams!$B$30)^$B$10*(1+FixedParams!$C$24)^(1-$B$10)+(1-$B59)^$B$10*((1+FixedParams!$C$27)/$BK$12)^(1-$B$10))^(1/(1-$B$10))</f>
        <v>6.2489910836672173</v>
      </c>
      <c r="BK59" s="24">
        <f>EXP($D59-$D$17)*(($B59*FixedParams!$C$31)^$B$10*(1+FixedParams!$C$25)^(1-$B$10)+(1-$B59)^$B$10*((1+FixedParams!$C$28)/$BK$12)^(1-$B$10))^(1/(1-$B$10))</f>
        <v>4.8331825251919085</v>
      </c>
      <c r="BL59" s="24">
        <f>EXP($D59-$D$17)*(($B59*FixedParams!$C$30)^$B$10*(1+FixedParams!$C$23)^(1-$B$10)+(1-$B59)^$B$10*((1+FixedParams!$C$26)/$BK$12)^(1-$B$10))^(1/(1-$B$10))</f>
        <v>4.9712158840825644</v>
      </c>
      <c r="BM59">
        <f>IF(FixedParams!$I$6=1,IF(BK59&lt;=MIN(BJ59:BL59),1,0),$H59)</f>
        <v>1</v>
      </c>
      <c r="BN59">
        <f>IF(FixedParams!$I$6=1,IF(BL59&lt;=MIN(BJ59:BL59),1,0),IF(BL59&lt;=BJ59,1,0)*(1-$H59))</f>
        <v>0</v>
      </c>
      <c r="BO59" s="24">
        <f>$BK$13*IF(BM59=1,1,IF(BN59=1,FixedParams!$C$52,FixedParams!$C$53))</f>
        <v>0.41068174962109105</v>
      </c>
      <c r="BP59">
        <f>EXP($C59*FixedParams!$B$47)*EXP(IF(BM59+BN59=1,(1-FixedParams!$B$47)*$D59,0))*($B59^((FixedParams!$B$47-1)*$B$10/($B$10-1)))*((1/$B59-1)^$B$10*(BO59)^($B$10-1)+1)^((FixedParams!$B$47-$B$10)/($B$10-1))/((1+IF(BM59=1,FixedParams!$C$25,IF(BN59=1,FixedParams!$C$23,FixedParams!$C$24)))^FixedParams!$B$47)</f>
        <v>4.046323277733084E-2</v>
      </c>
      <c r="BQ59">
        <f t="shared" si="28"/>
        <v>1.1640362553853627</v>
      </c>
      <c r="BR59">
        <f t="shared" si="29"/>
        <v>29.687765565109519</v>
      </c>
      <c r="BS59">
        <f t="shared" si="6"/>
        <v>118.33073815556877</v>
      </c>
      <c r="BT59">
        <f t="shared" si="30"/>
        <v>148.0185037206783</v>
      </c>
      <c r="BU59" s="24">
        <f t="shared" si="31"/>
        <v>3.9858418410119993</v>
      </c>
      <c r="BV59" s="24">
        <f t="shared" si="32"/>
        <v>1.5350486382324753</v>
      </c>
      <c r="BW59" s="23">
        <f>IF(BM59=1,BR59*(1+FixedParams!$C$25)+BS59*(1+FixedParams!$C$28)/$BK$12,IF(BN59=1,BR59*(1+FixedParams!$C$23)+BS59*(1+FixedParams!$C$26)/$BK$12,BR59*(1+FixedParams!$C$24)+BS59*(1+FixedParams!$C$27)/$BK$12))</f>
        <v>434.90691330939973</v>
      </c>
      <c r="BX59" s="24">
        <f t="shared" si="33"/>
        <v>89.983548322982301</v>
      </c>
      <c r="BY59" s="24">
        <f>BX59^((FixedParams!$B$47-1)/FixedParams!$B$47)*EXP($C59)</f>
        <v>0.5890187190402747</v>
      </c>
      <c r="BZ59" s="24">
        <f t="shared" si="34"/>
        <v>-2.0087416801788507E-2</v>
      </c>
      <c r="CA59" s="24">
        <f t="shared" si="35"/>
        <v>-4.0069825490242333E-3</v>
      </c>
      <c r="CB59" s="24">
        <f t="shared" si="36"/>
        <v>1.3321473370383018E-2</v>
      </c>
      <c r="CC59" s="24"/>
      <c r="CD59" s="24">
        <f>EXP(-$D$17)*(($B59*FixedParams!$B$30)^$B$10*(1+FixedParams!$D$24)^(1-$B$10)+(1-$B59)^$B$10*((1+FixedParams!$D$27)/$CE$12)^(1-$B$10))^(1/(1-$B$10))</f>
        <v>5.8988642949805508</v>
      </c>
      <c r="CE59" s="24">
        <f>EXP($D59-$D$17)*(($B59*FixedParams!$D$31)^$B$10*(1+FixedParams!$D$25)^(1-$B$10)+(1-$B59)^$B$10*((1+FixedParams!$D$28)/$CE$12)^(1-$B$10))^(1/(1-$B$10))</f>
        <v>4.717204916086212</v>
      </c>
      <c r="CF59" s="24">
        <f>EXP($D59-$D$17)*(($B59*FixedParams!$D$30)^$B$10*(1+FixedParams!$D$23)^(1-$B$10)+(1-$B59)^$B$10*((1+FixedParams!$D$26)/$CE$12)^(1-$B$10))^(1/(1-$B$10))</f>
        <v>4.8071264055021663</v>
      </c>
      <c r="CG59">
        <f>IF(FixedParams!$I$6=1,IF(CE59&lt;=MIN(CD59:CF59),1,0),$H59)</f>
        <v>1</v>
      </c>
      <c r="CH59">
        <f>IF(FixedParams!$I$6=1,IF(CF59&lt;=MIN(CD59:CF59),1,0),IF(CF59&lt;=CD59,1,0)*(1-$H59))</f>
        <v>0</v>
      </c>
      <c r="CI59" s="24">
        <f>$CE$13*IF(CG59=1,1,IF(CH59=1,FixedParams!$D$52,FixedParams!$D$53))</f>
        <v>0.39201585704839609</v>
      </c>
      <c r="CJ59">
        <f>EXP($C59*FixedParams!$B$47)*EXP(IF(CG59+CH59=1,(1-FixedParams!$B$47)*$D59,0))*($B59^((FixedParams!$B$47-1)*$B$10/($B$10-1)))*((1/$B59-1)^$B$10*(CI59)^($B$10-1)+1)^((FixedParams!$B$47-$B$10)/($B$10-1))/((1+IF(CG59=1,FixedParams!$D$25,IF(CH59=1,FixedParams!$D$23,FixedParams!$D$24)))^FixedParams!$B$47)</f>
        <v>4.4161164557086255E-2</v>
      </c>
      <c r="CK59">
        <f t="shared" si="37"/>
        <v>1.1627793692531336</v>
      </c>
      <c r="CL59">
        <f t="shared" si="41"/>
        <v>31.767460014407604</v>
      </c>
      <c r="CM59">
        <f t="shared" si="7"/>
        <v>118.08640474821966</v>
      </c>
      <c r="CN59">
        <f t="shared" si="42"/>
        <v>149.85386476262727</v>
      </c>
      <c r="CO59" s="24">
        <f t="shared" si="43"/>
        <v>3.7172126665041376</v>
      </c>
      <c r="CP59" s="24">
        <f t="shared" si="44"/>
        <v>1.5239966316762898</v>
      </c>
      <c r="CQ59" s="23">
        <f>IF(CG59=1,CL59*(1+FixedParams!$D$25)+CM59*(1+FixedParams!$D$28)/$CE$12,IF(CH59=1,CL59*(1+FixedParams!$D$23)+CM59*(1+FixedParams!$D$26)/$CE$12,CL59*(1+FixedParams!$D$24)+CM59*(1+FixedParams!$D$27)/$CE$12))</f>
        <v>426.39372310531991</v>
      </c>
      <c r="CR59" s="24">
        <f t="shared" si="45"/>
        <v>90.391180940914438</v>
      </c>
      <c r="CS59" s="24">
        <f>CR59^((FixedParams!$B$47-1)/FixedParams!$B$47)*EXP($C59)</f>
        <v>0.58901605410541957</v>
      </c>
      <c r="CT59" s="24"/>
    </row>
    <row r="60" spans="1:98" x14ac:dyDescent="0.15">
      <c r="A60">
        <v>0.215</v>
      </c>
      <c r="B60">
        <f t="shared" si="8"/>
        <v>0.14181998931060422</v>
      </c>
      <c r="C60">
        <f>(D60-$D$17)*FixedParams!$B$47+$A60*$B$9</f>
        <v>-0.53728825959888682</v>
      </c>
      <c r="D60">
        <f>(A60-$B$6)*FixedParams!$B$46/(FixedParams!$B$45*Sectors!$B$6)</f>
        <v>-0.15485515751945034</v>
      </c>
      <c r="E60">
        <f t="shared" si="9"/>
        <v>0.58433065892182356</v>
      </c>
      <c r="F60" s="24">
        <f>EXP(-$D$17)*(($B60*FixedParams!$B$30)^$B$10*(1+FixedParams!$B$23)^(1-$B$10)+(1-$B60)^$B$10*((1+FixedParams!$B$26)/$B$11)^(1-$B$10))^(1/(1-$B$10))</f>
        <v>4.6605471653161841</v>
      </c>
      <c r="G60" s="24">
        <f>EXP($D60-$D$17)*(($B60*FixedParams!$B$31)^$B$10*(1+FixedParams!$B$25)^(1-$B$10)+(1-$B60)^$B$10*((1+FixedParams!$B$28)/$B$11)^(1-$B$10))^(1/(1-$B$10))</f>
        <v>3.8613510757017684</v>
      </c>
      <c r="H60">
        <f t="shared" si="10"/>
        <v>1</v>
      </c>
      <c r="I60" s="24">
        <f>$B$12*IF(H60=1,1,FixedParams!$B$52)</f>
        <v>0.3745928365283252</v>
      </c>
      <c r="J60">
        <f>EXP($C60*FixedParams!$B$47)*EXP(IF(H60=1,(1-FixedParams!$B$47)*$D60,0))*($B60^((FixedParams!$B$47-1)*$B$10/($B$10-1)))*((1/$B60-1)^$B$10*(I60)^($B$10-1)+1)^((FixedParams!$B$47-$B$10)/($B$10-1))/((1+IF(H60=1,FixedParams!$B$25,FixedParams!$B$24))^FixedParams!$B$47)</f>
        <v>5.7786796440382364E-2</v>
      </c>
      <c r="K60">
        <f t="shared" si="38"/>
        <v>1.1651310458124575</v>
      </c>
      <c r="L60">
        <f>K60*FixedParams!$B$8/K$15</f>
        <v>33.874005672733482</v>
      </c>
      <c r="M60">
        <f t="shared" si="0"/>
        <v>115.60248692402482</v>
      </c>
      <c r="N60">
        <f t="shared" si="11"/>
        <v>149.47649259675831</v>
      </c>
      <c r="O60" s="24">
        <f t="shared" si="12"/>
        <v>3.4127197131893321</v>
      </c>
      <c r="P60" s="24">
        <f t="shared" si="1"/>
        <v>1.509846418012383</v>
      </c>
      <c r="Q60" s="23">
        <f>IF(H60=1,L60*(1+FixedParams!$B$25)+M60*FixedParams!$B$33*(1+FixedParams!$B$28)/FixedParams!$B$32,L60*(1+FixedParams!$B$23)+M60*FixedParams!$B$33*(1+FixedParams!$B$26)/FixedParams!$B$32)</f>
        <v>343.08260899150423</v>
      </c>
      <c r="R60" s="24">
        <f t="shared" si="2"/>
        <v>88.850405535619899</v>
      </c>
      <c r="S60" s="24">
        <f>R60^((FixedParams!$B$47-1)/FixedParams!$B$47)*EXP($C60)</f>
        <v>0.581712054637059</v>
      </c>
      <c r="T60" s="7">
        <f>(L60*FixedParams!$B$32*(FixedParams!$C$25-FixedParams!$C$23)+FixedParams!$B$33*(FixedParams!$C$28-FixedParams!$C$26)*M60)/N60</f>
        <v>-1886.9005962824908</v>
      </c>
      <c r="U60" s="7">
        <f>(L60*FixedParams!$B$32*(FixedParams!$C$25-FixedParams!$C$23)*$Z$12/$B$11+FixedParams!$B$33*(FixedParams!$C$28-FixedParams!$C$26)*M60)/N60</f>
        <v>-2114.500251418609</v>
      </c>
      <c r="V60" s="14">
        <f t="shared" si="13"/>
        <v>-2.2094251553998348</v>
      </c>
      <c r="W60" s="14">
        <f t="shared" si="46"/>
        <v>0.40911106032552452</v>
      </c>
      <c r="X60" s="73">
        <f t="shared" si="15"/>
        <v>0.98323236064302844</v>
      </c>
      <c r="Y60" s="24">
        <f>EXP(-$D$17)*(($B60*FixedParams!$B$30)^$B$10*(1+FixedParams!$C$24)^(1-$B$10)+(1-$B60)^$B$10*((1+FixedParams!$C$27)/$Z$12)^(1-$B$10))^(1/(1-$B$10))</f>
        <v>5.9797879882763478</v>
      </c>
      <c r="Z60" s="24">
        <f>EXP($D60-$D$17)*(($B60*FixedParams!$C$31)^$B$10*(1+FixedParams!$C$25)^(1-$B$10)+(1-$B60)^$B$10*((1+FixedParams!$C$28)/$Z$12)^(1-$B$10))^(1/(1-$B$10))</f>
        <v>4.6378637242706429</v>
      </c>
      <c r="AA60" s="24">
        <f>EXP($D60-$D$17)*(($B60*FixedParams!$C$30)^$B$10*(1+FixedParams!$C$23)^(1-$B$10)+(1-$B60)^$B$10*((1+FixedParams!$C$26)/$Z$12)^(1-$B$10))^(1/(1-$B$10))</f>
        <v>4.7710443109215879</v>
      </c>
      <c r="AB60">
        <f>IF(FixedParams!$I$6=1,IF(Z60&lt;=MIN(Y60:AA60),1,0),$H60)</f>
        <v>1</v>
      </c>
      <c r="AC60">
        <f>IF(FixedParams!$I$6=1,IF(AA60&lt;=MIN(Y60:AA60),1,0),IF(AA60&lt;=Y60,1,0)*(1-$H60))</f>
        <v>0</v>
      </c>
      <c r="AD60" s="24">
        <f>$Z$13*IF(AB60=1,1,IF(AC60=1,FixedParams!$C$52,FixedParams!$C$53))</f>
        <v>0.43187184563106507</v>
      </c>
      <c r="AE60">
        <f>EXP($C60*FixedParams!$B$47)*EXP(IF(AB60+AC60=1,(1-FixedParams!$B$47)*$D60,0))*($B60^((FixedParams!$B$47-1)*$B$10/($B$10-1)))*((1/$B60-1)^$B$10*(AD60)^($B$10-1)+1)^((FixedParams!$B$47-$B$10)/($B$10-1))/((1+IF(AB60=1,FixedParams!$C$25,IF(AC60=1,FixedParams!$C$23,FixedParams!$C$24)))^FixedParams!$B$47)</f>
        <v>3.9674919605458117E-2</v>
      </c>
      <c r="AF60">
        <f t="shared" si="39"/>
        <v>1.1691080392312607</v>
      </c>
      <c r="AG60">
        <f t="shared" si="40"/>
        <v>27.460552531214145</v>
      </c>
      <c r="AH60">
        <f t="shared" si="3"/>
        <v>116.01203089615646</v>
      </c>
      <c r="AI60">
        <f t="shared" si="16"/>
        <v>143.47258342737061</v>
      </c>
      <c r="AJ60" s="24">
        <f t="shared" si="17"/>
        <v>4.224679411103863</v>
      </c>
      <c r="AK60" s="24">
        <f t="shared" si="18"/>
        <v>1.5490178298753563</v>
      </c>
      <c r="AL60" s="23">
        <f>IF(AB60=1,AG60*(1+FixedParams!$C$25)+AH60*(1+FixedParams!$C$28)/$Z$12,IF(AC60=1,AG60*(1+FixedParams!$C$23)+AH60*(1+FixedParams!$C$26)/$Z$12,AG60*(1+FixedParams!$C$24)+AH60*(1+FixedParams!$C$27)/$Z$12))</f>
        <v>405.16652974537442</v>
      </c>
      <c r="AM60" s="24">
        <f t="shared" si="19"/>
        <v>87.360593978877958</v>
      </c>
      <c r="AN60" s="24">
        <f>AM60^((FixedParams!$B$47-1)/FixedParams!$B$47)*EXP($C60)</f>
        <v>0.58172190120584855</v>
      </c>
      <c r="AO60" s="24">
        <f t="shared" si="20"/>
        <v>-4.0995179620901559E-2</v>
      </c>
      <c r="AP60" s="24">
        <f t="shared" si="21"/>
        <v>-1.6909807680589011E-2</v>
      </c>
      <c r="AQ60" s="14">
        <f t="shared" si="22"/>
        <v>-2.2805697672817198</v>
      </c>
      <c r="AS60" s="24">
        <f>EXP(-$D$17)*(($B60*FixedParams!$B$30)^$B$10*(1+FixedParams!$D$24)^(1-$B$10)+(1-$B60)^$B$10*((1+FixedParams!$D$27)/$AT$12)^(1-$B$10))^(1/(1-$B$10))</f>
        <v>5.6618972690857792</v>
      </c>
      <c r="AT60" s="24">
        <f>EXP($D60-$D$17)*(($B60*FixedParams!$C$31)^$B$10*(1+FixedParams!$D$25)^(1-$B$10)+(1-$B60)^$B$10*((1+FixedParams!$D$28)/$AT$12)^(1-$B$10))^(1/(1-$B$10))</f>
        <v>4.5401908593749614</v>
      </c>
      <c r="AU60" s="24">
        <f>EXP($D60-$D$17)*(($B60*FixedParams!$C$30)^$B$10*(1+FixedParams!$D$23)^(1-$B$10)+(1-$B60)^$B$10*((1+FixedParams!$D$26)/$AT$12)^(1-$B$10))^(1/(1-$B$10))</f>
        <v>4.627186777214801</v>
      </c>
      <c r="AV60">
        <f>IF(FixedParams!$I$6=1,IF(AT60&lt;=MIN(AS60:AU60),1,0),$H60)</f>
        <v>1</v>
      </c>
      <c r="AW60">
        <f>IF(FixedParams!$I$6=1,IF(AU60&lt;=MIN(AS60:AU60),1,0),IF(AU60&lt;=AS60,1,0)*(1-$H60))</f>
        <v>0</v>
      </c>
      <c r="AX60" s="24">
        <f>$AT$13*IF(AV60=1,1,IF(AW60=1,FixedParams!$D$52,FixedParams!$D$53))</f>
        <v>0.41089128090616783</v>
      </c>
      <c r="AY60">
        <f>EXP($C60*FixedParams!$B$47)*EXP(IF(AV60+AW60=1,(1-FixedParams!$B$47)*$D60,0))*($B60^((FixedParams!$B$47-1)*$B$10/($B$10-1)))*((1/$B60-1)^$B$10*(AX60)^($B$10-1)+1)^((FixedParams!$B$47-$B$10)/($B$10-1))/((1+IF(AV60=1,FixedParams!$D$25,IF(AW60=1,FixedParams!$D$23,FixedParams!$D$24)))^FixedParams!$B$47)</f>
        <v>4.3366022455288672E-2</v>
      </c>
      <c r="AZ60">
        <f t="shared" si="4"/>
        <v>1.1677420774955052</v>
      </c>
      <c r="BA60">
        <f t="shared" si="23"/>
        <v>29.380234492597062</v>
      </c>
      <c r="BB60">
        <f t="shared" si="5"/>
        <v>115.18795428798977</v>
      </c>
      <c r="BC60">
        <f t="shared" si="24"/>
        <v>144.56818878058684</v>
      </c>
      <c r="BD60" s="24">
        <f t="shared" si="25"/>
        <v>3.9205934287901507</v>
      </c>
      <c r="BE60" s="24">
        <f t="shared" si="26"/>
        <v>1.5374346533283407</v>
      </c>
      <c r="BF60" s="23">
        <f>IF(AV60=1,BA60*(1+FixedParams!$C$25)+BB60*(1+FixedParams!$C$28)/$AT$12,IF(AW60=1,BA60*(1+FixedParams!$C$23)+BB60*(1+FixedParams!$C$26)/$AT$12,BA60*(1+FixedParams!$C$24)+BB60*(1+FixedParams!$C$27)/$AT$12))</f>
        <v>400.18778043327393</v>
      </c>
      <c r="BG60" s="24">
        <f t="shared" si="27"/>
        <v>88.143382696551882</v>
      </c>
      <c r="BH60" s="24">
        <f>BG60^((FixedParams!$B$47-1)/FixedParams!$B$47)*EXP($C60)</f>
        <v>0.58171670676913612</v>
      </c>
      <c r="BI60" s="7"/>
      <c r="BJ60" s="24">
        <f>EXP(-$D$17)*(($B60*FixedParams!$B$30)^$B$10*(1+FixedParams!$C$24)^(1-$B$10)+(1-$B60)^$B$10*((1+FixedParams!$C$27)/$BK$12)^(1-$B$10))^(1/(1-$B$10))</f>
        <v>6.260065065049413</v>
      </c>
      <c r="BK60" s="24">
        <f>EXP($D60-$D$17)*(($B60*FixedParams!$C$31)^$B$10*(1+FixedParams!$C$25)^(1-$B$10)+(1-$B60)^$B$10*((1+FixedParams!$C$28)/$BK$12)^(1-$B$10))^(1/(1-$B$10))</f>
        <v>4.8542010453051478</v>
      </c>
      <c r="BL60" s="24">
        <f>EXP($D60-$D$17)*(($B60*FixedParams!$C$30)^$B$10*(1+FixedParams!$C$23)^(1-$B$10)+(1-$B60)^$B$10*((1+FixedParams!$C$26)/$BK$12)^(1-$B$10))^(1/(1-$B$10))</f>
        <v>4.9911550464789993</v>
      </c>
      <c r="BM60">
        <f>IF(FixedParams!$I$6=1,IF(BK60&lt;=MIN(BJ60:BL60),1,0),$H60)</f>
        <v>1</v>
      </c>
      <c r="BN60">
        <f>IF(FixedParams!$I$6=1,IF(BL60&lt;=MIN(BJ60:BL60),1,0),IF(BL60&lt;=BJ60,1,0)*(1-$H60))</f>
        <v>0</v>
      </c>
      <c r="BO60" s="24">
        <f>$BK$13*IF(BM60=1,1,IF(BN60=1,FixedParams!$C$52,FixedParams!$C$53))</f>
        <v>0.41068174962109105</v>
      </c>
      <c r="BP60">
        <f>EXP($C60*FixedParams!$B$47)*EXP(IF(BM60+BN60=1,(1-FixedParams!$B$47)*$D60,0))*($B60^((FixedParams!$B$47-1)*$B$10/($B$10-1)))*((1/$B60-1)^$B$10*(BO60)^($B$10-1)+1)^((FixedParams!$B$47-$B$10)/($B$10-1))/((1+IF(BM60=1,FixedParams!$C$25,IF(BN60=1,FixedParams!$C$23,FixedParams!$C$24)))^FixedParams!$B$47)</f>
        <v>4.0591560081505315E-2</v>
      </c>
      <c r="BQ60">
        <f t="shared" si="28"/>
        <v>1.1677279434775372</v>
      </c>
      <c r="BR60">
        <f t="shared" si="29"/>
        <v>29.781918964638901</v>
      </c>
      <c r="BS60">
        <f t="shared" si="6"/>
        <v>116.6734935561003</v>
      </c>
      <c r="BT60">
        <f t="shared" si="30"/>
        <v>146.4554125207392</v>
      </c>
      <c r="BU60" s="24">
        <f t="shared" si="31"/>
        <v>3.9175948901959861</v>
      </c>
      <c r="BV60" s="24">
        <f t="shared" si="32"/>
        <v>1.5417242501112569</v>
      </c>
      <c r="BW60" s="23">
        <f>IF(BM60=1,BR60*(1+FixedParams!$C$25)+BS60*(1+FixedParams!$C$28)/$BK$12,IF(BN60=1,BR60*(1+FixedParams!$C$23)+BS60*(1+FixedParams!$C$26)/$BK$12,BR60*(1+FixedParams!$C$24)+BS60*(1+FixedParams!$C$27)/$BK$12))</f>
        <v>429.51375839818542</v>
      </c>
      <c r="BX60" s="24">
        <f t="shared" si="33"/>
        <v>88.482894381475916</v>
      </c>
      <c r="BY60" s="24">
        <f>BX60^((FixedParams!$B$47-1)/FixedParams!$B$47)*EXP($C60)</f>
        <v>0.58171446817606898</v>
      </c>
      <c r="BZ60" s="24">
        <f t="shared" si="34"/>
        <v>-2.0418109573183754E-2</v>
      </c>
      <c r="CA60" s="24">
        <f t="shared" si="35"/>
        <v>-4.144869355810132E-3</v>
      </c>
      <c r="CB60" s="24">
        <f t="shared" si="36"/>
        <v>1.3183586563597119E-2</v>
      </c>
      <c r="CC60" s="24"/>
      <c r="CD60" s="24">
        <f>EXP(-$D$17)*(($B60*FixedParams!$B$30)^$B$10*(1+FixedParams!$D$24)^(1-$B$10)+(1-$B60)^$B$10*((1+FixedParams!$D$27)/$CE$12)^(1-$B$10))^(1/(1-$B$10))</f>
        <v>5.9086397431478774</v>
      </c>
      <c r="CE60" s="24">
        <f>EXP($D60-$D$17)*(($B60*FixedParams!$D$31)^$B$10*(1+FixedParams!$D$25)^(1-$B$10)+(1-$B60)^$B$10*((1+FixedParams!$D$28)/$CE$12)^(1-$B$10))^(1/(1-$B$10))</f>
        <v>4.7373914138265301</v>
      </c>
      <c r="CF60" s="24">
        <f>EXP($D60-$D$17)*(($B60*FixedParams!$D$30)^$B$10*(1+FixedParams!$D$23)^(1-$B$10)+(1-$B60)^$B$10*((1+FixedParams!$D$26)/$CE$12)^(1-$B$10))^(1/(1-$B$10))</f>
        <v>4.826390251521036</v>
      </c>
      <c r="CG60">
        <f>IF(FixedParams!$I$6=1,IF(CE60&lt;=MIN(CD60:CF60),1,0),$H60)</f>
        <v>1</v>
      </c>
      <c r="CH60">
        <f>IF(FixedParams!$I$6=1,IF(CF60&lt;=MIN(CD60:CF60),1,0),IF(CF60&lt;=CD60,1,0)*(1-$H60))</f>
        <v>0</v>
      </c>
      <c r="CI60" s="24">
        <f>$CE$13*IF(CG60=1,1,IF(CH60=1,FixedParams!$D$52,FixedParams!$D$53))</f>
        <v>0.39201585704839609</v>
      </c>
      <c r="CJ60">
        <f>EXP($C60*FixedParams!$B$47)*EXP(IF(CG60+CH60=1,(1-FixedParams!$B$47)*$D60,0))*($B60^((FixedParams!$B$47-1)*$B$10/($B$10-1)))*((1/$B60-1)^$B$10*(CI60)^($B$10-1)+1)^((FixedParams!$B$47-$B$10)/($B$10-1))/((1+IF(CG60=1,FixedParams!$D$25,IF(CH60=1,FixedParams!$D$23,FixedParams!$D$24)))^FixedParams!$B$47)</f>
        <v>4.4299684662617876E-2</v>
      </c>
      <c r="CK60">
        <f t="shared" si="37"/>
        <v>1.166426653525511</v>
      </c>
      <c r="CL60">
        <f t="shared" si="41"/>
        <v>31.867104848455831</v>
      </c>
      <c r="CM60">
        <f t="shared" si="7"/>
        <v>116.42854773791143</v>
      </c>
      <c r="CN60">
        <f t="shared" si="42"/>
        <v>148.29565258636725</v>
      </c>
      <c r="CO60" s="24">
        <f t="shared" si="43"/>
        <v>3.6535652765316442</v>
      </c>
      <c r="CP60" s="24">
        <f t="shared" si="44"/>
        <v>1.5305183230398931</v>
      </c>
      <c r="CQ60" s="23">
        <f>IF(CG60=1,CL60*(1+FixedParams!$D$25)+CM60*(1+FixedParams!$D$28)/$CE$12,IF(CH60=1,CL60*(1+FixedParams!$D$23)+CM60*(1+FixedParams!$D$26)/$CE$12,CL60*(1+FixedParams!$D$24)+CM60*(1+FixedParams!$D$27)/$CE$12))</f>
        <v>421.10610868026907</v>
      </c>
      <c r="CR60" s="24">
        <f t="shared" si="45"/>
        <v>88.889870372802761</v>
      </c>
      <c r="CS60" s="24">
        <f>CR60^((FixedParams!$B$47-1)/FixedParams!$B$47)*EXP($C60)</f>
        <v>0.58171179605585854</v>
      </c>
      <c r="CT60" s="24"/>
    </row>
    <row r="61" spans="1:98" x14ac:dyDescent="0.15">
      <c r="A61">
        <v>0.22</v>
      </c>
      <c r="B61">
        <f t="shared" si="8"/>
        <v>0.14322708152340408</v>
      </c>
      <c r="C61">
        <f>(D61-$D$17)*FixedParams!$B$47+$A61*$B$9</f>
        <v>-0.5497833354035121</v>
      </c>
      <c r="D61">
        <f>(A61-$B$6)*FixedParams!$B$46/(FixedParams!$B$45*Sectors!$B$6)</f>
        <v>-0.1521384003699863</v>
      </c>
      <c r="E61">
        <f t="shared" si="9"/>
        <v>0.57707482852136005</v>
      </c>
      <c r="F61" s="24">
        <f>EXP(-$D$17)*(($B61*FixedParams!$B$30)^$B$10*(1+FixedParams!$B$23)^(1-$B$10)+(1-$B61)^$B$10*((1+FixedParams!$B$26)/$B$11)^(1-$B$10))^(1/(1-$B$10))</f>
        <v>4.6677567904413397</v>
      </c>
      <c r="G61" s="24">
        <f>EXP($D61-$D$17)*(($B61*FixedParams!$B$31)^$B$10*(1+FixedParams!$B$25)^(1-$B$10)+(1-$B61)^$B$10*((1+FixedParams!$B$28)/$B$11)^(1-$B$10))^(1/(1-$B$10))</f>
        <v>3.8775895806850564</v>
      </c>
      <c r="H61">
        <f t="shared" si="10"/>
        <v>1</v>
      </c>
      <c r="I61" s="24">
        <f>$B$12*IF(H61=1,1,FixedParams!$B$52)</f>
        <v>0.3745928365283252</v>
      </c>
      <c r="J61">
        <f>EXP($C61*FixedParams!$B$47)*EXP(IF(H61=1,(1-FixedParams!$B$47)*$D61,0))*($B61^((FixedParams!$B$47-1)*$B$10/($B$10-1)))*((1/$B61-1)^$B$10*(I61)^($B$10-1)+1)^((FixedParams!$B$47-$B$10)/($B$10-1))/((1+IF(H61=1,FixedParams!$B$25,FixedParams!$B$24))^FixedParams!$B$47)</f>
        <v>5.7964514902220446E-2</v>
      </c>
      <c r="K61">
        <f t="shared" si="38"/>
        <v>1.1687143089461944</v>
      </c>
      <c r="L61">
        <f>K61*FixedParams!$B$8/K$15</f>
        <v>33.978182345525219</v>
      </c>
      <c r="M61">
        <f t="shared" si="0"/>
        <v>113.97253985130251</v>
      </c>
      <c r="N61">
        <f t="shared" si="11"/>
        <v>147.95072219682774</v>
      </c>
      <c r="O61" s="24">
        <f t="shared" si="12"/>
        <v>3.3542859559794023</v>
      </c>
      <c r="P61" s="24">
        <f t="shared" si="1"/>
        <v>1.5161959179936655</v>
      </c>
      <c r="Q61" s="23">
        <f>IF(H61=1,L61*(1+FixedParams!$B$25)+M61*FixedParams!$B$33*(1+FixedParams!$B$28)/FixedParams!$B$32,L61*(1+FixedParams!$B$23)+M61*FixedParams!$B$33*(1+FixedParams!$B$26)/FixedParams!$B$32)</f>
        <v>338.82809235285868</v>
      </c>
      <c r="R61" s="24">
        <f t="shared" si="2"/>
        <v>87.38111275123596</v>
      </c>
      <c r="S61" s="24">
        <f>R61^((FixedParams!$B$47-1)/FixedParams!$B$47)*EXP($C61)</f>
        <v>0.57449832957349678</v>
      </c>
      <c r="T61" s="7">
        <f>(L61*FixedParams!$B$32*(FixedParams!$C$25-FixedParams!$C$23)+FixedParams!$B$33*(FixedParams!$C$28-FixedParams!$C$26)*M61)/N61</f>
        <v>-1852.3987251463204</v>
      </c>
      <c r="U61" s="7">
        <f>(L61*FixedParams!$B$32*(FixedParams!$C$25-FixedParams!$C$23)*$Z$12/$B$11+FixedParams!$B$33*(FixedParams!$C$28-FixedParams!$C$26)*M61)/N61</f>
        <v>-2083.0527279122784</v>
      </c>
      <c r="V61" s="14">
        <f t="shared" si="13"/>
        <v>-2.1921545301037511</v>
      </c>
      <c r="W61" s="14">
        <f t="shared" si="46"/>
        <v>0.41636772838706593</v>
      </c>
      <c r="X61" s="73">
        <f t="shared" si="15"/>
        <v>0.9830218437599163</v>
      </c>
      <c r="Y61" s="24">
        <f>EXP(-$D$17)*(($B61*FixedParams!$B$30)^$B$10*(1+FixedParams!$C$24)^(1-$B$10)+(1-$B61)^$B$10*((1+FixedParams!$C$27)/$Z$12)^(1-$B$10))^(1/(1-$B$10))</f>
        <v>5.9908078746008657</v>
      </c>
      <c r="Z61" s="24">
        <f>EXP($D61-$D$17)*(($B61*FixedParams!$C$31)^$B$10*(1+FixedParams!$C$25)^(1-$B$10)+(1-$B61)^$B$10*((1+FixedParams!$C$28)/$Z$12)^(1-$B$10))^(1/(1-$B$10))</f>
        <v>4.6583661582131697</v>
      </c>
      <c r="AA61" s="24">
        <f>EXP($D61-$D$17)*(($B61*FixedParams!$C$30)^$B$10*(1+FixedParams!$C$23)^(1-$B$10)+(1-$B61)^$B$10*((1+FixedParams!$C$26)/$Z$12)^(1-$B$10))^(1/(1-$B$10))</f>
        <v>4.7905335406083065</v>
      </c>
      <c r="AB61">
        <f>IF(FixedParams!$I$6=1,IF(Z61&lt;=MIN(Y61:AA61),1,0),$H61)</f>
        <v>1</v>
      </c>
      <c r="AC61">
        <f>IF(FixedParams!$I$6=1,IF(AA61&lt;=MIN(Y61:AA61),1,0),IF(AA61&lt;=Y61,1,0)*(1-$H61))</f>
        <v>0</v>
      </c>
      <c r="AD61" s="24">
        <f>$Z$13*IF(AB61=1,1,IF(AC61=1,FixedParams!$C$52,FixedParams!$C$53))</f>
        <v>0.43187184563106507</v>
      </c>
      <c r="AE61">
        <f>EXP($C61*FixedParams!$B$47)*EXP(IF(AB61+AC61=1,(1-FixedParams!$B$47)*$D61,0))*($B61^((FixedParams!$B$47-1)*$B$10/($B$10-1)))*((1/$B61-1)^$B$10*(AD61)^($B$10-1)+1)^((FixedParams!$B$47-$B$10)/($B$10-1))/((1+IF(AB61=1,FixedParams!$C$25,IF(AC61=1,FixedParams!$C$23,FixedParams!$C$24)))^FixedParams!$B$47)</f>
        <v>3.980121038549702E-2</v>
      </c>
      <c r="AF61">
        <f t="shared" si="39"/>
        <v>1.1728294725118453</v>
      </c>
      <c r="AG61">
        <f t="shared" si="40"/>
        <v>27.547963284252926</v>
      </c>
      <c r="AH61">
        <f t="shared" si="3"/>
        <v>114.38859254925499</v>
      </c>
      <c r="AI61">
        <f t="shared" si="16"/>
        <v>141.93655583350792</v>
      </c>
      <c r="AJ61" s="24">
        <f t="shared" si="17"/>
        <v>4.1523430015111948</v>
      </c>
      <c r="AK61" s="24">
        <f t="shared" si="18"/>
        <v>1.5558655161423369</v>
      </c>
      <c r="AL61" s="23">
        <f>IF(AB61=1,AG61*(1+FixedParams!$C$25)+AH61*(1+FixedParams!$C$28)/$Z$12,IF(AC61=1,AG61*(1+FixedParams!$C$23)+AH61*(1+FixedParams!$C$26)/$Z$12,AG61*(1+FixedParams!$C$24)+AH61*(1+FixedParams!$C$27)/$Z$12))</f>
        <v>400.14220536551983</v>
      </c>
      <c r="AM61" s="24">
        <f t="shared" si="19"/>
        <v>85.89754256651311</v>
      </c>
      <c r="AN61" s="24">
        <f>AM61^((FixedParams!$B$47-1)/FixedParams!$B$47)*EXP($C61)</f>
        <v>0.57450817717893865</v>
      </c>
      <c r="AO61" s="24">
        <f t="shared" si="20"/>
        <v>-4.1499092335669764E-2</v>
      </c>
      <c r="AP61" s="24">
        <f t="shared" si="21"/>
        <v>-1.7123937556009095E-2</v>
      </c>
      <c r="AQ61" s="14">
        <f t="shared" si="22"/>
        <v>-2.2632991419856361</v>
      </c>
      <c r="AS61" s="24">
        <f>EXP(-$D$17)*(($B61*FixedParams!$B$30)^$B$10*(1+FixedParams!$D$24)^(1-$B$10)+(1-$B61)^$B$10*((1+FixedParams!$D$27)/$AT$12)^(1-$B$10))^(1/(1-$B$10))</f>
        <v>5.6716576126055926</v>
      </c>
      <c r="AT61" s="24">
        <f>EXP($D61-$D$17)*(($B61*FixedParams!$C$31)^$B$10*(1+FixedParams!$D$25)^(1-$B$10)+(1-$B61)^$B$10*((1+FixedParams!$D$28)/$AT$12)^(1-$B$10))^(1/(1-$B$10))</f>
        <v>4.5599257896028451</v>
      </c>
      <c r="AU61" s="24">
        <f>EXP($D61-$D$17)*(($B61*FixedParams!$C$30)^$B$10*(1+FixedParams!$D$23)^(1-$B$10)+(1-$B61)^$B$10*((1+FixedParams!$D$26)/$AT$12)^(1-$B$10))^(1/(1-$B$10))</f>
        <v>4.6460475266563881</v>
      </c>
      <c r="AV61">
        <f>IF(FixedParams!$I$6=1,IF(AT61&lt;=MIN(AS61:AU61),1,0),$H61)</f>
        <v>1</v>
      </c>
      <c r="AW61">
        <f>IF(FixedParams!$I$6=1,IF(AU61&lt;=MIN(AS61:AU61),1,0),IF(AU61&lt;=AS61,1,0)*(1-$H61))</f>
        <v>0</v>
      </c>
      <c r="AX61" s="24">
        <f>$AT$13*IF(AV61=1,1,IF(AW61=1,FixedParams!$D$52,FixedParams!$D$53))</f>
        <v>0.41089128090616783</v>
      </c>
      <c r="AY61">
        <f>EXP($C61*FixedParams!$B$47)*EXP(IF(AV61+AW61=1,(1-FixedParams!$B$47)*$D61,0))*($B61^((FixedParams!$B$47-1)*$B$10/($B$10-1)))*((1/$B61-1)^$B$10*(AX61)^($B$10-1)+1)^((FixedParams!$B$47-$B$10)/($B$10-1))/((1+IF(AV61=1,FixedParams!$D$25,IF(AW61=1,FixedParams!$D$23,FixedParams!$D$24)))^FixedParams!$B$47)</f>
        <v>4.3502457919201126E-2</v>
      </c>
      <c r="AZ61">
        <f t="shared" si="4"/>
        <v>1.1714159544861251</v>
      </c>
      <c r="BA61">
        <f t="shared" si="23"/>
        <v>29.472668746326164</v>
      </c>
      <c r="BB61">
        <f t="shared" si="5"/>
        <v>113.57185867459773</v>
      </c>
      <c r="BC61">
        <f t="shared" si="24"/>
        <v>143.04452742092388</v>
      </c>
      <c r="BD61" s="24">
        <f t="shared" si="25"/>
        <v>3.8534636836630116</v>
      </c>
      <c r="BE61" s="24">
        <f t="shared" si="26"/>
        <v>1.5441174485131983</v>
      </c>
      <c r="BF61" s="23">
        <f>IF(AV61=1,BA61*(1+FixedParams!$C$25)+BB61*(1+FixedParams!$C$28)/$AT$12,IF(AW61=1,BA61*(1+FixedParams!$C$23)+BB61*(1+FixedParams!$C$26)/$AT$12,BA61*(1+FixedParams!$C$24)+BB61*(1+FixedParams!$C$27)/$AT$12))</f>
        <v>395.26366963192703</v>
      </c>
      <c r="BG61" s="24">
        <f t="shared" si="27"/>
        <v>86.682039986960675</v>
      </c>
      <c r="BH61" s="24">
        <f>BG61^((FixedParams!$B$47-1)/FixedParams!$B$47)*EXP($C61)</f>
        <v>0.5745029488386878</v>
      </c>
      <c r="BI61" s="7"/>
      <c r="BJ61" s="24">
        <f>EXP(-$D$17)*(($B61*FixedParams!$B$30)^$B$10*(1+FixedParams!$C$24)^(1-$B$10)+(1-$B61)^$B$10*((1+FixedParams!$C$27)/$BK$12)^(1-$B$10))^(1/(1-$B$10))</f>
        <v>6.2711540699485262</v>
      </c>
      <c r="BK61" s="24">
        <f>EXP($D61-$D$17)*(($B61*FixedParams!$C$31)^$B$10*(1+FixedParams!$C$25)^(1-$B$10)+(1-$B61)^$B$10*((1+FixedParams!$C$28)/$BK$12)^(1-$B$10))^(1/(1-$B$10))</f>
        <v>4.8752971754194503</v>
      </c>
      <c r="BL61" s="24">
        <f>EXP($D61-$D$17)*(($B61*FixedParams!$C$30)^$B$10*(1+FixedParams!$C$23)^(1-$B$10)+(1-$B61)^$B$10*((1+FixedParams!$C$26)/$BK$12)^(1-$B$10))^(1/(1-$B$10))</f>
        <v>5.0111365338995357</v>
      </c>
      <c r="BM61">
        <f>IF(FixedParams!$I$6=1,IF(BK61&lt;=MIN(BJ61:BL61),1,0),$H61)</f>
        <v>1</v>
      </c>
      <c r="BN61">
        <f>IF(FixedParams!$I$6=1,IF(BL61&lt;=MIN(BJ61:BL61),1,0),IF(BL61&lt;=BJ61,1,0)*(1-$H61))</f>
        <v>0</v>
      </c>
      <c r="BO61" s="24">
        <f>$BK$13*IF(BM61=1,1,IF(BN61=1,FixedParams!$C$52,FixedParams!$C$53))</f>
        <v>0.41068174962109105</v>
      </c>
      <c r="BP61">
        <f>EXP($C61*FixedParams!$B$47)*EXP(IF(BM61+BN61=1,(1-FixedParams!$B$47)*$D61,0))*($B61^((FixedParams!$B$47-1)*$B$10/($B$10-1)))*((1/$B61-1)^$B$10*(BO61)^($B$10-1)+1)^((FixedParams!$B$47-$B$10)/($B$10-1))/((1+IF(BM61=1,FixedParams!$C$25,IF(BN61=1,FixedParams!$C$23,FixedParams!$C$24)))^FixedParams!$B$47)</f>
        <v>4.071925116508928E-2</v>
      </c>
      <c r="BQ61">
        <f t="shared" si="28"/>
        <v>1.1714013289333935</v>
      </c>
      <c r="BR61">
        <f t="shared" si="29"/>
        <v>29.875605570824241</v>
      </c>
      <c r="BS61">
        <f t="shared" si="6"/>
        <v>115.03651181180561</v>
      </c>
      <c r="BT61">
        <f t="shared" si="30"/>
        <v>144.91211738262984</v>
      </c>
      <c r="BU61" s="24">
        <f t="shared" si="31"/>
        <v>3.8505164870749047</v>
      </c>
      <c r="BV61" s="24">
        <f t="shared" si="32"/>
        <v>1.5484245114059922</v>
      </c>
      <c r="BW61" s="23">
        <f>IF(BM61=1,BR61*(1+FixedParams!$C$25)+BS61*(1+FixedParams!$C$28)/$BK$12,IF(BN61=1,BR61*(1+FixedParams!$C$23)+BS61*(1+FixedParams!$C$26)/$BK$12,BR61*(1+FixedParams!$C$24)+BS61*(1+FixedParams!$C$27)/$BK$12))</f>
        <v>424.18748124171123</v>
      </c>
      <c r="BX61" s="24">
        <f t="shared" si="33"/>
        <v>87.007512768740284</v>
      </c>
      <c r="BY61" s="24">
        <f>BX61^((FixedParams!$B$47-1)/FixedParams!$B$47)*EXP($C61)</f>
        <v>0.57450079358973727</v>
      </c>
      <c r="BZ61" s="24">
        <f t="shared" si="34"/>
        <v>-2.0751788532462189E-2</v>
      </c>
      <c r="CA61" s="24">
        <f t="shared" si="35"/>
        <v>-4.2846894738094174E-3</v>
      </c>
      <c r="CB61" s="24">
        <f t="shared" si="36"/>
        <v>1.3043766445597835E-2</v>
      </c>
      <c r="CC61" s="24"/>
      <c r="CD61" s="24">
        <f>EXP(-$D$17)*(($B61*FixedParams!$B$30)^$B$10*(1+FixedParams!$D$24)^(1-$B$10)+(1-$B61)^$B$10*((1+FixedParams!$D$27)/$CE$12)^(1-$B$10))^(1/(1-$B$10))</f>
        <v>5.9184174157486753</v>
      </c>
      <c r="CE61" s="24">
        <f>EXP($D61-$D$17)*(($B61*FixedParams!$D$31)^$B$10*(1+FixedParams!$D$25)^(1-$B$10)+(1-$B61)^$B$10*((1+FixedParams!$D$28)/$CE$12)^(1-$B$10))^(1/(1-$B$10))</f>
        <v>4.7576462088340143</v>
      </c>
      <c r="CF61" s="24">
        <f>EXP($D61-$D$17)*(($B61*FixedParams!$D$30)^$B$10*(1+FixedParams!$D$23)^(1-$B$10)+(1-$B61)^$B$10*((1+FixedParams!$D$26)/$CE$12)^(1-$B$10))^(1/(1-$B$10))</f>
        <v>4.8456946512071282</v>
      </c>
      <c r="CG61">
        <f>IF(FixedParams!$I$6=1,IF(CE61&lt;=MIN(CD61:CF61),1,0),$H61)</f>
        <v>1</v>
      </c>
      <c r="CH61">
        <f>IF(FixedParams!$I$6=1,IF(CF61&lt;=MIN(CD61:CF61),1,0),IF(CF61&lt;=CD61,1,0)*(1-$H61))</f>
        <v>0</v>
      </c>
      <c r="CI61" s="24">
        <f>$CE$13*IF(CG61=1,1,IF(CH61=1,FixedParams!$D$52,FixedParams!$D$53))</f>
        <v>0.39201585704839609</v>
      </c>
      <c r="CJ61">
        <f>EXP($C61*FixedParams!$B$47)*EXP(IF(CG61+CH61=1,(1-FixedParams!$B$47)*$D61,0))*($B61^((FixedParams!$B$47-1)*$B$10/($B$10-1)))*((1/$B61-1)^$B$10*(CI61)^($B$10-1)+1)^((FixedParams!$B$47-$B$10)/($B$10-1))/((1+IF(CG61=1,FixedParams!$D$25,IF(CH61=1,FixedParams!$D$23,FixedParams!$D$24)))^FixedParams!$B$47)</f>
        <v>4.4437479155912465E-2</v>
      </c>
      <c r="CK61">
        <f t="shared" si="37"/>
        <v>1.1700548321663282</v>
      </c>
      <c r="CL61">
        <f t="shared" si="41"/>
        <v>31.966227711266271</v>
      </c>
      <c r="CM61">
        <f t="shared" si="7"/>
        <v>114.79096917969358</v>
      </c>
      <c r="CN61">
        <f t="shared" si="42"/>
        <v>146.75719689095985</v>
      </c>
      <c r="CO61" s="24">
        <f t="shared" si="43"/>
        <v>3.5910076789960521</v>
      </c>
      <c r="CP61" s="24">
        <f t="shared" si="44"/>
        <v>1.5370620793353713</v>
      </c>
      <c r="CQ61" s="23">
        <f>IF(CG61=1,CL61*(1+FixedParams!$D$25)+CM61*(1+FixedParams!$D$28)/$CE$12,IF(CH61=1,CL61*(1+FixedParams!$D$23)+CM61*(1+FixedParams!$D$26)/$CE$12,CL61*(1+FixedParams!$D$24)+CM61*(1+FixedParams!$D$27)/$CE$12))</f>
        <v>415.88406321325834</v>
      </c>
      <c r="CR61" s="24">
        <f t="shared" si="45"/>
        <v>87.41382712338789</v>
      </c>
      <c r="CS61" s="24">
        <f>CR61^((FixedParams!$B$47-1)/FixedParams!$B$47)*EXP($C61)</f>
        <v>0.57449811431369557</v>
      </c>
      <c r="CT61" s="24"/>
    </row>
    <row r="62" spans="1:98" x14ac:dyDescent="0.15">
      <c r="A62">
        <v>0.22500000000000001</v>
      </c>
      <c r="B62">
        <f t="shared" si="8"/>
        <v>0.14464578138041806</v>
      </c>
      <c r="C62">
        <f>(D62-$D$17)*FixedParams!$B$47+$A62*$B$9</f>
        <v>-0.56227841120813737</v>
      </c>
      <c r="D62">
        <f>(A62-$B$6)*FixedParams!$B$46/(FixedParams!$B$45*Sectors!$B$6)</f>
        <v>-0.14942164322052226</v>
      </c>
      <c r="E62">
        <f t="shared" si="9"/>
        <v>0.56990909620833463</v>
      </c>
      <c r="F62" s="24">
        <f>EXP(-$D$17)*(($B62*FixedParams!$B$30)^$B$10*(1+FixedParams!$B$23)^(1-$B$10)+(1-$B62)^$B$10*((1+FixedParams!$B$26)/$B$11)^(1-$B$10))^(1/(1-$B$10))</f>
        <v>4.674957996233859</v>
      </c>
      <c r="G62" s="24">
        <f>EXP($D62-$D$17)*(($B62*FixedParams!$B$31)^$B$10*(1+FixedParams!$B$25)^(1-$B$10)+(1-$B62)^$B$10*((1+FixedParams!$B$28)/$B$11)^(1-$B$10))^(1/(1-$B$10))</f>
        <v>3.8938764964934358</v>
      </c>
      <c r="H62">
        <f t="shared" si="10"/>
        <v>1</v>
      </c>
      <c r="I62" s="24">
        <f>$B$12*IF(H62=1,1,FixedParams!$B$52)</f>
        <v>0.3745928365283252</v>
      </c>
      <c r="J62">
        <f>EXP($C62*FixedParams!$B$47)*EXP(IF(H62=1,(1-FixedParams!$B$47)*$D62,0))*($B62^((FixedParams!$B$47-1)*$B$10/($B$10-1)))*((1/$B62-1)^$B$10*(I62)^($B$10-1)+1)^((FixedParams!$B$47-$B$10)/($B$10-1))/((1+IF(H62=1,FixedParams!$B$25,FixedParams!$B$24))^FixedParams!$B$47)</f>
        <v>5.8141212463046363E-2</v>
      </c>
      <c r="K62">
        <f t="shared" si="38"/>
        <v>1.1722769880791346</v>
      </c>
      <c r="L62">
        <f>K62*FixedParams!$B$8/K$15</f>
        <v>34.08176057699805</v>
      </c>
      <c r="M62">
        <f t="shared" si="0"/>
        <v>112.36254511514001</v>
      </c>
      <c r="N62">
        <f t="shared" si="11"/>
        <v>146.44430569213807</v>
      </c>
      <c r="O62" s="24">
        <f t="shared" si="12"/>
        <v>3.2968527215983685</v>
      </c>
      <c r="P62" s="24">
        <f t="shared" si="1"/>
        <v>1.5225643473365691</v>
      </c>
      <c r="Q62" s="23">
        <f>IF(H62=1,L62*(1+FixedParams!$B$25)+M62*FixedParams!$B$33*(1+FixedParams!$B$28)/FixedParams!$B$32,L62*(1+FixedParams!$B$23)+M62*FixedParams!$B$33*(1+FixedParams!$B$26)/FixedParams!$B$32)</f>
        <v>334.62633363685632</v>
      </c>
      <c r="R62" s="24">
        <f t="shared" si="2"/>
        <v>85.936555496353918</v>
      </c>
      <c r="S62" s="24">
        <f>R62^((FixedParams!$B$47-1)/FixedParams!$B$47)*EXP($C62)</f>
        <v>0.567374057949938</v>
      </c>
      <c r="T62" s="7">
        <f>(L62*FixedParams!$B$32*(FixedParams!$C$25-FixedParams!$C$23)+FixedParams!$B$33*(FixedParams!$C$28-FixedParams!$C$26)*M62)/N62</f>
        <v>-1817.573174965795</v>
      </c>
      <c r="U62" s="7">
        <f>(L62*FixedParams!$B$32*(FixedParams!$C$25-FixedParams!$C$23)*$Z$12/$B$11+FixedParams!$B$33*(FixedParams!$C$28-FixedParams!$C$26)*M62)/N62</f>
        <v>-2051.3101797008903</v>
      </c>
      <c r="V62" s="14">
        <f t="shared" si="13"/>
        <v>-2.1748839048076678</v>
      </c>
      <c r="W62" s="14">
        <f t="shared" si="46"/>
        <v>0.42355050992494159</v>
      </c>
      <c r="X62" s="73">
        <f t="shared" si="15"/>
        <v>0.98280842446938343</v>
      </c>
      <c r="Y62" s="24">
        <f>EXP(-$D$17)*(($B62*FixedParams!$B$30)^$B$10*(1+FixedParams!$C$24)^(1-$B$10)+(1-$B62)^$B$10*((1+FixedParams!$C$27)/$Z$12)^(1-$B$10))^(1/(1-$B$10))</f>
        <v>6.0018479662577091</v>
      </c>
      <c r="Z62" s="24">
        <f>EXP($D62-$D$17)*(($B62*FixedParams!$C$31)^$B$10*(1+FixedParams!$C$25)^(1-$B$10)+(1-$B62)^$B$10*((1+FixedParams!$C$28)/$Z$12)^(1-$B$10))^(1/(1-$B$10))</f>
        <v>4.6789493865943914</v>
      </c>
      <c r="AA62" s="24">
        <f>EXP($D62-$D$17)*(($B62*FixedParams!$C$30)^$B$10*(1+FixedParams!$C$23)^(1-$B$10)+(1-$B62)^$B$10*((1+FixedParams!$C$26)/$Z$12)^(1-$B$10))^(1/(1-$B$10))</f>
        <v>4.8100698404221021</v>
      </c>
      <c r="AB62">
        <f>IF(FixedParams!$I$6=1,IF(Z62&lt;=MIN(Y62:AA62),1,0),$H62)</f>
        <v>1</v>
      </c>
      <c r="AC62">
        <f>IF(FixedParams!$I$6=1,IF(AA62&lt;=MIN(Y62:AA62),1,0),IF(AA62&lt;=Y62,1,0)*(1-$H62))</f>
        <v>0</v>
      </c>
      <c r="AD62" s="24">
        <f>$Z$13*IF(AB62=1,1,IF(AC62=1,FixedParams!$C$52,FixedParams!$C$53))</f>
        <v>0.43187184563106507</v>
      </c>
      <c r="AE62">
        <f>EXP($C62*FixedParams!$B$47)*EXP(IF(AB62+AC62=1,(1-FixedParams!$B$47)*$D62,0))*($B62^((FixedParams!$B$47-1)*$B$10/($B$10-1)))*((1/$B62-1)^$B$10*(AD62)^($B$10-1)+1)^((FixedParams!$B$47-$B$10)/($B$10-1))/((1+IF(AB62=1,FixedParams!$C$25,IF(AC62=1,FixedParams!$C$23,FixedParams!$C$24)))^FixedParams!$B$47)</f>
        <v>3.9926886809272505E-2</v>
      </c>
      <c r="AF62">
        <f t="shared" si="39"/>
        <v>1.1765328024451853</v>
      </c>
      <c r="AG62">
        <f t="shared" si="40"/>
        <v>27.634948817464867</v>
      </c>
      <c r="AH62">
        <f t="shared" si="3"/>
        <v>112.78500112827162</v>
      </c>
      <c r="AI62">
        <f t="shared" si="16"/>
        <v>140.41994994573648</v>
      </c>
      <c r="AJ62" s="24">
        <f t="shared" si="17"/>
        <v>4.081245160728983</v>
      </c>
      <c r="AK62" s="24">
        <f t="shared" si="18"/>
        <v>1.5627401872526709</v>
      </c>
      <c r="AL62" s="23">
        <f>IF(AB62=1,AG62*(1+FixedParams!$C$25)+AH62*(1+FixedParams!$C$28)/$Z$12,IF(AC62=1,AG62*(1+FixedParams!$C$23)+AH62*(1+FixedParams!$C$26)/$Z$12,AG62*(1+FixedParams!$C$24)+AH62*(1+FixedParams!$C$27)/$Z$12))</f>
        <v>395.18018499376723</v>
      </c>
      <c r="AM62" s="24">
        <f t="shared" si="19"/>
        <v>84.459170711697325</v>
      </c>
      <c r="AN62" s="24">
        <f>AM62^((FixedParams!$B$47-1)/FixedParams!$B$47)*EXP($C62)</f>
        <v>0.5673839067553873</v>
      </c>
      <c r="AO62" s="24">
        <f t="shared" si="20"/>
        <v>-4.2007615123796388E-2</v>
      </c>
      <c r="AP62" s="24">
        <f t="shared" si="21"/>
        <v>-1.734106646568203E-2</v>
      </c>
      <c r="AQ62" s="14">
        <f t="shared" si="22"/>
        <v>-2.2460285166895528</v>
      </c>
      <c r="AS62" s="24">
        <f>EXP(-$D$17)*(($B62*FixedParams!$B$30)^$B$10*(1+FixedParams!$D$24)^(1-$B$10)+(1-$B62)^$B$10*((1+FixedParams!$D$27)/$AT$12)^(1-$B$10))^(1/(1-$B$10))</f>
        <v>5.6814250986070078</v>
      </c>
      <c r="AT62" s="24">
        <f>EXP($D62-$D$17)*(($B62*FixedParams!$C$31)^$B$10*(1+FixedParams!$D$25)^(1-$B$10)+(1-$B62)^$B$10*((1+FixedParams!$D$28)/$AT$12)^(1-$B$10))^(1/(1-$B$10))</f>
        <v>4.5797321242066138</v>
      </c>
      <c r="AU62" s="24">
        <f>EXP($D62-$D$17)*(($B62*FixedParams!$C$30)^$B$10*(1+FixedParams!$D$23)^(1-$B$10)+(1-$B62)^$B$10*((1+FixedParams!$D$26)/$AT$12)^(1-$B$10))^(1/(1-$B$10))</f>
        <v>4.6649530296634074</v>
      </c>
      <c r="AV62">
        <f>IF(FixedParams!$I$6=1,IF(AT62&lt;=MIN(AS62:AU62),1,0),$H62)</f>
        <v>1</v>
      </c>
      <c r="AW62">
        <f>IF(FixedParams!$I$6=1,IF(AU62&lt;=MIN(AS62:AU62),1,0),IF(AU62&lt;=AS62,1,0)*(1-$H62))</f>
        <v>0</v>
      </c>
      <c r="AX62" s="24">
        <f>$AT$13*IF(AV62=1,1,IF(AW62=1,FixedParams!$D$52,FixedParams!$D$53))</f>
        <v>0.41089128090616783</v>
      </c>
      <c r="AY62">
        <f>EXP($C62*FixedParams!$B$47)*EXP(IF(AV62+AW62=1,(1-FixedParams!$B$47)*$D62,0))*($B62^((FixedParams!$B$47-1)*$B$10/($B$10-1)))*((1/$B62-1)^$B$10*(AX62)^($B$10-1)+1)^((FixedParams!$B$47-$B$10)/($B$10-1))/((1+IF(AV62=1,FixedParams!$D$25,IF(AW62=1,FixedParams!$D$23,FixedParams!$D$24)))^FixedParams!$B$47)</f>
        <v>4.363818913797908E-2</v>
      </c>
      <c r="AZ62">
        <f t="shared" si="4"/>
        <v>1.1750708678589203</v>
      </c>
      <c r="BA62">
        <f t="shared" si="23"/>
        <v>29.564625877967043</v>
      </c>
      <c r="BB62">
        <f t="shared" si="5"/>
        <v>111.97552847026574</v>
      </c>
      <c r="BC62">
        <f t="shared" si="24"/>
        <v>141.54015434823279</v>
      </c>
      <c r="BD62" s="24">
        <f t="shared" si="25"/>
        <v>3.7874833570518884</v>
      </c>
      <c r="BE62" s="24">
        <f t="shared" si="26"/>
        <v>1.5508244232018005</v>
      </c>
      <c r="BF62" s="23">
        <f>IF(AV62=1,BA62*(1+FixedParams!$C$25)+BB62*(1+FixedParams!$C$28)/$AT$12,IF(AW62=1,BA62*(1+FixedParams!$C$23)+BB62*(1+FixedParams!$C$26)/$AT$12,BA62*(1+FixedParams!$C$24)+BB62*(1+FixedParams!$C$27)/$AT$12))</f>
        <v>390.40067650097905</v>
      </c>
      <c r="BG62" s="24">
        <f t="shared" si="27"/>
        <v>85.24530822173611</v>
      </c>
      <c r="BH62" s="24">
        <f>BG62^((FixedParams!$B$47-1)/FixedParams!$B$47)*EXP($C62)</f>
        <v>0.56737864479193023</v>
      </c>
      <c r="BI62" s="7"/>
      <c r="BJ62" s="24">
        <f>EXP(-$D$17)*(($B62*FixedParams!$B$30)^$B$10*(1+FixedParams!$C$24)^(1-$B$10)+(1-$B62)^$B$10*((1+FixedParams!$C$27)/$BK$12)^(1-$B$10))^(1/(1-$B$10))</f>
        <v>6.2822562333495124</v>
      </c>
      <c r="BK62" s="24">
        <f>EXP($D62-$D$17)*(($B62*FixedParams!$C$31)^$B$10*(1+FixedParams!$C$25)^(1-$B$10)+(1-$B62)^$B$10*((1+FixedParams!$C$28)/$BK$12)^(1-$B$10))^(1/(1-$B$10))</f>
        <v>4.8964695637745175</v>
      </c>
      <c r="BL62" s="24">
        <f>EXP($D62-$D$17)*(($B62*FixedParams!$C$30)^$B$10*(1+FixedParams!$C$23)^(1-$B$10)+(1-$B62)^$B$10*((1+FixedParams!$C$26)/$BK$12)^(1-$B$10))^(1/(1-$B$10))</f>
        <v>5.0311583682502796</v>
      </c>
      <c r="BM62">
        <f>IF(FixedParams!$I$6=1,IF(BK62&lt;=MIN(BJ62:BL62),1,0),$H62)</f>
        <v>1</v>
      </c>
      <c r="BN62">
        <f>IF(FixedParams!$I$6=1,IF(BL62&lt;=MIN(BJ62:BL62),1,0),IF(BL62&lt;=BJ62,1,0)*(1-$H62))</f>
        <v>0</v>
      </c>
      <c r="BO62" s="24">
        <f>$BK$13*IF(BM62=1,1,IF(BN62=1,FixedParams!$C$52,FixedParams!$C$53))</f>
        <v>0.41068174962109105</v>
      </c>
      <c r="BP62">
        <f>EXP($C62*FixedParams!$B$47)*EXP(IF(BM62+BN62=1,(1-FixedParams!$B$47)*$D62,0))*($B62^((FixedParams!$B$47-1)*$B$10/($B$10-1)))*((1/$B62-1)^$B$10*(BO62)^($B$10-1)+1)^((FixedParams!$B$47-$B$10)/($B$10-1))/((1+IF(BM62=1,FixedParams!$C$25,IF(BN62=1,FixedParams!$C$23,FixedParams!$C$24)))^FixedParams!$B$47)</f>
        <v>4.0846282743754771E-2</v>
      </c>
      <c r="BQ62">
        <f t="shared" si="28"/>
        <v>1.1750557419151539</v>
      </c>
      <c r="BR62">
        <f t="shared" si="29"/>
        <v>29.968808300016452</v>
      </c>
      <c r="BS62">
        <f t="shared" si="6"/>
        <v>113.41955101071424</v>
      </c>
      <c r="BT62">
        <f t="shared" si="30"/>
        <v>143.38835931073069</v>
      </c>
      <c r="BU62" s="24">
        <f t="shared" si="31"/>
        <v>3.7845866233744094</v>
      </c>
      <c r="BV62" s="24">
        <f t="shared" si="32"/>
        <v>1.5551489927892572</v>
      </c>
      <c r="BW62" s="23">
        <f>IF(BM62=1,BR62*(1+FixedParams!$C$25)+BS62*(1+FixedParams!$C$28)/$BK$12,IF(BN62=1,BR62*(1+FixedParams!$C$23)+BS62*(1+FixedParams!$C$26)/$BK$12,BR62*(1+FixedParams!$C$24)+BS62*(1+FixedParams!$C$27)/$BK$12))</f>
        <v>418.9272524037687</v>
      </c>
      <c r="BX62" s="24">
        <f t="shared" si="33"/>
        <v>85.557001212284121</v>
      </c>
      <c r="BY62" s="24">
        <f>BX62^((FixedParams!$B$47-1)/FixedParams!$B$47)*EXP($C62)</f>
        <v>0.56737657192950508</v>
      </c>
      <c r="BZ62" s="24">
        <f t="shared" si="34"/>
        <v>-2.1088441735960833E-2</v>
      </c>
      <c r="CA62" s="24">
        <f t="shared" si="35"/>
        <v>-4.4264625574214544E-3</v>
      </c>
      <c r="CB62" s="24">
        <f t="shared" si="36"/>
        <v>1.2901993361985796E-2</v>
      </c>
      <c r="CC62" s="24"/>
      <c r="CD62" s="24">
        <f>EXP(-$D$17)*(($B62*FixedParams!$B$30)^$B$10*(1+FixedParams!$D$24)^(1-$B$10)+(1-$B62)^$B$10*((1+FixedParams!$D$27)/$CE$12)^(1-$B$10))^(1/(1-$B$10))</f>
        <v>5.9281953989367606</v>
      </c>
      <c r="CE62" s="24">
        <f>EXP($D62-$D$17)*(($B62*FixedParams!$D$31)^$B$10*(1+FixedParams!$D$25)^(1-$B$10)+(1-$B62)^$B$10*((1+FixedParams!$D$28)/$CE$12)^(1-$B$10))^(1/(1-$B$10))</f>
        <v>4.7779678597644466</v>
      </c>
      <c r="CF62" s="24">
        <f>EXP($D62-$D$17)*(($B62*FixedParams!$D$30)^$B$10*(1+FixedParams!$D$23)^(1-$B$10)+(1-$B62)^$B$10*((1+FixedParams!$D$26)/$CE$12)^(1-$B$10))^(1/(1-$B$10))</f>
        <v>4.8650376862385345</v>
      </c>
      <c r="CG62">
        <f>IF(FixedParams!$I$6=1,IF(CE62&lt;=MIN(CD62:CF62),1,0),$H62)</f>
        <v>1</v>
      </c>
      <c r="CH62">
        <f>IF(FixedParams!$I$6=1,IF(CF62&lt;=MIN(CD62:CF62),1,0),IF(CF62&lt;=CD62,1,0)*(1-$H62))</f>
        <v>0</v>
      </c>
      <c r="CI62" s="24">
        <f>$CE$13*IF(CG62=1,1,IF(CH62=1,FixedParams!$D$52,FixedParams!$D$53))</f>
        <v>0.39201585704839609</v>
      </c>
      <c r="CJ62">
        <f>EXP($C62*FixedParams!$B$47)*EXP(IF(CG62+CH62=1,(1-FixedParams!$B$47)*$D62,0))*($B62^((FixedParams!$B$47-1)*$B$10/($B$10-1)))*((1/$B62-1)^$B$10*(CI62)^($B$10-1)+1)^((FixedParams!$B$47-$B$10)/($B$10-1))/((1+IF(CG62=1,FixedParams!$D$25,IF(CH62=1,FixedParams!$D$23,FixedParams!$D$24)))^FixedParams!$B$47)</f>
        <v>4.457452227729098E-2</v>
      </c>
      <c r="CK62">
        <f t="shared" si="37"/>
        <v>1.1736632269139577</v>
      </c>
      <c r="CL62">
        <f t="shared" si="41"/>
        <v>32.064810072540141</v>
      </c>
      <c r="CM62">
        <f t="shared" si="7"/>
        <v>113.17342737703916</v>
      </c>
      <c r="CN62">
        <f t="shared" si="42"/>
        <v>145.23823744957929</v>
      </c>
      <c r="CO62" s="24">
        <f t="shared" si="43"/>
        <v>3.529521214097548</v>
      </c>
      <c r="CP62" s="24">
        <f t="shared" si="44"/>
        <v>1.5436274349048247</v>
      </c>
      <c r="CQ62" s="23">
        <f>IF(CG62=1,CL62*(1+FixedParams!$D$25)+CM62*(1+FixedParams!$D$28)/$CE$12,IF(CH62=1,CL62*(1+FixedParams!$D$23)+CM62*(1+FixedParams!$D$26)/$CE$12,CL62*(1+FixedParams!$D$24)+CM62*(1+FixedParams!$D$27)/$CE$12))</f>
        <v>410.72677350159211</v>
      </c>
      <c r="CR62" s="24">
        <f t="shared" si="45"/>
        <v>85.962648882665562</v>
      </c>
      <c r="CS62" s="24">
        <f>CR62^((FixedParams!$B$47-1)/FixedParams!$B$47)*EXP($C62)</f>
        <v>0.56737388552880397</v>
      </c>
      <c r="CT62" s="24"/>
    </row>
    <row r="63" spans="1:98" x14ac:dyDescent="0.15">
      <c r="A63">
        <v>0.23</v>
      </c>
      <c r="B63">
        <f t="shared" si="8"/>
        <v>0.14607613790805313</v>
      </c>
      <c r="C63">
        <f>(D63-$D$17)*FixedParams!$B$47+$A63*$B$9</f>
        <v>-0.57477348701276265</v>
      </c>
      <c r="D63">
        <f>(A63-$B$6)*FixedParams!$B$46/(FixedParams!$B$45*Sectors!$B$6)</f>
        <v>-0.14670488607105819</v>
      </c>
      <c r="E63">
        <f t="shared" si="9"/>
        <v>0.56283234320448039</v>
      </c>
      <c r="F63" s="24">
        <f>EXP(-$D$17)*(($B63*FixedParams!$B$30)^$B$10*(1+FixedParams!$B$23)^(1-$B$10)+(1-$B63)^$B$10*((1+FixedParams!$B$26)/$B$11)^(1-$B$10))^(1/(1-$B$10))</f>
        <v>4.682149132881845</v>
      </c>
      <c r="G63" s="24">
        <f>EXP($D63-$D$17)*(($B63*FixedParams!$B$31)^$B$10*(1+FixedParams!$B$25)^(1-$B$10)+(1-$B63)^$B$10*((1+FixedParams!$B$28)/$B$11)^(1-$B$10))^(1/(1-$B$10))</f>
        <v>3.9102105074955271</v>
      </c>
      <c r="H63">
        <f t="shared" si="10"/>
        <v>1</v>
      </c>
      <c r="I63" s="24">
        <f>$B$12*IF(H63=1,1,FixedParams!$B$52)</f>
        <v>0.3745928365283252</v>
      </c>
      <c r="J63">
        <f>EXP($C63*FixedParams!$B$47)*EXP(IF(H63=1,(1-FixedParams!$B$47)*$D63,0))*($B63^((FixedParams!$B$47-1)*$B$10/($B$10-1)))*((1/$B63-1)^$B$10*(I63)^($B$10-1)+1)^((FixedParams!$B$47-$B$10)/($B$10-1))/((1+IF(H63=1,FixedParams!$B$25,FixedParams!$B$24))^FixedParams!$B$47)</f>
        <v>5.8316854649048157E-2</v>
      </c>
      <c r="K63">
        <f t="shared" si="38"/>
        <v>1.1758183881302031</v>
      </c>
      <c r="L63">
        <f>K63*FixedParams!$B$8/K$15</f>
        <v>34.184720158969931</v>
      </c>
      <c r="M63">
        <f t="shared" si="0"/>
        <v>110.77226561243228</v>
      </c>
      <c r="N63">
        <f t="shared" si="11"/>
        <v>144.9569857714022</v>
      </c>
      <c r="O63" s="24">
        <f t="shared" si="12"/>
        <v>3.2404028787512567</v>
      </c>
      <c r="P63" s="24">
        <f t="shared" si="1"/>
        <v>1.5289511916094121</v>
      </c>
      <c r="Q63" s="23">
        <f>IF(H63=1,L63*(1+FixedParams!$B$25)+M63*FixedParams!$B$33*(1+FixedParams!$B$28)/FixedParams!$B$32,L63*(1+FixedParams!$B$23)+M63*FixedParams!$B$33*(1+FixedParams!$B$26)/FixedParams!$B$32)</f>
        <v>330.47667852838492</v>
      </c>
      <c r="R63" s="24">
        <f t="shared" si="2"/>
        <v>84.516339438731094</v>
      </c>
      <c r="S63" s="24">
        <f>R63^((FixedParams!$B$47-1)/FixedParams!$B$47)*EXP($C63)</f>
        <v>0.56033813034556346</v>
      </c>
      <c r="T63" s="7">
        <f>(L63*FixedParams!$B$32*(FixedParams!$C$25-FixedParams!$C$23)+FixedParams!$B$33*(FixedParams!$C$28-FixedParams!$C$26)*M63)/N63</f>
        <v>-1782.4246361774779</v>
      </c>
      <c r="U63" s="7">
        <f>(L63*FixedParams!$B$32*(FixedParams!$C$25-FixedParams!$C$23)*$Z$12/$B$11+FixedParams!$B$33*(FixedParams!$C$28-FixedParams!$C$26)*M63)/N63</f>
        <v>-2019.2732360987211</v>
      </c>
      <c r="V63" s="14">
        <f t="shared" si="13"/>
        <v>-2.1576132795115837</v>
      </c>
      <c r="W63" s="14">
        <f t="shared" si="46"/>
        <v>0.43066034158595395</v>
      </c>
      <c r="X63" s="73">
        <f t="shared" si="15"/>
        <v>0.98259207482573319</v>
      </c>
      <c r="Y63" s="24">
        <f>EXP(-$D$17)*(($B63*FixedParams!$B$30)^$B$10*(1+FixedParams!$C$24)^(1-$B$10)+(1-$B63)^$B$10*((1+FixedParams!$C$27)/$Z$12)^(1-$B$10))^(1/(1-$B$10))</f>
        <v>6.0129065357744738</v>
      </c>
      <c r="Z63" s="24">
        <f>EXP($D63-$D$17)*(($B63*FixedParams!$C$31)^$B$10*(1+FixedParams!$C$25)^(1-$B$10)+(1-$B63)^$B$10*((1+FixedParams!$C$28)/$Z$12)^(1-$B$10))^(1/(1-$B$10))</f>
        <v>4.6996121972419944</v>
      </c>
      <c r="AA63" s="24">
        <f>EXP($D63-$D$17)*(($B63*FixedParams!$C$30)^$B$10*(1+FixedParams!$C$23)^(1-$B$10)+(1-$B63)^$B$10*((1+FixedParams!$C$26)/$Z$12)^(1-$B$10))^(1/(1-$B$10))</f>
        <v>4.8296513890326107</v>
      </c>
      <c r="AB63">
        <f>IF(FixedParams!$I$6=1,IF(Z63&lt;=MIN(Y63:AA63),1,0),$H63)</f>
        <v>1</v>
      </c>
      <c r="AC63">
        <f>IF(FixedParams!$I$6=1,IF(AA63&lt;=MIN(Y63:AA63),1,0),IF(AA63&lt;=Y63,1,0)*(1-$H63))</f>
        <v>0</v>
      </c>
      <c r="AD63" s="24">
        <f>$Z$13*IF(AB63=1,1,IF(AC63=1,FixedParams!$C$52,FixedParams!$C$53))</f>
        <v>0.43187184563106507</v>
      </c>
      <c r="AE63">
        <f>EXP($C63*FixedParams!$B$47)*EXP(IF(AB63+AC63=1,(1-FixedParams!$B$47)*$D63,0))*($B63^((FixedParams!$B$47-1)*$B$10/($B$10-1)))*((1/$B63-1)^$B$10*(AD63)^($B$10-1)+1)^((FixedParams!$B$47-$B$10)/($B$10-1))/((1+IF(AB63=1,FixedParams!$C$25,IF(AC63=1,FixedParams!$C$23,FixedParams!$C$24)))^FixedParams!$B$47)</f>
        <v>4.0051926152952708E-2</v>
      </c>
      <c r="AF63">
        <f t="shared" si="39"/>
        <v>1.1802173594240133</v>
      </c>
      <c r="AG63">
        <f t="shared" si="40"/>
        <v>27.721493402803524</v>
      </c>
      <c r="AH63">
        <f t="shared" si="3"/>
        <v>111.20101955603035</v>
      </c>
      <c r="AI63">
        <f t="shared" si="16"/>
        <v>138.92251295883386</v>
      </c>
      <c r="AJ63" s="24">
        <f t="shared" si="17"/>
        <v>4.0113646815573212</v>
      </c>
      <c r="AK63" s="24">
        <f t="shared" si="18"/>
        <v>1.5696414383482944</v>
      </c>
      <c r="AL63" s="23">
        <f>IF(AB63=1,AG63*(1+FixedParams!$C$25)+AH63*(1+FixedParams!$C$28)/$Z$12,IF(AC63=1,AG63*(1+FixedParams!$C$23)+AH63*(1+FixedParams!$C$26)/$Z$12,AG63*(1+FixedParams!$C$24)+AH63*(1+FixedParams!$C$27)/$Z$12))</f>
        <v>390.27969591803185</v>
      </c>
      <c r="AM63" s="24">
        <f t="shared" si="19"/>
        <v>83.045085325778729</v>
      </c>
      <c r="AN63" s="24">
        <f>AM63^((FixedParams!$B$47-1)/FixedParams!$B$47)*EXP($C63)</f>
        <v>0.56034798050608214</v>
      </c>
      <c r="AO63" s="24">
        <f t="shared" si="20"/>
        <v>-4.2520731595028373E-2</v>
      </c>
      <c r="AP63" s="24">
        <f t="shared" si="21"/>
        <v>-1.7561224794329762E-2</v>
      </c>
      <c r="AQ63" s="14">
        <f t="shared" si="22"/>
        <v>-2.2287578913934687</v>
      </c>
      <c r="AS63" s="24">
        <f>EXP(-$D$17)*(($B63*FixedParams!$B$30)^$B$10*(1+FixedParams!$D$24)^(1-$B$10)+(1-$B63)^$B$10*((1+FixedParams!$D$27)/$AT$12)^(1-$B$10))^(1/(1-$B$10))</f>
        <v>5.6911979345161967</v>
      </c>
      <c r="AT63" s="24">
        <f>EXP($D63-$D$17)*(($B63*FixedParams!$C$31)^$B$10*(1+FixedParams!$D$25)^(1-$B$10)+(1-$B63)^$B$10*((1+FixedParams!$D$28)/$AT$12)^(1-$B$10))^(1/(1-$B$10))</f>
        <v>4.5996085487706093</v>
      </c>
      <c r="AU63" s="24">
        <f>EXP($D63-$D$17)*(($B63*FixedParams!$C$30)^$B$10*(1+FixedParams!$D$23)^(1-$B$10)+(1-$B63)^$B$10*((1+FixedParams!$D$26)/$AT$12)^(1-$B$10))^(1/(1-$B$10))</f>
        <v>4.6839015063542879</v>
      </c>
      <c r="AV63">
        <f>IF(FixedParams!$I$6=1,IF(AT63&lt;=MIN(AS63:AU63),1,0),$H63)</f>
        <v>1</v>
      </c>
      <c r="AW63">
        <f>IF(FixedParams!$I$6=1,IF(AU63&lt;=MIN(AS63:AU63),1,0),IF(AU63&lt;=AS63,1,0)*(1-$H63))</f>
        <v>0</v>
      </c>
      <c r="AX63" s="24">
        <f>$AT$13*IF(AV63=1,1,IF(AW63=1,FixedParams!$D$52,FixedParams!$D$53))</f>
        <v>0.41089128090616783</v>
      </c>
      <c r="AY63">
        <f>EXP($C63*FixedParams!$B$47)*EXP(IF(AV63+AW63=1,(1-FixedParams!$B$47)*$D63,0))*($B63^((FixedParams!$B$47-1)*$B$10/($B$10-1)))*((1/$B63-1)^$B$10*(AX63)^($B$10-1)+1)^((FixedParams!$B$47-$B$10)/($B$10-1))/((1+IF(AV63=1,FixedParams!$D$25,IF(AW63=1,FixedParams!$D$23,FixedParams!$D$24)))^FixedParams!$B$47)</f>
        <v>4.3773190906994559E-2</v>
      </c>
      <c r="AZ63">
        <f t="shared" si="4"/>
        <v>1.1787061389142319</v>
      </c>
      <c r="BA63">
        <f t="shared" si="23"/>
        <v>29.656088811527063</v>
      </c>
      <c r="BB63">
        <f t="shared" si="5"/>
        <v>110.39872798699754</v>
      </c>
      <c r="BC63">
        <f t="shared" si="24"/>
        <v>140.0548167985246</v>
      </c>
      <c r="BD63" s="24">
        <f t="shared" si="25"/>
        <v>3.7226327682187992</v>
      </c>
      <c r="BE63" s="24">
        <f t="shared" si="26"/>
        <v>1.5575551322965191</v>
      </c>
      <c r="BF63" s="23">
        <f>IF(AV63=1,BA63*(1+FixedParams!$C$25)+BB63*(1+FixedParams!$C$28)/$AT$12,IF(AW63=1,BA63*(1+FixedParams!$C$23)+BB63*(1+FixedParams!$C$26)/$AT$12,BA63*(1+FixedParams!$C$24)+BB63*(1+FixedParams!$C$27)/$AT$12))</f>
        <v>385.59804110487511</v>
      </c>
      <c r="BG63" s="24">
        <f t="shared" si="27"/>
        <v>83.832795120780091</v>
      </c>
      <c r="BH63" s="24">
        <f>BG63^((FixedParams!$B$47-1)/FixedParams!$B$47)*EXP($C63)</f>
        <v>0.56034268520128849</v>
      </c>
      <c r="BI63" s="7"/>
      <c r="BJ63" s="24">
        <f>EXP(-$D$17)*(($B63*FixedParams!$B$30)^$B$10*(1+FixedParams!$C$24)^(1-$B$10)+(1-$B63)^$B$10*((1+FixedParams!$C$27)/$BK$12)^(1-$B$10))^(1/(1-$B$10))</f>
        <v>6.293369641030405</v>
      </c>
      <c r="BK63" s="24">
        <f>EXP($D63-$D$17)*(($B63*FixedParams!$C$31)^$B$10*(1+FixedParams!$C$25)^(1-$B$10)+(1-$B63)^$B$10*((1+FixedParams!$C$28)/$BK$12)^(1-$B$10))^(1/(1-$B$10))</f>
        <v>4.9177168036567895</v>
      </c>
      <c r="BL63" s="24">
        <f>EXP($D63-$D$17)*(($B63*FixedParams!$C$30)^$B$10*(1+FixedParams!$C$23)^(1-$B$10)+(1-$B63)^$B$10*((1+FixedParams!$C$26)/$BK$12)^(1-$B$10))^(1/(1-$B$10))</f>
        <v>5.0512185124099132</v>
      </c>
      <c r="BM63">
        <f>IF(FixedParams!$I$6=1,IF(BK63&lt;=MIN(BJ63:BL63),1,0),$H63)</f>
        <v>1</v>
      </c>
      <c r="BN63">
        <f>IF(FixedParams!$I$6=1,IF(BL63&lt;=MIN(BJ63:BL63),1,0),IF(BL63&lt;=BJ63,1,0)*(1-$H63))</f>
        <v>0</v>
      </c>
      <c r="BO63" s="24">
        <f>$BK$13*IF(BM63=1,1,IF(BN63=1,FixedParams!$C$52,FixedParams!$C$53))</f>
        <v>0.41068174962109105</v>
      </c>
      <c r="BP63">
        <f>EXP($C63*FixedParams!$B$47)*EXP(IF(BM63+BN63=1,(1-FixedParams!$B$47)*$D63,0))*($B63^((FixedParams!$B$47-1)*$B$10/($B$10-1)))*((1/$B63-1)^$B$10*(BO63)^($B$10-1)+1)^((FixedParams!$B$47-$B$10)/($B$10-1))/((1+IF(BM63=1,FixedParams!$C$25,IF(BN63=1,FixedParams!$C$23,FixedParams!$C$24)))^FixedParams!$B$47)</f>
        <v>4.0972631221919943E-2</v>
      </c>
      <c r="BQ63">
        <f t="shared" si="28"/>
        <v>1.1786905036309658</v>
      </c>
      <c r="BR63">
        <f t="shared" si="29"/>
        <v>30.061509840200294</v>
      </c>
      <c r="BS63">
        <f t="shared" si="6"/>
        <v>111.82237242215091</v>
      </c>
      <c r="BT63">
        <f t="shared" si="30"/>
        <v>141.88388226235119</v>
      </c>
      <c r="BU63" s="24">
        <f t="shared" si="31"/>
        <v>3.7197856334086863</v>
      </c>
      <c r="BV63" s="24">
        <f t="shared" si="32"/>
        <v>1.561897247480132</v>
      </c>
      <c r="BW63" s="23">
        <f>IF(BM63=1,BR63*(1+FixedParams!$C$25)+BS63*(1+FixedParams!$C$28)/$BK$12,IF(BN63=1,BR63*(1+FixedParams!$C$23)+BS63*(1+FixedParams!$C$26)/$BK$12,BR63*(1+FixedParams!$C$24)+BS63*(1+FixedParams!$C$27)/$BK$12))</f>
        <v>413.73225273583466</v>
      </c>
      <c r="BX63" s="24">
        <f t="shared" si="33"/>
        <v>84.130963464220926</v>
      </c>
      <c r="BY63" s="24">
        <f>BX63^((FixedParams!$B$47-1)/FixedParams!$B$47)*EXP($C63)</f>
        <v>0.56034069377678353</v>
      </c>
      <c r="BZ63" s="24">
        <f t="shared" si="34"/>
        <v>-2.1428056028469391E-2</v>
      </c>
      <c r="CA63" s="24">
        <f t="shared" si="35"/>
        <v>-4.5702082233046917E-3</v>
      </c>
      <c r="CB63" s="24">
        <f t="shared" si="36"/>
        <v>1.275824769610256E-2</v>
      </c>
      <c r="CC63" s="24"/>
      <c r="CD63" s="24">
        <f>EXP(-$D$17)*(($B63*FixedParams!$B$30)^$B$10*(1+FixedParams!$D$24)^(1-$B$10)+(1-$B63)^$B$10*((1+FixedParams!$D$27)/$CE$12)^(1-$B$10))^(1/(1-$B$10))</f>
        <v>5.9379717325977479</v>
      </c>
      <c r="CE63" s="24">
        <f>EXP($D63-$D$17)*(($B63*FixedParams!$D$31)^$B$10*(1+FixedParams!$D$25)^(1-$B$10)+(1-$B63)^$B$10*((1+FixedParams!$D$28)/$CE$12)^(1-$B$10))^(1/(1-$B$10))</f>
        <v>4.7983548708903037</v>
      </c>
      <c r="CF63" s="24">
        <f>EXP($D63-$D$17)*(($B63*FixedParams!$D$30)^$B$10*(1+FixedParams!$D$23)^(1-$B$10)+(1-$B63)^$B$10*((1+FixedParams!$D$26)/$CE$12)^(1-$B$10))^(1/(1-$B$10))</f>
        <v>4.8844173812055152</v>
      </c>
      <c r="CG63">
        <f>IF(FixedParams!$I$6=1,IF(CE63&lt;=MIN(CD63:CF63),1,0),$H63)</f>
        <v>1</v>
      </c>
      <c r="CH63">
        <f>IF(FixedParams!$I$6=1,IF(CF63&lt;=MIN(CD63:CF63),1,0),IF(CF63&lt;=CD63,1,0)*(1-$H63))</f>
        <v>0</v>
      </c>
      <c r="CI63" s="24">
        <f>$CE$13*IF(CG63=1,1,IF(CH63=1,FixedParams!$D$52,FixedParams!$D$53))</f>
        <v>0.39201585704839609</v>
      </c>
      <c r="CJ63">
        <f>EXP($C63*FixedParams!$B$47)*EXP(IF(CG63+CH63=1,(1-FixedParams!$B$47)*$D63,0))*($B63^((FixedParams!$B$47-1)*$B$10/($B$10-1)))*((1/$B63-1)^$B$10*(CI63)^($B$10-1)+1)^((FixedParams!$B$47-$B$10)/($B$10-1))/((1+IF(CG63=1,FixedParams!$D$25,IF(CH63=1,FixedParams!$D$23,FixedParams!$D$24)))^FixedParams!$B$47)</f>
        <v>4.4710787930818244E-2</v>
      </c>
      <c r="CK63">
        <f t="shared" si="37"/>
        <v>1.1772511506530268</v>
      </c>
      <c r="CL63">
        <f t="shared" si="41"/>
        <v>32.16283316009185</v>
      </c>
      <c r="CM63">
        <f t="shared" si="7"/>
        <v>111.57568381616942</v>
      </c>
      <c r="CN63">
        <f t="shared" si="42"/>
        <v>143.73851697626128</v>
      </c>
      <c r="CO63" s="24">
        <f t="shared" si="43"/>
        <v>3.4690875415358087</v>
      </c>
      <c r="CP63" s="24">
        <f t="shared" si="44"/>
        <v>1.5502139065206331</v>
      </c>
      <c r="CQ63" s="23">
        <f>IF(CG63=1,CL63*(1+FixedParams!$D$25)+CM63*(1+FixedParams!$D$28)/$CE$12,IF(CH63=1,CL63*(1+FixedParams!$D$23)+CM63*(1+FixedParams!$D$26)/$CE$12,CL63*(1+FixedParams!$D$24)+CM63*(1+FixedParams!$D$27)/$CE$12))</f>
        <v>405.63343642894051</v>
      </c>
      <c r="CR63" s="24">
        <f t="shared" si="45"/>
        <v>84.535939367418607</v>
      </c>
      <c r="CS63" s="24">
        <f>CR63^((FixedParams!$B$47-1)/FixedParams!$B$47)*EXP($C63)</f>
        <v>0.56033800028426151</v>
      </c>
      <c r="CT63" s="24"/>
    </row>
    <row r="64" spans="1:98" x14ac:dyDescent="0.15">
      <c r="A64">
        <v>0.23500000000000001</v>
      </c>
      <c r="B64">
        <f t="shared" si="8"/>
        <v>0.14751819938371233</v>
      </c>
      <c r="C64">
        <f>(D64-$D$17)*FixedParams!$B$47+$A64*$B$9</f>
        <v>-0.58726856281738793</v>
      </c>
      <c r="D64">
        <f>(A64-$B$6)*FixedParams!$B$46/(FixedParams!$B$45*Sectors!$B$6)</f>
        <v>-0.14398812892159416</v>
      </c>
      <c r="E64">
        <f t="shared" si="9"/>
        <v>0.55584346462377676</v>
      </c>
      <c r="F64" s="24">
        <f>EXP(-$D$17)*(($B64*FixedParams!$B$30)^$B$10*(1+FixedParams!$B$23)^(1-$B$10)+(1-$B64)^$B$10*((1+FixedParams!$B$26)/$B$11)^(1-$B$10))^(1/(1-$B$10))</f>
        <v>4.6893285142384249</v>
      </c>
      <c r="G64" s="24">
        <f>EXP($D64-$D$17)*(($B64*FixedParams!$B$31)^$B$10*(1+FixedParams!$B$25)^(1-$B$10)+(1-$B64)^$B$10*((1+FixedParams!$B$28)/$B$11)^(1-$B$10))^(1/(1-$B$10))</f>
        <v>3.9265902525855436</v>
      </c>
      <c r="H64">
        <f t="shared" si="10"/>
        <v>1</v>
      </c>
      <c r="I64" s="24">
        <f>$B$12*IF(H64=1,1,FixedParams!$B$52)</f>
        <v>0.3745928365283252</v>
      </c>
      <c r="J64">
        <f>EXP($C64*FixedParams!$B$47)*EXP(IF(H64=1,(1-FixedParams!$B$47)*$D64,0))*($B64^((FixedParams!$B$47-1)*$B$10/($B$10-1)))*((1/$B64-1)^$B$10*(I64)^($B$10-1)+1)^((FixedParams!$B$47-$B$10)/($B$10-1))/((1+IF(H64=1,FixedParams!$B$25,FixedParams!$B$24))^FixedParams!$B$47)</f>
        <v>5.8491406555437594E-2</v>
      </c>
      <c r="K64">
        <f t="shared" si="38"/>
        <v>1.1793378053287304</v>
      </c>
      <c r="L64">
        <f>K64*FixedParams!$B$8/K$15</f>
        <v>34.287040630625121</v>
      </c>
      <c r="M64">
        <f t="shared" si="0"/>
        <v>109.20146736946612</v>
      </c>
      <c r="N64">
        <f t="shared" si="11"/>
        <v>143.48850800009123</v>
      </c>
      <c r="O64" s="24">
        <f t="shared" si="12"/>
        <v>3.1849195894710016</v>
      </c>
      <c r="P64" s="24">
        <f t="shared" si="1"/>
        <v>1.5353559185993357</v>
      </c>
      <c r="Q64" s="23">
        <f>IF(H64=1,L64*(1+FixedParams!$B$25)+M64*FixedParams!$B$33*(1+FixedParams!$B$28)/FixedParams!$B$32,L64*(1+FixedParams!$B$23)+M64*FixedParams!$B$33*(1+FixedParams!$B$26)/FixedParams!$B$32)</f>
        <v>326.37848082801247</v>
      </c>
      <c r="R64" s="24">
        <f t="shared" si="2"/>
        <v>83.120076155922277</v>
      </c>
      <c r="S64" s="24">
        <f>R64^((FixedParams!$B$47-1)/FixedParams!$B$47)*EXP($C64)</f>
        <v>0.5533894511000601</v>
      </c>
      <c r="T64" s="7">
        <f>(L64*FixedParams!$B$32*(FixedParams!$C$25-FixedParams!$C$23)+FixedParams!$B$33*(FixedParams!$C$28-FixedParams!$C$26)*M64)/N64</f>
        <v>-1746.9539093082742</v>
      </c>
      <c r="U64" s="7">
        <f>(L64*FixedParams!$B$32*(FixedParams!$C$25-FixedParams!$C$23)*$Z$12/$B$11+FixedParams!$B$33*(FixedParams!$C$28-FixedParams!$C$26)*M64)/N64</f>
        <v>-1986.9426267644196</v>
      </c>
      <c r="V64" s="14">
        <f t="shared" si="13"/>
        <v>-2.1403426542155</v>
      </c>
      <c r="W64" s="14">
        <f t="shared" si="46"/>
        <v>0.43769814753743325</v>
      </c>
      <c r="X64" s="73">
        <f t="shared" si="15"/>
        <v>0.98237276699684373</v>
      </c>
      <c r="Y64" s="24">
        <f>EXP(-$D$17)*(($B64*FixedParams!$B$30)^$B$10*(1+FixedParams!$C$24)^(1-$B$10)+(1-$B64)^$B$10*((1+FixedParams!$C$27)/$Z$12)^(1-$B$10))^(1/(1-$B$10))</f>
        <v>6.0239818082091645</v>
      </c>
      <c r="Z64" s="24">
        <f>EXP($D64-$D$17)*(($B64*FixedParams!$C$31)^$B$10*(1+FixedParams!$C$25)^(1-$B$10)+(1-$B64)^$B$10*((1+FixedParams!$C$28)/$Z$12)^(1-$B$10))^(1/(1-$B$10))</f>
        <v>4.7203533254829004</v>
      </c>
      <c r="AA64" s="24">
        <f>EXP($D64-$D$17)*(($B64*FixedParams!$C$30)^$B$10*(1+FixedParams!$C$23)^(1-$B$10)+(1-$B64)^$B$10*((1+FixedParams!$C$26)/$Z$12)^(1-$B$10))^(1/(1-$B$10))</f>
        <v>4.8492763082721089</v>
      </c>
      <c r="AB64">
        <f>IF(FixedParams!$I$6=1,IF(Z64&lt;=MIN(Y64:AA64),1,0),$H64)</f>
        <v>1</v>
      </c>
      <c r="AC64">
        <f>IF(FixedParams!$I$6=1,IF(AA64&lt;=MIN(Y64:AA64),1,0),IF(AA64&lt;=Y64,1,0)*(1-$H64))</f>
        <v>0</v>
      </c>
      <c r="AD64" s="24">
        <f>$Z$13*IF(AB64=1,1,IF(AC64=1,FixedParams!$C$52,FixedParams!$C$53))</f>
        <v>0.43187184563106507</v>
      </c>
      <c r="AE64">
        <f>EXP($C64*FixedParams!$B$47)*EXP(IF(AB64+AC64=1,(1-FixedParams!$B$47)*$D64,0))*($B64^((FixedParams!$B$47-1)*$B$10/($B$10-1)))*((1/$B64-1)^$B$10*(AD64)^($B$10-1)+1)^((FixedParams!$B$47-$B$10)/($B$10-1))/((1+IF(AB64=1,FixedParams!$C$25,IF(AC64=1,FixedParams!$C$23,FixedParams!$C$24)))^FixedParams!$B$47)</f>
        <v>4.0176305386543827E-2</v>
      </c>
      <c r="AF64">
        <f t="shared" si="39"/>
        <v>1.183882464819332</v>
      </c>
      <c r="AG64">
        <f t="shared" si="40"/>
        <v>27.807581100315865</v>
      </c>
      <c r="AH64">
        <f t="shared" si="3"/>
        <v>109.63641387163986</v>
      </c>
      <c r="AI64">
        <f t="shared" si="16"/>
        <v>137.44399497195573</v>
      </c>
      <c r="AJ64" s="24">
        <f t="shared" si="17"/>
        <v>3.9426807199132652</v>
      </c>
      <c r="AK64" s="24">
        <f t="shared" si="18"/>
        <v>1.5765688470362129</v>
      </c>
      <c r="AL64" s="23">
        <f>IF(AB64=1,AG64*(1+FixedParams!$C$25)+AH64*(1+FixedParams!$C$28)/$Z$12,IF(AC64=1,AG64*(1+FixedParams!$C$23)+AH64*(1+FixedParams!$C$26)/$Z$12,AG64*(1+FixedParams!$C$24)+AH64*(1+FixedParams!$C$27)/$Z$12))</f>
        <v>385.43997501034301</v>
      </c>
      <c r="AM64" s="24">
        <f t="shared" si="19"/>
        <v>81.65489920628174</v>
      </c>
      <c r="AN64" s="24">
        <f>AM64^((FixedParams!$B$47-1)/FixedParams!$B$47)*EXP($C64)</f>
        <v>0.55339930276240012</v>
      </c>
      <c r="AO64" s="24">
        <f t="shared" si="20"/>
        <v>-4.3038423530957041E-2</v>
      </c>
      <c r="AP64" s="24">
        <f t="shared" si="21"/>
        <v>-1.7784442864324998E-2</v>
      </c>
      <c r="AQ64" s="14">
        <f t="shared" si="22"/>
        <v>-2.211487266097385</v>
      </c>
      <c r="AS64" s="24">
        <f>EXP(-$D$17)*(($B64*FixedParams!$B$30)^$B$10*(1+FixedParams!$D$24)^(1-$B$10)+(1-$B64)^$B$10*((1+FixedParams!$D$27)/$AT$12)^(1-$B$10))^(1/(1-$B$10))</f>
        <v>5.7009742828664765</v>
      </c>
      <c r="AT64" s="24">
        <f>EXP($D64-$D$17)*(($B64*FixedParams!$C$31)^$B$10*(1+FixedParams!$D$25)^(1-$B$10)+(1-$B64)^$B$10*((1+FixedParams!$D$28)/$AT$12)^(1-$B$10))^(1/(1-$B$10))</f>
        <v>4.619553696627487</v>
      </c>
      <c r="AU64" s="24">
        <f>EXP($D64-$D$17)*(($B64*FixedParams!$C$30)^$B$10*(1+FixedParams!$D$23)^(1-$B$10)+(1-$B64)^$B$10*((1+FixedParams!$D$26)/$AT$12)^(1-$B$10))^(1/(1-$B$10))</f>
        <v>4.7028911216927352</v>
      </c>
      <c r="AV64">
        <f>IF(FixedParams!$I$6=1,IF(AT64&lt;=MIN(AS64:AU64),1,0),$H64)</f>
        <v>1</v>
      </c>
      <c r="AW64">
        <f>IF(FixedParams!$I$6=1,IF(AU64&lt;=MIN(AS64:AU64),1,0),IF(AU64&lt;=AS64,1,0)*(1-$H64))</f>
        <v>0</v>
      </c>
      <c r="AX64" s="24">
        <f>$AT$13*IF(AV64=1,1,IF(AW64=1,FixedParams!$D$52,FixedParams!$D$53))</f>
        <v>0.41089128090616783</v>
      </c>
      <c r="AY64">
        <f>EXP($C64*FixedParams!$B$47)*EXP(IF(AV64+AW64=1,(1-FixedParams!$B$47)*$D64,0))*($B64^((FixedParams!$B$47-1)*$B$10/($B$10-1)))*((1/$B64-1)^$B$10*(AX64)^($B$10-1)+1)^((FixedParams!$B$47-$B$10)/($B$10-1))/((1+IF(AV64=1,FixedParams!$D$25,IF(AW64=1,FixedParams!$D$23,FixedParams!$D$24)))^FixedParams!$B$47)</f>
        <v>4.3907437690463513E-2</v>
      </c>
      <c r="AZ64">
        <f t="shared" si="4"/>
        <v>1.1823210800351693</v>
      </c>
      <c r="BA64">
        <f t="shared" si="23"/>
        <v>29.747040246657203</v>
      </c>
      <c r="BB64">
        <f t="shared" si="5"/>
        <v>108.84122463930639</v>
      </c>
      <c r="BC64">
        <f t="shared" si="24"/>
        <v>138.58826488596358</v>
      </c>
      <c r="BD64" s="24">
        <f t="shared" si="25"/>
        <v>3.6588925734060997</v>
      </c>
      <c r="BE64" s="24">
        <f t="shared" si="26"/>
        <v>1.5643091130058548</v>
      </c>
      <c r="BF64" s="23">
        <f>IF(AV64=1,BA64*(1+FixedParams!$C$25)+BB64*(1+FixedParams!$C$28)/$AT$12,IF(AW64=1,BA64*(1+FixedParams!$C$23)+BB64*(1+FixedParams!$C$26)/$AT$12,BA64*(1+FixedParams!$C$24)+BB64*(1+FixedParams!$C$27)/$AT$12))</f>
        <v>380.8550128969672</v>
      </c>
      <c r="BG64" s="24">
        <f t="shared" si="27"/>
        <v>82.444114282081202</v>
      </c>
      <c r="BH64" s="24">
        <f>BG64^((FixedParams!$B$47-1)/FixedParams!$B$47)*EXP($C64)</f>
        <v>0.55339397439975246</v>
      </c>
      <c r="BI64" s="7"/>
      <c r="BJ64" s="24">
        <f>EXP(-$D$17)*(($B64*FixedParams!$B$30)^$B$10*(1+FixedParams!$C$24)^(1-$B$10)+(1-$B64)^$B$10*((1+FixedParams!$C$27)/$BK$12)^(1-$B$10))^(1/(1-$B$10))</f>
        <v>6.3044923290604453</v>
      </c>
      <c r="BK64" s="24">
        <f>EXP($D64-$D$17)*(($B64*FixedParams!$C$31)^$B$10*(1+FixedParams!$C$25)^(1-$B$10)+(1-$B64)^$B$10*((1+FixedParams!$C$28)/$BK$12)^(1-$B$10))^(1/(1-$B$10))</f>
        <v>4.9390374324785578</v>
      </c>
      <c r="BL64" s="24">
        <f>EXP($D64-$D$17)*(($B64*FixedParams!$C$30)^$B$10*(1+FixedParams!$C$23)^(1-$B$10)+(1-$B64)^$B$10*((1+FixedParams!$C$26)/$BK$12)^(1-$B$10))^(1/(1-$B$10))</f>
        <v>5.071314869569556</v>
      </c>
      <c r="BM64">
        <f>IF(FixedParams!$I$6=1,IF(BK64&lt;=MIN(BJ64:BL64),1,0),$H64)</f>
        <v>1</v>
      </c>
      <c r="BN64">
        <f>IF(FixedParams!$I$6=1,IF(BL64&lt;=MIN(BJ64:BL64),1,0),IF(BL64&lt;=BJ64,1,0)*(1-$H64))</f>
        <v>0</v>
      </c>
      <c r="BO64" s="24">
        <f>$BK$13*IF(BM64=1,1,IF(BN64=1,FixedParams!$C$52,FixedParams!$C$53))</f>
        <v>0.41068174962109105</v>
      </c>
      <c r="BP64">
        <f>EXP($C64*FixedParams!$B$47)*EXP(IF(BM64+BN64=1,(1-FixedParams!$B$47)*$D64,0))*($B64^((FixedParams!$B$47-1)*$B$10/($B$10-1)))*((1/$B64-1)^$B$10*(BO64)^($B$10-1)+1)^((FixedParams!$B$47-$B$10)/($B$10-1))/((1+IF(BM64=1,FixedParams!$C$25,IF(BN64=1,FixedParams!$C$23,FixedParams!$C$24)))^FixedParams!$B$47)</f>
        <v>4.1098272694069161E-2</v>
      </c>
      <c r="BQ64">
        <f t="shared" si="28"/>
        <v>1.1823049263728782</v>
      </c>
      <c r="BR64">
        <f t="shared" si="29"/>
        <v>30.153692651962952</v>
      </c>
      <c r="BS64">
        <f t="shared" si="6"/>
        <v>110.24474045804912</v>
      </c>
      <c r="BT64">
        <f t="shared" si="30"/>
        <v>140.39843311001206</v>
      </c>
      <c r="BU64" s="24">
        <f t="shared" si="31"/>
        <v>3.6560941882145364</v>
      </c>
      <c r="BV64" s="24">
        <f t="shared" si="32"/>
        <v>1.5686688109517219</v>
      </c>
      <c r="BW64" s="23">
        <f>IF(BM64=1,BR64*(1+FixedParams!$C$25)+BS64*(1+FixedParams!$C$28)/$BK$12,IF(BN64=1,BR64*(1+FixedParams!$C$23)+BS64*(1+FixedParams!$C$26)/$BK$12,BR64*(1+FixedParams!$C$24)+BS64*(1+FixedParams!$C$27)/$BK$12))</f>
        <v>408.60167324949271</v>
      </c>
      <c r="BX64" s="24">
        <f t="shared" si="33"/>
        <v>82.729009211911162</v>
      </c>
      <c r="BY64" s="24">
        <f>BX64^((FixedParams!$B$47-1)/FixedParams!$B$47)*EXP($C64)</f>
        <v>0.55339206347338454</v>
      </c>
      <c r="BZ64" s="24">
        <f t="shared" si="34"/>
        <v>-2.1770617025417448E-2</v>
      </c>
      <c r="CA64" s="24">
        <f t="shared" si="35"/>
        <v>-4.7159460412542981E-3</v>
      </c>
      <c r="CB64" s="24">
        <f t="shared" si="36"/>
        <v>1.2612509878152954E-2</v>
      </c>
      <c r="CC64" s="24"/>
      <c r="CD64" s="24">
        <f>EXP(-$D$17)*(($B64*FixedParams!$B$30)^$B$10*(1+FixedParams!$D$24)^(1-$B$10)+(1-$B64)^$B$10*((1+FixedParams!$D$27)/$CE$12)^(1-$B$10))^(1/(1-$B$10))</f>
        <v>5.9477444099765835</v>
      </c>
      <c r="CE64" s="24">
        <f>EXP($D64-$D$17)*(($B64*FixedParams!$D$31)^$B$10*(1+FixedParams!$D$25)^(1-$B$10)+(1-$B64)^$B$10*((1+FixedParams!$D$28)/$CE$12)^(1-$B$10))^(1/(1-$B$10))</f>
        <v>4.8188056912521509</v>
      </c>
      <c r="CF64" s="24">
        <f>EXP($D64-$D$17)*(($B64*FixedParams!$D$30)^$B$10*(1+FixedParams!$D$23)^(1-$B$10)+(1-$B64)^$B$10*((1+FixedParams!$D$26)/$CE$12)^(1-$B$10))^(1/(1-$B$10))</f>
        <v>4.9038317029754417</v>
      </c>
      <c r="CG64">
        <f>IF(FixedParams!$I$6=1,IF(CE64&lt;=MIN(CD64:CF64),1,0),$H64)</f>
        <v>1</v>
      </c>
      <c r="CH64">
        <f>IF(FixedParams!$I$6=1,IF(CF64&lt;=MIN(CD64:CF64),1,0),IF(CF64&lt;=CD64,1,0)*(1-$H64))</f>
        <v>0</v>
      </c>
      <c r="CI64" s="24">
        <f>$CE$13*IF(CG64=1,1,IF(CH64=1,FixedParams!$D$52,FixedParams!$D$53))</f>
        <v>0.39201585704839609</v>
      </c>
      <c r="CJ64">
        <f>EXP($C64*FixedParams!$B$47)*EXP(IF(CG64+CH64=1,(1-FixedParams!$B$47)*$D64,0))*($B64^((FixedParams!$B$47-1)*$B$10/($B$10-1)))*((1/$B64-1)^$B$10*(CI64)^($B$10-1)+1)^((FixedParams!$B$47-$B$10)/($B$10-1))/((1+IF(CG64=1,FixedParams!$D$25,IF(CH64=1,FixedParams!$D$23,FixedParams!$D$24)))^FixedParams!$B$47)</f>
        <v>4.4846249686076235E-2</v>
      </c>
      <c r="CK64">
        <f t="shared" si="37"/>
        <v>1.1808179074611085</v>
      </c>
      <c r="CL64">
        <f t="shared" si="41"/>
        <v>32.260277961124594</v>
      </c>
      <c r="CM64">
        <f t="shared" si="7"/>
        <v>109.99750312725938</v>
      </c>
      <c r="CN64">
        <f t="shared" si="42"/>
        <v>142.25778108838398</v>
      </c>
      <c r="CO64" s="24">
        <f t="shared" si="43"/>
        <v>3.4096886350394255</v>
      </c>
      <c r="CP64" s="24">
        <f t="shared" si="44"/>
        <v>1.5568209931112937</v>
      </c>
      <c r="CQ64" s="23">
        <f>IF(CG64=1,CL64*(1+FixedParams!$D$25)+CM64*(1+FixedParams!$D$28)/$CE$12,IF(CH64=1,CL64*(1+FixedParams!$D$23)+CM64*(1+FixedParams!$D$26)/$CE$12,CL64*(1+FixedParams!$D$24)+CM64*(1+FixedParams!$D$27)/$CE$12))</f>
        <v>400.60325884025542</v>
      </c>
      <c r="CR64" s="24">
        <f t="shared" si="45"/>
        <v>83.133308231849455</v>
      </c>
      <c r="CS64" s="24">
        <f>CR64^((FixedParams!$B$47-1)/FixedParams!$B$47)*EXP($C64)</f>
        <v>0.55338936292356355</v>
      </c>
      <c r="CT64" s="24"/>
    </row>
    <row r="65" spans="1:98" x14ac:dyDescent="0.15">
      <c r="A65">
        <v>0.24</v>
      </c>
      <c r="B65">
        <f t="shared" si="8"/>
        <v>0.1489720133138028</v>
      </c>
      <c r="C65">
        <f>(D65-$D$17)*FixedParams!$B$47+$A65*$B$9</f>
        <v>-0.5997636386220131</v>
      </c>
      <c r="D65">
        <f>(A65-$B$6)*FixedParams!$B$46/(FixedParams!$B$45*Sectors!$B$6)</f>
        <v>-0.14127137177213012</v>
      </c>
      <c r="E65">
        <f t="shared" si="9"/>
        <v>0.54894136929994453</v>
      </c>
      <c r="F65" s="24">
        <f>EXP(-$D$17)*(($B65*FixedParams!$B$30)^$B$10*(1+FixedParams!$B$23)^(1-$B$10)+(1-$B65)^$B$10*((1+FixedParams!$B$26)/$B$11)^(1-$B$10))^(1/(1-$B$10))</f>
        <v>4.6964944176253933</v>
      </c>
      <c r="G65" s="24">
        <f>EXP($D65-$D$17)*(($B65*FixedParams!$B$31)^$B$10*(1+FixedParams!$B$25)^(1-$B$10)+(1-$B65)^$B$10*((1+FixedParams!$B$28)/$B$11)^(1-$B$10))^(1/(1-$B$10))</f>
        <v>3.9430143245462159</v>
      </c>
      <c r="H65">
        <f t="shared" si="10"/>
        <v>1</v>
      </c>
      <c r="I65" s="24">
        <f>$B$12*IF(H65=1,1,FixedParams!$B$52)</f>
        <v>0.3745928365283252</v>
      </c>
      <c r="J65">
        <f>EXP($C65*FixedParams!$B$47)*EXP(IF(H65=1,(1-FixedParams!$B$47)*$D65,0))*($B65^((FixedParams!$B$47-1)*$B$10/($B$10-1)))*((1/$B65-1)^$B$10*(I65)^($B$10-1)+1)^((FixedParams!$B$47-$B$10)/($B$10-1))/((1+IF(H65=1,FixedParams!$B$25,FixedParams!$B$24))^FixedParams!$B$47)</f>
        <v>5.8664832849554482E-2</v>
      </c>
      <c r="K65">
        <f t="shared" si="38"/>
        <v>1.1828345272770437</v>
      </c>
      <c r="L65">
        <f>K65*FixedParams!$B$8/K$15</f>
        <v>34.388701280333876</v>
      </c>
      <c r="M65">
        <f t="shared" si="0"/>
        <v>107.64991950360528</v>
      </c>
      <c r="N65">
        <f t="shared" si="11"/>
        <v>142.03862078393917</v>
      </c>
      <c r="O65" s="24">
        <f t="shared" si="12"/>
        <v>3.1303863040959863</v>
      </c>
      <c r="P65" s="24">
        <f t="shared" si="1"/>
        <v>1.5417779780631962</v>
      </c>
      <c r="Q65" s="23">
        <f>IF(H65=1,L65*(1+FixedParams!$B$25)+M65*FixedParams!$B$33*(1+FixedParams!$B$28)/FixedParams!$B$32,L65*(1+FixedParams!$B$23)+M65*FixedParams!$B$33*(1+FixedParams!$B$26)/FixedParams!$B$32)</f>
        <v>322.331102351347</v>
      </c>
      <c r="R65" s="24">
        <f t="shared" si="2"/>
        <v>81.747383047725208</v>
      </c>
      <c r="S65" s="24">
        <f>R65^((FixedParams!$B$47-1)/FixedParams!$B$47)*EXP($C65)</f>
        <v>0.54652693814297415</v>
      </c>
      <c r="T65" s="7">
        <f>(L65*FixedParams!$B$32*(FixedParams!$C$25-FixedParams!$C$23)+FixedParams!$B$33*(FixedParams!$C$28-FixedParams!$C$26)*M65)/N65</f>
        <v>-1711.1619066008968</v>
      </c>
      <c r="U65" s="7">
        <f>(L65*FixedParams!$B$32*(FixedParams!$C$25-FixedParams!$C$23)*$Z$12/$B$11+FixedParams!$B$33*(FixedParams!$C$28-FixedParams!$C$26)*M65)/N65</f>
        <v>-1954.3191831825754</v>
      </c>
      <c r="V65" s="14">
        <f t="shared" si="13"/>
        <v>-2.1230720289194167</v>
      </c>
      <c r="W65" s="14">
        <f t="shared" si="46"/>
        <v>0.4446648396065464</v>
      </c>
      <c r="X65" s="73">
        <f t="shared" si="15"/>
        <v>0.98215047327891236</v>
      </c>
      <c r="Y65" s="24">
        <f>EXP(-$D$17)*(($B65*FixedParams!$B$30)^$B$10*(1+FixedParams!$C$24)^(1-$B$10)+(1-$B65)^$B$10*((1+FixedParams!$C$27)/$Z$12)^(1-$B$10))^(1/(1-$B$10))</f>
        <v>6.0350719606262047</v>
      </c>
      <c r="Z65" s="24">
        <f>EXP($D65-$D$17)*(($B65*FixedParams!$C$31)^$B$10*(1+FixedParams!$C$25)^(1-$B$10)+(1-$B65)^$B$10*((1+FixedParams!$C$28)/$Z$12)^(1-$B$10))^(1/(1-$B$10))</f>
        <v>4.7411714532205593</v>
      </c>
      <c r="AA65" s="24">
        <f>EXP($D65-$D$17)*(($B65*FixedParams!$C$30)^$B$10*(1+FixedParams!$C$23)^(1-$B$10)+(1-$B65)^$B$10*((1+FixedParams!$C$26)/$Z$12)^(1-$B$10))^(1/(1-$B$10))</f>
        <v>4.868942662451726</v>
      </c>
      <c r="AB65">
        <f>IF(FixedParams!$I$6=1,IF(Z65&lt;=MIN(Y65:AA65),1,0),$H65)</f>
        <v>1</v>
      </c>
      <c r="AC65">
        <f>IF(FixedParams!$I$6=1,IF(AA65&lt;=MIN(Y65:AA65),1,0),IF(AA65&lt;=Y65,1,0)*(1-$H65))</f>
        <v>0</v>
      </c>
      <c r="AD65" s="24">
        <f>$Z$13*IF(AB65=1,1,IF(AC65=1,FixedParams!$C$52,FixedParams!$C$53))</f>
        <v>0.43187184563106507</v>
      </c>
      <c r="AE65">
        <f>EXP($C65*FixedParams!$B$47)*EXP(IF(AB65+AC65=1,(1-FixedParams!$B$47)*$D65,0))*($B65^((FixedParams!$B$47-1)*$B$10/($B$10-1)))*((1/$B65-1)^$B$10*(AD65)^($B$10-1)+1)^((FixedParams!$B$47-$B$10)/($B$10-1))/((1+IF(AB65=1,FixedParams!$C$25,IF(AC65=1,FixedParams!$C$23,FixedParams!$C$24)))^FixedParams!$B$47)</f>
        <v>4.0300001175085587E-2</v>
      </c>
      <c r="AF65">
        <f t="shared" si="39"/>
        <v>1.1875274310156423</v>
      </c>
      <c r="AG65">
        <f t="shared" si="40"/>
        <v>27.893195758969732</v>
      </c>
      <c r="AH65">
        <f t="shared" si="3"/>
        <v>108.09095319262619</v>
      </c>
      <c r="AI65">
        <f t="shared" si="16"/>
        <v>135.98414895159593</v>
      </c>
      <c r="AJ65" s="24">
        <f t="shared" si="17"/>
        <v>3.8751727886133995</v>
      </c>
      <c r="AK65" s="24">
        <f t="shared" si="18"/>
        <v>1.5835219730803223</v>
      </c>
      <c r="AL65" s="23">
        <f>IF(AB65=1,AG65*(1+FixedParams!$C$25)+AH65*(1+FixedParams!$C$28)/$Z$12,IF(AC65=1,AG65*(1+FixedParams!$C$23)+AH65*(1+FixedParams!$C$26)/$Z$12,AG65*(1+FixedParams!$C$24)+AH65*(1+FixedParams!$C$27)/$Z$12))</f>
        <v>380.66026860799286</v>
      </c>
      <c r="AM65" s="24">
        <f t="shared" si="19"/>
        <v>80.288230949635846</v>
      </c>
      <c r="AN65" s="24">
        <f>AM65^((FixedParams!$B$47-1)/FixedParams!$B$47)*EXP($C65)</f>
        <v>0.546536791445564</v>
      </c>
      <c r="AO65" s="24">
        <f t="shared" si="20"/>
        <v>-4.3560670856950347E-2</v>
      </c>
      <c r="AP65" s="24">
        <f t="shared" si="21"/>
        <v>-1.8010750921488936E-2</v>
      </c>
      <c r="AQ65" s="14">
        <f t="shared" si="22"/>
        <v>-2.1942166408013013</v>
      </c>
      <c r="AS65" s="24">
        <f>EXP(-$D$17)*(($B65*FixedParams!$B$30)^$B$10*(1+FixedParams!$D$24)^(1-$B$10)+(1-$B65)^$B$10*((1+FixedParams!$D$27)/$AT$12)^(1-$B$10))^(1/(1-$B$10))</f>
        <v>5.7107522609009429</v>
      </c>
      <c r="AT65" s="24">
        <f>EXP($D65-$D$17)*(($B65*FixedParams!$C$31)^$B$10*(1+FixedParams!$D$25)^(1-$B$10)+(1-$B65)^$B$10*((1+FixedParams!$D$28)/$AT$12)^(1-$B$10))^(1/(1-$B$10))</f>
        <v>4.6395661480045645</v>
      </c>
      <c r="AU65" s="24">
        <f>EXP($D65-$D$17)*(($B65*FixedParams!$C$30)^$B$10*(1+FixedParams!$D$23)^(1-$B$10)+(1-$B65)^$B$10*((1+FixedParams!$D$26)/$AT$12)^(1-$B$10))^(1/(1-$B$10))</f>
        <v>4.7219199848322164</v>
      </c>
      <c r="AV65">
        <f>IF(FixedParams!$I$6=1,IF(AT65&lt;=MIN(AS65:AU65),1,0),$H65)</f>
        <v>1</v>
      </c>
      <c r="AW65">
        <f>IF(FixedParams!$I$6=1,IF(AU65&lt;=MIN(AS65:AU65),1,0),IF(AU65&lt;=AS65,1,0)*(1-$H65))</f>
        <v>0</v>
      </c>
      <c r="AX65" s="24">
        <f>$AT$13*IF(AV65=1,1,IF(AW65=1,FixedParams!$D$52,FixedParams!$D$53))</f>
        <v>0.41089128090616783</v>
      </c>
      <c r="AY65">
        <f>EXP($C65*FixedParams!$B$47)*EXP(IF(AV65+AW65=1,(1-FixedParams!$B$47)*$D65,0))*($B65^((FixedParams!$B$47-1)*$B$10/($B$10-1)))*((1/$B65-1)^$B$10*(AX65)^($B$10-1)+1)^((FixedParams!$B$47-$B$10)/($B$10-1))/((1+IF(AV65=1,FixedParams!$D$25,IF(AW65=1,FixedParams!$D$23,FixedParams!$D$24)))^FixedParams!$B$47)</f>
        <v>4.4040903623098322E-2</v>
      </c>
      <c r="AZ65">
        <f t="shared" si="4"/>
        <v>1.1859149947321084</v>
      </c>
      <c r="BA65">
        <f t="shared" si="23"/>
        <v>29.837462659771688</v>
      </c>
      <c r="BB65">
        <f t="shared" si="5"/>
        <v>107.3027889064241</v>
      </c>
      <c r="BC65">
        <f t="shared" si="24"/>
        <v>137.14025156619579</v>
      </c>
      <c r="BD65" s="24">
        <f t="shared" si="25"/>
        <v>3.5962437600665997</v>
      </c>
      <c r="BE65" s="24">
        <f t="shared" si="26"/>
        <v>1.571085884555367</v>
      </c>
      <c r="BF65" s="23">
        <f>IF(AV65=1,BA65*(1+FixedParams!$C$25)+BB65*(1+FixedParams!$C$28)/$AT$12,IF(AW65=1,BA65*(1+FixedParams!$C$23)+BB65*(1+FixedParams!$C$26)/$AT$12,BA65*(1+FixedParams!$C$24)+BB65*(1+FixedParams!$C$27)/$AT$12))</f>
        <v>376.17085060294227</v>
      </c>
      <c r="BG65" s="24">
        <f t="shared" si="27"/>
        <v>81.078885094618158</v>
      </c>
      <c r="BH65" s="24">
        <f>BG65^((FixedParams!$B$47-1)/FixedParams!$B$47)*EXP($C65)</f>
        <v>0.54653143031023144</v>
      </c>
      <c r="BI65" s="7"/>
      <c r="BJ65" s="24">
        <f>EXP(-$D$17)*(($B65*FixedParams!$B$30)^$B$10*(1+FixedParams!$C$24)^(1-$B$10)+(1-$B65)^$B$10*((1+FixedParams!$C$27)/$BK$12)^(1-$B$10))^(1/(1-$B$10))</f>
        <v>6.3156222833161655</v>
      </c>
      <c r="BK65" s="24">
        <f>EXP($D65-$D$17)*(($B65*FixedParams!$C$31)^$B$10*(1+FixedParams!$C$25)^(1-$B$10)+(1-$B65)^$B$10*((1+FixedParams!$C$28)/$BK$12)^(1-$B$10))^(1/(1-$B$10))</f>
        <v>4.9604299308658328</v>
      </c>
      <c r="BL65" s="24">
        <f>EXP($D65-$D$17)*(($B65*FixedParams!$C$30)^$B$10*(1+FixedParams!$C$23)^(1-$B$10)+(1-$B65)^$B$10*((1+FixedParams!$C$26)/$BK$12)^(1-$B$10))^(1/(1-$B$10))</f>
        <v>5.0914452825953216</v>
      </c>
      <c r="BM65">
        <f>IF(FixedParams!$I$6=1,IF(BK65&lt;=MIN(BJ65:BL65),1,0),$H65)</f>
        <v>1</v>
      </c>
      <c r="BN65">
        <f>IF(FixedParams!$I$6=1,IF(BL65&lt;=MIN(BJ65:BL65),1,0),IF(BL65&lt;=BJ65,1,0)*(1-$H65))</f>
        <v>0</v>
      </c>
      <c r="BO65" s="24">
        <f>$BK$13*IF(BM65=1,1,IF(BN65=1,FixedParams!$C$52,FixedParams!$C$53))</f>
        <v>0.41068174962109105</v>
      </c>
      <c r="BP65">
        <f>EXP($C65*FixedParams!$B$47)*EXP(IF(BM65+BN65=1,(1-FixedParams!$B$47)*$D65,0))*($B65^((FixedParams!$B$47-1)*$B$10/($B$10-1)))*((1/$B65-1)^$B$10*(BO65)^($B$10-1)+1)^((FixedParams!$B$47-$B$10)/($B$10-1))/((1+IF(BM65=1,FixedParams!$C$25,IF(BN65=1,FixedParams!$C$23,FixedParams!$C$24)))^FixedParams!$B$47)</f>
        <v>4.1223182946303311E-2</v>
      </c>
      <c r="BQ65">
        <f t="shared" si="28"/>
        <v>1.1858983135614407</v>
      </c>
      <c r="BR65">
        <f t="shared" si="29"/>
        <v>30.245338969631462</v>
      </c>
      <c r="BS65">
        <f t="shared" si="6"/>
        <v>108.68642263467072</v>
      </c>
      <c r="BT65">
        <f t="shared" si="30"/>
        <v>138.93176160430218</v>
      </c>
      <c r="BU65" s="24">
        <f t="shared" si="31"/>
        <v>3.5934932897859024</v>
      </c>
      <c r="BV65" s="24">
        <f t="shared" si="32"/>
        <v>1.5754632006414582</v>
      </c>
      <c r="BW65" s="23">
        <f>IF(BM65=1,BR65*(1+FixedParams!$C$25)+BS65*(1+FixedParams!$C$28)/$BK$12,IF(BN65=1,BR65*(1+FixedParams!$C$23)+BS65*(1+FixedParams!$C$26)/$BK$12,BR65*(1+FixedParams!$C$24)+BS65*(1+FixedParams!$C$27)/$BK$12))</f>
        <v>403.53471499043741</v>
      </c>
      <c r="BX65" s="24">
        <f t="shared" si="33"/>
        <v>81.350753989987567</v>
      </c>
      <c r="BY65" s="24">
        <f>BX65^((FixedParams!$B$47-1)/FixedParams!$B$47)*EXP($C65)</f>
        <v>0.54652959895087605</v>
      </c>
      <c r="BZ65" s="24">
        <f t="shared" si="34"/>
        <v>-2.2116109095672028E-2</v>
      </c>
      <c r="CA65" s="24">
        <f t="shared" si="35"/>
        <v>-4.8636955248398403E-3</v>
      </c>
      <c r="CB65" s="24">
        <f t="shared" si="36"/>
        <v>1.2464760394567412E-2</v>
      </c>
      <c r="CC65" s="24"/>
      <c r="CD65" s="24">
        <f>EXP(-$D$17)*(($B65*FixedParams!$B$30)^$B$10*(1+FixedParams!$D$24)^(1-$B$10)+(1-$B65)^$B$10*((1+FixedParams!$D$27)/$CE$12)^(1-$B$10))^(1/(1-$B$10))</f>
        <v>5.9575113773259423</v>
      </c>
      <c r="CE65" s="24">
        <f>EXP($D65-$D$17)*(($B65*FixedParams!$D$31)^$B$10*(1+FixedParams!$D$25)^(1-$B$10)+(1-$B65)^$B$10*((1+FixedParams!$D$28)/$CE$12)^(1-$B$10))^(1/(1-$B$10))</f>
        <v>4.839318713821295</v>
      </c>
      <c r="CF65" s="24">
        <f>EXP($D65-$D$17)*(($B65*FixedParams!$D$30)^$B$10*(1+FixedParams!$D$23)^(1-$B$10)+(1-$B65)^$B$10*((1+FixedParams!$D$26)/$CE$12)^(1-$B$10))^(1/(1-$B$10))</f>
        <v>4.923278560079817</v>
      </c>
      <c r="CG65">
        <f>IF(FixedParams!$I$6=1,IF(CE65&lt;=MIN(CD65:CF65),1,0),$H65)</f>
        <v>1</v>
      </c>
      <c r="CH65">
        <f>IF(FixedParams!$I$6=1,IF(CF65&lt;=MIN(CD65:CF65),1,0),IF(CF65&lt;=CD65,1,0)*(1-$H65))</f>
        <v>0</v>
      </c>
      <c r="CI65" s="24">
        <f>$CE$13*IF(CG65=1,1,IF(CH65=1,FixedParams!$D$52,FixedParams!$D$53))</f>
        <v>0.39201585704839609</v>
      </c>
      <c r="CJ65">
        <f>EXP($C65*FixedParams!$B$47)*EXP(IF(CG65+CH65=1,(1-FixedParams!$B$47)*$D65,0))*($B65^((FixedParams!$B$47-1)*$B$10/($B$10-1)))*((1/$B65-1)^$B$10*(CI65)^($B$10-1)+1)^((FixedParams!$B$47-$B$10)/($B$10-1))/((1+IF(CG65=1,FixedParams!$D$25,IF(CH65=1,FixedParams!$D$23,FixedParams!$D$24)))^FixedParams!$B$47)</f>
        <v>4.4980880780198483E-2</v>
      </c>
      <c r="CK65">
        <f t="shared" si="37"/>
        <v>1.1843627926622893</v>
      </c>
      <c r="CL65">
        <f t="shared" si="41"/>
        <v>32.357125223693856</v>
      </c>
      <c r="CM65">
        <f t="shared" si="7"/>
        <v>108.43865304604651</v>
      </c>
      <c r="CN65">
        <f t="shared" si="42"/>
        <v>140.79577826974037</v>
      </c>
      <c r="CO65" s="24">
        <f t="shared" si="43"/>
        <v>3.351306776988987</v>
      </c>
      <c r="CP65" s="24">
        <f t="shared" si="44"/>
        <v>1.5634481754908993</v>
      </c>
      <c r="CQ65" s="23">
        <f>IF(CG65=1,CL65*(1+FixedParams!$D$25)+CM65*(1+FixedParams!$D$28)/$CE$12,IF(CH65=1,CL65*(1+FixedParams!$D$23)+CM65*(1+FixedParams!$D$26)/$CE$12,CL65*(1+FixedParams!$D$24)+CM65*(1+FixedParams!$D$27)/$CE$12))</f>
        <v>395.6354574182435</v>
      </c>
      <c r="CR65" s="24">
        <f t="shared" si="45"/>
        <v>81.754370979595166</v>
      </c>
      <c r="CS65" s="24">
        <f>CR65^((FixedParams!$B$47-1)/FixedParams!$B$47)*EXP($C65)</f>
        <v>0.54652689137998023</v>
      </c>
      <c r="CT65" s="24"/>
    </row>
    <row r="66" spans="1:98" x14ac:dyDescent="0.15">
      <c r="A66">
        <v>0.245</v>
      </c>
      <c r="B66">
        <f t="shared" si="8"/>
        <v>0.15043762641156261</v>
      </c>
      <c r="C66">
        <f>(D66-$D$17)*FixedParams!$B$47+$A66*$B$9</f>
        <v>-0.61225871442663848</v>
      </c>
      <c r="D66">
        <f>(A66-$B$6)*FixedParams!$B$46/(FixedParams!$B$45*Sectors!$B$6)</f>
        <v>-0.13855461462266608</v>
      </c>
      <c r="E66">
        <f t="shared" si="9"/>
        <v>0.54212497961608319</v>
      </c>
      <c r="F66" s="24">
        <f>EXP(-$D$17)*(($B66*FixedParams!$B$30)^$B$10*(1+FixedParams!$B$23)^(1-$B$10)+(1-$B66)^$B$10*((1+FixedParams!$B$26)/$B$11)^(1-$B$10))^(1/(1-$B$10))</f>
        <v>4.7036450836570456</v>
      </c>
      <c r="G66" s="24">
        <f>EXP($D66-$D$17)*(($B66*FixedParams!$B$31)^$B$10*(1+FixedParams!$B$25)^(1-$B$10)+(1-$B66)^$B$10*((1+FixedParams!$B$28)/$B$11)^(1-$B$10))^(1/(1-$B$10))</f>
        <v>3.9594812694242023</v>
      </c>
      <c r="H66">
        <f t="shared" si="10"/>
        <v>1</v>
      </c>
      <c r="I66" s="24">
        <f>$B$12*IF(H66=1,1,FixedParams!$B$52)</f>
        <v>0.3745928365283252</v>
      </c>
      <c r="J66">
        <f>EXP($C66*FixedParams!$B$47)*EXP(IF(H66=1,(1-FixedParams!$B$47)*$D66,0))*($B66^((FixedParams!$B$47-1)*$B$10/($B$10-1)))*((1/$B66-1)^$B$10*(I66)^($B$10-1)+1)^((FixedParams!$B$47-$B$10)/($B$10-1))/((1+IF(H66=1,FixedParams!$B$25,FixedParams!$B$24))^FixedParams!$B$47)</f>
        <v>5.883709777433202E-2</v>
      </c>
      <c r="K66">
        <f t="shared" si="38"/>
        <v>1.1863078330203363</v>
      </c>
      <c r="L66">
        <f>K66*FixedParams!$B$8/K$15</f>
        <v>34.489681147683811</v>
      </c>
      <c r="M66">
        <f t="shared" si="0"/>
        <v>106.11739418536109</v>
      </c>
      <c r="N66">
        <f t="shared" si="11"/>
        <v>140.60707533304492</v>
      </c>
      <c r="O66" s="24">
        <f t="shared" si="12"/>
        <v>3.0767867563335685</v>
      </c>
      <c r="P66" s="24">
        <f t="shared" si="1"/>
        <v>1.5482168014833424</v>
      </c>
      <c r="Q66" s="23">
        <f>IF(H66=1,L66*(1+FixedParams!$B$25)+M66*FixedParams!$B$33*(1+FixedParams!$B$28)/FixedParams!$B$32,L66*(1+FixedParams!$B$23)+M66*FixedParams!$B$33*(1+FixedParams!$B$26)/FixedParams!$B$32)</f>
        <v>318.33391282963885</v>
      </c>
      <c r="R66" s="24">
        <f t="shared" si="2"/>
        <v>80.397883249977284</v>
      </c>
      <c r="S66" s="24">
        <f>R66^((FixedParams!$B$47-1)/FixedParams!$B$47)*EXP($C66)</f>
        <v>0.53974952282518407</v>
      </c>
      <c r="T66" s="7">
        <f>(L66*FixedParams!$B$32*(FixedParams!$C$25-FixedParams!$C$23)+FixedParams!$B$33*(FixedParams!$C$28-FixedParams!$C$26)*M66)/N66</f>
        <v>-1675.0496535854675</v>
      </c>
      <c r="U66" s="7">
        <f>(L66*FixedParams!$B$32*(FixedParams!$C$25-FixedParams!$C$23)*$Z$12/$B$11+FixedParams!$B$33*(FixedParams!$C$28-FixedParams!$C$26)*M66)/N66</f>
        <v>-1921.4038400961902</v>
      </c>
      <c r="V66" s="14">
        <f t="shared" si="13"/>
        <v>-2.105801403623333</v>
      </c>
      <c r="W66" s="14">
        <f t="shared" si="46"/>
        <v>0.45156131741784522</v>
      </c>
      <c r="X66" s="73">
        <f t="shared" si="15"/>
        <v>0.98192516611159131</v>
      </c>
      <c r="Y66" s="24">
        <f>EXP(-$D$17)*(($B66*FixedParams!$B$30)^$B$10*(1+FixedParams!$C$24)^(1-$B$10)+(1-$B66)^$B$10*((1+FixedParams!$C$27)/$Z$12)^(1-$B$10))^(1/(1-$B$10))</f>
        <v>6.0461751215883393</v>
      </c>
      <c r="Z66" s="24">
        <f>EXP($D66-$D$17)*(($B66*FixedParams!$C$31)^$B$10*(1+FixedParams!$C$25)^(1-$B$10)+(1-$B66)^$B$10*((1+FixedParams!$C$28)/$Z$12)^(1-$B$10))^(1/(1-$B$10))</f>
        <v>4.7620652080190116</v>
      </c>
      <c r="AA66" s="24">
        <f>EXP($D66-$D$17)*(($B66*FixedParams!$C$30)^$B$10*(1+FixedParams!$C$23)^(1-$B$10)+(1-$B66)^$B$10*((1+FixedParams!$C$26)/$Z$12)^(1-$B$10))^(1/(1-$B$10))</f>
        <v>4.8886484576977676</v>
      </c>
      <c r="AB66">
        <f>IF(FixedParams!$I$6=1,IF(Z66&lt;=MIN(Y66:AA66),1,0),$H66)</f>
        <v>1</v>
      </c>
      <c r="AC66">
        <f>IF(FixedParams!$I$6=1,IF(AA66&lt;=MIN(Y66:AA66),1,0),IF(AA66&lt;=Y66,1,0)*(1-$H66))</f>
        <v>0</v>
      </c>
      <c r="AD66" s="24">
        <f>$Z$13*IF(AB66=1,1,IF(AC66=1,FixedParams!$C$52,FixedParams!$C$53))</f>
        <v>0.43187184563106507</v>
      </c>
      <c r="AE66">
        <f>EXP($C66*FixedParams!$B$47)*EXP(IF(AB66+AC66=1,(1-FixedParams!$B$47)*$D66,0))*($B66^((FixedParams!$B$47-1)*$B$10/($B$10-1)))*((1/$B66-1)^$B$10*(AD66)^($B$10-1)+1)^((FixedParams!$B$47-$B$10)/($B$10-1))/((1+IF(AB66=1,FixedParams!$C$25,IF(AC66=1,FixedParams!$C$23,FixedParams!$C$24)))^FixedParams!$B$47)</f>
        <v>4.0422989880069114E-2</v>
      </c>
      <c r="AF66">
        <f t="shared" si="39"/>
        <v>1.1911515614527233</v>
      </c>
      <c r="AG66">
        <f t="shared" si="40"/>
        <v>27.978321017635199</v>
      </c>
      <c r="AH66">
        <f t="shared" si="3"/>
        <v>106.56440967746357</v>
      </c>
      <c r="AI66">
        <f t="shared" si="16"/>
        <v>134.54273069509878</v>
      </c>
      <c r="AJ66" s="24">
        <f t="shared" si="17"/>
        <v>3.8088207512628887</v>
      </c>
      <c r="AK66" s="24">
        <f t="shared" si="18"/>
        <v>1.5905003580954915</v>
      </c>
      <c r="AL66" s="23">
        <f>IF(AB66=1,AG66*(1+FixedParams!$C$25)+AH66*(1+FixedParams!$C$28)/$Z$12,IF(AC66=1,AG66*(1+FixedParams!$C$23)+AH66*(1+FixedParams!$C$26)/$Z$12,AG66*(1+FixedParams!$C$24)+AH66*(1+FixedParams!$C$27)/$Z$12))</f>
        <v>375.93983239615653</v>
      </c>
      <c r="AM66" s="24">
        <f t="shared" si="19"/>
        <v>78.944704865254266</v>
      </c>
      <c r="AN66" s="24">
        <f>AM66^((FixedParams!$B$47-1)/FixedParams!$B$47)*EXP($C66)</f>
        <v>0.53975937789811246</v>
      </c>
      <c r="AO66" s="24">
        <f t="shared" si="20"/>
        <v>-4.4087451614937719E-2</v>
      </c>
      <c r="AP66" s="24">
        <f t="shared" si="21"/>
        <v>-1.8240179120475476E-2</v>
      </c>
      <c r="AQ66" s="14">
        <f t="shared" si="22"/>
        <v>-2.176946015505218</v>
      </c>
      <c r="AS66" s="24">
        <f>EXP(-$D$17)*(($B66*FixedParams!$B$30)^$B$10*(1+FixedParams!$D$24)^(1-$B$10)+(1-$B66)^$B$10*((1+FixedParams!$D$27)/$AT$12)^(1-$B$10))^(1/(1-$B$10))</f>
        <v>5.7205299401940479</v>
      </c>
      <c r="AT66" s="24">
        <f>EXP($D66-$D$17)*(($B66*FixedParams!$C$31)^$B$10*(1+FixedParams!$D$25)^(1-$B$10)+(1-$B66)^$B$10*((1+FixedParams!$D$28)/$AT$12)^(1-$B$10))^(1/(1-$B$10))</f>
        <v>4.6596444291795329</v>
      </c>
      <c r="AU66" s="24">
        <f>EXP($D66-$D$17)*(($B66*FixedParams!$C$30)^$B$10*(1+FixedParams!$D$23)^(1-$B$10)+(1-$B66)^$B$10*((1+FixedParams!$D$26)/$AT$12)^(1-$B$10))^(1/(1-$B$10))</f>
        <v>4.7409861484802809</v>
      </c>
      <c r="AV66">
        <f>IF(FixedParams!$I$6=1,IF(AT66&lt;=MIN(AS66:AU66),1,0),$H66)</f>
        <v>1</v>
      </c>
      <c r="AW66">
        <f>IF(FixedParams!$I$6=1,IF(AU66&lt;=MIN(AS66:AU66),1,0),IF(AU66&lt;=AS66,1,0)*(1-$H66))</f>
        <v>0</v>
      </c>
      <c r="AX66" s="24">
        <f>$AT$13*IF(AV66=1,1,IF(AW66=1,FixedParams!$D$52,FixedParams!$D$53))</f>
        <v>0.41089128090616783</v>
      </c>
      <c r="AY66">
        <f>EXP($C66*FixedParams!$B$47)*EXP(IF(AV66+AW66=1,(1-FixedParams!$B$47)*$D66,0))*($B66^((FixedParams!$B$47-1)*$B$10/($B$10-1)))*((1/$B66-1)^$B$10*(AX66)^($B$10-1)+1)^((FixedParams!$B$47-$B$10)/($B$10-1))/((1+IF(AV66=1,FixedParams!$D$25,IF(AW66=1,FixedParams!$D$23,FixedParams!$D$24)))^FixedParams!$B$47)</f>
        <v>4.4173562512013965E-2</v>
      </c>
      <c r="AZ66">
        <f t="shared" si="4"/>
        <v>1.1894871776940186</v>
      </c>
      <c r="BA66">
        <f t="shared" si="23"/>
        <v>29.927338305339305</v>
      </c>
      <c r="BB66">
        <f t="shared" si="5"/>
        <v>105.7831942949025</v>
      </c>
      <c r="BC66">
        <f t="shared" si="24"/>
        <v>135.71053260024181</v>
      </c>
      <c r="BD66" s="24">
        <f t="shared" si="25"/>
        <v>3.5346676411924625</v>
      </c>
      <c r="BE66" s="24">
        <f t="shared" si="26"/>
        <v>1.5778849479017736</v>
      </c>
      <c r="BF66" s="23">
        <f>IF(AV66=1,BA66*(1+FixedParams!$C$25)+BB66*(1+FixedParams!$C$28)/$AT$12,IF(AW66=1,BA66*(1+FixedParams!$C$23)+BB66*(1+FixedParams!$C$26)/$AT$12,BA66*(1+FixedParams!$C$24)+BB66*(1+FixedParams!$C$27)/$AT$12))</f>
        <v>371.5448221057124</v>
      </c>
      <c r="BG66" s="24">
        <f t="shared" si="27"/>
        <v>79.736732652610101</v>
      </c>
      <c r="BH66" s="24">
        <f>BG66^((FixedParams!$B$47-1)/FixedParams!$B$47)*EXP($C66)</f>
        <v>0.53975398427702503</v>
      </c>
      <c r="BI66" s="7"/>
      <c r="BJ66" s="24">
        <f>EXP(-$D$17)*(($B66*FixedParams!$B$30)^$B$10*(1+FixedParams!$C$24)^(1-$B$10)+(1-$B66)^$B$10*((1+FixedParams!$C$27)/$BK$12)^(1-$B$10))^(1/(1-$B$10))</f>
        <v>6.32675743901674</v>
      </c>
      <c r="BK66" s="24">
        <f>EXP($D66-$D$17)*(($B66*FixedParams!$C$31)^$B$10*(1+FixedParams!$C$25)^(1-$B$10)+(1-$B66)^$B$10*((1+FixedParams!$C$28)/$BK$12)^(1-$B$10))^(1/(1-$B$10))</f>
        <v>4.9818927217562665</v>
      </c>
      <c r="BL66" s="24">
        <f>EXP($D66-$D$17)*(($B66*FixedParams!$C$30)^$B$10*(1+FixedParams!$C$23)^(1-$B$10)+(1-$B66)^$B$10*((1+FixedParams!$C$26)/$BK$12)^(1-$B$10))^(1/(1-$B$10))</f>
        <v>5.1116075334151621</v>
      </c>
      <c r="BM66">
        <f>IF(FixedParams!$I$6=1,IF(BK66&lt;=MIN(BJ66:BL66),1,0),$H66)</f>
        <v>1</v>
      </c>
      <c r="BN66">
        <f>IF(FixedParams!$I$6=1,IF(BL66&lt;=MIN(BJ66:BL66),1,0),IF(BL66&lt;=BJ66,1,0)*(1-$H66))</f>
        <v>0</v>
      </c>
      <c r="BO66" s="24">
        <f>$BK$13*IF(BM66=1,1,IF(BN66=1,FixedParams!$C$52,FixedParams!$C$53))</f>
        <v>0.41068174962109105</v>
      </c>
      <c r="BP66">
        <f>EXP($C66*FixedParams!$B$47)*EXP(IF(BM66+BN66=1,(1-FixedParams!$B$47)*$D66,0))*($B66^((FixedParams!$B$47-1)*$B$10/($B$10-1)))*((1/$B66-1)^$B$10*(BO66)^($B$10-1)+1)^((FixedParams!$B$47-$B$10)/($B$10-1))/((1+IF(BM66=1,FixedParams!$C$25,IF(BN66=1,FixedParams!$C$23,FixedParams!$C$24)))^FixedParams!$B$47)</f>
        <v>4.1347337458127187E-2</v>
      </c>
      <c r="BQ66">
        <f t="shared" si="28"/>
        <v>1.1894699597971223</v>
      </c>
      <c r="BR66">
        <f t="shared" si="29"/>
        <v>30.336430802584136</v>
      </c>
      <c r="BS66">
        <f t="shared" si="6"/>
        <v>107.14718953472224</v>
      </c>
      <c r="BT66">
        <f t="shared" si="30"/>
        <v>137.48362033730638</v>
      </c>
      <c r="BU66" s="24">
        <f t="shared" si="31"/>
        <v>3.5319642654070948</v>
      </c>
      <c r="BV66" s="24">
        <f t="shared" si="32"/>
        <v>1.582279915664593</v>
      </c>
      <c r="BW66" s="23">
        <f>IF(BM66=1,BR66*(1+FixedParams!$C$25)+BS66*(1+FixedParams!$C$28)/$BK$12,IF(BN66=1,BR66*(1+FixedParams!$C$23)+BS66*(1+FixedParams!$C$26)/$BK$12,BR66*(1+FixedParams!$C$24)+BS66*(1+FixedParams!$C$27)/$BK$12))</f>
        <v>398.53058891403941</v>
      </c>
      <c r="BX66" s="24">
        <f t="shared" si="33"/>
        <v>79.995819093741019</v>
      </c>
      <c r="BY66" s="24">
        <f>BX66^((FixedParams!$B$47-1)/FixedParams!$B$47)*EXP($C66)</f>
        <v>0.53975223156205543</v>
      </c>
      <c r="BZ66" s="24">
        <f t="shared" si="34"/>
        <v>-2.2464515344962126E-2</v>
      </c>
      <c r="CA66" s="24">
        <f t="shared" si="35"/>
        <v>-5.0134761217652752E-3</v>
      </c>
      <c r="CB66" s="24">
        <f t="shared" si="36"/>
        <v>1.2314979797641977E-2</v>
      </c>
      <c r="CC66" s="24"/>
      <c r="CD66" s="24">
        <f>EXP(-$D$17)*(($B66*FixedParams!$B$30)^$B$10*(1+FixedParams!$D$24)^(1-$B$10)+(1-$B66)^$B$10*((1+FixedParams!$D$27)/$CE$12)^(1-$B$10))^(1/(1-$B$10))</f>
        <v>5.9672705335766532</v>
      </c>
      <c r="CE66" s="24">
        <f>EXP($D66-$D$17)*(($B66*FixedParams!$D$31)^$B$10*(1+FixedParams!$D$25)^(1-$B$10)+(1-$B66)^$B$10*((1+FixedParams!$D$28)/$CE$12)^(1-$B$10))^(1/(1-$B$10))</f>
        <v>4.8598922746749871</v>
      </c>
      <c r="CF66" s="24">
        <f>EXP($D66-$D$17)*(($B66*FixedParams!$D$30)^$B$10*(1+FixedParams!$D$23)^(1-$B$10)+(1-$B66)^$B$10*((1+FixedParams!$D$26)/$CE$12)^(1-$B$10))^(1/(1-$B$10))</f>
        <v>4.9427558021249256</v>
      </c>
      <c r="CG66">
        <f>IF(FixedParams!$I$6=1,IF(CE66&lt;=MIN(CD66:CF66),1,0),$H66)</f>
        <v>1</v>
      </c>
      <c r="CH66">
        <f>IF(FixedParams!$I$6=1,IF(CF66&lt;=MIN(CD66:CF66),1,0),IF(CF66&lt;=CD66,1,0)*(1-$H66))</f>
        <v>0</v>
      </c>
      <c r="CI66" s="24">
        <f>$CE$13*IF(CG66=1,1,IF(CH66=1,FixedParams!$D$52,FixedParams!$D$53))</f>
        <v>0.39201585704839609</v>
      </c>
      <c r="CJ66">
        <f>EXP($C66*FixedParams!$B$47)*EXP(IF(CG66+CH66=1,(1-FixedParams!$B$47)*$D66,0))*($B66^((FixedParams!$B$47-1)*$B$10/($B$10-1)))*((1/$B66-1)^$B$10*(CI66)^($B$10-1)+1)^((FixedParams!$B$47-$B$10)/($B$10-1))/((1+IF(CG66=1,FixedParams!$D$25,IF(CH66=1,FixedParams!$D$23,FixedParams!$D$24)))^FixedParams!$B$47)</f>
        <v>4.5114654120172126E-2</v>
      </c>
      <c r="CK66">
        <f t="shared" si="37"/>
        <v>1.1878850928877818</v>
      </c>
      <c r="CL66">
        <f t="shared" si="41"/>
        <v>32.453355458363347</v>
      </c>
      <c r="CM66">
        <f t="shared" si="7"/>
        <v>106.89890437583124</v>
      </c>
      <c r="CN66">
        <f t="shared" si="42"/>
        <v>139.35225983419457</v>
      </c>
      <c r="CO66" s="24">
        <f t="shared" si="43"/>
        <v>3.2939245531322401</v>
      </c>
      <c r="CP66" s="24">
        <f t="shared" si="44"/>
        <v>1.5700949160926683</v>
      </c>
      <c r="CQ66" s="23">
        <f>IF(CG66=1,CL66*(1+FixedParams!$D$25)+CM66*(1+FixedParams!$D$28)/$CE$12,IF(CH66=1,CL66*(1+FixedParams!$D$23)+CM66*(1+FixedParams!$D$26)/$CE$12,CL66*(1+FixedParams!$D$24)+CM66*(1+FixedParams!$D$27)/$CE$12))</f>
        <v>390.72925856136499</v>
      </c>
      <c r="CR66" s="24">
        <f t="shared" si="45"/>
        <v>80.398748877102548</v>
      </c>
      <c r="CS66" s="24">
        <f>CR66^((FixedParams!$B$47-1)/FixedParams!$B$47)*EXP($C66)</f>
        <v>0.53974951700802853</v>
      </c>
      <c r="CT66" s="24"/>
    </row>
    <row r="67" spans="1:98" x14ac:dyDescent="0.15">
      <c r="A67">
        <v>0.25</v>
      </c>
      <c r="B67">
        <f t="shared" si="8"/>
        <v>0.15191508457471128</v>
      </c>
      <c r="C67">
        <f>(D67-$D$17)*FixedParams!$B$47+$A67*$B$9</f>
        <v>-0.62475379023126376</v>
      </c>
      <c r="D67">
        <f>(A67-$B$6)*FixedParams!$B$46/(FixedParams!$B$45*Sectors!$B$6)</f>
        <v>-0.13583785747320204</v>
      </c>
      <c r="E67">
        <f t="shared" si="9"/>
        <v>0.53539323133642414</v>
      </c>
      <c r="F67" s="24">
        <f>EXP(-$D$17)*(($B67*FixedParams!$B$30)^$B$10*(1+FixedParams!$B$23)^(1-$B$10)+(1-$B67)^$B$10*((1+FixedParams!$B$26)/$B$11)^(1-$B$10))^(1/(1-$B$10))</f>
        <v>4.7107787160851657</v>
      </c>
      <c r="G67" s="24">
        <f>EXP($D67-$D$17)*(($B67*FixedParams!$B$31)^$B$10*(1+FixedParams!$B$25)^(1-$B$10)+(1-$B67)^$B$10*((1+FixedParams!$B$28)/$B$11)^(1-$B$10))^(1/(1-$B$10))</f>
        <v>3.9759895859190961</v>
      </c>
      <c r="H67">
        <f t="shared" si="10"/>
        <v>1</v>
      </c>
      <c r="I67" s="24">
        <f>$B$12*IF(H67=1,1,FixedParams!$B$52)</f>
        <v>0.3745928365283252</v>
      </c>
      <c r="J67">
        <f>EXP($C67*FixedParams!$B$47)*EXP(IF(H67=1,(1-FixedParams!$B$47)*$D67,0))*($B67^((FixedParams!$B$47-1)*$B$10/($B$10-1)))*((1/$B67-1)^$B$10*(I67)^($B$10-1)+1)^((FixedParams!$B$47-$B$10)/($B$10-1))/((1+IF(H67=1,FixedParams!$B$25,FixedParams!$B$24))^FixedParams!$B$47)</f>
        <v>5.9008165152135215E-2</v>
      </c>
      <c r="K67">
        <f t="shared" si="38"/>
        <v>1.189756993124061</v>
      </c>
      <c r="L67">
        <f>K67*FixedParams!$B$8/K$15</f>
        <v>34.589959025729932</v>
      </c>
      <c r="M67">
        <f t="shared" si="0"/>
        <v>104.60366660084472</v>
      </c>
      <c r="N67">
        <f t="shared" si="11"/>
        <v>139.19362562657466</v>
      </c>
      <c r="O67" s="24">
        <f t="shared" si="12"/>
        <v>3.0241049584081527</v>
      </c>
      <c r="P67" s="24">
        <f t="shared" si="1"/>
        <v>1.5546718018287073</v>
      </c>
      <c r="Q67" s="23">
        <f>IF(H67=1,L67*(1+FixedParams!$B$25)+M67*FixedParams!$B$33*(1+FixedParams!$B$28)/FixedParams!$B$32,L67*(1+FixedParams!$B$23)+M67*FixedParams!$B$33*(1+FixedParams!$B$26)/FixedParams!$B$32)</f>
        <v>314.3862898116227</v>
      </c>
      <c r="R67" s="24">
        <f t="shared" si="2"/>
        <v>79.071205549686738</v>
      </c>
      <c r="S67" s="24">
        <f>R67^((FixedParams!$B$47-1)/FixedParams!$B$47)*EXP($C67)</f>
        <v>0.53305614975246252</v>
      </c>
      <c r="T67" s="7">
        <f>(L67*FixedParams!$B$32*(FixedParams!$C$25-FixedParams!$C$23)+FixedParams!$B$33*(FixedParams!$C$28-FixedParams!$C$26)*M67)/N67</f>
        <v>-1638.6182905941275</v>
      </c>
      <c r="U67" s="7">
        <f>(L67*FixedParams!$B$32*(FixedParams!$C$25-FixedParams!$C$23)*$Z$12/$B$11+FixedParams!$B$33*(FixedParams!$C$28-FixedParams!$C$26)*M67)/N67</f>
        <v>-1888.1976368872065</v>
      </c>
      <c r="V67" s="14">
        <f t="shared" si="13"/>
        <v>-2.0885307783272493</v>
      </c>
      <c r="W67" s="14">
        <f t="shared" si="46"/>
        <v>0.4583884685290831</v>
      </c>
      <c r="X67" s="73">
        <f t="shared" si="15"/>
        <v>0.9816968180934903</v>
      </c>
      <c r="Y67" s="24">
        <f>EXP(-$D$17)*(($B67*FixedParams!$B$30)^$B$10*(1+FixedParams!$C$24)^(1-$B$10)+(1-$B67)^$B$10*((1+FixedParams!$C$27)/$Z$12)^(1-$B$10))^(1/(1-$B$10))</f>
        <v>6.0572893706655133</v>
      </c>
      <c r="Z67" s="24">
        <f>EXP($D67-$D$17)*(($B67*FixedParams!$C$31)^$B$10*(1+FixedParams!$C$25)^(1-$B$10)+(1-$B67)^$B$10*((1+FixedParams!$C$28)/$Z$12)^(1-$B$10))^(1/(1-$B$10))</f>
        <v>4.7830331621948652</v>
      </c>
      <c r="AA67" s="24">
        <f>EXP($D67-$D$17)*(($B67*FixedParams!$C$30)^$B$10*(1+FixedParams!$C$23)^(1-$B$10)+(1-$B67)^$B$10*((1+FixedParams!$C$26)/$Z$12)^(1-$B$10))^(1/(1-$B$10))</f>
        <v>4.9083916413095974</v>
      </c>
      <c r="AB67">
        <f>IF(FixedParams!$I$6=1,IF(Z67&lt;=MIN(Y67:AA67),1,0),$H67)</f>
        <v>1</v>
      </c>
      <c r="AC67">
        <f>IF(FixedParams!$I$6=1,IF(AA67&lt;=MIN(Y67:AA67),1,0),IF(AA67&lt;=Y67,1,0)*(1-$H67))</f>
        <v>0</v>
      </c>
      <c r="AD67" s="24">
        <f>$Z$13*IF(AB67=1,1,IF(AC67=1,FixedParams!$C$52,FixedParams!$C$53))</f>
        <v>0.43187184563106507</v>
      </c>
      <c r="AE67">
        <f>EXP($C67*FixedParams!$B$47)*EXP(IF(AB67+AC67=1,(1-FixedParams!$B$47)*$D67,0))*($B67^((FixedParams!$B$47-1)*$B$10/($B$10-1)))*((1/$B67-1)^$B$10*(AD67)^($B$10-1)+1)^((FixedParams!$B$47-$B$10)/($B$10-1))/((1+IF(AB67=1,FixedParams!$C$25,IF(AC67=1,FixedParams!$C$23,FixedParams!$C$24)))^FixedParams!$B$47)</f>
        <v>4.054524756108472E-2</v>
      </c>
      <c r="AF67">
        <f t="shared" si="39"/>
        <v>1.1947541506741883</v>
      </c>
      <c r="AG67">
        <f t="shared" si="40"/>
        <v>28.062940306225052</v>
      </c>
      <c r="AH67">
        <f t="shared" si="3"/>
        <v>105.05655848849669</v>
      </c>
      <c r="AI67">
        <f t="shared" si="16"/>
        <v>133.11949879472175</v>
      </c>
      <c r="AJ67" s="24">
        <f t="shared" si="17"/>
        <v>3.7436048162491566</v>
      </c>
      <c r="AK67" s="24">
        <f t="shared" si="18"/>
        <v>1.5975035252442877</v>
      </c>
      <c r="AL67" s="23">
        <f>IF(AB67=1,AG67*(1+FixedParams!$C$25)+AH67*(1+FixedParams!$C$28)/$Z$12,IF(AC67=1,AG67*(1+FixedParams!$C$23)+AH67*(1+FixedParams!$C$26)/$Z$12,AG67*(1+FixedParams!$C$24)+AH67*(1+FixedParams!$C$27)/$Z$12))</f>
        <v>371.27793129196982</v>
      </c>
      <c r="AM67" s="24">
        <f t="shared" si="19"/>
        <v>77.623950890943803</v>
      </c>
      <c r="AN67" s="24">
        <f>AM67^((FixedParams!$B$47-1)/FixedParams!$B$47)*EXP($C67)</f>
        <v>0.53306600671746329</v>
      </c>
      <c r="AO67" s="24">
        <f t="shared" si="20"/>
        <v>-4.4618741937131688E-2</v>
      </c>
      <c r="AP67" s="24">
        <f t="shared" si="21"/>
        <v>-1.8472757509765389E-2</v>
      </c>
      <c r="AQ67" s="14">
        <f t="shared" si="22"/>
        <v>-2.1596753902091343</v>
      </c>
      <c r="AS67" s="24">
        <f>EXP(-$D$17)*(($B67*FixedParams!$B$30)^$B$10*(1+FixedParams!$D$24)^(1-$B$10)+(1-$B67)^$B$10*((1+FixedParams!$D$27)/$AT$12)^(1-$B$10))^(1/(1-$B$10))</f>
        <v>5.7303053462932239</v>
      </c>
      <c r="AT67" s="24">
        <f>EXP($D67-$D$17)*(($B67*FixedParams!$C$31)^$B$10*(1+FixedParams!$D$25)^(1-$B$10)+(1-$B67)^$B$10*((1+FixedParams!$D$28)/$AT$12)^(1-$B$10))^(1/(1-$B$10))</f>
        <v>4.6797870116467752</v>
      </c>
      <c r="AU67" s="24">
        <f>EXP($D67-$D$17)*(($B67*FixedParams!$C$30)^$B$10*(1+FixedParams!$D$23)^(1-$B$10)+(1-$B67)^$B$10*((1+FixedParams!$D$26)/$AT$12)^(1-$B$10))^(1/(1-$B$10))</f>
        <v>4.7600876082841177</v>
      </c>
      <c r="AV67">
        <f>IF(FixedParams!$I$6=1,IF(AT67&lt;=MIN(AS67:AU67),1,0),$H67)</f>
        <v>1</v>
      </c>
      <c r="AW67">
        <f>IF(FixedParams!$I$6=1,IF(AU67&lt;=MIN(AS67:AU67),1,0),IF(AU67&lt;=AS67,1,0)*(1-$H67))</f>
        <v>0</v>
      </c>
      <c r="AX67" s="24">
        <f>$AT$13*IF(AV67=1,1,IF(AW67=1,FixedParams!$D$52,FixedParams!$D$53))</f>
        <v>0.41089128090616783</v>
      </c>
      <c r="AY67">
        <f>EXP($C67*FixedParams!$B$47)*EXP(IF(AV67+AW67=1,(1-FixedParams!$B$47)*$D67,0))*($B67^((FixedParams!$B$47-1)*$B$10/($B$10-1)))*((1/$B67-1)^$B$10*(AX67)^($B$10-1)+1)^((FixedParams!$B$47-$B$10)/($B$10-1))/((1+IF(AV67=1,FixedParams!$D$25,IF(AW67=1,FixedParams!$D$23,FixedParams!$D$24)))^FixedParams!$B$47)</f>
        <v>4.4305387838894789E-2</v>
      </c>
      <c r="AZ67">
        <f t="shared" si="4"/>
        <v>1.1930369148468103</v>
      </c>
      <c r="BA67">
        <f t="shared" si="23"/>
        <v>30.016649217351468</v>
      </c>
      <c r="BB67">
        <f t="shared" si="5"/>
        <v>104.28221730159922</v>
      </c>
      <c r="BC67">
        <f t="shared" si="24"/>
        <v>134.29886651895069</v>
      </c>
      <c r="BD67" s="24">
        <f t="shared" si="25"/>
        <v>3.4741458497412059</v>
      </c>
      <c r="BE67" s="24">
        <f t="shared" si="26"/>
        <v>1.5847057854506439</v>
      </c>
      <c r="BF67" s="23">
        <f>IF(AV67=1,BA67*(1+FixedParams!$C$25)+BB67*(1+FixedParams!$C$28)/$AT$12,IF(AW67=1,BA67*(1+FixedParams!$C$23)+BB67*(1+FixedParams!$C$26)/$AT$12,BA67*(1+FixedParams!$C$24)+BB67*(1+FixedParams!$C$27)/$AT$12))</f>
        <v>366.97620433174677</v>
      </c>
      <c r="BG67" s="24">
        <f t="shared" si="27"/>
        <v>78.417287671092353</v>
      </c>
      <c r="BH67" s="24">
        <f>BG67^((FixedParams!$B$47-1)/FixedParams!$B$47)*EXP($C67)</f>
        <v>0.53306058089938424</v>
      </c>
      <c r="BI67" s="7"/>
      <c r="BJ67" s="24">
        <f>EXP(-$D$17)*(($B67*FixedParams!$B$30)^$B$10*(1+FixedParams!$C$24)^(1-$B$10)+(1-$B67)^$B$10*((1+FixedParams!$C$27)/$BK$12)^(1-$B$10))^(1/(1-$B$10))</f>
        <v>6.337895680279737</v>
      </c>
      <c r="BK67" s="24">
        <f>EXP($D67-$D$17)*(($B67*FixedParams!$C$31)^$B$10*(1+FixedParams!$C$25)^(1-$B$10)+(1-$B67)^$B$10*((1+FixedParams!$C$28)/$BK$12)^(1-$B$10))^(1/(1-$B$10))</f>
        <v>5.0034241695084418</v>
      </c>
      <c r="BL67" s="24">
        <f>EXP($D67-$D$17)*(($B67*FixedParams!$C$30)^$B$10*(1+FixedParams!$C$23)^(1-$B$10)+(1-$B67)^$B$10*((1+FixedParams!$C$26)/$BK$12)^(1-$B$10))^(1/(1-$B$10))</f>
        <v>5.1317993424315853</v>
      </c>
      <c r="BM67">
        <f>IF(FixedParams!$I$6=1,IF(BK67&lt;=MIN(BJ67:BL67),1,0),$H67)</f>
        <v>1</v>
      </c>
      <c r="BN67">
        <f>IF(FixedParams!$I$6=1,IF(BL67&lt;=MIN(BJ67:BL67),1,0),IF(BL67&lt;=BJ67,1,0)*(1-$H67))</f>
        <v>0</v>
      </c>
      <c r="BO67" s="24">
        <f>$BK$13*IF(BM67=1,1,IF(BN67=1,FixedParams!$C$52,FixedParams!$C$53))</f>
        <v>0.41068174962109105</v>
      </c>
      <c r="BP67">
        <f>EXP($C67*FixedParams!$B$47)*EXP(IF(BM67+BN67=1,(1-FixedParams!$B$47)*$D67,0))*($B67^((FixedParams!$B$47-1)*$B$10/($B$10-1)))*((1/$B67-1)^$B$10*(BO67)^($B$10-1)+1)^((FixedParams!$B$47-$B$10)/($B$10-1))/((1+IF(BM67=1,FixedParams!$C$25,IF(BN67=1,FixedParams!$C$23,FixedParams!$C$24)))^FixedParams!$B$47)</f>
        <v>4.1470711404481608E-2</v>
      </c>
      <c r="BQ67">
        <f t="shared" si="28"/>
        <v>1.1930191509187711</v>
      </c>
      <c r="BR67">
        <f t="shared" si="29"/>
        <v>30.426949936741515</v>
      </c>
      <c r="BS67">
        <f t="shared" si="6"/>
        <v>105.62681476986238</v>
      </c>
      <c r="BT67">
        <f t="shared" si="30"/>
        <v>136.05376470660389</v>
      </c>
      <c r="BU67" s="24">
        <f t="shared" si="31"/>
        <v>3.4714887620830712</v>
      </c>
      <c r="BV67" s="24">
        <f t="shared" si="32"/>
        <v>1.5891184365313045</v>
      </c>
      <c r="BW67" s="23">
        <f>IF(BM67=1,BR67*(1+FixedParams!$C$25)+BS67*(1+FixedParams!$C$28)/$BK$12,IF(BN67=1,BR67*(1+FixedParams!$C$23)+BS67*(1+FixedParams!$C$26)/$BK$12,BR67*(1+FixedParams!$C$24)+BS67*(1+FixedParams!$C$27)/$BK$12))</f>
        <v>393.58851576245951</v>
      </c>
      <c r="BX67" s="24">
        <f t="shared" si="33"/>
        <v>78.663831493848207</v>
      </c>
      <c r="BY67" s="24">
        <f>BX67^((FixedParams!$B$47-1)/FixedParams!$B$47)*EXP($C67)</f>
        <v>0.53305890591451321</v>
      </c>
      <c r="BZ67" s="24">
        <f t="shared" si="34"/>
        <v>-2.2815817599984755E-2</v>
      </c>
      <c r="CA67" s="24">
        <f t="shared" si="35"/>
        <v>-5.1653072039731787E-3</v>
      </c>
      <c r="CB67" s="24">
        <f t="shared" si="36"/>
        <v>1.2163148715434072E-2</v>
      </c>
      <c r="CC67" s="24"/>
      <c r="CD67" s="24">
        <f>EXP(-$D$17)*(($B67*FixedParams!$B$30)^$B$10*(1+FixedParams!$D$24)^(1-$B$10)+(1-$B67)^$B$10*((1+FixedParams!$D$27)/$CE$12)^(1-$B$10))^(1/(1-$B$10))</f>
        <v>5.977019730031417</v>
      </c>
      <c r="CE67" s="24">
        <f>EXP($D67-$D$17)*(($B67*FixedParams!$D$31)^$B$10*(1+FixedParams!$D$25)^(1-$B$10)+(1-$B67)^$B$10*((1+FixedParams!$D$28)/$CE$12)^(1-$B$10))^(1/(1-$B$10))</f>
        <v>4.8805246521855308</v>
      </c>
      <c r="CF67" s="24">
        <f>EXP($D67-$D$17)*(($B67*FixedParams!$D$30)^$B$10*(1+FixedParams!$D$23)^(1-$B$10)+(1-$B67)^$B$10*((1+FixedParams!$D$26)/$CE$12)^(1-$B$10))^(1/(1-$B$10))</f>
        <v>4.9622612192276456</v>
      </c>
      <c r="CG67">
        <f>IF(FixedParams!$I$6=1,IF(CE67&lt;=MIN(CD67:CF67),1,0),$H67)</f>
        <v>1</v>
      </c>
      <c r="CH67">
        <f>IF(FixedParams!$I$6=1,IF(CF67&lt;=MIN(CD67:CF67),1,0),IF(CF67&lt;=CD67,1,0)*(1-$H67))</f>
        <v>0</v>
      </c>
      <c r="CI67" s="24">
        <f>$CE$13*IF(CG67=1,1,IF(CH67=1,FixedParams!$D$52,FixedParams!$D$53))</f>
        <v>0.39201585704839609</v>
      </c>
      <c r="CJ67">
        <f>EXP($C67*FixedParams!$B$47)*EXP(IF(CG67+CH67=1,(1-FixedParams!$B$47)*$D67,0))*($B67^((FixedParams!$B$47-1)*$B$10/($B$10-1)))*((1/$B67-1)^$B$10*(CI67)^($B$10-1)+1)^((FixedParams!$B$47-$B$10)/($B$10-1))/((1+IF(CG67=1,FixedParams!$D$25,IF(CH67=1,FixedParams!$D$23,FixedParams!$D$24)))^FixedParams!$B$47)</f>
        <v>4.524754228541663E-2</v>
      </c>
      <c r="CK67">
        <f t="shared" si="37"/>
        <v>1.1913840861438239</v>
      </c>
      <c r="CL67">
        <f t="shared" si="41"/>
        <v>32.548948940060043</v>
      </c>
      <c r="CM67">
        <f t="shared" si="7"/>
        <v>105.37803094986387</v>
      </c>
      <c r="CN67">
        <f t="shared" si="42"/>
        <v>137.92697988992393</v>
      </c>
      <c r="CO67" s="24">
        <f t="shared" si="43"/>
        <v>3.237524847389726</v>
      </c>
      <c r="CP67" s="24">
        <f t="shared" si="44"/>
        <v>1.5767606587069685</v>
      </c>
      <c r="CQ67" s="23">
        <f>IF(CG67=1,CL67*(1+FixedParams!$D$25)+CM67*(1+FixedParams!$D$28)/$CE$12,IF(CH67=1,CL67*(1+FixedParams!$D$23)+CM67*(1+FixedParams!$D$26)/$CE$12,CL67*(1+FixedParams!$D$24)+CM67*(1+FixedParams!$D$27)/$CE$12))</f>
        <v>385.88389826335037</v>
      </c>
      <c r="CR67" s="24">
        <f t="shared" si="45"/>
        <v>79.066068868343706</v>
      </c>
      <c r="CS67" s="24">
        <f>CR67^((FixedParams!$B$47-1)/FixedParams!$B$47)*EXP($C67)</f>
        <v>0.53305618441703562</v>
      </c>
      <c r="CT67" s="24"/>
    </row>
    <row r="68" spans="1:98" x14ac:dyDescent="0.15">
      <c r="A68">
        <v>0.255</v>
      </c>
      <c r="B68">
        <f t="shared" si="8"/>
        <v>0.15340443286293048</v>
      </c>
      <c r="C68">
        <f>(D68-$D$17)*FixedParams!$B$47+$A68*$B$9</f>
        <v>-0.63724886603588904</v>
      </c>
      <c r="D68">
        <f>(A68-$B$6)*FixedParams!$B$46/(FixedParams!$B$45*Sectors!$B$6)</f>
        <v>-0.133121100323738</v>
      </c>
      <c r="E68">
        <f t="shared" si="9"/>
        <v>0.52874507344017219</v>
      </c>
      <c r="F68" s="24">
        <f>EXP(-$D$17)*(($B68*FixedParams!$B$30)^$B$10*(1+FixedParams!$B$23)^(1-$B$10)+(1-$B68)^$B$10*((1+FixedParams!$B$26)/$B$11)^(1-$B$10))^(1/(1-$B$10))</f>
        <v>4.7178934816661222</v>
      </c>
      <c r="G68" s="24">
        <f>EXP($D68-$D$17)*(($B68*FixedParams!$B$31)^$B$10*(1+FixedParams!$B$25)^(1-$B$10)+(1-$B68)^$B$10*((1+FixedParams!$B$28)/$B$11)^(1-$B$10))^(1/(1-$B$10))</f>
        <v>3.992537724787216</v>
      </c>
      <c r="H68">
        <f t="shared" si="10"/>
        <v>1</v>
      </c>
      <c r="I68" s="24">
        <f>$B$12*IF(H68=1,1,FixedParams!$B$52)</f>
        <v>0.3745928365283252</v>
      </c>
      <c r="J68">
        <f>EXP($C68*FixedParams!$B$47)*EXP(IF(H68=1,(1-FixedParams!$B$47)*$D68,0))*($B68^((FixedParams!$B$47-1)*$B$10/($B$10-1)))*((1/$B68-1)^$B$10*(I68)^($B$10-1)+1)^((FixedParams!$B$47-$B$10)/($B$10-1))/((1+IF(H68=1,FixedParams!$B$25,FixedParams!$B$24))^FixedParams!$B$47)</f>
        <v>5.9177998388980343E-2</v>
      </c>
      <c r="K68">
        <f t="shared" si="38"/>
        <v>1.1931812697590052</v>
      </c>
      <c r="L68">
        <f>K68*FixedParams!$B$8/K$15</f>
        <v>34.689513463468074</v>
      </c>
      <c r="M68">
        <f t="shared" si="0"/>
        <v>103.10851491458774</v>
      </c>
      <c r="N68">
        <f t="shared" si="11"/>
        <v>137.79802837805582</v>
      </c>
      <c r="O68" s="24">
        <f t="shared" si="12"/>
        <v>2.9723251962923176</v>
      </c>
      <c r="P68" s="24">
        <f t="shared" si="1"/>
        <v>1.5611423733216818</v>
      </c>
      <c r="Q68" s="23">
        <f>IF(H68=1,L68*(1+FixedParams!$B$25)+M68*FixedParams!$B$33*(1+FixedParams!$B$28)/FixedParams!$B$32,L68*(1+FixedParams!$B$23)+M68*FixedParams!$B$33*(1+FixedParams!$B$26)/FixedParams!$B$32)</f>
        <v>310.4876185665691</v>
      </c>
      <c r="R68" s="24">
        <f t="shared" si="2"/>
        <v>77.766984301473741</v>
      </c>
      <c r="S68" s="24">
        <f>R68^((FixedParams!$B$47-1)/FixedParams!$B$47)*EXP($C68)</f>
        <v>0.5264457766211017</v>
      </c>
      <c r="T68" s="7">
        <f>(L68*FixedParams!$B$32*(FixedParams!$C$25-FixedParams!$C$23)+FixedParams!$B$33*(FixedParams!$C$28-FixedParams!$C$26)*M68)/N68</f>
        <v>-1601.8690742154711</v>
      </c>
      <c r="U68" s="7">
        <f>(L68*FixedParams!$B$32*(FixedParams!$C$25-FixedParams!$C$23)*$Z$12/$B$11+FixedParams!$B$33*(FixedParams!$C$28-FixedParams!$C$26)*M68)/N68</f>
        <v>-1854.7017189021822</v>
      </c>
      <c r="V68" s="14">
        <f t="shared" si="13"/>
        <v>-2.0712601530311661</v>
      </c>
      <c r="W68" s="14">
        <f t="shared" si="46"/>
        <v>0.46514716856532973</v>
      </c>
      <c r="X68" s="73">
        <f t="shared" si="15"/>
        <v>0.9814654019980743</v>
      </c>
      <c r="Y68" s="24">
        <f>EXP(-$D$17)*(($B68*FixedParams!$B$30)^$B$10*(1+FixedParams!$C$24)^(1-$B$10)+(1-$B68)^$B$10*((1+FixedParams!$C$27)/$Z$12)^(1-$B$10))^(1/(1-$B$10))</f>
        <v>6.0684127379619648</v>
      </c>
      <c r="Z68" s="24">
        <f>EXP($D68-$D$17)*(($B68*FixedParams!$C$31)^$B$10*(1+FixedParams!$C$25)^(1-$B$10)+(1-$B68)^$B$10*((1+FixedParams!$C$28)/$Z$12)^(1-$B$10))^(1/(1-$B$10))</f>
        <v>4.8040738319184486</v>
      </c>
      <c r="AA68" s="24">
        <f>EXP($D68-$D$17)*(($B68*FixedParams!$C$30)^$B$10*(1+FixedParams!$C$23)^(1-$B$10)+(1-$B68)^$B$10*((1+FixedParams!$C$26)/$Z$12)^(1-$B$10))^(1/(1-$B$10))</f>
        <v>4.9281701011406192</v>
      </c>
      <c r="AB68">
        <f>IF(FixedParams!$I$6=1,IF(Z68&lt;=MIN(Y68:AA68),1,0),$H68)</f>
        <v>1</v>
      </c>
      <c r="AC68">
        <f>IF(FixedParams!$I$6=1,IF(AA68&lt;=MIN(Y68:AA68),1,0),IF(AA68&lt;=Y68,1,0)*(1-$H68))</f>
        <v>0</v>
      </c>
      <c r="AD68" s="24">
        <f>$Z$13*IF(AB68=1,1,IF(AC68=1,FixedParams!$C$52,FixedParams!$C$53))</f>
        <v>0.43187184563106507</v>
      </c>
      <c r="AE68">
        <f>EXP($C68*FixedParams!$B$47)*EXP(IF(AB68+AC68=1,(1-FixedParams!$B$47)*$D68,0))*($B68^((FixedParams!$B$47-1)*$B$10/($B$10-1)))*((1/$B68-1)^$B$10*(AD68)^($B$10-1)+1)^((FixedParams!$B$47-$B$10)/($B$10-1))/((1+IF(AB68=1,FixedParams!$C$25,IF(AC68=1,FixedParams!$C$23,FixedParams!$C$24)))^FixedParams!$B$47)</f>
        <v>4.0666749977705981E-2</v>
      </c>
      <c r="AF68">
        <f t="shared" si="39"/>
        <v>1.1983344843830031</v>
      </c>
      <c r="AG68">
        <f t="shared" si="40"/>
        <v>28.147036846998848</v>
      </c>
      <c r="AH68">
        <f t="shared" si="3"/>
        <v>103.5671777552446</v>
      </c>
      <c r="AI68">
        <f t="shared" si="16"/>
        <v>131.71421460224346</v>
      </c>
      <c r="AJ68" s="24">
        <f t="shared" si="17"/>
        <v>3.6795055308384037</v>
      </c>
      <c r="AK68" s="24">
        <f t="shared" si="18"/>
        <v>1.6045309789367688</v>
      </c>
      <c r="AL68" s="23">
        <f>IF(AB68=1,AG68*(1+FixedParams!$C$25)+AH68*(1+FixedParams!$C$28)/$Z$12,IF(AC68=1,AG68*(1+FixedParams!$C$23)+AH68*(1+FixedParams!$C$26)/$Z$12,AG68*(1+FixedParams!$C$24)+AH68*(1+FixedParams!$C$27)/$Z$12))</f>
        <v>366.67383933004072</v>
      </c>
      <c r="AM68" s="24">
        <f t="shared" si="19"/>
        <v>76.325604509623858</v>
      </c>
      <c r="AN68" s="24">
        <f>AM68^((FixedParams!$B$47-1)/FixedParams!$B$47)*EXP($C68)</f>
        <v>0.52645563559153885</v>
      </c>
      <c r="AO68" s="24">
        <f t="shared" si="20"/>
        <v>-4.5154516020710189E-2</v>
      </c>
      <c r="AP68" s="24">
        <f t="shared" si="21"/>
        <v>-1.8708516016239785E-2</v>
      </c>
      <c r="AQ68" s="14">
        <f t="shared" si="22"/>
        <v>-2.1424047649130507</v>
      </c>
      <c r="AS68" s="24">
        <f>EXP(-$D$17)*(($B68*FixedParams!$B$30)^$B$10*(1+FixedParams!$D$24)^(1-$B$10)+(1-$B68)^$B$10*((1+FixedParams!$D$27)/$AT$12)^(1-$B$10))^(1/(1-$B$10))</f>
        <v>5.7400764583817177</v>
      </c>
      <c r="AT68" s="24">
        <f>EXP($D68-$D$17)*(($B68*FixedParams!$C$31)^$B$10*(1+FixedParams!$D$25)^(1-$B$10)+(1-$B68)^$B$10*((1+FixedParams!$D$28)/$AT$12)^(1-$B$10))^(1/(1-$B$10))</f>
        <v>4.6999923112955582</v>
      </c>
      <c r="AU68" s="24">
        <f>EXP($D68-$D$17)*(($B68*FixedParams!$C$30)^$B$10*(1+FixedParams!$D$23)^(1-$B$10)+(1-$B68)^$B$10*((1+FixedParams!$D$26)/$AT$12)^(1-$B$10))^(1/(1-$B$10))</f>
        <v>4.7792223022388605</v>
      </c>
      <c r="AV68">
        <f>IF(FixedParams!$I$6=1,IF(AT68&lt;=MIN(AS68:AU68),1,0),$H68)</f>
        <v>1</v>
      </c>
      <c r="AW68">
        <f>IF(FixedParams!$I$6=1,IF(AU68&lt;=MIN(AS68:AU68),1,0),IF(AU68&lt;=AS68,1,0)*(1-$H68))</f>
        <v>0</v>
      </c>
      <c r="AX68" s="24">
        <f>$AT$13*IF(AV68=1,1,IF(AW68=1,FixedParams!$D$52,FixedParams!$D$53))</f>
        <v>0.41089128090616783</v>
      </c>
      <c r="AY68">
        <f>EXP($C68*FixedParams!$B$47)*EXP(IF(AV68+AW68=1,(1-FixedParams!$B$47)*$D68,0))*($B68^((FixedParams!$B$47-1)*$B$10/($B$10-1)))*((1/$B68-1)^$B$10*(AX68)^($B$10-1)+1)^((FixedParams!$B$47-$B$10)/($B$10-1))/((1+IF(AV68=1,FixedParams!$D$25,IF(AW68=1,FixedParams!$D$23,FixedParams!$D$24)))^FixedParams!$B$47)</f>
        <v>4.4436352762429986E-2</v>
      </c>
      <c r="AZ68">
        <f t="shared" si="4"/>
        <v>1.1965634834189156</v>
      </c>
      <c r="BA68">
        <f t="shared" si="23"/>
        <v>30.105377210972197</v>
      </c>
      <c r="BB68">
        <f t="shared" si="5"/>
        <v>102.79963737703996</v>
      </c>
      <c r="BC68">
        <f t="shared" si="24"/>
        <v>132.90501458801216</v>
      </c>
      <c r="BD68" s="24">
        <f t="shared" si="25"/>
        <v>3.414660333157149</v>
      </c>
      <c r="BE68" s="24">
        <f t="shared" si="26"/>
        <v>1.5915478607781111</v>
      </c>
      <c r="BF68" s="23">
        <f>IF(AV68=1,BA68*(1+FixedParams!$C$25)+BB68*(1+FixedParams!$C$28)/$AT$12,IF(AW68=1,BA68*(1+FixedParams!$C$23)+BB68*(1+FixedParams!$C$26)/$AT$12,BA68*(1+FixedParams!$C$24)+BB68*(1+FixedParams!$C$27)/$AT$12))</f>
        <v>362.46428313883041</v>
      </c>
      <c r="BG68" s="24">
        <f t="shared" si="27"/>
        <v>77.120186402797913</v>
      </c>
      <c r="BH68" s="24">
        <f>BG68^((FixedParams!$B$47-1)/FixedParams!$B$47)*EXP($C68)</f>
        <v>0.52645017786713744</v>
      </c>
      <c r="BI68" s="7"/>
      <c r="BJ68" s="24">
        <f>EXP(-$D$17)*(($B68*FixedParams!$B$30)^$B$10*(1+FixedParams!$C$24)^(1-$B$10)+(1-$B68)^$B$10*((1+FixedParams!$C$27)/$BK$12)^(1-$B$10))^(1/(1-$B$10))</f>
        <v>6.3490348396985974</v>
      </c>
      <c r="BK68" s="24">
        <f>EXP($D68-$D$17)*(($B68*FixedParams!$C$31)^$B$10*(1+FixedParams!$C$25)^(1-$B$10)+(1-$B68)^$B$10*((1+FixedParams!$C$28)/$BK$12)^(1-$B$10))^(1/(1-$B$10))</f>
        <v>5.0250225790238909</v>
      </c>
      <c r="BL68" s="24">
        <f>EXP($D68-$D$17)*(($B68*FixedParams!$C$30)^$B$10*(1+FixedParams!$C$23)^(1-$B$10)+(1-$B68)^$B$10*((1+FixedParams!$C$26)/$BK$12)^(1-$B$10))^(1/(1-$B$10))</f>
        <v>5.1520183679618903</v>
      </c>
      <c r="BM68">
        <f>IF(FixedParams!$I$6=1,IF(BK68&lt;=MIN(BJ68:BL68),1,0),$H68)</f>
        <v>1</v>
      </c>
      <c r="BN68">
        <f>IF(FixedParams!$I$6=1,IF(BL68&lt;=MIN(BJ68:BL68),1,0),IF(BL68&lt;=BJ68,1,0)*(1-$H68))</f>
        <v>0</v>
      </c>
      <c r="BO68" s="24">
        <f>$BK$13*IF(BM68=1,1,IF(BN68=1,FixedParams!$C$52,FixedParams!$C$53))</f>
        <v>0.41068174962109105</v>
      </c>
      <c r="BP68">
        <f>EXP($C68*FixedParams!$B$47)*EXP(IF(BM68+BN68=1,(1-FixedParams!$B$47)*$D68,0))*($B68^((FixedParams!$B$47-1)*$B$10/($B$10-1)))*((1/$B68-1)^$B$10*(BO68)^($B$10-1)+1)^((FixedParams!$B$47-$B$10)/($B$10-1))/((1+IF(BM68=1,FixedParams!$C$25,IF(BN68=1,FixedParams!$C$23,FixedParams!$C$24)))^FixedParams!$B$47)</f>
        <v>4.1593279658026325E-2</v>
      </c>
      <c r="BQ68">
        <f t="shared" si="28"/>
        <v>1.1965451640692886</v>
      </c>
      <c r="BR68">
        <f t="shared" si="29"/>
        <v>30.516877936241325</v>
      </c>
      <c r="BS68">
        <f t="shared" si="6"/>
        <v>104.12507494358823</v>
      </c>
      <c r="BT68">
        <f t="shared" si="30"/>
        <v>134.64195287982955</v>
      </c>
      <c r="BU68" s="24">
        <f t="shared" si="31"/>
        <v>3.4120487410650573</v>
      </c>
      <c r="BV68" s="24">
        <f t="shared" si="32"/>
        <v>1.5959782248678438</v>
      </c>
      <c r="BW68" s="23">
        <f>IF(BM68=1,BR68*(1+FixedParams!$C$25)+BS68*(1+FixedParams!$C$28)/$BK$12,IF(BN68=1,BR68*(1+FixedParams!$C$23)+BS68*(1+FixedParams!$C$26)/$BK$12,BR68*(1+FixedParams!$C$24)+BS68*(1+FixedParams!$C$27)/$BK$12))</f>
        <v>388.7077259432761</v>
      </c>
      <c r="BX68" s="24">
        <f t="shared" si="33"/>
        <v>77.35442375241675</v>
      </c>
      <c r="BY68" s="24">
        <f>BX68^((FixedParams!$B$47-1)/FixedParams!$B$47)*EXP($C68)</f>
        <v>0.5264485797062588</v>
      </c>
      <c r="BZ68" s="24">
        <f t="shared" si="34"/>
        <v>-2.3169996393221665E-2</v>
      </c>
      <c r="CA68" s="24">
        <f t="shared" si="35"/>
        <v>-5.3192080574892353E-3</v>
      </c>
      <c r="CB68" s="24">
        <f t="shared" si="36"/>
        <v>1.2009247861918017E-2</v>
      </c>
      <c r="CC68" s="24"/>
      <c r="CD68" s="24">
        <f>EXP(-$D$17)*(($B68*FixedParams!$B$30)^$B$10*(1+FixedParams!$D$24)^(1-$B$10)+(1-$B68)^$B$10*((1+FixedParams!$D$27)/$CE$12)^(1-$B$10))^(1/(1-$B$10))</f>
        <v>5.9867567700830158</v>
      </c>
      <c r="CE68" s="24">
        <f>EXP($D68-$D$17)*(($B68*FixedParams!$D$31)^$B$10*(1+FixedParams!$D$25)^(1-$B$10)+(1-$B68)^$B$10*((1+FixedParams!$D$28)/$CE$12)^(1-$B$10))^(1/(1-$B$10))</f>
        <v>4.901214066224699</v>
      </c>
      <c r="CF68" s="24">
        <f>EXP($D68-$D$17)*(($B68*FixedParams!$D$30)^$B$10*(1+FixedParams!$D$23)^(1-$B$10)+(1-$B68)^$B$10*((1+FixedParams!$D$26)/$CE$12)^(1-$B$10))^(1/(1-$B$10))</f>
        <v>4.9817925414780007</v>
      </c>
      <c r="CG68">
        <f>IF(FixedParams!$I$6=1,IF(CE68&lt;=MIN(CD68:CF68),1,0),$H68)</f>
        <v>1</v>
      </c>
      <c r="CH68">
        <f>IF(FixedParams!$I$6=1,IF(CF68&lt;=MIN(CD68:CF68),1,0),IF(CF68&lt;=CD68,1,0)*(1-$H68))</f>
        <v>0</v>
      </c>
      <c r="CI68" s="24">
        <f>$CE$13*IF(CG68=1,1,IF(CH68=1,FixedParams!$D$52,FixedParams!$D$53))</f>
        <v>0.39201585704839609</v>
      </c>
      <c r="CJ68">
        <f>EXP($C68*FixedParams!$B$47)*EXP(IF(CG68+CH68=1,(1-FixedParams!$B$47)*$D68,0))*($B68^((FixedParams!$B$47-1)*$B$10/($B$10-1)))*((1/$B68-1)^$B$10*(CI68)^($B$10-1)+1)^((FixedParams!$B$47-$B$10)/($B$10-1))/((1+IF(CG68=1,FixedParams!$D$25,IF(CH68=1,FixedParams!$D$23,FixedParams!$D$24)))^FixedParams!$B$47)</f>
        <v>4.5379517530645945E-2</v>
      </c>
      <c r="CK68">
        <f t="shared" si="37"/>
        <v>1.1948590418870404</v>
      </c>
      <c r="CL68">
        <f t="shared" si="41"/>
        <v>32.643885710133091</v>
      </c>
      <c r="CM68">
        <f t="shared" si="7"/>
        <v>103.87580959410823</v>
      </c>
      <c r="CN68">
        <f t="shared" si="42"/>
        <v>136.51969530424134</v>
      </c>
      <c r="CO68" s="24">
        <f t="shared" si="43"/>
        <v>3.1820908367493708</v>
      </c>
      <c r="CP68" s="24">
        <f t="shared" si="44"/>
        <v>1.583444828224287</v>
      </c>
      <c r="CQ68" s="23">
        <f>IF(CG68=1,CL68*(1+FixedParams!$D$25)+CM68*(1+FixedParams!$D$28)/$CE$12,IF(CH68=1,CL68*(1+FixedParams!$D$23)+CM68*(1+FixedParams!$D$26)/$CE$12,CL68*(1+FixedParams!$D$24)+CM68*(1+FixedParams!$D$27)/$CE$12))</f>
        <v>381.09862199420832</v>
      </c>
      <c r="CR68" s="24">
        <f t="shared" si="45"/>
        <v>77.755963490850021</v>
      </c>
      <c r="CS68" s="24">
        <f>CR68^((FixedParams!$B$47-1)/FixedParams!$B$47)*EXP($C68)</f>
        <v>0.52644585130676558</v>
      </c>
      <c r="CT68" s="24"/>
    </row>
    <row r="69" spans="1:98" x14ac:dyDescent="0.15">
      <c r="A69">
        <v>0.26</v>
      </c>
      <c r="B69">
        <f t="shared" si="8"/>
        <v>0.15490571547518059</v>
      </c>
      <c r="C69">
        <f>(D69-$D$17)*FixedParams!$B$47+$A69*$B$9</f>
        <v>-0.64974394184051432</v>
      </c>
      <c r="D69">
        <f>(A69-$B$6)*FixedParams!$B$46/(FixedParams!$B$45*Sectors!$B$6)</f>
        <v>-0.13040434317427393</v>
      </c>
      <c r="E69">
        <f t="shared" si="9"/>
        <v>0.5221794679574111</v>
      </c>
      <c r="F69" s="24">
        <f>EXP(-$D$17)*(($B69*FixedParams!$B$30)^$B$10*(1+FixedParams!$B$23)^(1-$B$10)+(1-$B69)^$B$10*((1+FixedParams!$B$26)/$B$11)^(1-$B$10))^(1/(1-$B$10))</f>
        <v>4.7249875100511645</v>
      </c>
      <c r="G69" s="24">
        <f>EXP($D69-$D$17)*(($B69*FixedParams!$B$31)^$B$10*(1+FixedParams!$B$25)^(1-$B$10)+(1-$B69)^$B$10*((1+FixedParams!$B$28)/$B$11)^(1-$B$10))^(1/(1-$B$10))</f>
        <v>4.009124088261367</v>
      </c>
      <c r="H69">
        <f t="shared" si="10"/>
        <v>1</v>
      </c>
      <c r="I69" s="24">
        <f>$B$12*IF(H69=1,1,FixedParams!$B$52)</f>
        <v>0.3745928365283252</v>
      </c>
      <c r="J69">
        <f>EXP($C69*FixedParams!$B$47)*EXP(IF(H69=1,(1-FixedParams!$B$47)*$D69,0))*($B69^((FixedParams!$B$47-1)*$B$10/($B$10-1)))*((1/$B69-1)^$B$10*(I69)^($B$10-1)+1)^((FixedParams!$B$47-$B$10)/($B$10-1))/((1+IF(H69=1,FixedParams!$B$25,FixedParams!$B$24))^FixedParams!$B$47)</f>
        <v>5.9346560479148075E-2</v>
      </c>
      <c r="K69">
        <f t="shared" si="38"/>
        <v>1.196579916794303</v>
      </c>
      <c r="L69">
        <f>K69*FixedParams!$B$8/K$15</f>
        <v>34.788322768539004</v>
      </c>
      <c r="M69">
        <f t="shared" si="0"/>
        <v>101.63172023272861</v>
      </c>
      <c r="N69">
        <f t="shared" si="11"/>
        <v>136.42004300126763</v>
      </c>
      <c r="O69" s="24">
        <f t="shared" si="12"/>
        <v>2.9214320250196071</v>
      </c>
      <c r="P69" s="24">
        <f t="shared" si="1"/>
        <v>1.5676278912112322</v>
      </c>
      <c r="Q69" s="23">
        <f>IF(H69=1,L69*(1+FixedParams!$B$25)+M69*FixedParams!$B$33*(1+FixedParams!$B$28)/FixedParams!$B$32,L69*(1+FixedParams!$B$23)+M69*FixedParams!$B$33*(1+FixedParams!$B$26)/FixedParams!$B$32)</f>
        <v>306.63729198854418</v>
      </c>
      <c r="R69" s="24">
        <f t="shared" si="2"/>
        <v>76.484859345304841</v>
      </c>
      <c r="S69" s="24">
        <f>R69^((FixedParams!$B$47-1)/FixedParams!$B$47)*EXP($C69)</f>
        <v>0.51991737405557881</v>
      </c>
      <c r="T69" s="7">
        <f>(L69*FixedParams!$B$32*(FixedParams!$C$25-FixedParams!$C$23)+FixedParams!$B$33*(FixedParams!$C$28-FixedParams!$C$26)*M69)/N69</f>
        <v>-1564.8033786856779</v>
      </c>
      <c r="U69" s="7">
        <f>(L69*FixedParams!$B$32*(FixedParams!$C$25-FixedParams!$C$23)*$Z$12/$B$11+FixedParams!$B$33*(FixedParams!$C$28-FixedParams!$C$26)*M69)/N69</f>
        <v>-1820.9173387202709</v>
      </c>
      <c r="V69" s="14">
        <f t="shared" si="13"/>
        <v>-2.0539895277350828</v>
      </c>
      <c r="W69" s="14">
        <f t="shared" si="46"/>
        <v>0.4718382813514127</v>
      </c>
      <c r="X69" s="73">
        <f t="shared" si="15"/>
        <v>0.9812308907899352</v>
      </c>
      <c r="Y69" s="24">
        <f>EXP(-$D$17)*(($B69*FixedParams!$B$30)^$B$10*(1+FixedParams!$C$24)^(1-$B$10)+(1-$B69)^$B$10*((1+FixedParams!$C$27)/$Z$12)^(1-$B$10))^(1/(1-$B$10))</f>
        <v>6.0795432036626771</v>
      </c>
      <c r="Z69" s="24">
        <f>EXP($D69-$D$17)*(($B69*FixedParams!$C$31)^$B$10*(1+FixedParams!$C$25)^(1-$B$10)+(1-$B69)^$B$10*((1+FixedParams!$C$28)/$Z$12)^(1-$B$10))^(1/(1-$B$10))</f>
        <v>4.8251856763254413</v>
      </c>
      <c r="AA69" s="24">
        <f>EXP($D69-$D$17)*(($B69*FixedParams!$C$30)^$B$10*(1+FixedParams!$C$23)^(1-$B$10)+(1-$B69)^$B$10*((1+FixedParams!$C$26)/$Z$12)^(1-$B$10))^(1/(1-$B$10))</f>
        <v>4.9479816650039217</v>
      </c>
      <c r="AB69">
        <f>IF(FixedParams!$I$6=1,IF(Z69&lt;=MIN(Y69:AA69),1,0),$H69)</f>
        <v>1</v>
      </c>
      <c r="AC69">
        <f>IF(FixedParams!$I$6=1,IF(AA69&lt;=MIN(Y69:AA69),1,0),IF(AA69&lt;=Y69,1,0)*(1-$H69))</f>
        <v>0</v>
      </c>
      <c r="AD69" s="24">
        <f>$Z$13*IF(AB69=1,1,IF(AC69=1,FixedParams!$C$52,FixedParams!$C$53))</f>
        <v>0.43187184563106507</v>
      </c>
      <c r="AE69">
        <f>EXP($C69*FixedParams!$B$47)*EXP(IF(AB69+AC69=1,(1-FixedParams!$B$47)*$D69,0))*($B69^((FixedParams!$B$47-1)*$B$10/($B$10-1)))*((1/$B69-1)^$B$10*(AD69)^($B$10-1)+1)^((FixedParams!$B$47-$B$10)/($B$10-1))/((1+IF(AB69=1,FixedParams!$C$25,IF(AC69=1,FixedParams!$C$23,FixedParams!$C$24)))^FixedParams!$B$47)</f>
        <v>4.0787472591618218E-2</v>
      </c>
      <c r="AF69">
        <f t="shared" si="39"/>
        <v>1.2018918395042064</v>
      </c>
      <c r="AG69">
        <f t="shared" si="40"/>
        <v>28.23059365603612</v>
      </c>
      <c r="AH69">
        <f t="shared" si="3"/>
        <v>102.09604853808163</v>
      </c>
      <c r="AI69">
        <f t="shared" si="16"/>
        <v>130.32664219411777</v>
      </c>
      <c r="AJ69" s="24">
        <f t="shared" si="17"/>
        <v>3.6165037753732103</v>
      </c>
      <c r="AK69" s="24">
        <f t="shared" si="18"/>
        <v>1.6115822045337711</v>
      </c>
      <c r="AL69" s="23">
        <f>IF(AB69=1,AG69*(1+FixedParams!$C$25)+AH69*(1+FixedParams!$C$28)/$Z$12,IF(AC69=1,AG69*(1+FixedParams!$C$23)+AH69*(1+FixedParams!$C$26)/$Z$12,AG69*(1+FixedParams!$C$24)+AH69*(1+FixedParams!$C$27)/$Z$12))</f>
        <v>362.12683954938689</v>
      </c>
      <c r="AM69" s="24">
        <f t="shared" si="19"/>
        <v>75.049306667336367</v>
      </c>
      <c r="AN69" s="24">
        <f>AM69^((FixedParams!$B$47-1)/FixedParams!$B$47)*EXP($C69)</f>
        <v>0.51992723513643013</v>
      </c>
      <c r="AO69" s="24">
        <f t="shared" si="20"/>
        <v>-4.5694746103541357E-2</v>
      </c>
      <c r="AP69" s="24">
        <f t="shared" si="21"/>
        <v>-1.8947484429352731E-2</v>
      </c>
      <c r="AQ69" s="14">
        <f t="shared" si="22"/>
        <v>-2.1251341396169678</v>
      </c>
      <c r="AS69" s="24">
        <f>EXP(-$D$17)*(($B69*FixedParams!$B$30)^$B$10*(1+FixedParams!$D$24)^(1-$B$10)+(1-$B69)^$B$10*((1+FixedParams!$D$27)/$AT$12)^(1-$B$10))^(1/(1-$B$10))</f>
        <v>5.749841208963832</v>
      </c>
      <c r="AT69" s="24">
        <f>EXP($D69-$D$17)*(($B69*FixedParams!$C$31)^$B$10*(1+FixedParams!$D$25)^(1-$B$10)+(1-$B69)^$B$10*((1+FixedParams!$D$28)/$AT$12)^(1-$B$10))^(1/(1-$B$10))</f>
        <v>4.7202586876014276</v>
      </c>
      <c r="AU69" s="24">
        <f>EXP($D69-$D$17)*(($B69*FixedParams!$C$30)^$B$10*(1+FixedParams!$D$23)^(1-$B$10)+(1-$B69)^$B$10*((1+FixedParams!$D$26)/$AT$12)^(1-$B$10))^(1/(1-$B$10))</f>
        <v>4.7983881101201602</v>
      </c>
      <c r="AV69">
        <f>IF(FixedParams!$I$6=1,IF(AT69&lt;=MIN(AS69:AU69),1,0),$H69)</f>
        <v>1</v>
      </c>
      <c r="AW69">
        <f>IF(FixedParams!$I$6=1,IF(AU69&lt;=MIN(AS69:AU69),1,0),IF(AU69&lt;=AS69,1,0)*(1-$H69))</f>
        <v>0</v>
      </c>
      <c r="AX69" s="24">
        <f>$AT$13*IF(AV69=1,1,IF(AW69=1,FixedParams!$D$52,FixedParams!$D$53))</f>
        <v>0.41089128090616783</v>
      </c>
      <c r="AY69">
        <f>EXP($C69*FixedParams!$B$47)*EXP(IF(AV69+AW69=1,(1-FixedParams!$B$47)*$D69,0))*($B69^((FixedParams!$B$47-1)*$B$10/($B$10-1)))*((1/$B69-1)^$B$10*(AX69)^($B$10-1)+1)^((FixedParams!$B$47-$B$10)/($B$10-1))/((1+IF(AV69=1,FixedParams!$D$25,IF(AW69=1,FixedParams!$D$23,FixedParams!$D$24)))^FixedParams!$B$47)</f>
        <v>4.456643012102561E-2</v>
      </c>
      <c r="AZ69">
        <f t="shared" si="4"/>
        <v>1.2000661520143163</v>
      </c>
      <c r="BA69">
        <f t="shared" si="23"/>
        <v>30.193503884375492</v>
      </c>
      <c r="BB69">
        <f t="shared" si="5"/>
        <v>101.33523688915039</v>
      </c>
      <c r="BC69">
        <f t="shared" si="24"/>
        <v>131.5287407735259</v>
      </c>
      <c r="BD69" s="24">
        <f t="shared" si="25"/>
        <v>3.3561933479866597</v>
      </c>
      <c r="BE69" s="24">
        <f t="shared" si="26"/>
        <v>1.598410618357057</v>
      </c>
      <c r="BF69" s="23">
        <f>IF(AV69=1,BA69*(1+FixedParams!$C$25)+BB69*(1+FixedParams!$C$28)/$AT$12,IF(AW69=1,BA69*(1+FixedParams!$C$23)+BB69*(1+FixedParams!$C$26)/$AT$12,BA69*(1+FixedParams!$C$24)+BB69*(1+FixedParams!$C$27)/$AT$12))</f>
        <v>358.00835320523345</v>
      </c>
      <c r="BG69" s="24">
        <f t="shared" si="27"/>
        <v>75.845070556324387</v>
      </c>
      <c r="BH69" s="24">
        <f>BG69^((FixedParams!$B$47-1)/FixedParams!$B$47)*EXP($C69)</f>
        <v>0.51992174579835326</v>
      </c>
      <c r="BI69" s="7"/>
      <c r="BJ69" s="24">
        <f>EXP(-$D$17)*(($B69*FixedParams!$B$30)^$B$10*(1+FixedParams!$C$24)^(1-$B$10)+(1-$B69)^$B$10*((1+FixedParams!$C$27)/$BK$12)^(1-$B$10))^(1/(1-$B$10))</f>
        <v>6.360172697943109</v>
      </c>
      <c r="BK69" s="24">
        <f>EXP($D69-$D$17)*(($B69*FixedParams!$C$31)^$B$10*(1+FixedParams!$C$25)^(1-$B$10)+(1-$B69)^$B$10*((1+FixedParams!$C$28)/$BK$12)^(1-$B$10))^(1/(1-$B$10))</f>
        <v>5.0466861948832573</v>
      </c>
      <c r="BL69" s="24">
        <f>EXP($D69-$D$17)*(($B69*FixedParams!$C$30)^$B$10*(1+FixedParams!$C$23)^(1-$B$10)+(1-$B69)^$B$10*((1+FixedParams!$C$26)/$BK$12)^(1-$B$10))^(1/(1-$B$10))</f>
        <v>5.1722622057075824</v>
      </c>
      <c r="BM69">
        <f>IF(FixedParams!$I$6=1,IF(BK69&lt;=MIN(BJ69:BL69),1,0),$H69)</f>
        <v>1</v>
      </c>
      <c r="BN69">
        <f>IF(FixedParams!$I$6=1,IF(BL69&lt;=MIN(BJ69:BL69),1,0),IF(BL69&lt;=BJ69,1,0)*(1-$H69))</f>
        <v>0</v>
      </c>
      <c r="BO69" s="24">
        <f>$BK$13*IF(BM69=1,1,IF(BN69=1,FixedParams!$C$52,FixedParams!$C$53))</f>
        <v>0.41068174962109105</v>
      </c>
      <c r="BP69">
        <f>EXP($C69*FixedParams!$B$47)*EXP(IF(BM69+BN69=1,(1-FixedParams!$B$47)*$D69,0))*($B69^((FixedParams!$B$47-1)*$B$10/($B$10-1)))*((1/$B69-1)^$B$10*(BO69)^($B$10-1)+1)^((FixedParams!$B$47-$B$10)/($B$10-1))/((1+IF(BM69=1,FixedParams!$C$25,IF(BN69=1,FixedParams!$C$23,FixedParams!$C$24)))^FixedParams!$B$47)</f>
        <v>4.1715016791682658E-2</v>
      </c>
      <c r="BQ69">
        <f t="shared" si="28"/>
        <v>1.2000472677687748</v>
      </c>
      <c r="BR69">
        <f t="shared" si="29"/>
        <v>30.606196145304004</v>
      </c>
      <c r="BS69">
        <f t="shared" si="6"/>
        <v>102.64174961449858</v>
      </c>
      <c r="BT69">
        <f t="shared" si="30"/>
        <v>133.24794575980258</v>
      </c>
      <c r="BU69" s="24">
        <f t="shared" si="31"/>
        <v>3.3536264724699283</v>
      </c>
      <c r="BV69" s="24">
        <f t="shared" si="32"/>
        <v>1.6028587231421754</v>
      </c>
      <c r="BW69" s="23">
        <f>IF(BM69=1,BR69*(1+FixedParams!$C$25)+BS69*(1+FixedParams!$C$28)/$BK$12,IF(BN69=1,BR69*(1+FixedParams!$C$23)+BS69*(1+FixedParams!$C$26)/$BK$12,BR69*(1+FixedParams!$C$24)+BS69*(1+FixedParams!$C$27)/$BK$12))</f>
        <v>383.88745940963025</v>
      </c>
      <c r="BX69" s="24">
        <f t="shared" si="33"/>
        <v>76.067233940332315</v>
      </c>
      <c r="BY69" s="24">
        <f>BX69^((FixedParams!$B$47-1)/FixedParams!$B$47)*EXP($C69)</f>
        <v>0.51992022356338741</v>
      </c>
      <c r="BZ69" s="24">
        <f t="shared" si="34"/>
        <v>-2.352703094849929E-2</v>
      </c>
      <c r="CA69" s="24">
        <f t="shared" si="35"/>
        <v>-5.4751978719907056E-3</v>
      </c>
      <c r="CB69" s="24">
        <f t="shared" si="36"/>
        <v>1.1853258047416545E-2</v>
      </c>
      <c r="CC69" s="24"/>
      <c r="CD69" s="24">
        <f>EXP(-$D$17)*(($B69*FixedParams!$B$30)^$B$10*(1+FixedParams!$D$24)^(1-$B$10)+(1-$B69)^$B$10*((1+FixedParams!$D$27)/$CE$12)^(1-$B$10))^(1/(1-$B$10))</f>
        <v>5.9964794089582671</v>
      </c>
      <c r="CE69" s="24">
        <f>EXP($D69-$D$17)*(($B69*FixedParams!$D$31)^$B$10*(1+FixedParams!$D$25)^(1-$B$10)+(1-$B69)^$B$10*((1+FixedParams!$D$28)/$CE$12)^(1-$B$10))^(1/(1-$B$10))</f>
        <v>4.9219586773848611</v>
      </c>
      <c r="CF69" s="24">
        <f>EXP($D69-$D$17)*(($B69*FixedParams!$D$30)^$B$10*(1+FixedParams!$D$23)^(1-$B$10)+(1-$B69)^$B$10*((1+FixedParams!$D$26)/$CE$12)^(1-$B$10))^(1/(1-$B$10))</f>
        <v>5.0013474384300958</v>
      </c>
      <c r="CG69">
        <f>IF(FixedParams!$I$6=1,IF(CE69&lt;=MIN(CD69:CF69),1,0),$H69)</f>
        <v>1</v>
      </c>
      <c r="CH69">
        <f>IF(FixedParams!$I$6=1,IF(CF69&lt;=MIN(CD69:CF69),1,0),IF(CF69&lt;=CD69,1,0)*(1-$H69))</f>
        <v>0</v>
      </c>
      <c r="CI69" s="24">
        <f>$CE$13*IF(CG69=1,1,IF(CH69=1,FixedParams!$D$52,FixedParams!$D$53))</f>
        <v>0.39201585704839609</v>
      </c>
      <c r="CJ69">
        <f>EXP($C69*FixedParams!$B$47)*EXP(IF(CG69+CH69=1,(1-FixedParams!$B$47)*$D69,0))*($B69^((FixedParams!$B$47-1)*$B$10/($B$10-1)))*((1/$B69-1)^$B$10*(CI69)^($B$10-1)+1)^((FixedParams!$B$47-$B$10)/($B$10-1))/((1+IF(CG69=1,FixedParams!$D$25,IF(CH69=1,FixedParams!$D$23,FixedParams!$D$24)))^FixedParams!$B$47)</f>
        <v>4.5510551789022836E-2</v>
      </c>
      <c r="CK69">
        <f t="shared" si="37"/>
        <v>1.1983092211074973</v>
      </c>
      <c r="CL69">
        <f t="shared" si="41"/>
        <v>32.738145578622849</v>
      </c>
      <c r="CM69">
        <f t="shared" si="7"/>
        <v>102.39202009037514</v>
      </c>
      <c r="CN69">
        <f t="shared" si="42"/>
        <v>135.13016566899799</v>
      </c>
      <c r="CO69" s="24">
        <f t="shared" si="43"/>
        <v>3.1276059862484833</v>
      </c>
      <c r="CP69" s="24">
        <f t="shared" si="44"/>
        <v>1.5901468303835977</v>
      </c>
      <c r="CQ69" s="23">
        <f>IF(CG69=1,CL69*(1+FixedParams!$D$25)+CM69*(1+FixedParams!$D$28)/$CE$12,IF(CH69=1,CL69*(1+FixedParams!$D$23)+CM69*(1+FixedParams!$D$26)/$CE$12,CL69*(1+FixedParams!$D$24)+CM69*(1+FixedParams!$D$27)/$CE$12))</f>
        <v>376.37268458271058</v>
      </c>
      <c r="CR69" s="24">
        <f t="shared" si="45"/>
        <v>76.468070793045584</v>
      </c>
      <c r="CS69" s="24">
        <f>CR69^((FixedParams!$B$47-1)/FixedParams!$B$47)*EXP($C69)</f>
        <v>0.51991748830508533</v>
      </c>
      <c r="CT69" s="24"/>
    </row>
    <row r="70" spans="1:98" x14ac:dyDescent="0.15">
      <c r="A70">
        <v>0.26500000000000001</v>
      </c>
      <c r="B70">
        <f t="shared" si="8"/>
        <v>0.15641897572685995</v>
      </c>
      <c r="C70">
        <f>(D70-$D$17)*FixedParams!$B$47+$A70*$B$9</f>
        <v>-0.66223901764513959</v>
      </c>
      <c r="D70">
        <f>(A70-$B$6)*FixedParams!$B$46/(FixedParams!$B$45*Sectors!$B$6)</f>
        <v>-0.1276875860248099</v>
      </c>
      <c r="E70">
        <f t="shared" si="9"/>
        <v>0.51569538980704632</v>
      </c>
      <c r="F70" s="24">
        <f>EXP(-$D$17)*(($B70*FixedParams!$B$30)^$B$10*(1+FixedParams!$B$23)^(1-$B$10)+(1-$B70)^$B$10*((1+FixedParams!$B$26)/$B$11)^(1-$B$10))^(1/(1-$B$10))</f>
        <v>4.7320588937008781</v>
      </c>
      <c r="G70" s="24">
        <f>EXP($D70-$D$17)*(($B70*FixedParams!$B$31)^$B$10*(1+FixedParams!$B$25)^(1-$B$10)+(1-$B70)^$B$10*((1+FixedParams!$B$28)/$B$11)^(1-$B$10))^(1/(1-$B$10))</f>
        <v>4.0257470294878814</v>
      </c>
      <c r="H70">
        <f t="shared" si="10"/>
        <v>1</v>
      </c>
      <c r="I70" s="24">
        <f>$B$12*IF(H70=1,1,FixedParams!$B$52)</f>
        <v>0.3745928365283252</v>
      </c>
      <c r="J70">
        <f>EXP($C70*FixedParams!$B$47)*EXP(IF(H70=1,(1-FixedParams!$B$47)*$D70,0))*($B70^((FixedParams!$B$47-1)*$B$10/($B$10-1)))*((1/$B70-1)^$B$10*(I70)^($B$10-1)+1)^((FixedParams!$B$47-$B$10)/($B$10-1))/((1+IF(H70=1,FixedParams!$B$25,FixedParams!$B$24))^FixedParams!$B$47)</f>
        <v>5.9513814010198361E-2</v>
      </c>
      <c r="K70">
        <f t="shared" si="38"/>
        <v>1.1999521798985484</v>
      </c>
      <c r="L70">
        <f>K70*FixedParams!$B$8/K$15</f>
        <v>34.886365010168142</v>
      </c>
      <c r="M70">
        <f t="shared" si="0"/>
        <v>100.1730665665536</v>
      </c>
      <c r="N70">
        <f t="shared" si="11"/>
        <v>135.05943157672175</v>
      </c>
      <c r="O70" s="24">
        <f t="shared" si="12"/>
        <v>2.8714102640775758</v>
      </c>
      <c r="P70" s="24">
        <f t="shared" si="1"/>
        <v>1.5741277115527745</v>
      </c>
      <c r="Q70" s="23">
        <f>IF(H70=1,L70*(1+FixedParams!$B$25)+M70*FixedParams!$B$33*(1+FixedParams!$B$28)/FixedParams!$B$32,L70*(1+FixedParams!$B$23)+M70*FixedParams!$B$33*(1+FixedParams!$B$26)/FixedParams!$B$32)</f>
        <v>302.83471050185489</v>
      </c>
      <c r="R70" s="24">
        <f t="shared" si="2"/>
        <v>75.224475925497671</v>
      </c>
      <c r="S70" s="24">
        <f>R70^((FixedParams!$B$47-1)/FixedParams!$B$47)*EXP($C70)</f>
        <v>0.51346992544823289</v>
      </c>
      <c r="T70" s="7">
        <f>(L70*FixedParams!$B$32*(FixedParams!$C$25-FixedParams!$C$23)+FixedParams!$B$33*(FixedParams!$C$28-FixedParams!$C$26)*M70)/N70</f>
        <v>-1527.4226972131823</v>
      </c>
      <c r="U70" s="7">
        <f>(L70*FixedParams!$B$32*(FixedParams!$C$25-FixedParams!$C$23)*$Z$12/$B$11+FixedParams!$B$33*(FixedParams!$C$28-FixedParams!$C$26)*M70)/N70</f>
        <v>-1786.8458573606235</v>
      </c>
      <c r="V70" s="14">
        <f t="shared" si="13"/>
        <v>-2.0367189024389987</v>
      </c>
      <c r="W70" s="14">
        <f t="shared" si="46"/>
        <v>0.47846265904271501</v>
      </c>
      <c r="X70" s="73">
        <f t="shared" si="15"/>
        <v>0.98099325764144507</v>
      </c>
      <c r="Y70" s="24">
        <f>EXP(-$D$17)*(($B70*FixedParams!$B$30)^$B$10*(1+FixedParams!$C$24)^(1-$B$10)+(1-$B70)^$B$10*((1+FixedParams!$C$27)/$Z$12)^(1-$B$10))^(1/(1-$B$10))</f>
        <v>6.0906786976004961</v>
      </c>
      <c r="Z70" s="24">
        <f>EXP($D70-$D$17)*(($B70*FixedParams!$C$31)^$B$10*(1+FixedParams!$C$25)^(1-$B$10)+(1-$B70)^$B$10*((1+FixedParams!$C$28)/$Z$12)^(1-$B$10))^(1/(1-$B$10))</f>
        <v>4.8463670966402859</v>
      </c>
      <c r="AA70" s="24">
        <f>EXP($D70-$D$17)*(($B70*FixedParams!$C$30)^$B$10*(1+FixedParams!$C$23)^(1-$B$10)+(1-$B70)^$B$10*((1+FixedParams!$C$26)/$Z$12)^(1-$B$10))^(1/(1-$B$10))</f>
        <v>4.9678241001042105</v>
      </c>
      <c r="AB70">
        <f>IF(FixedParams!$I$6=1,IF(Z70&lt;=MIN(Y70:AA70),1,0),$H70)</f>
        <v>1</v>
      </c>
      <c r="AC70">
        <f>IF(FixedParams!$I$6=1,IF(AA70&lt;=MIN(Y70:AA70),1,0),IF(AA70&lt;=Y70,1,0)*(1-$H70))</f>
        <v>0</v>
      </c>
      <c r="AD70" s="24">
        <f>$Z$13*IF(AB70=1,1,IF(AC70=1,FixedParams!$C$52,FixedParams!$C$53))</f>
        <v>0.43187184563106507</v>
      </c>
      <c r="AE70">
        <f>EXP($C70*FixedParams!$B$47)*EXP(IF(AB70+AC70=1,(1-FixedParams!$B$47)*$D70,0))*($B70^((FixedParams!$B$47-1)*$B$10/($B$10-1)))*((1/$B70-1)^$B$10*(AD70)^($B$10-1)+1)^((FixedParams!$B$47-$B$10)/($B$10-1))/((1+IF(AB70=1,FixedParams!$C$25,IF(AC70=1,FixedParams!$C$23,FixedParams!$C$24)))^FixedParams!$B$47)</f>
        <v>4.0907390568997476E-2</v>
      </c>
      <c r="AF70">
        <f t="shared" si="39"/>
        <v>1.2054254842550116</v>
      </c>
      <c r="AG70">
        <f t="shared" si="40"/>
        <v>28.313593544882956</v>
      </c>
      <c r="AH70">
        <f t="shared" si="3"/>
        <v>100.64295479228444</v>
      </c>
      <c r="AI70">
        <f t="shared" si="16"/>
        <v>128.95654833716739</v>
      </c>
      <c r="AJ70" s="24">
        <f t="shared" si="17"/>
        <v>3.5545807575694814</v>
      </c>
      <c r="AK70" s="24">
        <f t="shared" si="18"/>
        <v>1.6186566680541365</v>
      </c>
      <c r="AL70" s="23">
        <f>IF(AB70=1,AG70*(1+FixedParams!$C$25)+AH70*(1+FixedParams!$C$28)/$Z$12,IF(AC70=1,AG70*(1+FixedParams!$C$23)+AH70*(1+FixedParams!$C$26)/$Z$12,AG70*(1+FixedParams!$C$24)+AH70*(1+FixedParams!$C$27)/$Z$12))</f>
        <v>357.63622388176981</v>
      </c>
      <c r="AM70" s="24">
        <f t="shared" si="19"/>
        <v>73.794703692524422</v>
      </c>
      <c r="AN70" s="24">
        <f>AM70^((FixedParams!$B$47-1)/FixedParams!$B$47)*EXP($C70)</f>
        <v>0.51347978873607547</v>
      </c>
      <c r="AO70" s="24">
        <f t="shared" si="20"/>
        <v>-4.623940244100249E-2</v>
      </c>
      <c r="AP70" s="24">
        <f t="shared" si="21"/>
        <v>-1.9189692384893198E-2</v>
      </c>
      <c r="AQ70" s="14">
        <f t="shared" si="22"/>
        <v>-2.1078635143208837</v>
      </c>
      <c r="AS70" s="24">
        <f>EXP(-$D$17)*(($B70*FixedParams!$B$30)^$B$10*(1+FixedParams!$D$24)^(1-$B$10)+(1-$B70)^$B$10*((1+FixedParams!$D$27)/$AT$12)^(1-$B$10))^(1/(1-$B$10))</f>
        <v>5.7595974835738266</v>
      </c>
      <c r="AT70" s="24">
        <f>EXP($D70-$D$17)*(($B70*FixedParams!$C$31)^$B$10*(1+FixedParams!$D$25)^(1-$B$10)+(1-$B70)^$B$10*((1+FixedParams!$D$28)/$AT$12)^(1-$B$10))^(1/(1-$B$10))</f>
        <v>4.7405844428321871</v>
      </c>
      <c r="AU70" s="24">
        <f>EXP($D70-$D$17)*(($B70*FixedParams!$C$30)^$B$10*(1+FixedParams!$D$23)^(1-$B$10)+(1-$B70)^$B$10*((1+FixedParams!$D$26)/$AT$12)^(1-$B$10))^(1/(1-$B$10))</f>
        <v>4.817582852942583</v>
      </c>
      <c r="AV70">
        <f>IF(FixedParams!$I$6=1,IF(AT70&lt;=MIN(AS70:AU70),1,0),$H70)</f>
        <v>1</v>
      </c>
      <c r="AW70">
        <f>IF(FixedParams!$I$6=1,IF(AU70&lt;=MIN(AS70:AU70),1,0),IF(AU70&lt;=AS70,1,0)*(1-$H70))</f>
        <v>0</v>
      </c>
      <c r="AX70" s="24">
        <f>$AT$13*IF(AV70=1,1,IF(AW70=1,FixedParams!$D$52,FixedParams!$D$53))</f>
        <v>0.41089128090616783</v>
      </c>
      <c r="AY70">
        <f>EXP($C70*FixedParams!$B$47)*EXP(IF(AV70+AW70=1,(1-FixedParams!$B$47)*$D70,0))*($B70^((FixedParams!$B$47-1)*$B$10/($B$10-1)))*((1/$B70-1)^$B$10*(AX70)^($B$10-1)+1)^((FixedParams!$B$47-$B$10)/($B$10-1))/((1+IF(AV70=1,FixedParams!$D$25,IF(AW70=1,FixedParams!$D$23,FixedParams!$D$24)))^FixedParams!$B$47)</f>
        <v>4.4695592435800784E-2</v>
      </c>
      <c r="AZ70">
        <f t="shared" si="4"/>
        <v>1.2035441806932248</v>
      </c>
      <c r="BA70">
        <f t="shared" si="23"/>
        <v>30.281010620775248</v>
      </c>
      <c r="BB70">
        <f t="shared" si="5"/>
        <v>99.888801087349393</v>
      </c>
      <c r="BC70">
        <f t="shared" si="24"/>
        <v>130.16981170812466</v>
      </c>
      <c r="BD70" s="24">
        <f t="shared" si="25"/>
        <v>3.298727454585598</v>
      </c>
      <c r="BE70" s="24">
        <f t="shared" si="26"/>
        <v>1.6052934832882333</v>
      </c>
      <c r="BF70" s="23">
        <f>IF(AV70=1,BA70*(1+FixedParams!$C$25)+BB70*(1+FixedParams!$C$28)/$AT$12,IF(AW70=1,BA70*(1+FixedParams!$C$23)+BB70*(1+FixedParams!$C$26)/$AT$12,BA70*(1+FixedParams!$C$24)+BB70*(1+FixedParams!$C$27)/$AT$12))</f>
        <v>353.60771792027407</v>
      </c>
      <c r="BG70" s="24">
        <f t="shared" si="27"/>
        <v>74.591587215566349</v>
      </c>
      <c r="BH70" s="24">
        <f>BG70^((FixedParams!$B$47-1)/FixedParams!$B$47)*EXP($C70)</f>
        <v>0.51347426807901841</v>
      </c>
      <c r="BI70" s="7"/>
      <c r="BJ70" s="24">
        <f>EXP(-$D$17)*(($B70*FixedParams!$B$30)^$B$10*(1+FixedParams!$C$24)^(1-$B$10)+(1-$B70)^$B$10*((1+FixedParams!$C$27)/$BK$12)^(1-$B$10))^(1/(1-$B$10))</f>
        <v>6.3713069833842422</v>
      </c>
      <c r="BK70" s="24">
        <f>EXP($D70-$D$17)*(($B70*FixedParams!$C$31)^$B$10*(1+FixedParams!$C$25)^(1-$B$10)+(1-$B70)^$B$10*((1+FixedParams!$C$28)/$BK$12)^(1-$B$10))^(1/(1-$B$10))</f>
        <v>5.0684132004980942</v>
      </c>
      <c r="BL70" s="24">
        <f>EXP($D70-$D$17)*(($B70*FixedParams!$C$30)^$B$10*(1+FixedParams!$C$23)^(1-$B$10)+(1-$B70)^$B$10*((1+FixedParams!$C$26)/$BK$12)^(1-$B$10))^(1/(1-$B$10))</f>
        <v>5.1925283882547335</v>
      </c>
      <c r="BM70">
        <f>IF(FixedParams!$I$6=1,IF(BK70&lt;=MIN(BJ70:BL70),1,0),$H70)</f>
        <v>1</v>
      </c>
      <c r="BN70">
        <f>IF(FixedParams!$I$6=1,IF(BL70&lt;=MIN(BJ70:BL70),1,0),IF(BL70&lt;=BJ70,1,0)*(1-$H70))</f>
        <v>0</v>
      </c>
      <c r="BO70" s="24">
        <f>$BK$13*IF(BM70=1,1,IF(BN70=1,FixedParams!$C$52,FixedParams!$C$53))</f>
        <v>0.41068174962109105</v>
      </c>
      <c r="BP70">
        <f>EXP($C70*FixedParams!$B$47)*EXP(IF(BM70+BN70=1,(1-FixedParams!$B$47)*$D70,0))*($B70^((FixedParams!$B$47-1)*$B$10/($B$10-1)))*((1/$B70-1)^$B$10*(BO70)^($B$10-1)+1)^((FixedParams!$B$47-$B$10)/($B$10-1))/((1+IF(BM70=1,FixedParams!$C$25,IF(BN70=1,FixedParams!$C$23,FixedParams!$C$24)))^FixedParams!$B$47)</f>
        <v>4.1835897081441593E-2</v>
      </c>
      <c r="BQ70">
        <f t="shared" si="28"/>
        <v>1.203524721995312</v>
      </c>
      <c r="BR70">
        <f t="shared" si="29"/>
        <v>30.694885690293013</v>
      </c>
      <c r="BS70">
        <f t="shared" si="6"/>
        <v>101.17662125992094</v>
      </c>
      <c r="BT70">
        <f t="shared" si="30"/>
        <v>131.87150695021396</v>
      </c>
      <c r="BU70" s="24">
        <f t="shared" si="31"/>
        <v>3.29620452999169</v>
      </c>
      <c r="BV70" s="24">
        <f t="shared" si="32"/>
        <v>1.6097593543945818</v>
      </c>
      <c r="BW70" s="23">
        <f>IF(BM70=1,BR70*(1+FixedParams!$C$25)+BS70*(1+FixedParams!$C$28)/$BK$12,IF(BN70=1,BR70*(1+FixedParams!$C$23)+BS70*(1+FixedParams!$C$26)/$BK$12,BR70*(1+FixedParams!$C$24)+BS70*(1+FixedParams!$C$27)/$BK$12))</f>
        <v>379.12696554184879</v>
      </c>
      <c r="BX70" s="24">
        <f t="shared" si="33"/>
        <v>74.801905555882925</v>
      </c>
      <c r="BY70" s="24">
        <f>BX70^((FixedParams!$B$47-1)/FixedParams!$B$47)*EXP($C70)</f>
        <v>0.51347282087975832</v>
      </c>
      <c r="BZ70" s="24">
        <f t="shared" si="34"/>
        <v>-2.3886899167345776E-2</v>
      </c>
      <c r="CA70" s="24">
        <f t="shared" si="35"/>
        <v>-5.6332957301202732E-3</v>
      </c>
      <c r="CB70" s="24">
        <f t="shared" si="36"/>
        <v>1.1695160189286978E-2</v>
      </c>
      <c r="CC70" s="24"/>
      <c r="CD70" s="24">
        <f>EXP(-$D$17)*(($B70*FixedParams!$B$30)^$B$10*(1+FixedParams!$D$24)^(1-$B$10)+(1-$B70)^$B$10*((1+FixedParams!$D$27)/$CE$12)^(1-$B$10))^(1/(1-$B$10))</f>
        <v>6.0061853534891005</v>
      </c>
      <c r="CE70" s="24">
        <f>EXP($D70-$D$17)*(($B70*FixedParams!$D$31)^$B$10*(1+FixedParams!$D$25)^(1-$B$10)+(1-$B70)^$B$10*((1+FixedParams!$D$28)/$CE$12)^(1-$B$10))^(1/(1-$B$10))</f>
        <v>4.9427565862183513</v>
      </c>
      <c r="CF70" s="24">
        <f>EXP($D70-$D$17)*(($B70*FixedParams!$D$30)^$B$10*(1+FixedParams!$D$23)^(1-$B$10)+(1-$B70)^$B$10*((1+FixedParams!$D$26)/$CE$12)^(1-$B$10))^(1/(1-$B$10))</f>
        <v>5.0209235186230838</v>
      </c>
      <c r="CG70">
        <f>IF(FixedParams!$I$6=1,IF(CE70&lt;=MIN(CD70:CF70),1,0),$H70)</f>
        <v>1</v>
      </c>
      <c r="CH70">
        <f>IF(FixedParams!$I$6=1,IF(CF70&lt;=MIN(CD70:CF70),1,0),IF(CF70&lt;=CD70,1,0)*(1-$H70))</f>
        <v>0</v>
      </c>
      <c r="CI70" s="24">
        <f>$CE$13*IF(CG70=1,1,IF(CH70=1,FixedParams!$D$52,FixedParams!$D$53))</f>
        <v>0.39201585704839609</v>
      </c>
      <c r="CJ70">
        <f>EXP($C70*FixedParams!$B$47)*EXP(IF(CG70+CH70=1,(1-FixedParams!$B$47)*$D70,0))*($B70^((FixedParams!$B$47-1)*$B$10/($B$10-1)))*((1/$B70-1)^$B$10*(CI70)^($B$10-1)+1)^((FixedParams!$B$47-$B$10)/($B$10-1))/((1+IF(CG70=1,FixedParams!$D$25,IF(CH70=1,FixedParams!$D$23,FixedParams!$D$24)))^FixedParams!$B$47)</f>
        <v>4.5640616675612825E-2</v>
      </c>
      <c r="CK70">
        <f t="shared" si="37"/>
        <v>1.2017338764196457</v>
      </c>
      <c r="CL70">
        <f t="shared" si="41"/>
        <v>32.831708126745525</v>
      </c>
      <c r="CM70">
        <f t="shared" si="7"/>
        <v>100.92644513981779</v>
      </c>
      <c r="CN70">
        <f t="shared" si="42"/>
        <v>133.75815326656331</v>
      </c>
      <c r="CO70" s="24">
        <f t="shared" si="43"/>
        <v>3.0740540440416684</v>
      </c>
      <c r="CP70" s="24">
        <f t="shared" si="44"/>
        <v>1.5968660515266231</v>
      </c>
      <c r="CQ70" s="23">
        <f>IF(CG70=1,CL70*(1+FixedParams!$D$25)+CM70*(1+FixedParams!$D$28)/$CE$12,IF(CH70=1,CL70*(1+FixedParams!$D$23)+CM70*(1+FixedParams!$D$26)/$CE$12,CL70*(1+FixedParams!$D$24)+CM70*(1+FixedParams!$D$27)/$CE$12))</f>
        <v>371.70535010033518</v>
      </c>
      <c r="CR70" s="24">
        <f t="shared" si="45"/>
        <v>75.202034252858653</v>
      </c>
      <c r="CS70" s="24">
        <f>CR70^((FixedParams!$B$47-1)/FixedParams!$B$47)*EXP($C70)</f>
        <v>0.51347007880764317</v>
      </c>
      <c r="CT70" s="24"/>
    </row>
    <row r="71" spans="1:98" x14ac:dyDescent="0.15">
      <c r="A71">
        <v>0.27</v>
      </c>
      <c r="B71">
        <f t="shared" si="8"/>
        <v>0.1579442560268125</v>
      </c>
      <c r="C71">
        <f>(D71-$D$17)*FixedParams!$B$47+$A71*$B$9</f>
        <v>-0.67473409344976487</v>
      </c>
      <c r="D71">
        <f>(A71-$B$6)*FixedParams!$B$46/(FixedParams!$B$45*Sectors!$B$6)</f>
        <v>-0.12497082887534586</v>
      </c>
      <c r="E71">
        <f t="shared" si="9"/>
        <v>0.5092918266367602</v>
      </c>
      <c r="F71" s="24">
        <f>EXP(-$D$17)*(($B71*FixedParams!$B$30)^$B$10*(1+FixedParams!$B$23)^(1-$B$10)+(1-$B71)^$B$10*((1+FixedParams!$B$26)/$B$11)^(1-$B$10))^(1/(1-$B$10))</f>
        <v>4.7391056878248747</v>
      </c>
      <c r="G71" s="24">
        <f>EXP($D71-$D$17)*(($B71*FixedParams!$B$31)^$B$10*(1+FixedParams!$B$25)^(1-$B$10)+(1-$B71)^$B$10*((1+FixedParams!$B$28)/$B$11)^(1-$B$10))^(1/(1-$B$10))</f>
        <v>4.0424048519821163</v>
      </c>
      <c r="H71">
        <f t="shared" si="10"/>
        <v>1</v>
      </c>
      <c r="I71" s="24">
        <f>$B$12*IF(H71=1,1,FixedParams!$B$52)</f>
        <v>0.3745928365283252</v>
      </c>
      <c r="J71">
        <f>EXP($C71*FixedParams!$B$47)*EXP(IF(H71=1,(1-FixedParams!$B$47)*$D71,0))*($B71^((FixedParams!$B$47-1)*$B$10/($B$10-1)))*((1/$B71-1)^$B$10*(I71)^($B$10-1)+1)^((FixedParams!$B$47-$B$10)/($B$10-1))/((1+IF(H71=1,FixedParams!$B$25,FixedParams!$B$24))^FixedParams!$B$47)</f>
        <v>5.9679721168397822E-2</v>
      </c>
      <c r="K71">
        <f t="shared" si="38"/>
        <v>1.2032972966492259</v>
      </c>
      <c r="L71">
        <f>K71*FixedParams!$B$8/K$15</f>
        <v>34.983618022347045</v>
      </c>
      <c r="M71">
        <f t="shared" si="0"/>
        <v>98.732340796385827</v>
      </c>
      <c r="N71">
        <f t="shared" si="11"/>
        <v>133.71595881873287</v>
      </c>
      <c r="O71" s="24">
        <f t="shared" si="12"/>
        <v>2.8222449928797242</v>
      </c>
      <c r="P71" s="24">
        <f t="shared" si="1"/>
        <v>1.5806411709952666</v>
      </c>
      <c r="Q71" s="23">
        <f>IF(H71=1,L71*(1+FixedParams!$B$25)+M71*FixedParams!$B$33*(1+FixedParams!$B$28)/FixedParams!$B$32,L71*(1+FixedParams!$B$23)+M71*FixedParams!$B$33*(1+FixedParams!$B$26)/FixedParams!$B$32)</f>
        <v>299.07928196766568</v>
      </c>
      <c r="R71" s="24">
        <f t="shared" si="2"/>
        <v>73.985484610978006</v>
      </c>
      <c r="S71" s="24">
        <f>R71^((FixedParams!$B$47-1)/FixedParams!$B$47)*EXP($C71)</f>
        <v>0.50710242680093198</v>
      </c>
      <c r="T71" s="7">
        <f>(L71*FixedParams!$B$32*(FixedParams!$C$25-FixedParams!$C$23)+FixedParams!$B$33*(FixedParams!$C$28-FixedParams!$C$26)*M71)/N71</f>
        <v>-1489.7286432337642</v>
      </c>
      <c r="U71" s="7">
        <f>(L71*FixedParams!$B$32*(FixedParams!$C$25-FixedParams!$C$23)*$Z$12/$B$11+FixedParams!$B$33*(FixedParams!$C$28-FixedParams!$C$26)*M71)/N71</f>
        <v>-1752.4887454263683</v>
      </c>
      <c r="V71" s="14">
        <f t="shared" si="13"/>
        <v>-2.0194482771429154</v>
      </c>
      <c r="W71" s="14">
        <f t="shared" si="46"/>
        <v>0.48502114225435755</v>
      </c>
      <c r="X71" s="73">
        <f t="shared" si="15"/>
        <v>0.98075247594978898</v>
      </c>
      <c r="Y71" s="24">
        <f>EXP(-$D$17)*(($B71*FixedParams!$B$30)^$B$10*(1+FixedParams!$C$24)^(1-$B$10)+(1-$B71)^$B$10*((1+FixedParams!$C$27)/$Z$12)^(1-$B$10))^(1/(1-$B$10))</f>
        <v>6.1018170988450802</v>
      </c>
      <c r="Z71" s="24">
        <f>EXP($D71-$D$17)*(($B71*FixedParams!$C$31)^$B$10*(1+FixedParams!$C$25)^(1-$B$10)+(1-$B71)^$B$10*((1+FixedParams!$C$28)/$Z$12)^(1-$B$10))^(1/(1-$B$10))</f>
        <v>4.8676164353127804</v>
      </c>
      <c r="AA71" s="24">
        <f>EXP($D71-$D$17)*(($B71*FixedParams!$C$30)^$B$10*(1+FixedParams!$C$23)^(1-$B$10)+(1-$B71)^$B$10*((1+FixedParams!$C$26)/$Z$12)^(1-$B$10))^(1/(1-$B$10))</f>
        <v>4.987695112497617</v>
      </c>
      <c r="AB71">
        <f>IF(FixedParams!$I$6=1,IF(Z71&lt;=MIN(Y71:AA71),1,0),$H71)</f>
        <v>1</v>
      </c>
      <c r="AC71">
        <f>IF(FixedParams!$I$6=1,IF(AA71&lt;=MIN(Y71:AA71),1,0),IF(AA71&lt;=Y71,1,0)*(1-$H71))</f>
        <v>0</v>
      </c>
      <c r="AD71" s="24">
        <f>$Z$13*IF(AB71=1,1,IF(AC71=1,FixedParams!$C$52,FixedParams!$C$53))</f>
        <v>0.43187184563106507</v>
      </c>
      <c r="AE71">
        <f>EXP($C71*FixedParams!$B$47)*EXP(IF(AB71+AC71=1,(1-FixedParams!$B$47)*$D71,0))*($B71^((FixedParams!$B$47-1)*$B$10/($B$10-1)))*((1/$B71-1)^$B$10*(AD71)^($B$10-1)+1)^((FixedParams!$B$47-$B$10)/($B$10-1))/((1+IF(AB71=1,FixedParams!$C$25,IF(AC71=1,FixedParams!$C$23,FixedParams!$C$24)))^FixedParams!$B$47)</f>
        <v>4.1026478783147337E-2</v>
      </c>
      <c r="AF71">
        <f t="shared" si="39"/>
        <v>1.2089346782225059</v>
      </c>
      <c r="AG71">
        <f t="shared" si="40"/>
        <v>28.396019122377027</v>
      </c>
      <c r="AH71">
        <f t="shared" si="3"/>
        <v>99.207683332439572</v>
      </c>
      <c r="AI71">
        <f t="shared" si="16"/>
        <v>127.6037024548166</v>
      </c>
      <c r="AJ71" s="24">
        <f t="shared" si="17"/>
        <v>3.4937180069110658</v>
      </c>
      <c r="AK71" s="24">
        <f t="shared" si="18"/>
        <v>1.625753815886338</v>
      </c>
      <c r="AL71" s="23">
        <f>IF(AB71=1,AG71*(1+FixedParams!$C$25)+AH71*(1+FixedParams!$C$28)/$Z$12,IF(AC71=1,AG71*(1+FixedParams!$C$23)+AH71*(1+FixedParams!$C$26)/$Z$12,AG71*(1+FixedParams!$C$24)+AH71*(1+FixedParams!$C$27)/$Z$12))</f>
        <v>353.20129304141642</v>
      </c>
      <c r="AM71" s="24">
        <f t="shared" si="19"/>
        <v>72.561447216561689</v>
      </c>
      <c r="AN71" s="24">
        <f>AM71^((FixedParams!$B$47-1)/FixedParams!$B$47)*EXP($C71)</f>
        <v>0.50711229238392608</v>
      </c>
      <c r="AO71" s="24">
        <f t="shared" si="20"/>
        <v>-4.678845328394747E-2</v>
      </c>
      <c r="AP71" s="24">
        <f t="shared" si="21"/>
        <v>-1.9435169348336782E-2</v>
      </c>
      <c r="AQ71" s="14">
        <f t="shared" si="22"/>
        <v>-2.0905928890248004</v>
      </c>
      <c r="AS71" s="24">
        <f>EXP(-$D$17)*(($B71*FixedParams!$B$30)^$B$10*(1+FixedParams!$D$24)^(1-$B$10)+(1-$B71)^$B$10*((1+FixedParams!$D$27)/$AT$12)^(1-$B$10))^(1/(1-$B$10))</f>
        <v>5.7693431205096246</v>
      </c>
      <c r="AT71" s="24">
        <f>EXP($D71-$D$17)*(($B71*FixedParams!$C$31)^$B$10*(1+FixedParams!$D$25)^(1-$B$10)+(1-$B71)^$B$10*((1+FixedParams!$D$28)/$AT$12)^(1-$B$10))^(1/(1-$B$10))</f>
        <v>4.7609678212698228</v>
      </c>
      <c r="AU71" s="24">
        <f>EXP($D71-$D$17)*(($B71*FixedParams!$C$30)^$B$10*(1+FixedParams!$D$23)^(1-$B$10)+(1-$B71)^$B$10*((1+FixedParams!$D$26)/$AT$12)^(1-$B$10))^(1/(1-$B$10))</f>
        <v>4.8368042924454153</v>
      </c>
      <c r="AV71">
        <f>IF(FixedParams!$I$6=1,IF(AT71&lt;=MIN(AS71:AU71),1,0),$H71)</f>
        <v>1</v>
      </c>
      <c r="AW71">
        <f>IF(FixedParams!$I$6=1,IF(AU71&lt;=MIN(AS71:AU71),1,0),IF(AU71&lt;=AS71,1,0)*(1-$H71))</f>
        <v>0</v>
      </c>
      <c r="AX71" s="24">
        <f>$AT$13*IF(AV71=1,1,IF(AW71=1,FixedParams!$D$52,FixedParams!$D$53))</f>
        <v>0.41089128090616783</v>
      </c>
      <c r="AY71">
        <f>EXP($C71*FixedParams!$B$47)*EXP(IF(AV71+AW71=1,(1-FixedParams!$B$47)*$D71,0))*($B71^((FixedParams!$B$47-1)*$B$10/($B$10-1)))*((1/$B71-1)^$B$10*(AX71)^($B$10-1)+1)^((FixedParams!$B$47-$B$10)/($B$10-1))/((1+IF(AV71=1,FixedParams!$D$25,IF(AW71=1,FixedParams!$D$23,FixedParams!$D$24)))^FixedParams!$B$47)</f>
        <v>4.4823811913874946E-2</v>
      </c>
      <c r="AZ71">
        <f t="shared" si="4"/>
        <v>1.2069968210606019</v>
      </c>
      <c r="BA71">
        <f t="shared" si="23"/>
        <v>30.367878590652392</v>
      </c>
      <c r="BB71">
        <f t="shared" si="5"/>
        <v>98.460118066995292</v>
      </c>
      <c r="BC71">
        <f t="shared" si="24"/>
        <v>128.82799665764767</v>
      </c>
      <c r="BD71" s="24">
        <f t="shared" si="25"/>
        <v>3.2422455119174023</v>
      </c>
      <c r="BE71" s="24">
        <f t="shared" si="26"/>
        <v>1.6121958610367848</v>
      </c>
      <c r="BF71" s="23">
        <f>IF(AV71=1,BA71*(1+FixedParams!$C$25)+BB71*(1+FixedParams!$C$28)/$AT$12,IF(AW71=1,BA71*(1+FixedParams!$C$23)+BB71*(1+FixedParams!$C$26)/$AT$12,BA71*(1+FixedParams!$C$24)+BB71*(1+FixedParams!$C$27)/$AT$12))</f>
        <v>349.26168927625361</v>
      </c>
      <c r="BG71" s="24">
        <f t="shared" si="27"/>
        <v>73.359388760392875</v>
      </c>
      <c r="BH71" s="24">
        <f>BG71^((FixedParams!$B$47-1)/FixedParams!$B$47)*EXP($C71)</f>
        <v>0.50710674070470219</v>
      </c>
      <c r="BI71" s="7"/>
      <c r="BJ71" s="24">
        <f>EXP(-$D$17)*(($B71*FixedParams!$B$30)^$B$10*(1+FixedParams!$C$24)^(1-$B$10)+(1-$B71)^$B$10*((1+FixedParams!$C$27)/$BK$12)^(1-$B$10))^(1/(1-$B$10))</f>
        <v>6.3824353717446218</v>
      </c>
      <c r="BK71" s="24">
        <f>EXP($D71-$D$17)*(($B71*FixedParams!$C$31)^$B$10*(1+FixedParams!$C$25)^(1-$B$10)+(1-$B71)^$B$10*((1+FixedParams!$C$28)/$BK$12)^(1-$B$10))^(1/(1-$B$10))</f>
        <v>5.0902017172797347</v>
      </c>
      <c r="BL71" s="24">
        <f>EXP($D71-$D$17)*(($B71*FixedParams!$C$30)^$B$10*(1+FixedParams!$C$23)^(1-$B$10)+(1-$B71)^$B$10*((1+FixedParams!$C$26)/$BK$12)^(1-$B$10))^(1/(1-$B$10))</f>
        <v>5.212814384606923</v>
      </c>
      <c r="BM71">
        <f>IF(FixedParams!$I$6=1,IF(BK71&lt;=MIN(BJ71:BL71),1,0),$H71)</f>
        <v>1</v>
      </c>
      <c r="BN71">
        <f>IF(FixedParams!$I$6=1,IF(BL71&lt;=MIN(BJ71:BL71),1,0),IF(BL71&lt;=BJ71,1,0)*(1-$H71))</f>
        <v>0</v>
      </c>
      <c r="BO71" s="24">
        <f>$BK$13*IF(BM71=1,1,IF(BN71=1,FixedParams!$C$52,FixedParams!$C$53))</f>
        <v>0.41068174962109105</v>
      </c>
      <c r="BP71">
        <f>EXP($C71*FixedParams!$B$47)*EXP(IF(BM71+BN71=1,(1-FixedParams!$B$47)*$D71,0))*($B71^((FixedParams!$B$47-1)*$B$10/($B$10-1)))*((1/$B71-1)^$B$10*(BO71)^($B$10-1)+1)^((FixedParams!$B$47-$B$10)/($B$10-1))/((1+IF(BM71=1,FixedParams!$C$25,IF(BN71=1,FixedParams!$C$23,FixedParams!$C$24)))^FixedParams!$B$47)</f>
        <v>4.1955894509444827E-2</v>
      </c>
      <c r="BQ71">
        <f t="shared" si="28"/>
        <v>1.2069767782735987</v>
      </c>
      <c r="BR71">
        <f t="shared" si="29"/>
        <v>30.782927481975364</v>
      </c>
      <c r="BS71">
        <f t="shared" si="6"/>
        <v>99.729475239897198</v>
      </c>
      <c r="BT71">
        <f t="shared" si="30"/>
        <v>130.51240272187255</v>
      </c>
      <c r="BU71" s="24">
        <f t="shared" si="31"/>
        <v>3.239765785703546</v>
      </c>
      <c r="BV71" s="24">
        <f t="shared" si="32"/>
        <v>1.6166795219736936</v>
      </c>
      <c r="BW71" s="23">
        <f>IF(BM71=1,BR71*(1+FixedParams!$C$25)+BS71*(1+FixedParams!$C$28)/$BK$12,IF(BN71=1,BR71*(1+FixedParams!$C$23)+BS71*(1+FixedParams!$C$26)/$BK$12,BR71*(1+FixedParams!$C$24)+BS71*(1+FixedParams!$C$27)/$BK$12))</f>
        <v>374.42550303053696</v>
      </c>
      <c r="BX71" s="24">
        <f t="shared" si="33"/>
        <v>73.558087444643448</v>
      </c>
      <c r="BY71" s="24">
        <f>BX71^((FixedParams!$B$47-1)/FixedParams!$B$47)*EXP($C71)</f>
        <v>0.50710536765866288</v>
      </c>
      <c r="BZ71" s="24">
        <f t="shared" si="34"/>
        <v>-2.4249577616175216E-2</v>
      </c>
      <c r="CA71" s="24">
        <f t="shared" si="35"/>
        <v>-5.7935205965328517E-3</v>
      </c>
      <c r="CB71" s="24">
        <f t="shared" si="36"/>
        <v>1.15349353228744E-2</v>
      </c>
      <c r="CC71" s="24"/>
      <c r="CD71" s="24">
        <f>EXP(-$D$17)*(($B71*FixedParams!$B$30)^$B$10*(1+FixedParams!$D$24)^(1-$B$10)+(1-$B71)^$B$10*((1+FixedParams!$D$27)/$CE$12)^(1-$B$10))^(1/(1-$B$10))</f>
        <v>6.0158722619119125</v>
      </c>
      <c r="CE71" s="24">
        <f>EXP($D71-$D$17)*(($B71*FixedParams!$D$31)^$B$10*(1+FixedParams!$D$25)^(1-$B$10)+(1-$B71)^$B$10*((1+FixedParams!$D$28)/$CE$12)^(1-$B$10))^(1/(1-$B$10))</f>
        <v>4.9636058324965351</v>
      </c>
      <c r="CF71" s="24">
        <f>EXP($D71-$D$17)*(($B71*FixedParams!$D$30)^$B$10*(1+FixedParams!$D$23)^(1-$B$10)+(1-$B71)^$B$10*((1+FixedParams!$D$26)/$CE$12)^(1-$B$10))^(1/(1-$B$10))</f>
        <v>5.0405183291338247</v>
      </c>
      <c r="CG71">
        <f>IF(FixedParams!$I$6=1,IF(CE71&lt;=MIN(CD71:CF71),1,0),$H71)</f>
        <v>1</v>
      </c>
      <c r="CH71">
        <f>IF(FixedParams!$I$6=1,IF(CF71&lt;=MIN(CD71:CF71),1,0),IF(CF71&lt;=CD71,1,0)*(1-$H71))</f>
        <v>0</v>
      </c>
      <c r="CI71" s="24">
        <f>$CE$13*IF(CG71=1,1,IF(CH71=1,FixedParams!$D$52,FixedParams!$D$53))</f>
        <v>0.39201585704839609</v>
      </c>
      <c r="CJ71">
        <f>EXP($C71*FixedParams!$B$47)*EXP(IF(CG71+CH71=1,(1-FixedParams!$B$47)*$D71,0))*($B71^((FixedParams!$B$47-1)*$B$10/($B$10-1)))*((1/$B71-1)^$B$10*(CI71)^($B$10-1)+1)^((FixedParams!$B$47-$B$10)/($B$10-1))/((1+IF(CG71=1,FixedParams!$D$25,IF(CH71=1,FixedParams!$D$23,FixedParams!$D$24)))^FixedParams!$B$47)</f>
        <v>4.5769683491144915E-2</v>
      </c>
      <c r="CK71">
        <f t="shared" si="37"/>
        <v>1.2051322521613432</v>
      </c>
      <c r="CL71">
        <f t="shared" si="41"/>
        <v>32.924552709598466</v>
      </c>
      <c r="CM71">
        <f t="shared" si="7"/>
        <v>99.478870326780367</v>
      </c>
      <c r="CN71">
        <f t="shared" si="42"/>
        <v>132.40342303637883</v>
      </c>
      <c r="CO71" s="24">
        <f t="shared" si="43"/>
        <v>3.0214190365532096</v>
      </c>
      <c r="CP71" s="24">
        <f t="shared" si="44"/>
        <v>1.6036018583584586</v>
      </c>
      <c r="CQ71" s="23">
        <f>IF(CG71=1,CL71*(1+FixedParams!$D$25)+CM71*(1+FixedParams!$D$28)/$CE$12,IF(CH71=1,CL71*(1+FixedParams!$D$23)+CM71*(1+FixedParams!$D$26)/$CE$12,CL71*(1+FixedParams!$D$24)+CM71*(1+FixedParams!$D$27)/$CE$12))</f>
        <v>367.09589174664615</v>
      </c>
      <c r="CR71" s="24">
        <f t="shared" si="45"/>
        <v>73.957502697592048</v>
      </c>
      <c r="CS71" s="24">
        <f>CR71^((FixedParams!$B$47-1)/FixedParams!$B$47)*EXP($C71)</f>
        <v>0.507102618819536</v>
      </c>
      <c r="CT71" s="24"/>
    </row>
    <row r="72" spans="1:98" x14ac:dyDescent="0.15">
      <c r="A72">
        <v>0.27500000000000002</v>
      </c>
      <c r="B72">
        <f t="shared" si="8"/>
        <v>0.15948159785419216</v>
      </c>
      <c r="C72">
        <f>(D72-$D$17)*FixedParams!$B$47+$A72*$B$9</f>
        <v>-0.68722916925439015</v>
      </c>
      <c r="D72">
        <f>(A72-$B$6)*FixedParams!$B$46/(FixedParams!$B$45*Sectors!$B$6)</f>
        <v>-0.1222540717258818</v>
      </c>
      <c r="E72">
        <f t="shared" si="9"/>
        <v>0.50296777866495423</v>
      </c>
      <c r="F72" s="24">
        <f>EXP(-$D$17)*(($B72*FixedParams!$B$30)^$B$10*(1+FixedParams!$B$23)^(1-$B$10)+(1-$B72)^$B$10*((1+FixedParams!$B$26)/$B$11)^(1-$B$10))^(1/(1-$B$10))</f>
        <v>4.7461259103477555</v>
      </c>
      <c r="G72" s="24">
        <f>EXP($D72-$D$17)*(($B72*FixedParams!$B$31)^$B$10*(1+FixedParams!$B$25)^(1-$B$10)+(1-$B72)^$B$10*((1+FixedParams!$B$28)/$B$11)^(1-$B$10))^(1/(1-$B$10))</f>
        <v>4.0590958091038045</v>
      </c>
      <c r="H72">
        <f t="shared" si="10"/>
        <v>1</v>
      </c>
      <c r="I72" s="24">
        <f>$B$12*IF(H72=1,1,FixedParams!$B$52)</f>
        <v>0.3745928365283252</v>
      </c>
      <c r="J72">
        <f>EXP($C72*FixedParams!$B$47)*EXP(IF(H72=1,(1-FixedParams!$B$47)*$D72,0))*($B72^((FixedParams!$B$47-1)*$B$10/($B$10-1)))*((1/$B72-1)^$B$10*(I72)^($B$10-1)+1)^((FixedParams!$B$47-$B$10)/($B$10-1))/((1+IF(H72=1,FixedParams!$B$25,FixedParams!$B$24))^FixedParams!$B$47)</f>
        <v>5.9844243744570112E-2</v>
      </c>
      <c r="K72">
        <f t="shared" si="38"/>
        <v>1.2066144966506682</v>
      </c>
      <c r="L72">
        <f>K72*FixedParams!$B$8/K$15</f>
        <v>35.080059407262752</v>
      </c>
      <c r="M72">
        <f t="shared" si="0"/>
        <v>97.309332635814414</v>
      </c>
      <c r="N72">
        <f t="shared" si="11"/>
        <v>132.38939204307718</v>
      </c>
      <c r="O72" s="24">
        <f t="shared" si="12"/>
        <v>2.7739215463149445</v>
      </c>
      <c r="P72" s="24">
        <f t="shared" si="1"/>
        <v>1.5871675865760615</v>
      </c>
      <c r="Q72" s="23">
        <f>IF(H72=1,L72*(1+FixedParams!$B$25)+M72*FixedParams!$B$33*(1+FixedParams!$B$28)/FixedParams!$B$32,L72*(1+FixedParams!$B$23)+M72*FixedParams!$B$33*(1+FixedParams!$B$26)/FixedParams!$B$32)</f>
        <v>295.37042159177463</v>
      </c>
      <c r="R72" s="24">
        <f t="shared" si="2"/>
        <v>72.767541216768805</v>
      </c>
      <c r="S72" s="24">
        <f>R72^((FixedParams!$B$47-1)/FixedParams!$B$47)*EXP($C72)</f>
        <v>0.50081388656870163</v>
      </c>
      <c r="T72" s="7">
        <f>(L72*FixedParams!$B$32*(FixedParams!$C$25-FixedParams!$C$23)+FixedParams!$B$33*(FixedParams!$C$28-FixedParams!$C$26)*M72)/N72</f>
        <v>-1451.7229515929166</v>
      </c>
      <c r="U72" s="7">
        <f>(L72*FixedParams!$B$32*(FixedParams!$C$25-FixedParams!$C$23)*$Z$12/$B$11+FixedParams!$B$33*(FixedParams!$C$28-FixedParams!$C$26)*M72)/N72</f>
        <v>-1717.847584182306</v>
      </c>
      <c r="V72" s="14">
        <f t="shared" si="13"/>
        <v>-2.0021776518468317</v>
      </c>
      <c r="W72" s="14">
        <f t="shared" si="46"/>
        <v>0.49151456018879519</v>
      </c>
      <c r="X72" s="73">
        <f t="shared" si="15"/>
        <v>0.98050851935437844</v>
      </c>
      <c r="Y72" s="24">
        <f>EXP(-$D$17)*(($B72*FixedParams!$B$30)^$B$10*(1+FixedParams!$C$24)^(1-$B$10)+(1-$B72)^$B$10*((1+FixedParams!$C$27)/$Z$12)^(1-$B$10))^(1/(1-$B$10))</f>
        <v>6.1129562353150728</v>
      </c>
      <c r="Z72" s="24">
        <f>EXP($D72-$D$17)*(($B72*FixedParams!$C$31)^$B$10*(1+FixedParams!$C$25)^(1-$B$10)+(1-$B72)^$B$10*((1+FixedParams!$C$28)/$Z$12)^(1-$B$10))^(1/(1-$B$10))</f>
        <v>4.8889319751692559</v>
      </c>
      <c r="AA72" s="24">
        <f>EXP($D72-$D$17)*(($B72*FixedParams!$C$30)^$B$10*(1+FixedParams!$C$23)^(1-$B$10)+(1-$B72)^$B$10*((1+FixedParams!$C$26)/$Z$12)^(1-$B$10))^(1/(1-$B$10))</f>
        <v>5.0075923465810863</v>
      </c>
      <c r="AB72">
        <f>IF(FixedParams!$I$6=1,IF(Z72&lt;=MIN(Y72:AA72),1,0),$H72)</f>
        <v>1</v>
      </c>
      <c r="AC72">
        <f>IF(FixedParams!$I$6=1,IF(AA72&lt;=MIN(Y72:AA72),1,0),IF(AA72&lt;=Y72,1,0)*(1-$H72))</f>
        <v>0</v>
      </c>
      <c r="AD72" s="24">
        <f>$Z$13*IF(AB72=1,1,IF(AC72=1,FixedParams!$C$52,FixedParams!$C$53))</f>
        <v>0.43187184563106507</v>
      </c>
      <c r="AE72">
        <f>EXP($C72*FixedParams!$B$47)*EXP(IF(AB72+AC72=1,(1-FixedParams!$B$47)*$D72,0))*($B72^((FixedParams!$B$47-1)*$B$10/($B$10-1)))*((1/$B72-1)^$B$10*(AD72)^($B$10-1)+1)^((FixedParams!$B$47-$B$10)/($B$10-1))/((1+IF(AB72=1,FixedParams!$C$25,IF(AC72=1,FixedParams!$C$23,FixedParams!$C$24)))^FixedParams!$B$47)</f>
        <v>4.1144711817401335E-2</v>
      </c>
      <c r="AF72">
        <f t="shared" si="39"/>
        <v>1.212418672449177</v>
      </c>
      <c r="AG72">
        <f t="shared" si="40"/>
        <v>28.477852796656482</v>
      </c>
      <c r="AH72">
        <f t="shared" si="3"/>
        <v>97.790023797203816</v>
      </c>
      <c r="AI72">
        <f t="shared" si="16"/>
        <v>126.26787659386029</v>
      </c>
      <c r="AJ72" s="24">
        <f t="shared" si="17"/>
        <v>3.4338973691403138</v>
      </c>
      <c r="AK72" s="24">
        <f t="shared" si="18"/>
        <v>1.6328730745049798</v>
      </c>
      <c r="AL72" s="23">
        <f>IF(AB72=1,AG72*(1+FixedParams!$C$25)+AH72*(1+FixedParams!$C$28)/$Z$12,IF(AC72=1,AG72*(1+FixedParams!$C$23)+AH72*(1+FixedParams!$C$26)/$Z$12,AG72*(1+FixedParams!$C$24)+AH72*(1+FixedParams!$C$27)/$Z$12))</f>
        <v>348.82135641610944</v>
      </c>
      <c r="AM72" s="24">
        <f t="shared" si="19"/>
        <v>71.349194095512686</v>
      </c>
      <c r="AN72" s="24">
        <f>AM72^((FixedParams!$B$47-1)/FixedParams!$B$47)*EXP($C72)</f>
        <v>0.50082375452657635</v>
      </c>
      <c r="AO72" s="24">
        <f t="shared" si="20"/>
        <v>-4.7341864857879577E-2</v>
      </c>
      <c r="AP72" s="24">
        <f t="shared" si="21"/>
        <v>-1.9683944597783783E-2</v>
      </c>
      <c r="AQ72" s="14">
        <f t="shared" si="22"/>
        <v>-2.0733222637287168</v>
      </c>
      <c r="AS72" s="24">
        <f>EXP(-$D$17)*(($B72*FixedParams!$B$30)^$B$10*(1+FixedParams!$D$24)^(1-$B$10)+(1-$B72)^$B$10*((1+FixedParams!$D$27)/$AT$12)^(1-$B$10))^(1/(1-$B$10))</f>
        <v>5.779075910592705</v>
      </c>
      <c r="AT72" s="24">
        <f>EXP($D72-$D$17)*(($B72*FixedParams!$C$31)^$B$10*(1+FixedParams!$D$25)^(1-$B$10)+(1-$B72)^$B$10*((1+FixedParams!$D$28)/$AT$12)^(1-$B$10))^(1/(1-$B$10))</f>
        <v>4.7814070084498788</v>
      </c>
      <c r="AU72" s="24">
        <f>EXP($D72-$D$17)*(($B72*FixedParams!$C$30)^$B$10*(1+FixedParams!$D$23)^(1-$B$10)+(1-$B72)^$B$10*((1+FixedParams!$D$26)/$AT$12)^(1-$B$10))^(1/(1-$B$10))</f>
        <v>4.8560501306075077</v>
      </c>
      <c r="AV72">
        <f>IF(FixedParams!$I$6=1,IF(AT72&lt;=MIN(AS72:AU72),1,0),$H72)</f>
        <v>1</v>
      </c>
      <c r="AW72">
        <f>IF(FixedParams!$I$6=1,IF(AU72&lt;=MIN(AS72:AU72),1,0),IF(AU72&lt;=AS72,1,0)*(1-$H72))</f>
        <v>0</v>
      </c>
      <c r="AX72" s="24">
        <f>$AT$13*IF(AV72=1,1,IF(AW72=1,FixedParams!$D$52,FixedParams!$D$53))</f>
        <v>0.41089128090616783</v>
      </c>
      <c r="AY72">
        <f>EXP($C72*FixedParams!$B$47)*EXP(IF(AV72+AW72=1,(1-FixedParams!$B$47)*$D72,0))*($B72^((FixedParams!$B$47-1)*$B$10/($B$10-1)))*((1/$B72-1)^$B$10*(AX72)^($B$10-1)+1)^((FixedParams!$B$47-$B$10)/($B$10-1))/((1+IF(AV72=1,FixedParams!$D$25,IF(AW72=1,FixedParams!$D$23,FixedParams!$D$24)))^FixedParams!$B$47)</f>
        <v>4.4951060451955661E-2</v>
      </c>
      <c r="AZ72">
        <f t="shared" si="4"/>
        <v>1.2104233163627673</v>
      </c>
      <c r="BA72">
        <f t="shared" si="23"/>
        <v>30.454088754185516</v>
      </c>
      <c r="BB72">
        <f t="shared" si="5"/>
        <v>97.048978734179343</v>
      </c>
      <c r="BC72">
        <f t="shared" si="24"/>
        <v>127.50306748836486</v>
      </c>
      <c r="BD72" s="24">
        <f t="shared" si="25"/>
        <v>3.1867306724402065</v>
      </c>
      <c r="BE72" s="24">
        <f t="shared" si="26"/>
        <v>1.6191171371746802</v>
      </c>
      <c r="BF72" s="23">
        <f>IF(AV72=1,BA72*(1+FixedParams!$C$25)+BB72*(1+FixedParams!$C$28)/$AT$12,IF(AW72=1,BA72*(1+FixedParams!$C$23)+BB72*(1+FixedParams!$C$26)/$AT$12,BA72*(1+FixedParams!$C$24)+BB72*(1+FixedParams!$C$27)/$AT$12))</f>
        <v>344.96958776175592</v>
      </c>
      <c r="BG72" s="24">
        <f t="shared" si="27"/>
        <v>72.148132788552189</v>
      </c>
      <c r="BH72" s="24">
        <f>BG72^((FixedParams!$B$47-1)/FixedParams!$B$47)*EXP($C72)</f>
        <v>0.50081817212418622</v>
      </c>
      <c r="BI72" s="7"/>
      <c r="BJ72" s="24">
        <f>EXP(-$D$17)*(($B72*FixedParams!$B$30)^$B$10*(1+FixedParams!$C$24)^(1-$B$10)+(1-$B72)^$B$10*((1+FixedParams!$C$27)/$BK$12)^(1-$B$10))^(1/(1-$B$10))</f>
        <v>6.3935554857761066</v>
      </c>
      <c r="BK72" s="24">
        <f>EXP($D72-$D$17)*(($B72*FixedParams!$C$31)^$B$10*(1+FixedParams!$C$25)^(1-$B$10)+(1-$B72)^$B$10*((1+FixedParams!$C$28)/$BK$12)^(1-$B$10))^(1/(1-$B$10))</f>
        <v>5.1120498038268538</v>
      </c>
      <c r="BL72" s="24">
        <f>EXP($D72-$D$17)*(($B72*FixedParams!$C$30)^$B$10*(1+FixedParams!$C$23)^(1-$B$10)+(1-$B72)^$B$10*((1+FixedParams!$C$26)/$BK$12)^(1-$B$10))^(1/(1-$B$10))</f>
        <v>5.2331175997526573</v>
      </c>
      <c r="BM72">
        <f>IF(FixedParams!$I$6=1,IF(BK72&lt;=MIN(BJ72:BL72),1,0),$H72)</f>
        <v>1</v>
      </c>
      <c r="BN72">
        <f>IF(FixedParams!$I$6=1,IF(BL72&lt;=MIN(BJ72:BL72),1,0),IF(BL72&lt;=BJ72,1,0)*(1-$H72))</f>
        <v>0</v>
      </c>
      <c r="BO72" s="24">
        <f>$BK$13*IF(BM72=1,1,IF(BN72=1,FixedParams!$C$52,FixedParams!$C$53))</f>
        <v>0.41068174962109105</v>
      </c>
      <c r="BP72">
        <f>EXP($C72*FixedParams!$B$47)*EXP(IF(BM72+BN72=1,(1-FixedParams!$B$47)*$D72,0))*($B72^((FixedParams!$B$47-1)*$B$10/($B$10-1)))*((1/$B72-1)^$B$10*(BO72)^($B$10-1)+1)^((FixedParams!$B$47-$B$10)/($B$10-1))/((1+IF(BM72=1,FixedParams!$C$25,IF(BN72=1,FixedParams!$C$23,FixedParams!$C$24)))^FixedParams!$B$47)</f>
        <v>4.2074982767346995E-2</v>
      </c>
      <c r="BQ72">
        <f t="shared" si="28"/>
        <v>1.2104026797716736</v>
      </c>
      <c r="BR72">
        <f t="shared" si="29"/>
        <v>30.870302217988488</v>
      </c>
      <c r="BS72">
        <f t="shared" si="6"/>
        <v>98.300099761520912</v>
      </c>
      <c r="BT72">
        <f t="shared" si="30"/>
        <v>129.17040197950939</v>
      </c>
      <c r="BU72" s="24">
        <f t="shared" si="31"/>
        <v>3.1842934049489249</v>
      </c>
      <c r="BV72" s="24">
        <f t="shared" si="32"/>
        <v>1.6236186092784524</v>
      </c>
      <c r="BW72" s="23">
        <f>IF(BM72=1,BR72*(1+FixedParams!$C$25)+BS72*(1+FixedParams!$C$28)/$BK$12,IF(BN72=1,BR72*(1+FixedParams!$C$23)+BS72*(1+FixedParams!$C$26)/$BK$12,BR72*(1+FixedParams!$C$24)+BS72*(1+FixedParams!$C$27)/$BK$12))</f>
        <v>369.78233976112449</v>
      </c>
      <c r="BX72" s="24">
        <f t="shared" si="33"/>
        <v>72.335433720600179</v>
      </c>
      <c r="BY72" s="24">
        <f>BX72^((FixedParams!$B$47-1)/FixedParams!$B$47)*EXP($C72)</f>
        <v>0.50081687235645422</v>
      </c>
      <c r="BZ72" s="24">
        <f t="shared" si="34"/>
        <v>-2.4615041514323099E-2</v>
      </c>
      <c r="CA72" s="24">
        <f t="shared" si="35"/>
        <v>-5.9558913066700293E-3</v>
      </c>
      <c r="CB72" s="24">
        <f t="shared" si="36"/>
        <v>1.1372564612737222E-2</v>
      </c>
      <c r="CC72" s="24"/>
      <c r="CD72" s="24">
        <f>EXP(-$D$17)*(($B72*FixedParams!$B$30)^$B$10*(1+FixedParams!$D$24)^(1-$B$10)+(1-$B72)^$B$10*((1+FixedParams!$D$27)/$CE$12)^(1-$B$10))^(1/(1-$B$10))</f>
        <v>6.0255377436966677</v>
      </c>
      <c r="CE72" s="24">
        <f>EXP($D72-$D$17)*(($B72*FixedParams!$D$31)^$B$10*(1+FixedParams!$D$25)^(1-$B$10)+(1-$B72)^$B$10*((1+FixedParams!$D$28)/$CE$12)^(1-$B$10))^(1/(1-$B$10))</f>
        <v>4.9845043944902017</v>
      </c>
      <c r="CF72" s="24">
        <f>EXP($D72-$D$17)*(($B72*FixedParams!$D$30)^$B$10*(1+FixedParams!$D$23)^(1-$B$10)+(1-$B72)^$B$10*((1+FixedParams!$D$26)/$CE$12)^(1-$B$10))^(1/(1-$B$10))</f>
        <v>5.0601293551630064</v>
      </c>
      <c r="CG72">
        <f>IF(FixedParams!$I$6=1,IF(CE72&lt;=MIN(CD72:CF72),1,0),$H72)</f>
        <v>1</v>
      </c>
      <c r="CH72">
        <f>IF(FixedParams!$I$6=1,IF(CF72&lt;=MIN(CD72:CF72),1,0),IF(CF72&lt;=CD72,1,0)*(1-$H72))</f>
        <v>0</v>
      </c>
      <c r="CI72" s="24">
        <f>$CE$13*IF(CG72=1,1,IF(CH72=1,FixedParams!$D$52,FixedParams!$D$53))</f>
        <v>0.39201585704839609</v>
      </c>
      <c r="CJ72">
        <f>EXP($C72*FixedParams!$B$47)*EXP(IF(CG72+CH72=1,(1-FixedParams!$B$47)*$D72,0))*($B72^((FixedParams!$B$47-1)*$B$10/($B$10-1)))*((1/$B72-1)^$B$10*(CI72)^($B$10-1)+1)^((FixedParams!$B$47-$B$10)/($B$10-1))/((1+IF(CG72=1,FixedParams!$D$25,IF(CH72=1,FixedParams!$D$23,FixedParams!$D$24)))^FixedParams!$B$47)</f>
        <v>4.5897723226088302E-2</v>
      </c>
      <c r="CK72">
        <f t="shared" si="37"/>
        <v>1.2085035845011947</v>
      </c>
      <c r="CL72">
        <f t="shared" si="41"/>
        <v>33.016658459092717</v>
      </c>
      <c r="CM72">
        <f t="shared" si="7"/>
        <v>98.049084082993758</v>
      </c>
      <c r="CN72">
        <f t="shared" si="42"/>
        <v>131.06574254208647</v>
      </c>
      <c r="CO72" s="24">
        <f t="shared" si="43"/>
        <v>2.9696852637124231</v>
      </c>
      <c r="CP72" s="24">
        <f t="shared" si="44"/>
        <v>1.6103535977150882</v>
      </c>
      <c r="CQ72" s="23">
        <f>IF(CG72=1,CL72*(1+FixedParams!$D$25)+CM72*(1+FixedParams!$D$28)/$CE$12,IF(CH72=1,CL72*(1+FixedParams!$D$23)+CM72*(1+FixedParams!$D$26)/$CE$12,CL72*(1+FixedParams!$D$24)+CM72*(1+FixedParams!$D$27)/$CE$12))</f>
        <v>362.54359173609748</v>
      </c>
      <c r="CR72" s="24">
        <f t="shared" si="45"/>
        <v>72.734130225032573</v>
      </c>
      <c r="CS72" s="24">
        <f>CR72^((FixedParams!$B$47-1)/FixedParams!$B$47)*EXP($C72)</f>
        <v>0.50081411679893939</v>
      </c>
      <c r="CT72" s="24"/>
    </row>
    <row r="73" spans="1:98" x14ac:dyDescent="0.15">
      <c r="A73">
        <v>0.28000000000000003</v>
      </c>
      <c r="B73">
        <f t="shared" si="8"/>
        <v>0.1610310417351892</v>
      </c>
      <c r="C73">
        <f>(D73-$D$17)*FixedParams!$B$47+$A73*$B$9</f>
        <v>-0.69972424505901532</v>
      </c>
      <c r="D73">
        <f>(A73-$B$6)*FixedParams!$B$46/(FixedParams!$B$45*Sectors!$B$6)</f>
        <v>-0.11953731457641777</v>
      </c>
      <c r="E73">
        <f t="shared" si="9"/>
        <v>0.49672225852465474</v>
      </c>
      <c r="F73" s="24">
        <f>EXP(-$D$17)*(($B73*FixedParams!$B$30)^$B$10*(1+FixedParams!$B$23)^(1-$B$10)+(1-$B73)^$B$10*((1+FixedParams!$B$26)/$B$11)^(1-$B$10))^(1/(1-$B$10))</f>
        <v>4.7531175419024221</v>
      </c>
      <c r="G73" s="24">
        <f>EXP($D73-$D$17)*(($B73*FixedParams!$B$31)^$B$10*(1+FixedParams!$B$25)^(1-$B$10)+(1-$B73)^$B$10*((1+FixedParams!$B$28)/$B$11)^(1-$B$10))^(1/(1-$B$10))</f>
        <v>4.0758181035535301</v>
      </c>
      <c r="H73">
        <f t="shared" si="10"/>
        <v>1</v>
      </c>
      <c r="I73" s="24">
        <f>$B$12*IF(H73=1,1,FixedParams!$B$52)</f>
        <v>0.3745928365283252</v>
      </c>
      <c r="J73">
        <f>EXP($C73*FixedParams!$B$47)*EXP(IF(H73=1,(1-FixedParams!$B$47)*$D73,0))*($B73^((FixedParams!$B$47-1)*$B$10/($B$10-1)))*((1/$B73-1)^$B$10*(I73)^($B$10-1)+1)^((FixedParams!$B$47-$B$10)/($B$10-1))/((1+IF(H73=1,FixedParams!$B$25,FixedParams!$B$24))^FixedParams!$B$47)</f>
        <v>6.0007343140377915E-2</v>
      </c>
      <c r="K73">
        <f t="shared" si="38"/>
        <v>1.209903001660718</v>
      </c>
      <c r="L73">
        <f>K73*FixedParams!$B$8/K$15</f>
        <v>35.175666538980337</v>
      </c>
      <c r="M73">
        <f t="shared" si="0"/>
        <v>95.903834596256758</v>
      </c>
      <c r="N73">
        <f t="shared" si="11"/>
        <v>131.07950113523708</v>
      </c>
      <c r="O73" s="24">
        <f t="shared" si="12"/>
        <v>2.7264255103731942</v>
      </c>
      <c r="P73" s="24">
        <f t="shared" si="1"/>
        <v>1.5937062555240225</v>
      </c>
      <c r="Q73" s="23">
        <f>IF(H73=1,L73*(1+FixedParams!$B$25)+M73*FixedParams!$B$33*(1+FixedParams!$B$28)/FixedParams!$B$32,L73*(1+FixedParams!$B$23)+M73*FixedParams!$B$33*(1+FixedParams!$B$26)/FixedParams!$B$32)</f>
        <v>291.70755183353282</v>
      </c>
      <c r="R73" s="24">
        <f t="shared" si="2"/>
        <v>71.570306726692635</v>
      </c>
      <c r="S73" s="24">
        <f>R73^((FixedParams!$B$47-1)/FixedParams!$B$47)*EXP($C73)</f>
        <v>0.49460332550529473</v>
      </c>
      <c r="T73" s="7">
        <f>(L73*FixedParams!$B$32*(FixedParams!$C$25-FixedParams!$C$23)+FixedParams!$B$33*(FixedParams!$C$28-FixedParams!$C$26)*M73)/N73</f>
        <v>-1413.4074796524596</v>
      </c>
      <c r="U73" s="7">
        <f>(L73*FixedParams!$B$32*(FixedParams!$C$25-FixedParams!$C$23)*$Z$12/$B$11+FixedParams!$B$33*(FixedParams!$C$28-FixedParams!$C$26)*M73)/N73</f>
        <v>-1682.9240665635618</v>
      </c>
      <c r="V73" s="14">
        <f t="shared" si="13"/>
        <v>-1.9849070265507482</v>
      </c>
      <c r="W73" s="14">
        <f t="shared" si="46"/>
        <v>0.49794373076185544</v>
      </c>
      <c r="X73" s="73">
        <f t="shared" si="15"/>
        <v>0.9802613617546293</v>
      </c>
      <c r="Y73" s="24">
        <f>EXP(-$D$17)*(($B73*FixedParams!$B$30)^$B$10*(1+FixedParams!$C$24)^(1-$B$10)+(1-$B73)^$B$10*((1+FixedParams!$C$27)/$Z$12)^(1-$B$10))^(1/(1-$B$10))</f>
        <v>6.124093883414746</v>
      </c>
      <c r="Z73" s="24">
        <f>EXP($D73-$D$17)*(($B73*FixedParams!$C$31)^$B$10*(1+FixedParams!$C$25)^(1-$B$10)+(1-$B73)^$B$10*((1+FixedParams!$C$28)/$Z$12)^(1-$B$10))^(1/(1-$B$10))</f>
        <v>4.9103119385798157</v>
      </c>
      <c r="AA73" s="24">
        <f>EXP($D73-$D$17)*(($B73*FixedParams!$C$30)^$B$10*(1+FixedParams!$C$23)^(1-$B$10)+(1-$B73)^$B$10*((1+FixedParams!$C$26)/$Z$12)^(1-$B$10))^(1/(1-$B$10))</f>
        <v>5.0275133846130586</v>
      </c>
      <c r="AB73">
        <f>IF(FixedParams!$I$6=1,IF(Z73&lt;=MIN(Y73:AA73),1,0),$H73)</f>
        <v>1</v>
      </c>
      <c r="AC73">
        <f>IF(FixedParams!$I$6=1,IF(AA73&lt;=MIN(Y73:AA73),1,0),IF(AA73&lt;=Y73,1,0)*(1-$H73))</f>
        <v>0</v>
      </c>
      <c r="AD73" s="24">
        <f>$Z$13*IF(AB73=1,1,IF(AC73=1,FixedParams!$C$52,FixedParams!$C$53))</f>
        <v>0.43187184563106507</v>
      </c>
      <c r="AE73">
        <f>EXP($C73*FixedParams!$B$47)*EXP(IF(AB73+AC73=1,(1-FixedParams!$B$47)*$D73,0))*($B73^((FixedParams!$B$47-1)*$B$10/($B$10-1)))*((1/$B73-1)^$B$10*(AD73)^($B$10-1)+1)^((FixedParams!$B$47-$B$10)/($B$10-1))/((1+IF(AB73=1,FixedParams!$C$25,IF(AC73=1,FixedParams!$C$23,FixedParams!$C$24)))^FixedParams!$B$47)</f>
        <v>4.1262063968296674E-2</v>
      </c>
      <c r="AF73">
        <f t="shared" si="39"/>
        <v>1.2158767095264329</v>
      </c>
      <c r="AG73">
        <f t="shared" si="40"/>
        <v>28.559076777356601</v>
      </c>
      <c r="AH73">
        <f t="shared" si="3"/>
        <v>96.389768614408524</v>
      </c>
      <c r="AI73">
        <f t="shared" si="16"/>
        <v>124.94884539176513</v>
      </c>
      <c r="AJ73" s="24">
        <f t="shared" si="17"/>
        <v>3.3751010008430065</v>
      </c>
      <c r="AK73" s="24">
        <f t="shared" si="18"/>
        <v>1.6400138501926587</v>
      </c>
      <c r="AL73" s="23">
        <f>IF(AB73=1,AG73*(1+FixedParams!$C$25)+AH73*(1+FixedParams!$C$28)/$Z$12,IF(AC73=1,AG73*(1+FixedParams!$C$23)+AH73*(1+FixedParams!$C$26)/$Z$12,AG73*(1+FixedParams!$C$24)+AH73*(1+FixedParams!$C$27)/$Z$12))</f>
        <v>344.49573195962455</v>
      </c>
      <c r="AM73" s="24">
        <f t="shared" si="19"/>
        <v>70.157606333104226</v>
      </c>
      <c r="AN73" s="24">
        <f>AM73^((FixedParams!$B$47-1)/FixedParams!$B$47)*EXP($C73)</f>
        <v>0.4946131959093325</v>
      </c>
      <c r="AO73" s="24">
        <f t="shared" si="20"/>
        <v>-4.7899601343402182E-2</v>
      </c>
      <c r="AP73" s="24">
        <f t="shared" si="21"/>
        <v>-1.9936047206498241E-2</v>
      </c>
      <c r="AQ73" s="14">
        <f t="shared" si="22"/>
        <v>-2.0560516384326331</v>
      </c>
      <c r="AS73" s="24">
        <f>EXP(-$D$17)*(($B73*FixedParams!$B$30)^$B$10*(1+FixedParams!$D$24)^(1-$B$10)+(1-$B73)^$B$10*((1+FixedParams!$D$27)/$AT$12)^(1-$B$10))^(1/(1-$B$10))</f>
        <v>5.7887935969553297</v>
      </c>
      <c r="AT73" s="24">
        <f>EXP($D73-$D$17)*(($B73*FixedParams!$C$31)^$B$10*(1+FixedParams!$D$25)^(1-$B$10)+(1-$B73)^$B$10*((1+FixedParams!$D$28)/$AT$12)^(1-$B$10))^(1/(1-$B$10))</f>
        <v>4.8019001304197104</v>
      </c>
      <c r="AU73" s="24">
        <f>EXP($D73-$D$17)*(($B73*FixedParams!$C$30)^$B$10*(1+FixedParams!$D$23)^(1-$B$10)+(1-$B73)^$B$10*((1+FixedParams!$D$26)/$AT$12)^(1-$B$10))^(1/(1-$B$10))</f>
        <v>4.8753180091927897</v>
      </c>
      <c r="AV73">
        <f>IF(FixedParams!$I$6=1,IF(AT73&lt;=MIN(AS73:AU73),1,0),$H73)</f>
        <v>1</v>
      </c>
      <c r="AW73">
        <f>IF(FixedParams!$I$6=1,IF(AU73&lt;=MIN(AS73:AU73),1,0),IF(AU73&lt;=AS73,1,0)*(1-$H73))</f>
        <v>0</v>
      </c>
      <c r="AX73" s="24">
        <f>$AT$13*IF(AV73=1,1,IF(AW73=1,FixedParams!$D$52,FixedParams!$D$53))</f>
        <v>0.41089128090616783</v>
      </c>
      <c r="AY73">
        <f>EXP($C73*FixedParams!$B$47)*EXP(IF(AV73+AW73=1,(1-FixedParams!$B$47)*$D73,0))*($B73^((FixedParams!$B$47-1)*$B$10/($B$10-1)))*((1/$B73-1)^$B$10*(AX73)^($B$10-1)+1)^((FixedParams!$B$47-$B$10)/($B$10-1))/((1+IF(AV73=1,FixedParams!$D$25,IF(AW73=1,FixedParams!$D$23,FixedParams!$D$24)))^FixedParams!$B$47)</f>
        <v>4.5077309640232203E-2</v>
      </c>
      <c r="AZ73">
        <f t="shared" si="4"/>
        <v>1.2138229015922444</v>
      </c>
      <c r="BA73">
        <f t="shared" si="23"/>
        <v>30.539621863888836</v>
      </c>
      <c r="BB73">
        <f t="shared" si="5"/>
        <v>95.655176770856869</v>
      </c>
      <c r="BC73">
        <f t="shared" si="24"/>
        <v>126.19479863474571</v>
      </c>
      <c r="BD73" s="24">
        <f t="shared" si="25"/>
        <v>3.1321663770815396</v>
      </c>
      <c r="BE73" s="24">
        <f t="shared" si="26"/>
        <v>1.6260566771295359</v>
      </c>
      <c r="BF73" s="23">
        <f>IF(AV73=1,BA73*(1+FixedParams!$C$25)+BB73*(1+FixedParams!$C$28)/$AT$12,IF(AW73=1,BA73*(1+FixedParams!$C$23)+BB73*(1+FixedParams!$C$26)/$AT$12,BA73*(1+FixedParams!$C$24)+BB73*(1+FixedParams!$C$27)/$AT$12))</f>
        <v>340.73074225628562</v>
      </c>
      <c r="BG73" s="24">
        <f t="shared" si="27"/>
        <v>70.957482038782842</v>
      </c>
      <c r="BH73" s="24">
        <f>BG73^((FixedParams!$B$47-1)/FixedParams!$B$47)*EXP($C73)</f>
        <v>0.49460758308503255</v>
      </c>
      <c r="BI73" s="7"/>
      <c r="BJ73" s="24">
        <f>EXP(-$D$17)*(($B73*FixedParams!$B$30)^$B$10*(1+FixedParams!$C$24)^(1-$B$10)+(1-$B73)^$B$10*((1+FixedParams!$C$27)/$BK$12)^(1-$B$10))^(1/(1-$B$10))</f>
        <v>6.4046648949658085</v>
      </c>
      <c r="BK73" s="24">
        <f>EXP($D73-$D$17)*(($B73*FixedParams!$C$31)^$B$10*(1+FixedParams!$C$25)^(1-$B$10)+(1-$B73)^$B$10*((1+FixedParams!$C$28)/$BK$12)^(1-$B$10))^(1/(1-$B$10))</f>
        <v>5.1339554551332682</v>
      </c>
      <c r="BL73" s="24">
        <f>EXP($D73-$D$17)*(($B73*FixedParams!$C$30)^$B$10*(1+FixedParams!$C$23)^(1-$B$10)+(1-$B73)^$B$10*((1+FixedParams!$C$26)/$BK$12)^(1-$B$10))^(1/(1-$B$10))</f>
        <v>5.2534353742689559</v>
      </c>
      <c r="BM73">
        <f>IF(FixedParams!$I$6=1,IF(BK73&lt;=MIN(BJ73:BL73),1,0),$H73)</f>
        <v>1</v>
      </c>
      <c r="BN73">
        <f>IF(FixedParams!$I$6=1,IF(BL73&lt;=MIN(BJ73:BL73),1,0),IF(BL73&lt;=BJ73,1,0)*(1-$H73))</f>
        <v>0</v>
      </c>
      <c r="BO73" s="24">
        <f>$BK$13*IF(BM73=1,1,IF(BN73=1,FixedParams!$C$52,FixedParams!$C$53))</f>
        <v>0.41068174962109105</v>
      </c>
      <c r="BP73">
        <f>EXP($C73*FixedParams!$B$47)*EXP(IF(BM73+BN73=1,(1-FixedParams!$B$47)*$D73,0))*($B73^((FixedParams!$B$47-1)*$B$10/($B$10-1)))*((1/$B73-1)^$B$10*(BO73)^($B$10-1)+1)^((FixedParams!$B$47-$B$10)/($B$10-1))/((1+IF(BM73=1,FixedParams!$C$25,IF(BN73=1,FixedParams!$C$23,FixedParams!$C$24)))^FixedParams!$B$47)</f>
        <v>4.2193135259964411E-2</v>
      </c>
      <c r="BQ73">
        <f t="shared" si="28"/>
        <v>1.2138016614058813</v>
      </c>
      <c r="BR73">
        <f t="shared" si="29"/>
        <v>30.956990385517312</v>
      </c>
      <c r="BS73">
        <f t="shared" si="6"/>
        <v>96.88828584361643</v>
      </c>
      <c r="BT73">
        <f t="shared" si="30"/>
        <v>127.84527622913375</v>
      </c>
      <c r="BU73" s="24">
        <f t="shared" si="31"/>
        <v>3.1297708413200245</v>
      </c>
      <c r="BV73" s="24">
        <f t="shared" si="32"/>
        <v>1.6305759795065033</v>
      </c>
      <c r="BW73" s="23">
        <f>IF(BM73=1,BR73*(1+FixedParams!$C$25)+BS73*(1+FixedParams!$C$28)/$BK$12,IF(BN73=1,BR73*(1+FixedParams!$C$23)+BS73*(1+FixedParams!$C$26)/$BK$12,BR73*(1+FixedParams!$C$24)+BS73*(1+FixedParams!$C$27)/$BK$12))</f>
        <v>365.19675269983856</v>
      </c>
      <c r="BX73" s="24">
        <f t="shared" si="33"/>
        <v>71.133603688495327</v>
      </c>
      <c r="BY73" s="24">
        <f>BX73^((FixedParams!$B$47-1)/FixedParams!$B$47)*EXP($C73)</f>
        <v>0.49460635572811834</v>
      </c>
      <c r="BZ73" s="24">
        <f t="shared" si="34"/>
        <v>-2.4983264723001681E-2</v>
      </c>
      <c r="CA73" s="24">
        <f t="shared" si="35"/>
        <v>-6.120426555283936E-3</v>
      </c>
      <c r="CB73" s="24">
        <f t="shared" si="36"/>
        <v>1.1208029364123316E-2</v>
      </c>
      <c r="CC73" s="24"/>
      <c r="CD73" s="24">
        <f>EXP(-$D$17)*(($B73*FixedParams!$B$30)^$B$10*(1+FixedParams!$D$24)^(1-$B$10)+(1-$B73)^$B$10*((1+FixedParams!$D$27)/$CE$12)^(1-$B$10))^(1/(1-$B$10))</f>
        <v>6.0351793594070173</v>
      </c>
      <c r="CE73" s="24">
        <f>EXP($D73-$D$17)*(($B73*FixedParams!$D$31)^$B$10*(1+FixedParams!$D$25)^(1-$B$10)+(1-$B73)^$B$10*((1+FixedParams!$D$28)/$CE$12)^(1-$B$10))^(1/(1-$B$10))</f>
        <v>5.005450188272806</v>
      </c>
      <c r="CF73" s="24">
        <f>EXP($D73-$D$17)*(($B73*FixedParams!$D$30)^$B$10*(1+FixedParams!$D$23)^(1-$B$10)+(1-$B73)^$B$10*((1+FixedParams!$D$26)/$CE$12)^(1-$B$10))^(1/(1-$B$10))</f>
        <v>5.0797540196563906</v>
      </c>
      <c r="CG73">
        <f>IF(FixedParams!$I$6=1,IF(CE73&lt;=MIN(CD73:CF73),1,0),$H73)</f>
        <v>1</v>
      </c>
      <c r="CH73">
        <f>IF(FixedParams!$I$6=1,IF(CF73&lt;=MIN(CD73:CF73),1,0),IF(CF73&lt;=CD73,1,0)*(1-$H73))</f>
        <v>0</v>
      </c>
      <c r="CI73" s="24">
        <f>$CE$13*IF(CG73=1,1,IF(CH73=1,FixedParams!$D$52,FixedParams!$D$53))</f>
        <v>0.39201585704839609</v>
      </c>
      <c r="CJ73">
        <f>EXP($C73*FixedParams!$B$47)*EXP(IF(CG73+CH73=1,(1-FixedParams!$B$47)*$D73,0))*($B73^((FixedParams!$B$47-1)*$B$10/($B$10-1)))*((1/$B73-1)^$B$10*(CI73)^($B$10-1)+1)^((FixedParams!$B$47-$B$10)/($B$10-1))/((1+IF(CG73=1,FixedParams!$D$25,IF(CH73=1,FixedParams!$D$23,FixedParams!$D$24)))^FixedParams!$B$47)</f>
        <v>4.6024706565051081E-2</v>
      </c>
      <c r="CK73">
        <f t="shared" si="37"/>
        <v>1.2118471015543721</v>
      </c>
      <c r="CL73">
        <f t="shared" si="41"/>
        <v>33.108004287117275</v>
      </c>
      <c r="CM73">
        <f t="shared" si="7"/>
        <v>96.636877652109604</v>
      </c>
      <c r="CN73">
        <f t="shared" si="42"/>
        <v>129.74488193922687</v>
      </c>
      <c r="CO73" s="24">
        <f t="shared" si="43"/>
        <v>2.9188372942706238</v>
      </c>
      <c r="CP73" s="24">
        <f t="shared" si="44"/>
        <v>1.6171205963382813</v>
      </c>
      <c r="CQ73" s="23">
        <f>IF(CG73=1,CL73*(1+FixedParams!$D$25)+CM73*(1+FixedParams!$D$28)/$CE$12,IF(CH73=1,CL73*(1+FixedParams!$D$23)+CM73*(1+FixedParams!$D$26)/$CE$12,CL73*(1+FixedParams!$D$24)+CM73*(1+FixedParams!$D$27)/$CE$12))</f>
        <v>358.04774118623948</v>
      </c>
      <c r="CR73" s="24">
        <f t="shared" si="45"/>
        <v>71.531576125780674</v>
      </c>
      <c r="CS73" s="24">
        <f>CR73^((FixedParams!$B$47-1)/FixedParams!$B$47)*EXP($C73)</f>
        <v>0.49460359350267885</v>
      </c>
      <c r="CT73" s="24"/>
    </row>
    <row r="74" spans="1:98" x14ac:dyDescent="0.15">
      <c r="A74">
        <v>0.28500000000000003</v>
      </c>
      <c r="B74">
        <f t="shared" si="8"/>
        <v>0.16259262721962775</v>
      </c>
      <c r="C74">
        <f>(D74-$D$17)*FixedParams!$B$47+$A74*$B$9</f>
        <v>-0.7122193208636407</v>
      </c>
      <c r="D74">
        <f>(A74-$B$6)*FixedParams!$B$46/(FixedParams!$B$45*Sectors!$B$6)</f>
        <v>-0.11682055742695373</v>
      </c>
      <c r="E74">
        <f t="shared" si="9"/>
        <v>0.49055429110935556</v>
      </c>
      <c r="F74" s="24">
        <f>EXP(-$D$17)*(($B74*FixedParams!$B$30)^$B$10*(1+FixedParams!$B$23)^(1-$B$10)+(1-$B74)^$B$10*((1+FixedParams!$B$26)/$B$11)^(1-$B$10))^(1/(1-$B$10))</f>
        <v>4.7600785258517799</v>
      </c>
      <c r="G74" s="24">
        <f>EXP($D74-$D$17)*(($B74*FixedParams!$B$31)^$B$10*(1+FixedParams!$B$25)^(1-$B$10)+(1-$B74)^$B$10*((1+FixedParams!$B$28)/$B$11)^(1-$B$10))^(1/(1-$B$10))</f>
        <v>4.0925698868917433</v>
      </c>
      <c r="H74">
        <f t="shared" si="10"/>
        <v>1</v>
      </c>
      <c r="I74" s="24">
        <f>$B$12*IF(H74=1,1,FixedParams!$B$52)</f>
        <v>0.3745928365283252</v>
      </c>
      <c r="J74">
        <f>EXP($C74*FixedParams!$B$47)*EXP(IF(H74=1,(1-FixedParams!$B$47)*$D74,0))*($B74^((FixedParams!$B$47-1)*$B$10/($B$10-1)))*((1/$B74-1)^$B$10*(I74)^($B$10-1)+1)^((FixedParams!$B$47-$B$10)/($B$10-1))/((1+IF(H74=1,FixedParams!$B$25,FixedParams!$B$24))^FixedParams!$B$47)</f>
        <v>6.0168980375047573E-2</v>
      </c>
      <c r="K74">
        <f t="shared" si="38"/>
        <v>1.2131620257263138</v>
      </c>
      <c r="L74">
        <f>K74*FixedParams!$B$8/K$15</f>
        <v>35.270416567384729</v>
      </c>
      <c r="M74">
        <f t="shared" si="0"/>
        <v>94.515641951845936</v>
      </c>
      <c r="N74">
        <f t="shared" si="11"/>
        <v>129.78605851923066</v>
      </c>
      <c r="O74" s="24">
        <f t="shared" si="12"/>
        <v>2.6797427178460511</v>
      </c>
      <c r="P74" s="24">
        <f t="shared" si="1"/>
        <v>1.60025645507145</v>
      </c>
      <c r="Q74" s="23">
        <f>IF(H74=1,L74*(1+FixedParams!$B$25)+M74*FixedParams!$B$33*(1+FixedParams!$B$28)/FixedParams!$B$32,L74*(1+FixedParams!$B$23)+M74*FixedParams!$B$33*(1+FixedParams!$B$26)/FixedParams!$B$32)</f>
        <v>288.09010231589389</v>
      </c>
      <c r="R74" s="24">
        <f t="shared" si="2"/>
        <v>70.393447217267877</v>
      </c>
      <c r="S74" s="24">
        <f>R74^((FixedParams!$B$47-1)/FixedParams!$B$47)*EXP($C74)</f>
        <v>0.48846977651067441</v>
      </c>
      <c r="T74" s="7">
        <f>(L74*FixedParams!$B$32*(FixedParams!$C$25-FixedParams!$C$23)+FixedParams!$B$33*(FixedParams!$C$28-FixedParams!$C$26)*M74)/N74</f>
        <v>-1374.7842083182884</v>
      </c>
      <c r="U74" s="7">
        <f>(L74*FixedParams!$B$32*(FixedParams!$C$25-FixedParams!$C$23)*$Z$12/$B$11+FixedParams!$B$33*(FixedParams!$C$28-FixedParams!$C$26)*M74)/N74</f>
        <v>-1647.719998112346</v>
      </c>
      <c r="V74" s="14">
        <f t="shared" si="13"/>
        <v>-1.9676364012546643</v>
      </c>
      <c r="W74" s="14">
        <f t="shared" si="46"/>
        <v>0.50430946072724825</v>
      </c>
      <c r="X74" s="73">
        <f t="shared" si="15"/>
        <v>0.9800109773281207</v>
      </c>
      <c r="Y74" s="24">
        <f>EXP(-$D$17)*(($B74*FixedParams!$B$30)^$B$10*(1+FixedParams!$C$24)^(1-$B$10)+(1-$B74)^$B$10*((1+FixedParams!$C$27)/$Z$12)^(1-$B$10))^(1/(1-$B$10))</f>
        <v>6.1352277676964952</v>
      </c>
      <c r="Z74" s="24">
        <f>EXP($D74-$D$17)*(($B74*FixedParams!$C$31)^$B$10*(1+FixedParams!$C$25)^(1-$B$10)+(1-$B74)^$B$10*((1+FixedParams!$C$28)/$Z$12)^(1-$B$10))^(1/(1-$B$10))</f>
        <v>4.9317544866431424</v>
      </c>
      <c r="AA74" s="24">
        <f>EXP($D74-$D$17)*(($B74*FixedParams!$C$30)^$B$10*(1+FixedParams!$C$23)^(1-$B$10)+(1-$B74)^$B$10*((1+FixedParams!$C$26)/$Z$12)^(1-$B$10))^(1/(1-$B$10))</f>
        <v>5.0474557462671097</v>
      </c>
      <c r="AB74">
        <f>IF(FixedParams!$I$6=1,IF(Z74&lt;=MIN(Y74:AA74),1,0),$H74)</f>
        <v>1</v>
      </c>
      <c r="AC74">
        <f>IF(FixedParams!$I$6=1,IF(AA74&lt;=MIN(Y74:AA74),1,0),IF(AA74&lt;=Y74,1,0)*(1-$H74))</f>
        <v>0</v>
      </c>
      <c r="AD74" s="24">
        <f>$Z$13*IF(AB74=1,1,IF(AC74=1,FixedParams!$C$52,FixedParams!$C$53))</f>
        <v>0.43187184563106507</v>
      </c>
      <c r="AE74">
        <f>EXP($C74*FixedParams!$B$47)*EXP(IF(AB74+AC74=1,(1-FixedParams!$B$47)*$D74,0))*($B74^((FixedParams!$B$47-1)*$B$10/($B$10-1)))*((1/$B74-1)^$B$10*(AD74)^($B$10-1)+1)^((FixedParams!$B$47-$B$10)/($B$10-1))/((1+IF(AB74=1,FixedParams!$C$25,IF(AC74=1,FixedParams!$C$23,FixedParams!$C$24)))^FixedParams!$B$47)</f>
        <v>4.1378509249027709E-2</v>
      </c>
      <c r="AF74">
        <f t="shared" si="39"/>
        <v>1.2193080236963667</v>
      </c>
      <c r="AG74">
        <f t="shared" si="40"/>
        <v>28.639673078000058</v>
      </c>
      <c r="AH74">
        <f t="shared" si="3"/>
        <v>95.006712966502434</v>
      </c>
      <c r="AI74">
        <f t="shared" si="16"/>
        <v>123.64638604450249</v>
      </c>
      <c r="AJ74" s="24">
        <f t="shared" si="17"/>
        <v>3.3173113641259784</v>
      </c>
      <c r="AK74" s="24">
        <f t="shared" si="18"/>
        <v>1.6471755287676961</v>
      </c>
      <c r="AL74" s="23">
        <f>IF(AB74=1,AG74*(1+FixedParams!$C$25)+AH74*(1+FixedParams!$C$28)/$Z$12,IF(AC74=1,AG74*(1+FixedParams!$C$23)+AH74*(1+FixedParams!$C$26)/$Z$12,AG74*(1+FixedParams!$C$24)+AH74*(1+FixedParams!$C$27)/$Z$12))</f>
        <v>340.22374608550575</v>
      </c>
      <c r="AM74" s="24">
        <f t="shared" si="19"/>
        <v>68.986351004890167</v>
      </c>
      <c r="AN74" s="24">
        <f>AM74^((FixedParams!$B$47-1)/FixedParams!$B$47)*EXP($C74)</f>
        <v>0.48847964942369698</v>
      </c>
      <c r="AO74" s="24">
        <f t="shared" si="20"/>
        <v>-4.8461624857988446E-2</v>
      </c>
      <c r="AP74" s="24">
        <f t="shared" si="21"/>
        <v>-2.0191506025028953E-2</v>
      </c>
      <c r="AQ74" s="14">
        <f t="shared" si="22"/>
        <v>-2.0387810131365494</v>
      </c>
      <c r="AS74" s="24">
        <f>EXP(-$D$17)*(($B74*FixedParams!$B$30)^$B$10*(1+FixedParams!$D$24)^(1-$B$10)+(1-$B74)^$B$10*((1+FixedParams!$D$27)/$AT$12)^(1-$B$10))^(1/(1-$B$10))</f>
        <v>5.7984938748565291</v>
      </c>
      <c r="AT74" s="24">
        <f>EXP($D74-$D$17)*(($B74*FixedParams!$C$31)^$B$10*(1+FixedParams!$D$25)^(1-$B$10)+(1-$B74)^$B$10*((1+FixedParams!$D$28)/$AT$12)^(1-$B$10))^(1/(1-$B$10))</f>
        <v>4.8224452530172153</v>
      </c>
      <c r="AU74" s="24">
        <f>EXP($D74-$D$17)*(($B74*FixedParams!$C$30)^$B$10*(1+FixedParams!$D$23)^(1-$B$10)+(1-$B74)^$B$10*((1+FixedParams!$D$26)/$AT$12)^(1-$B$10))^(1/(1-$B$10))</f>
        <v>4.8946055093281799</v>
      </c>
      <c r="AV74">
        <f>IF(FixedParams!$I$6=1,IF(AT74&lt;=MIN(AS74:AU74),1,0),$H74)</f>
        <v>1</v>
      </c>
      <c r="AW74">
        <f>IF(FixedParams!$I$6=1,IF(AU74&lt;=MIN(AS74:AU74),1,0),IF(AU74&lt;=AS74,1,0)*(1-$H74))</f>
        <v>0</v>
      </c>
      <c r="AX74" s="24">
        <f>$AT$13*IF(AV74=1,1,IF(AW74=1,FixedParams!$D$52,FixedParams!$D$53))</f>
        <v>0.41089128090616783</v>
      </c>
      <c r="AY74">
        <f>EXP($C74*FixedParams!$B$47)*EXP(IF(AV74+AW74=1,(1-FixedParams!$B$47)*$D74,0))*($B74^((FixedParams!$B$47-1)*$B$10/($B$10-1)))*((1/$B74-1)^$B$10*(AX74)^($B$10-1)+1)^((FixedParams!$B$47-$B$10)/($B$10-1))/((1+IF(AV74=1,FixedParams!$D$25,IF(AW74=1,FixedParams!$D$23,FixedParams!$D$24)))^FixedParams!$B$47)</f>
        <v>4.5202530766584911E-2</v>
      </c>
      <c r="AZ74">
        <f t="shared" si="4"/>
        <v>1.2171948036011084</v>
      </c>
      <c r="BA74">
        <f t="shared" si="23"/>
        <v>30.624458467463967</v>
      </c>
      <c r="BB74">
        <f t="shared" si="5"/>
        <v>94.278508600311213</v>
      </c>
      <c r="BC74">
        <f t="shared" si="24"/>
        <v>124.90296706777518</v>
      </c>
      <c r="BD74" s="24">
        <f t="shared" si="25"/>
        <v>3.078536350299045</v>
      </c>
      <c r="BE74" s="24">
        <f t="shared" si="26"/>
        <v>1.633013825940375</v>
      </c>
      <c r="BF74" s="23">
        <f>IF(AV74=1,BA74*(1+FixedParams!$C$25)+BB74*(1+FixedParams!$C$28)/$AT$12,IF(AW74=1,BA74*(1+FixedParams!$C$23)+BB74*(1+FixedParams!$C$26)/$AT$12,BA74*(1+FixedParams!$C$24)+BB74*(1+FixedParams!$C$27)/$AT$12))</f>
        <v>336.54448992623861</v>
      </c>
      <c r="BG74" s="24">
        <f t="shared" si="27"/>
        <v>69.787104315113979</v>
      </c>
      <c r="BH74" s="24">
        <f>BG74^((FixedParams!$B$47-1)/FixedParams!$B$47)*EXP($C74)</f>
        <v>0.48847400648106626</v>
      </c>
      <c r="BI74" s="7"/>
      <c r="BJ74" s="24">
        <f>EXP(-$D$17)*(($B74*FixedParams!$B$30)^$B$10*(1+FixedParams!$C$24)^(1-$B$10)+(1-$B74)^$B$10*((1+FixedParams!$C$27)/$BK$12)^(1-$B$10))^(1/(1-$B$10))</f>
        <v>6.415761115272022</v>
      </c>
      <c r="BK74" s="24">
        <f>EXP($D74-$D$17)*(($B74*FixedParams!$C$31)^$B$10*(1+FixedParams!$C$25)^(1-$B$10)+(1-$B74)^$B$10*((1+FixedParams!$C$28)/$BK$12)^(1-$B$10))^(1/(1-$B$10))</f>
        <v>5.1559166018176281</v>
      </c>
      <c r="BL74" s="24">
        <f>EXP($D74-$D$17)*(($B74*FixedParams!$C$30)^$B$10*(1+FixedParams!$C$23)^(1-$B$10)+(1-$B74)^$B$10*((1+FixedParams!$C$26)/$BK$12)^(1-$B$10))^(1/(1-$B$10))</f>
        <v>5.2737649839630105</v>
      </c>
      <c r="BM74">
        <f>IF(FixedParams!$I$6=1,IF(BK74&lt;=MIN(BJ74:BL74),1,0),$H74)</f>
        <v>1</v>
      </c>
      <c r="BN74">
        <f>IF(FixedParams!$I$6=1,IF(BL74&lt;=MIN(BJ74:BL74),1,0),IF(BL74&lt;=BJ74,1,0)*(1-$H74))</f>
        <v>0</v>
      </c>
      <c r="BO74" s="24">
        <f>$BK$13*IF(BM74=1,1,IF(BN74=1,FixedParams!$C$52,FixedParams!$C$53))</f>
        <v>0.41068174962109105</v>
      </c>
      <c r="BP74">
        <f>EXP($C74*FixedParams!$B$47)*EXP(IF(BM74+BN74=1,(1-FixedParams!$B$47)*$D74,0))*($B74^((FixedParams!$B$47-1)*$B$10/($B$10-1)))*((1/$B74-1)^$B$10*(BO74)^($B$10-1)+1)^((FixedParams!$B$47-$B$10)/($B$10-1))/((1+IF(BM74=1,FixedParams!$C$25,IF(BN74=1,FixedParams!$C$23,FixedParams!$C$24)))^FixedParams!$B$47)</f>
        <v>4.2310325109219074E-2</v>
      </c>
      <c r="BQ74">
        <f t="shared" si="28"/>
        <v>1.2171729499543336</v>
      </c>
      <c r="BR74">
        <f t="shared" si="29"/>
        <v>31.04297226418797</v>
      </c>
      <c r="BS74">
        <f t="shared" si="6"/>
        <v>95.493827281754605</v>
      </c>
      <c r="BT74">
        <f t="shared" si="30"/>
        <v>126.53679954594257</v>
      </c>
      <c r="BU74" s="24">
        <f t="shared" si="31"/>
        <v>3.0761818317223097</v>
      </c>
      <c r="BV74" s="24">
        <f t="shared" si="32"/>
        <v>1.6375509754095419</v>
      </c>
      <c r="BW74" s="23">
        <f>IF(BM74=1,BR74*(1+FixedParams!$C$25)+BS74*(1+FixedParams!$C$28)/$BK$12,IF(BN74=1,BR74*(1+FixedParams!$C$23)+BS74*(1+FixedParams!$C$26)/$BK$12,BR74*(1+FixedParams!$C$24)+BS74*(1+FixedParams!$C$27)/$BK$12))</f>
        <v>360.66802778109502</v>
      </c>
      <c r="BX74" s="24">
        <f t="shared" si="33"/>
        <v>69.952261767373784</v>
      </c>
      <c r="BY74" s="24">
        <f>BX74^((FixedParams!$B$47-1)/FixedParams!$B$47)*EXP($C74)</f>
        <v>0.48847285067475898</v>
      </c>
      <c r="BZ74" s="24">
        <f t="shared" si="34"/>
        <v>-2.5354219735184591E-2</v>
      </c>
      <c r="CA74" s="24">
        <f t="shared" si="35"/>
        <v>-6.2871448846832873E-3</v>
      </c>
      <c r="CB74" s="24">
        <f t="shared" si="36"/>
        <v>1.1041311034723965E-2</v>
      </c>
      <c r="CC74" s="24"/>
      <c r="CD74" s="24">
        <f>EXP(-$D$17)*(($B74*FixedParams!$B$30)^$B$10*(1+FixedParams!$D$24)^(1-$B$10)+(1-$B74)^$B$10*((1+FixedParams!$D$27)/$CE$12)^(1-$B$10))^(1/(1-$B$10))</f>
        <v>6.0447946205928096</v>
      </c>
      <c r="CE74" s="24">
        <f>EXP($D74-$D$17)*(($B74*FixedParams!$D$31)^$B$10*(1+FixedParams!$D$25)^(1-$B$10)+(1-$B74)^$B$10*((1+FixedParams!$D$28)/$CE$12)^(1-$B$10))^(1/(1-$B$10))</f>
        <v>5.0264410670482897</v>
      </c>
      <c r="CF74" s="24">
        <f>EXP($D74-$D$17)*(($B74*FixedParams!$D$30)^$B$10*(1+FixedParams!$D$23)^(1-$B$10)+(1-$B74)^$B$10*((1+FixedParams!$D$26)/$CE$12)^(1-$B$10))^(1/(1-$B$10))</f>
        <v>5.0993896829630332</v>
      </c>
      <c r="CG74">
        <f>IF(FixedParams!$I$6=1,IF(CE74&lt;=MIN(CD74:CF74),1,0),$H74)</f>
        <v>1</v>
      </c>
      <c r="CH74">
        <f>IF(FixedParams!$I$6=1,IF(CF74&lt;=MIN(CD74:CF74),1,0),IF(CF74&lt;=CD74,1,0)*(1-$H74))</f>
        <v>0</v>
      </c>
      <c r="CI74" s="24">
        <f>$CE$13*IF(CG74=1,1,IF(CH74=1,FixedParams!$D$52,FixedParams!$D$53))</f>
        <v>0.39201585704839609</v>
      </c>
      <c r="CJ74">
        <f>EXP($C74*FixedParams!$B$47)*EXP(IF(CG74+CH74=1,(1-FixedParams!$B$47)*$D74,0))*($B74^((FixedParams!$B$47-1)*$B$10/($B$10-1)))*((1/$B74-1)^$B$10*(CI74)^($B$10-1)+1)^((FixedParams!$B$47-$B$10)/($B$10-1))/((1+IF(CG74=1,FixedParams!$D$25,IF(CH74=1,FixedParams!$D$23,FixedParams!$D$24)))^FixedParams!$B$47)</f>
        <v>4.6150603891509823E-2</v>
      </c>
      <c r="CK74">
        <f t="shared" si="37"/>
        <v>1.2151620235071463</v>
      </c>
      <c r="CL74">
        <f t="shared" si="41"/>
        <v>33.198568888941331</v>
      </c>
      <c r="CM74">
        <f t="shared" si="7"/>
        <v>95.24204505456585</v>
      </c>
      <c r="CN74">
        <f t="shared" si="42"/>
        <v>128.44061394350717</v>
      </c>
      <c r="CO74" s="24">
        <f t="shared" si="43"/>
        <v>2.8688599611982557</v>
      </c>
      <c r="CP74" s="24">
        <f t="shared" si="44"/>
        <v>1.6239021606584305</v>
      </c>
      <c r="CQ74" s="23">
        <f>IF(CG74=1,CL74*(1+FixedParams!$D$25)+CM74*(1+FixedParams!$D$28)/$CE$12,IF(CH74=1,CL74*(1+FixedParams!$D$23)+CM74*(1+FixedParams!$D$26)/$CE$12,CL74*(1+FixedParams!$D$24)+CM74*(1+FixedParams!$D$27)/$CE$12))</f>
        <v>353.60764000731274</v>
      </c>
      <c r="CR74" s="24">
        <f t="shared" si="45"/>
        <v>70.34950480678053</v>
      </c>
      <c r="CS74" s="24">
        <f>CR74^((FixedParams!$B$47-1)/FixedParams!$B$47)*EXP($C74)</f>
        <v>0.48847008183371265</v>
      </c>
      <c r="CT74" s="24"/>
    </row>
    <row r="75" spans="1:98" x14ac:dyDescent="0.15">
      <c r="A75">
        <v>0.28999999999999998</v>
      </c>
      <c r="B75">
        <f t="shared" si="8"/>
        <v>0.16416639285744067</v>
      </c>
      <c r="C75">
        <f>(D75-$D$17)*FixedParams!$B$47+$A75*$B$9</f>
        <v>-0.72471439666826587</v>
      </c>
      <c r="D75">
        <f>(A75-$B$6)*FixedParams!$B$46/(FixedParams!$B$45*Sectors!$B$6)</f>
        <v>-0.11410380027748972</v>
      </c>
      <c r="E75">
        <f t="shared" si="9"/>
        <v>0.48446291342077658</v>
      </c>
      <c r="F75" s="24">
        <f>EXP(-$D$17)*(($B75*FixedParams!$B$30)^$B$10*(1+FixedParams!$B$23)^(1-$B$10)+(1-$B75)^$B$10*((1+FixedParams!$B$26)/$B$11)^(1-$B$10))^(1/(1-$B$10))</f>
        <v>4.7670067683399635</v>
      </c>
      <c r="G75" s="24">
        <f>EXP($D75-$D$17)*(($B75*FixedParams!$B$31)^$B$10*(1+FixedParams!$B$25)^(1-$B$10)+(1-$B75)^$B$10*((1+FixedParams!$B$28)/$B$11)^(1-$B$10))^(1/(1-$B$10))</f>
        <v>4.1093492590816592</v>
      </c>
      <c r="H75">
        <f t="shared" si="10"/>
        <v>1</v>
      </c>
      <c r="I75" s="24">
        <f>$B$12*IF(H75=1,1,FixedParams!$B$52)</f>
        <v>0.3745928365283252</v>
      </c>
      <c r="J75">
        <f>EXP($C75*FixedParams!$B$47)*EXP(IF(H75=1,(1-FixedParams!$B$47)*$D75,0))*($B75^((FixedParams!$B$47-1)*$B$10/($B$10-1)))*((1/$B75-1)^$B$10*(I75)^($B$10-1)+1)^((FixedParams!$B$47-$B$10)/($B$10-1))/((1+IF(H75=1,FixedParams!$B$25,FixedParams!$B$24))^FixedParams!$B$47)</f>
        <v>6.0329116092544821E-2</v>
      </c>
      <c r="K75">
        <f t="shared" si="38"/>
        <v>1.2163907753281711</v>
      </c>
      <c r="L75">
        <f>K75*FixedParams!$B$8/K$15</f>
        <v>35.364286422387075</v>
      </c>
      <c r="M75">
        <f t="shared" si="0"/>
        <v>93.144552704636055</v>
      </c>
      <c r="N75">
        <f t="shared" si="11"/>
        <v>128.50883912702312</v>
      </c>
      <c r="O75" s="24">
        <f t="shared" si="12"/>
        <v>2.6338592441008974</v>
      </c>
      <c r="P75" s="24">
        <f t="shared" si="1"/>
        <v>1.6068174422753492</v>
      </c>
      <c r="Q75" s="23">
        <f>IF(H75=1,L75*(1+FixedParams!$B$25)+M75*FixedParams!$B$33*(1+FixedParams!$B$28)/FixedParams!$B$32,L75*(1+FixedParams!$B$23)+M75*FixedParams!$B$33*(1+FixedParams!$B$26)/FixedParams!$B$32)</f>
        <v>284.51750973657795</v>
      </c>
      <c r="R75" s="24">
        <f t="shared" si="2"/>
        <v>69.236633782780672</v>
      </c>
      <c r="S75" s="24">
        <f>R75^((FixedParams!$B$47-1)/FixedParams!$B$47)*EXP($C75)</f>
        <v>0.4824122844803907</v>
      </c>
      <c r="T75" s="7">
        <f>(L75*FixedParams!$B$32*(FixedParams!$C$25-FixedParams!$C$23)+FixedParams!$B$33*(FixedParams!$C$28-FixedParams!$C$26)*M75)/N75</f>
        <v>-1335.8552429862998</v>
      </c>
      <c r="U75" s="7">
        <f>(L75*FixedParams!$B$32*(FixedParams!$C$25-FixedParams!$C$23)*$Z$12/$B$11+FixedParams!$B$33*(FixedParams!$C$28-FixedParams!$C$26)*M75)/N75</f>
        <v>-1612.2372978401445</v>
      </c>
      <c r="V75" s="14">
        <f t="shared" si="13"/>
        <v>-1.9503657759585811</v>
      </c>
      <c r="W75" s="14">
        <f t="shared" si="46"/>
        <v>0.51061254579957527</v>
      </c>
      <c r="X75" s="73">
        <f t="shared" si="15"/>
        <v>0.97975734054911312</v>
      </c>
      <c r="Y75" s="24">
        <f>EXP(-$D$17)*(($B75*FixedParams!$B$30)^$B$10*(1+FixedParams!$C$24)^(1-$B$10)+(1-$B75)^$B$10*((1+FixedParams!$C$27)/$Z$12)^(1-$B$10))^(1/(1-$B$10))</f>
        <v>6.146355560550564</v>
      </c>
      <c r="Z75" s="24">
        <f>EXP($D75-$D$17)*(($B75*FixedParams!$C$31)^$B$10*(1+FixedParams!$C$25)^(1-$B$10)+(1-$B75)^$B$10*((1+FixedParams!$C$28)/$Z$12)^(1-$B$10))^(1/(1-$B$10))</f>
        <v>4.9532577183904367</v>
      </c>
      <c r="AA75" s="24">
        <f>EXP($D75-$D$17)*(($B75*FixedParams!$C$30)^$B$10*(1+FixedParams!$C$23)^(1-$B$10)+(1-$B75)^$B$10*((1+FixedParams!$C$26)/$Z$12)^(1-$B$10))^(1/(1-$B$10))</f>
        <v>5.067416888220408</v>
      </c>
      <c r="AB75">
        <f>IF(FixedParams!$I$6=1,IF(Z75&lt;=MIN(Y75:AA75),1,0),$H75)</f>
        <v>1</v>
      </c>
      <c r="AC75">
        <f>IF(FixedParams!$I$6=1,IF(AA75&lt;=MIN(Y75:AA75),1,0),IF(AA75&lt;=Y75,1,0)*(1-$H75))</f>
        <v>0</v>
      </c>
      <c r="AD75" s="24">
        <f>$Z$13*IF(AB75=1,1,IF(AC75=1,FixedParams!$C$52,FixedParams!$C$53))</f>
        <v>0.43187184563106507</v>
      </c>
      <c r="AE75">
        <f>EXP($C75*FixedParams!$B$47)*EXP(IF(AB75+AC75=1,(1-FixedParams!$B$47)*$D75,0))*($B75^((FixedParams!$B$47-1)*$B$10/($B$10-1)))*((1/$B75-1)^$B$10*(AD75)^($B$10-1)+1)^((FixedParams!$B$47-$B$10)/($B$10-1))/((1+IF(AB75=1,FixedParams!$C$25,IF(AC75=1,FixedParams!$C$23,FixedParams!$C$24)))^FixedParams!$B$47)</f>
        <v>4.1494021393185143E-2</v>
      </c>
      <c r="AF75">
        <f t="shared" si="39"/>
        <v>1.2227118409619402</v>
      </c>
      <c r="AG75">
        <f t="shared" si="40"/>
        <v>28.719623518585003</v>
      </c>
      <c r="AH75">
        <f t="shared" si="3"/>
        <v>93.640654756324452</v>
      </c>
      <c r="AI75">
        <f t="shared" si="16"/>
        <v>122.36027827490946</v>
      </c>
      <c r="AJ75" s="24">
        <f t="shared" si="17"/>
        <v>3.2605112213858876</v>
      </c>
      <c r="AK75" s="24">
        <f t="shared" si="18"/>
        <v>1.6543574753182579</v>
      </c>
      <c r="AL75" s="23">
        <f>IF(AB75=1,AG75*(1+FixedParams!$C$25)+AH75*(1+FixedParams!$C$28)/$Z$12,IF(AC75=1,AG75*(1+FixedParams!$C$23)+AH75*(1+FixedParams!$C$26)/$Z$12,AG75*(1+FixedParams!$C$24)+AH75*(1+FixedParams!$C$27)/$Z$12))</f>
        <v>336.00473356215605</v>
      </c>
      <c r="AM75" s="24">
        <f t="shared" si="19"/>
        <v>67.835100183590072</v>
      </c>
      <c r="AN75" s="24">
        <f>AM75^((FixedParams!$B$47-1)/FixedParams!$B$47)*EXP($C75)</f>
        <v>0.48242215995674448</v>
      </c>
      <c r="AO75" s="24">
        <f t="shared" si="20"/>
        <v>-4.9027895439131525E-2</v>
      </c>
      <c r="AP75" s="24">
        <f t="shared" si="21"/>
        <v>-2.0450349662932493E-2</v>
      </c>
      <c r="AQ75" s="14">
        <f t="shared" si="22"/>
        <v>-2.0215103878404661</v>
      </c>
      <c r="AS75" s="24">
        <f>EXP(-$D$17)*(($B75*FixedParams!$B$30)^$B$10*(1+FixedParams!$D$24)^(1-$B$10)+(1-$B75)^$B$10*((1+FixedParams!$D$27)/$AT$12)^(1-$B$10))^(1/(1-$B$10))</f>
        <v>5.8081743915280901</v>
      </c>
      <c r="AT75" s="24">
        <f>EXP($D75-$D$17)*(($B75*FixedParams!$C$31)^$B$10*(1+FixedParams!$D$25)^(1-$B$10)+(1-$B75)^$B$10*((1+FixedParams!$D$28)/$AT$12)^(1-$B$10))^(1/(1-$B$10))</f>
        <v>4.8430403811715452</v>
      </c>
      <c r="AU75" s="24">
        <f>EXP($D75-$D$17)*(($B75*FixedParams!$C$30)^$B$10*(1+FixedParams!$D$23)^(1-$B$10)+(1-$B75)^$B$10*((1+FixedParams!$D$26)/$AT$12)^(1-$B$10))^(1/(1-$B$10))</f>
        <v>4.9139101511155427</v>
      </c>
      <c r="AV75">
        <f>IF(FixedParams!$I$6=1,IF(AT75&lt;=MIN(AS75:AU75),1,0),$H75)</f>
        <v>1</v>
      </c>
      <c r="AW75">
        <f>IF(FixedParams!$I$6=1,IF(AU75&lt;=MIN(AS75:AU75),1,0),IF(AU75&lt;=AS75,1,0)*(1-$H75))</f>
        <v>0</v>
      </c>
      <c r="AX75" s="24">
        <f>$AT$13*IF(AV75=1,1,IF(AW75=1,FixedParams!$D$52,FixedParams!$D$53))</f>
        <v>0.41089128090616783</v>
      </c>
      <c r="AY75">
        <f>EXP($C75*FixedParams!$B$47)*EXP(IF(AV75+AW75=1,(1-FixedParams!$B$47)*$D75,0))*($B75^((FixedParams!$B$47-1)*$B$10/($B$10-1)))*((1/$B75-1)^$B$10*(AX75)^($B$10-1)+1)^((FixedParams!$B$47-$B$10)/($B$10-1))/((1+IF(AV75=1,FixedParams!$D$25,IF(AW75=1,FixedParams!$D$23,FixedParams!$D$24)))^FixedParams!$B$47)</f>
        <v>4.532669482111578E-2</v>
      </c>
      <c r="AZ75">
        <f t="shared" si="4"/>
        <v>1.2205382412229848</v>
      </c>
      <c r="BA75">
        <f t="shared" si="23"/>
        <v>30.708578910869399</v>
      </c>
      <c r="BB75">
        <f t="shared" si="5"/>
        <v>92.918773352940519</v>
      </c>
      <c r="BC75">
        <f t="shared" si="24"/>
        <v>123.62735226380991</v>
      </c>
      <c r="BD75" s="24">
        <f t="shared" si="25"/>
        <v>3.0258245952257865</v>
      </c>
      <c r="BE75" s="24">
        <f t="shared" si="26"/>
        <v>1.6399879080208284</v>
      </c>
      <c r="BF75" s="23">
        <f>IF(AV75=1,BA75*(1+FixedParams!$C$25)+BB75*(1+FixedParams!$C$28)/$AT$12,IF(AW75=1,BA75*(1+FixedParams!$C$23)+BB75*(1+FixedParams!$C$26)/$AT$12,BA75*(1+FixedParams!$C$24)+BB75*(1+FixedParams!$C$27)/$AT$12))</f>
        <v>332.41017612218019</v>
      </c>
      <c r="BG75" s="24">
        <f t="shared" si="27"/>
        <v>68.636672412334747</v>
      </c>
      <c r="BH75" s="24">
        <f>BG75^((FixedParams!$B$47-1)/FixedParams!$B$47)*EXP($C75)</f>
        <v>0.48241648720175107</v>
      </c>
      <c r="BI75" s="7"/>
      <c r="BJ75" s="24">
        <f>EXP(-$D$17)*(($B75*FixedParams!$B$30)^$B$10*(1+FixedParams!$C$24)^(1-$B$10)+(1-$B75)^$B$10*((1+FixedParams!$C$27)/$BK$12)^(1-$B$10))^(1/(1-$B$10))</f>
        <v>6.4268416088915084</v>
      </c>
      <c r="BK75" s="24">
        <f>EXP($D75-$D$17)*(($B75*FixedParams!$C$31)^$B$10*(1+FixedParams!$C$25)^(1-$B$10)+(1-$B75)^$B$10*((1+FixedParams!$C$28)/$BK$12)^(1-$B$10))^(1/(1-$B$10))</f>
        <v>5.1779311093766927</v>
      </c>
      <c r="BL75" s="24">
        <f>EXP($D75-$D$17)*(($B75*FixedParams!$C$30)^$B$10*(1+FixedParams!$C$23)^(1-$B$10)+(1-$B75)^$B$10*((1+FixedParams!$C$26)/$BK$12)^(1-$B$10))^(1/(1-$B$10))</f>
        <v>5.2941036395537386</v>
      </c>
      <c r="BM75">
        <f>IF(FixedParams!$I$6=1,IF(BK75&lt;=MIN(BJ75:BL75),1,0),$H75)</f>
        <v>1</v>
      </c>
      <c r="BN75">
        <f>IF(FixedParams!$I$6=1,IF(BL75&lt;=MIN(BJ75:BL75),1,0),IF(BL75&lt;=BJ75,1,0)*(1-$H75))</f>
        <v>0</v>
      </c>
      <c r="BO75" s="24">
        <f>$BK$13*IF(BM75=1,1,IF(BN75=1,FixedParams!$C$52,FixedParams!$C$53))</f>
        <v>0.41068174962109105</v>
      </c>
      <c r="BP75">
        <f>EXP($C75*FixedParams!$B$47)*EXP(IF(BM75+BN75=1,(1-FixedParams!$B$47)*$D75,0))*($B75^((FixedParams!$B$47-1)*$B$10/($B$10-1)))*((1/$B75-1)^$B$10*(BO75)^($B$10-1)+1)^((FixedParams!$B$47-$B$10)/($B$10-1))/((1+IF(BM75=1,FixedParams!$C$25,IF(BN75=1,FixedParams!$C$23,FixedParams!$C$24)))^FixedParams!$B$47)</f>
        <v>4.242652515838391E-2</v>
      </c>
      <c r="BQ75">
        <f t="shared" si="28"/>
        <v>1.2205157641790341</v>
      </c>
      <c r="BR75">
        <f t="shared" si="29"/>
        <v>31.128227929182501</v>
      </c>
      <c r="BS75">
        <f t="shared" si="6"/>
        <v>94.116520613596194</v>
      </c>
      <c r="BT75">
        <f t="shared" si="30"/>
        <v>125.24474854277869</v>
      </c>
      <c r="BU75" s="24">
        <f t="shared" si="31"/>
        <v>3.0235103915235277</v>
      </c>
      <c r="BV75" s="24">
        <f t="shared" si="32"/>
        <v>1.6445429190561474</v>
      </c>
      <c r="BW75" s="23">
        <f>IF(BM75=1,BR75*(1+FixedParams!$C$25)+BS75*(1+FixedParams!$C$28)/$BK$12,IF(BN75=1,BR75*(1+FixedParams!$C$23)+BS75*(1+FixedParams!$C$26)/$BK$12,BR75*(1+FixedParams!$C$24)+BS75*(1+FixedParams!$C$27)/$BK$12))</f>
        <v>356.19545979628333</v>
      </c>
      <c r="BX75" s="24">
        <f t="shared" si="33"/>
        <v>68.79107741531179</v>
      </c>
      <c r="BY75" s="24">
        <f>BX75^((FixedParams!$B$47-1)/FixedParams!$B$47)*EXP($C75)</f>
        <v>0.48241540209297457</v>
      </c>
      <c r="BZ75" s="24">
        <f t="shared" si="34"/>
        <v>-2.5727877666470091E-2</v>
      </c>
      <c r="CA75" s="24">
        <f t="shared" si="35"/>
        <v>-6.4560646727347369E-3</v>
      </c>
      <c r="CB75" s="24">
        <f t="shared" si="36"/>
        <v>1.0872391246672514E-2</v>
      </c>
      <c r="CC75" s="24"/>
      <c r="CD75" s="24">
        <f>EXP(-$D$17)*(($B75*FixedParams!$B$30)^$B$10*(1+FixedParams!$D$24)^(1-$B$10)+(1-$B75)^$B$10*((1+FixedParams!$D$27)/$CE$12)^(1-$B$10))^(1/(1-$B$10))</f>
        <v>6.0543809897164014</v>
      </c>
      <c r="CE75" s="24">
        <f>EXP($D75-$D$17)*(($B75*FixedParams!$D$31)^$B$10*(1+FixedParams!$D$25)^(1-$B$10)+(1-$B75)^$B$10*((1+FixedParams!$D$28)/$CE$12)^(1-$B$10))^(1/(1-$B$10))</f>
        <v>5.0474748205050695</v>
      </c>
      <c r="CF75" s="24">
        <f>EXP($D75-$D$17)*(($B75*FixedParams!$D$30)^$B$10*(1+FixedParams!$D$23)^(1-$B$10)+(1-$B75)^$B$10*((1+FixedParams!$D$26)/$CE$12)^(1-$B$10))^(1/(1-$B$10))</f>
        <v>5.1190336425322167</v>
      </c>
      <c r="CG75">
        <f>IF(FixedParams!$I$6=1,IF(CE75&lt;=MIN(CD75:CF75),1,0),$H75)</f>
        <v>1</v>
      </c>
      <c r="CH75">
        <f>IF(FixedParams!$I$6=1,IF(CF75&lt;=MIN(CD75:CF75),1,0),IF(CF75&lt;=CD75,1,0)*(1-$H75))</f>
        <v>0</v>
      </c>
      <c r="CI75" s="24">
        <f>$CE$13*IF(CG75=1,1,IF(CH75=1,FixedParams!$D$52,FixedParams!$D$53))</f>
        <v>0.39201585704839609</v>
      </c>
      <c r="CJ75">
        <f>EXP($C75*FixedParams!$B$47)*EXP(IF(CG75+CH75=1,(1-FixedParams!$B$47)*$D75,0))*($B75^((FixedParams!$B$47-1)*$B$10/($B$10-1)))*((1/$B75-1)^$B$10*(CI75)^($B$10-1)+1)^((FixedParams!$B$47-$B$10)/($B$10-1))/((1+IF(CG75=1,FixedParams!$D$25,IF(CH75=1,FixedParams!$D$23,FixedParams!$D$24)))^FixedParams!$B$47)</f>
        <v>4.6275385292876635E-2</v>
      </c>
      <c r="CK75">
        <f t="shared" si="37"/>
        <v>1.2184475627503033</v>
      </c>
      <c r="CL75">
        <f t="shared" si="41"/>
        <v>33.288330746859224</v>
      </c>
      <c r="CM75">
        <f t="shared" si="7"/>
        <v>93.864383052775736</v>
      </c>
      <c r="CN75">
        <f t="shared" si="42"/>
        <v>127.15271379963497</v>
      </c>
      <c r="CO75" s="24">
        <f t="shared" si="43"/>
        <v>2.8197383571608468</v>
      </c>
      <c r="CP75" s="24">
        <f t="shared" si="44"/>
        <v>1.6306975765858431</v>
      </c>
      <c r="CQ75" s="23">
        <f>IF(CG75=1,CL75*(1+FixedParams!$D$25)+CM75*(1+FixedParams!$D$28)/$CE$12,IF(CH75=1,CL75*(1+FixedParams!$D$23)+CM75*(1+FixedParams!$D$26)/$CE$12,CL75*(1+FixedParams!$D$24)+CM75*(1+FixedParams!$D$27)/$CE$12))</f>
        <v>349.22259679320848</v>
      </c>
      <c r="CR75" s="24">
        <f t="shared" si="45"/>
        <v>69.18758571603216</v>
      </c>
      <c r="CS75" s="24">
        <f>CR75^((FixedParams!$B$47-1)/FixedParams!$B$47)*EXP($C75)</f>
        <v>0.48241262669051088</v>
      </c>
      <c r="CT75" s="24"/>
    </row>
    <row r="76" spans="1:98" x14ac:dyDescent="0.15">
      <c r="A76">
        <v>0.29499999999999998</v>
      </c>
      <c r="B76">
        <f t="shared" si="8"/>
        <v>0.16575237617503072</v>
      </c>
      <c r="C76">
        <f>(D76-$D$17)*FixedParams!$B$47+$A76*$B$9</f>
        <v>-0.73720947247289126</v>
      </c>
      <c r="D76">
        <f>(A76-$B$6)*FixedParams!$B$46/(FixedParams!$B$45*Sectors!$B$6)</f>
        <v>-0.11138704312802568</v>
      </c>
      <c r="E76">
        <f t="shared" si="9"/>
        <v>0.47844717441851087</v>
      </c>
      <c r="F76" s="24">
        <f>EXP(-$D$17)*(($B76*FixedParams!$B$30)^$B$10*(1+FixedParams!$B$23)^(1-$B$10)+(1-$B76)^$B$10*((1+FixedParams!$B$26)/$B$11)^(1-$B$10))^(1/(1-$B$10))</f>
        <v>4.7739001383741071</v>
      </c>
      <c r="G76" s="24">
        <f>EXP($D76-$D$17)*(($B76*FixedParams!$B$31)^$B$10*(1+FixedParams!$B$25)^(1-$B$10)+(1-$B76)^$B$10*((1+FixedParams!$B$28)/$B$11)^(1-$B$10))^(1/(1-$B$10))</f>
        <v>4.1261542680575278</v>
      </c>
      <c r="H76">
        <f t="shared" si="10"/>
        <v>1</v>
      </c>
      <c r="I76" s="24">
        <f>$B$12*IF(H76=1,1,FixedParams!$B$52)</f>
        <v>0.3745928365283252</v>
      </c>
      <c r="J76">
        <f>EXP($C76*FixedParams!$B$47)*EXP(IF(H76=1,(1-FixedParams!$B$47)*$D76,0))*($B76^((FixedParams!$B$47-1)*$B$10/($B$10-1)))*((1/$B76-1)^$B$10*(I76)^($B$10-1)+1)^((FixedParams!$B$47-$B$10)/($B$10-1))/((1+IF(H76=1,FixedParams!$B$25,FixedParams!$B$24))^FixedParams!$B$47)</f>
        <v>6.0487710569211803E-2</v>
      </c>
      <c r="K76">
        <f t="shared" si="38"/>
        <v>1.2195884495347646</v>
      </c>
      <c r="L76">
        <f>K76*FixedParams!$B$8/K$15</f>
        <v>35.457252818401507</v>
      </c>
      <c r="M76">
        <f t="shared" si="0"/>
        <v>91.790367550118233</v>
      </c>
      <c r="N76">
        <f t="shared" si="11"/>
        <v>127.24762036851973</v>
      </c>
      <c r="O76" s="24">
        <f t="shared" si="12"/>
        <v>2.5887614029274464</v>
      </c>
      <c r="P76" s="24">
        <f t="shared" si="1"/>
        <v>1.6133884538486156</v>
      </c>
      <c r="Q76" s="23">
        <f>IF(H76=1,L76*(1+FixedParams!$B$25)+M76*FixedParams!$B$33*(1+FixedParams!$B$28)/FixedParams!$B$32,L76*(1+FixedParams!$B$23)+M76*FixedParams!$B$33*(1+FixedParams!$B$26)/FixedParams!$B$32)</f>
        <v>280.9892177803377</v>
      </c>
      <c r="R76" s="24">
        <f t="shared" si="2"/>
        <v>68.099542461513238</v>
      </c>
      <c r="S76" s="24">
        <f>R76^((FixedParams!$B$47-1)/FixedParams!$B$47)*EXP($C76)</f>
        <v>0.47642990615682251</v>
      </c>
      <c r="T76" s="7">
        <f>(L76*FixedParams!$B$32*(FixedParams!$C$25-FixedParams!$C$23)+FixedParams!$B$33*(FixedParams!$C$28-FixedParams!$C$26)*M76)/N76</f>
        <v>-1296.6228144034887</v>
      </c>
      <c r="U76" s="7">
        <f>(L76*FixedParams!$B$32*(FixedParams!$C$25-FixedParams!$C$23)*$Z$12/$B$11+FixedParams!$B$33*(FixedParams!$C$28-FixedParams!$C$26)*M76)/N76</f>
        <v>-1576.4779990125808</v>
      </c>
      <c r="V76" s="14">
        <f t="shared" si="13"/>
        <v>-1.9330951506624978</v>
      </c>
      <c r="W76" s="14">
        <f t="shared" si="46"/>
        <v>0.51685377077586792</v>
      </c>
      <c r="X76" s="73">
        <f t="shared" si="15"/>
        <v>0.97950042620743827</v>
      </c>
      <c r="Y76" s="24">
        <f>EXP(-$D$17)*(($B76*FixedParams!$B$30)^$B$10*(1+FixedParams!$C$24)^(1-$B$10)+(1-$B76)^$B$10*((1+FixedParams!$C$27)/$Z$12)^(1-$B$10))^(1/(1-$B$10))</f>
        <v>6.1574748819233518</v>
      </c>
      <c r="Z76" s="24">
        <f>EXP($D76-$D$17)*(($B76*FixedParams!$C$31)^$B$10*(1+FixedParams!$C$25)^(1-$B$10)+(1-$B76)^$B$10*((1+FixedParams!$C$28)/$Z$12)^(1-$B$10))^(1/(1-$B$10))</f>
        <v>4.9748196700100458</v>
      </c>
      <c r="AA76" s="24">
        <f>EXP($D76-$D$17)*(($B76*FixedParams!$C$30)^$B$10*(1+FixedParams!$C$23)^(1-$B$10)+(1-$B76)^$B$10*((1+FixedParams!$C$26)/$Z$12)^(1-$B$10))^(1/(1-$B$10))</f>
        <v>5.0873942037786728</v>
      </c>
      <c r="AB76">
        <f>IF(FixedParams!$I$6=1,IF(Z76&lt;=MIN(Y76:AA76),1,0),$H76)</f>
        <v>1</v>
      </c>
      <c r="AC76">
        <f>IF(FixedParams!$I$6=1,IF(AA76&lt;=MIN(Y76:AA76),1,0),IF(AA76&lt;=Y76,1,0)*(1-$H76))</f>
        <v>0</v>
      </c>
      <c r="AD76" s="24">
        <f>$Z$13*IF(AB76=1,1,IF(AC76=1,FixedParams!$C$52,FixedParams!$C$53))</f>
        <v>0.43187184563106507</v>
      </c>
      <c r="AE76">
        <f>EXP($C76*FixedParams!$B$47)*EXP(IF(AB76+AC76=1,(1-FixedParams!$B$47)*$D76,0))*($B76^((FixedParams!$B$47-1)*$B$10/($B$10-1)))*((1/$B76-1)^$B$10*(AD76)^($B$10-1)+1)^((FixedParams!$B$47-$B$10)/($B$10-1))/((1+IF(AB76=1,FixedParams!$C$25,IF(AC76=1,FixedParams!$C$23,FixedParams!$C$24)))^FixedParams!$B$47)</f>
        <v>4.1608573858788273E-2</v>
      </c>
      <c r="AF76">
        <f t="shared" si="39"/>
        <v>1.2260873792058025</v>
      </c>
      <c r="AG76">
        <f t="shared" si="40"/>
        <v>28.798909728375886</v>
      </c>
      <c r="AH76">
        <f t="shared" si="3"/>
        <v>92.291394573199071</v>
      </c>
      <c r="AI76">
        <f t="shared" si="16"/>
        <v>121.09030430157496</v>
      </c>
      <c r="AJ76" s="24">
        <f t="shared" si="17"/>
        <v>3.2046836301675454</v>
      </c>
      <c r="AK76" s="24">
        <f t="shared" si="18"/>
        <v>1.6615590339433848</v>
      </c>
      <c r="AL76" s="23">
        <f>IF(AB76=1,AG76*(1+FixedParams!$C$25)+AH76*(1+FixedParams!$C$28)/$Z$12,IF(AC76=1,AG76*(1+FixedParams!$C$23)+AH76*(1+FixedParams!$C$26)/$Z$12,AG76*(1+FixedParams!$C$24)+AH76*(1+FixedParams!$C$27)/$Z$12))</f>
        <v>331.83803740922832</v>
      </c>
      <c r="AM76" s="24">
        <f t="shared" si="19"/>
        <v>66.703530865583758</v>
      </c>
      <c r="AN76" s="24">
        <f>AM76^((FixedParams!$B$47-1)/FixedParams!$B$47)*EXP($C76)</f>
        <v>0.47643978424236494</v>
      </c>
      <c r="AO76" s="24">
        <f t="shared" si="20"/>
        <v>-4.959837102894564E-2</v>
      </c>
      <c r="AP76" s="24">
        <f t="shared" si="21"/>
        <v>-2.0712606470083168E-2</v>
      </c>
      <c r="AQ76" s="14">
        <f t="shared" si="22"/>
        <v>-2.0042397625443829</v>
      </c>
      <c r="AS76" s="24">
        <f>EXP(-$D$17)*(($B76*FixedParams!$B$30)^$B$10*(1+FixedParams!$D$24)^(1-$B$10)+(1-$B76)^$B$10*((1+FixedParams!$D$27)/$AT$12)^(1-$B$10))^(1/(1-$B$10))</f>
        <v>5.8178327460519084</v>
      </c>
      <c r="AT76" s="24">
        <f>EXP($D76-$D$17)*(($B76*FixedParams!$C$31)^$B$10*(1+FixedParams!$D$25)^(1-$B$10)+(1-$B76)^$B$10*((1+FixedParams!$D$28)/$AT$12)^(1-$B$10))^(1/(1-$B$10))</f>
        <v>4.8636834582274435</v>
      </c>
      <c r="AU76" s="24">
        <f>EXP($D76-$D$17)*(($B76*FixedParams!$C$30)^$B$10*(1+FixedParams!$D$23)^(1-$B$10)+(1-$B76)^$B$10*((1+FixedParams!$D$26)/$AT$12)^(1-$B$10))^(1/(1-$B$10))</f>
        <v>4.9332293932794702</v>
      </c>
      <c r="AV76">
        <f>IF(FixedParams!$I$6=1,IF(AT76&lt;=MIN(AS76:AU76),1,0),$H76)</f>
        <v>1</v>
      </c>
      <c r="AW76">
        <f>IF(FixedParams!$I$6=1,IF(AU76&lt;=MIN(AS76:AU76),1,0),IF(AU76&lt;=AS76,1,0)*(1-$H76))</f>
        <v>0</v>
      </c>
      <c r="AX76" s="24">
        <f>$AT$13*IF(AV76=1,1,IF(AW76=1,FixedParams!$D$52,FixedParams!$D$53))</f>
        <v>0.41089128090616783</v>
      </c>
      <c r="AY76">
        <f>EXP($C76*FixedParams!$B$47)*EXP(IF(AV76+AW76=1,(1-FixedParams!$B$47)*$D76,0))*($B76^((FixedParams!$B$47-1)*$B$10/($B$10-1)))*((1/$B76-1)^$B$10*(AX76)^($B$10-1)+1)^((FixedParams!$B$47-$B$10)/($B$10-1))/((1+IF(AV76=1,FixedParams!$D$25,IF(AW76=1,FixedParams!$D$23,FixedParams!$D$24)))^FixedParams!$B$47)</f>
        <v>4.5449772501008817E-2</v>
      </c>
      <c r="AZ76">
        <f t="shared" si="4"/>
        <v>1.2238524254039251</v>
      </c>
      <c r="BA76">
        <f t="shared" si="23"/>
        <v>30.791963341613314</v>
      </c>
      <c r="BB76">
        <f t="shared" si="5"/>
        <v>91.575772832361636</v>
      </c>
      <c r="BC76">
        <f t="shared" si="24"/>
        <v>122.36773617397495</v>
      </c>
      <c r="BD76" s="24">
        <f t="shared" si="25"/>
        <v>2.9740153888986676</v>
      </c>
      <c r="BE76" s="24">
        <f t="shared" si="26"/>
        <v>1.6469782269303368</v>
      </c>
      <c r="BF76" s="23">
        <f>IF(AV76=1,BA76*(1+FixedParams!$C$25)+BB76*(1+FixedParams!$C$28)/$AT$12,IF(AW76=1,BA76*(1+FixedParams!$C$23)+BB76*(1+FixedParams!$C$26)/$AT$12,BA76*(1+FixedParams!$C$24)+BB76*(1+FixedParams!$C$27)/$AT$12))</f>
        <v>328.32715427741886</v>
      </c>
      <c r="BG76" s="24">
        <f t="shared" si="27"/>
        <v>67.505864042615315</v>
      </c>
      <c r="BH76" s="24">
        <f>BG76^((FixedParams!$B$47-1)/FixedParams!$B$47)*EXP($C76)</f>
        <v>0.4764340819834314</v>
      </c>
      <c r="BI76" s="7"/>
      <c r="BJ76" s="24">
        <f>EXP(-$D$17)*(($B76*FixedParams!$B$30)^$B$10*(1+FixedParams!$C$24)^(1-$B$10)+(1-$B76)^$B$10*((1+FixedParams!$C$27)/$BK$12)^(1-$B$10))^(1/(1-$B$10))</f>
        <v>6.4379037840595981</v>
      </c>
      <c r="BK76" s="24">
        <f>EXP($D76-$D$17)*(($B76*FixedParams!$C$31)^$B$10*(1+FixedParams!$C$25)^(1-$B$10)+(1-$B76)^$B$10*((1+FixedParams!$C$28)/$BK$12)^(1-$B$10))^(1/(1-$B$10))</f>
        <v>5.1999967774638645</v>
      </c>
      <c r="BL76" s="24">
        <f>EXP($D76-$D$17)*(($B76*FixedParams!$C$30)^$B$10*(1+FixedParams!$C$23)^(1-$B$10)+(1-$B76)^$B$10*((1+FixedParams!$C$26)/$BK$12)^(1-$B$10))^(1/(1-$B$10))</f>
        <v>5.3144484863950936</v>
      </c>
      <c r="BM76">
        <f>IF(FixedParams!$I$6=1,IF(BK76&lt;=MIN(BJ76:BL76),1,0),$H76)</f>
        <v>1</v>
      </c>
      <c r="BN76">
        <f>IF(FixedParams!$I$6=1,IF(BL76&lt;=MIN(BJ76:BL76),1,0),IF(BL76&lt;=BJ76,1,0)*(1-$H76))</f>
        <v>0</v>
      </c>
      <c r="BO76" s="24">
        <f>$BK$13*IF(BM76=1,1,IF(BN76=1,FixedParams!$C$52,FixedParams!$C$53))</f>
        <v>0.41068174962109105</v>
      </c>
      <c r="BP76">
        <f>EXP($C76*FixedParams!$B$47)*EXP(IF(BM76+BN76=1,(1-FixedParams!$B$47)*$D76,0))*($B76^((FixedParams!$B$47-1)*$B$10/($B$10-1)))*((1/$B76-1)^$B$10*(BO76)^($B$10-1)+1)^((FixedParams!$B$47-$B$10)/($B$10-1))/((1+IF(BM76=1,FixedParams!$C$25,IF(BN76=1,FixedParams!$C$23,FixedParams!$C$24)))^FixedParams!$B$47)</f>
        <v>4.2541707976636686E-2</v>
      </c>
      <c r="BQ76">
        <f t="shared" si="28"/>
        <v>1.2238293149568853</v>
      </c>
      <c r="BR76">
        <f t="shared" si="29"/>
        <v>31.21273725458007</v>
      </c>
      <c r="BS76">
        <f t="shared" si="6"/>
        <v>92.756165084556542</v>
      </c>
      <c r="BT76">
        <f t="shared" si="30"/>
        <v>123.9689023391366</v>
      </c>
      <c r="BU76" s="24">
        <f t="shared" si="31"/>
        <v>2.9717408097857794</v>
      </c>
      <c r="BV76" s="24">
        <f t="shared" si="32"/>
        <v>1.6515511116026429</v>
      </c>
      <c r="BW76" s="23">
        <f>IF(BM76=1,BR76*(1+FixedParams!$C$25)+BS76*(1+FixedParams!$C$28)/$BK$12,IF(BN76=1,BR76*(1+FixedParams!$C$23)+BS76*(1+FixedParams!$C$26)/$BK$12,BR76*(1+FixedParams!$C$24)+BS76*(1+FixedParams!$C$27)/$BK$12))</f>
        <v>351.77835228393229</v>
      </c>
      <c r="BX76" s="24">
        <f t="shared" si="33"/>
        <v>67.649725055310739</v>
      </c>
      <c r="BY76" s="24">
        <f>BX76^((FixedParams!$B$47-1)/FixedParams!$B$47)*EXP($C76)</f>
        <v>0.47643306672610186</v>
      </c>
      <c r="BZ76" s="24">
        <f t="shared" si="34"/>
        <v>-2.610420824696074E-2</v>
      </c>
      <c r="CA76" s="24">
        <f t="shared" si="35"/>
        <v>-6.6272041205827307E-3</v>
      </c>
      <c r="CB76" s="24">
        <f t="shared" si="36"/>
        <v>1.0701251798824521E-2</v>
      </c>
      <c r="CC76" s="24"/>
      <c r="CD76" s="24">
        <f>EXP(-$D$17)*(($B76*FixedParams!$B$30)^$B$10*(1+FixedParams!$D$24)^(1-$B$10)+(1-$B76)^$B$10*((1+FixedParams!$D$27)/$CE$12)^(1-$B$10))^(1/(1-$B$10))</f>
        <v>6.063935880114129</v>
      </c>
      <c r="CE76" s="24">
        <f>EXP($D76-$D$17)*(($B76*FixedParams!$D$31)^$B$10*(1+FixedParams!$D$25)^(1-$B$10)+(1-$B76)^$B$10*((1+FixedParams!$D$28)/$CE$12)^(1-$B$10))^(1/(1-$B$10))</f>
        <v>5.068549174197992</v>
      </c>
      <c r="CF76" s="24">
        <f>EXP($D76-$D$17)*(($B76*FixedParams!$D$30)^$B$10*(1+FixedParams!$D$23)^(1-$B$10)+(1-$B76)^$B$10*((1+FixedParams!$D$26)/$CE$12)^(1-$B$10))^(1/(1-$B$10))</f>
        <v>5.1386831326509066</v>
      </c>
      <c r="CG76">
        <f>IF(FixedParams!$I$6=1,IF(CE76&lt;=MIN(CD76:CF76),1,0),$H76)</f>
        <v>1</v>
      </c>
      <c r="CH76">
        <f>IF(FixedParams!$I$6=1,IF(CF76&lt;=MIN(CD76:CF76),1,0),IF(CF76&lt;=CD76,1,0)*(1-$H76))</f>
        <v>0</v>
      </c>
      <c r="CI76" s="24">
        <f>$CE$13*IF(CG76=1,1,IF(CH76=1,FixedParams!$D$52,FixedParams!$D$53))</f>
        <v>0.39201585704839609</v>
      </c>
      <c r="CJ76">
        <f>EXP($C76*FixedParams!$B$47)*EXP(IF(CG76+CH76=1,(1-FixedParams!$B$47)*$D76,0))*($B76^((FixedParams!$B$47-1)*$B$10/($B$10-1)))*((1/$B76-1)^$B$10*(CI76)^($B$10-1)+1)^((FixedParams!$B$47-$B$10)/($B$10-1))/((1+IF(CG76=1,FixedParams!$D$25,IF(CH76=1,FixedParams!$D$23,FixedParams!$D$24)))^FixedParams!$B$47)</f>
        <v>4.6399020565911962E-2</v>
      </c>
      <c r="CK76">
        <f t="shared" si="37"/>
        <v>1.221702924021667</v>
      </c>
      <c r="CL76">
        <f t="shared" si="41"/>
        <v>33.377268134084218</v>
      </c>
      <c r="CM76">
        <f t="shared" si="7"/>
        <v>92.503691116634229</v>
      </c>
      <c r="CN76">
        <f t="shared" si="42"/>
        <v>125.88095925071845</v>
      </c>
      <c r="CO76" s="24">
        <f t="shared" si="43"/>
        <v>2.7714578300724155</v>
      </c>
      <c r="CP76" s="24">
        <f t="shared" si="44"/>
        <v>1.637506109311069</v>
      </c>
      <c r="CQ76" s="23">
        <f>IF(CG76=1,CL76*(1+FixedParams!$D$25)+CM76*(1+FixedParams!$D$28)/$CE$12,IF(CH76=1,CL76*(1+FixedParams!$D$23)+CM76*(1+FixedParams!$D$26)/$CE$12,CL76*(1+FixedParams!$D$24)+CM76*(1+FixedParams!$D$27)/$CE$12))</f>
        <v>344.89192871378555</v>
      </c>
      <c r="CR76" s="24">
        <f t="shared" si="45"/>
        <v>68.045493268467411</v>
      </c>
      <c r="CS76" s="24">
        <f>CR76^((FixedParams!$B$47-1)/FixedParams!$B$47)*EXP($C76)</f>
        <v>0.47643028481829708</v>
      </c>
      <c r="CT76" s="24"/>
    </row>
    <row r="77" spans="1:98" x14ac:dyDescent="0.15">
      <c r="A77">
        <v>0.3</v>
      </c>
      <c r="B77">
        <f t="shared" si="8"/>
        <v>0.16735061365152559</v>
      </c>
      <c r="C77">
        <f>(D77-$D$17)*FixedParams!$B$47+$A77*$B$9</f>
        <v>-0.74970454827751642</v>
      </c>
      <c r="D77">
        <f>(A77-$B$6)*FixedParams!$B$46/(FixedParams!$B$45*Sectors!$B$6)</f>
        <v>-0.10867028597856163</v>
      </c>
      <c r="E77">
        <f t="shared" si="9"/>
        <v>0.47250613487154075</v>
      </c>
      <c r="F77" s="24">
        <f>EXP(-$D$17)*(($B77*FixedParams!$B$30)^$B$10*(1+FixedParams!$B$23)^(1-$B$10)+(1-$B77)^$B$10*((1+FixedParams!$B$26)/$B$11)^(1-$B$10))^(1/(1-$B$10))</f>
        <v>4.780756467937791</v>
      </c>
      <c r="G77" s="24">
        <f>EXP($D77-$D$17)*(($B77*FixedParams!$B$31)^$B$10*(1+FixedParams!$B$25)^(1-$B$10)+(1-$B77)^$B$10*((1+FixedParams!$B$28)/$B$11)^(1-$B$10))^(1/(1-$B$10))</f>
        <v>4.1429829093196577</v>
      </c>
      <c r="H77">
        <f t="shared" si="10"/>
        <v>1</v>
      </c>
      <c r="I77" s="24">
        <f>$B$12*IF(H77=1,1,FixedParams!$B$52)</f>
        <v>0.3745928365283252</v>
      </c>
      <c r="J77">
        <f>EXP($C77*FixedParams!$B$47)*EXP(IF(H77=1,(1-FixedParams!$B$47)*$D77,0))*($B77^((FixedParams!$B$47-1)*$B$10/($B$10-1)))*((1/$B77-1)^$B$10*(I77)^($B$10-1)+1)^((FixedParams!$B$47-$B$10)/($B$10-1))/((1+IF(H77=1,FixedParams!$B$25,FixedParams!$B$24))^FixedParams!$B$47)</f>
        <v>6.064472372187419E-2</v>
      </c>
      <c r="K77">
        <f t="shared" si="38"/>
        <v>1.2227542401657885</v>
      </c>
      <c r="L77">
        <f>K77*FixedParams!$B$8/K$15</f>
        <v>35.549292259097385</v>
      </c>
      <c r="M77">
        <f t="shared" si="0"/>
        <v>90.452889843040296</v>
      </c>
      <c r="N77">
        <f t="shared" si="11"/>
        <v>126.00218210213768</v>
      </c>
      <c r="O77" s="24">
        <f t="shared" si="12"/>
        <v>2.5444357424553954</v>
      </c>
      <c r="P77" s="24">
        <f t="shared" si="1"/>
        <v>1.6199687060016847</v>
      </c>
      <c r="Q77" s="23">
        <f>IF(H77=1,L77*(1+FixedParams!$B$25)+M77*FixedParams!$B$33*(1+FixedParams!$B$28)/FixedParams!$B$32,L77*(1+FixedParams!$B$23)+M77*FixedParams!$B$33*(1+FixedParams!$B$26)/FixedParams!$B$32)</f>
        <v>277.50467703231266</v>
      </c>
      <c r="R77" s="24">
        <f t="shared" si="2"/>
        <v>66.981854163111478</v>
      </c>
      <c r="S77" s="24">
        <f>R77^((FixedParams!$B$47-1)/FixedParams!$B$47)*EXP($C77)</f>
        <v>0.47052170998226672</v>
      </c>
      <c r="T77" s="7">
        <f>(L77*FixedParams!$B$32*(FixedParams!$C$25-FixedParams!$C$23)+FixedParams!$B$33*(FixedParams!$C$28-FixedParams!$C$26)*M77)/N77</f>
        <v>-1257.0892794413446</v>
      </c>
      <c r="U77" s="7">
        <f>(L77*FixedParams!$B$32*(FixedParams!$C$25-FixedParams!$C$23)*$Z$12/$B$11+FixedParams!$B$33*(FixedParams!$C$28-FixedParams!$C$26)*M77)/N77</f>
        <v>-1540.4442498543492</v>
      </c>
      <c r="V77" s="14">
        <f t="shared" si="13"/>
        <v>-1.9158245253664137</v>
      </c>
      <c r="W77" s="14">
        <f t="shared" si="46"/>
        <v>0.52303390965568142</v>
      </c>
      <c r="X77" s="73">
        <f t="shared" si="15"/>
        <v>0.97924020942774359</v>
      </c>
      <c r="Y77" s="24">
        <f>EXP(-$D$17)*(($B77*FixedParams!$B$30)^$B$10*(1+FixedParams!$C$24)^(1-$B$10)+(1-$B77)^$B$10*((1+FixedParams!$C$27)/$Z$12)^(1-$B$10))^(1/(1-$B$10))</f>
        <v>6.1685832990657756</v>
      </c>
      <c r="Z77" s="24">
        <f>EXP($D77-$D$17)*(($B77*FixedParams!$C$31)^$B$10*(1+FixedParams!$C$25)^(1-$B$10)+(1-$B77)^$B$10*((1+FixedParams!$C$28)/$Z$12)^(1-$B$10))^(1/(1-$B$10))</f>
        <v>4.9964383140944815</v>
      </c>
      <c r="AA77" s="24">
        <f>EXP($D77-$D$17)*(($B77*FixedParams!$C$30)^$B$10*(1+FixedParams!$C$23)^(1-$B$10)+(1-$B77)^$B$10*((1+FixedParams!$C$26)/$Z$12)^(1-$B$10))^(1/(1-$B$10))</f>
        <v>5.1073850225395265</v>
      </c>
      <c r="AB77">
        <f>IF(FixedParams!$I$6=1,IF(Z77&lt;=MIN(Y77:AA77),1,0),$H77)</f>
        <v>1</v>
      </c>
      <c r="AC77">
        <f>IF(FixedParams!$I$6=1,IF(AA77&lt;=MIN(Y77:AA77),1,0),IF(AA77&lt;=Y77,1,0)*(1-$H77))</f>
        <v>0</v>
      </c>
      <c r="AD77" s="24">
        <f>$Z$13*IF(AB77=1,1,IF(AC77=1,FixedParams!$C$52,FixedParams!$C$53))</f>
        <v>0.43187184563106507</v>
      </c>
      <c r="AE77">
        <f>EXP($C77*FixedParams!$B$47)*EXP(IF(AB77+AC77=1,(1-FixedParams!$B$47)*$D77,0))*($B77^((FixedParams!$B$47-1)*$B$10/($B$10-1)))*((1/$B77-1)^$B$10*(AD77)^($B$10-1)+1)^((FixedParams!$B$47-$B$10)/($B$10-1))/((1+IF(AB77=1,FixedParams!$C$25,IF(AC77=1,FixedParams!$C$23,FixedParams!$C$24)))^FixedParams!$B$47)</f>
        <v>4.1722139832617237E-2</v>
      </c>
      <c r="AF77">
        <f t="shared" si="39"/>
        <v>1.229433848317949</v>
      </c>
      <c r="AG77">
        <f t="shared" si="40"/>
        <v>28.877513148902029</v>
      </c>
      <c r="AH77">
        <f t="shared" si="3"/>
        <v>90.958735659348463</v>
      </c>
      <c r="AI77">
        <f t="shared" si="16"/>
        <v>119.83624880825049</v>
      </c>
      <c r="AJ77" s="24">
        <f t="shared" si="17"/>
        <v>3.1498119381102891</v>
      </c>
      <c r="AK77" s="24">
        <f t="shared" si="18"/>
        <v>1.6687795275015016</v>
      </c>
      <c r="AL77" s="23">
        <f>IF(AB77=1,AG77*(1+FixedParams!$C$25)+AH77*(1+FixedParams!$C$28)/$Z$12,IF(AC77=1,AG77*(1+FixedParams!$C$23)+AH77*(1+FixedParams!$C$26)/$Z$12,AG77*(1+FixedParams!$C$24)+AH77*(1+FixedParams!$C$27)/$Z$12))</f>
        <v>327.72300879530383</v>
      </c>
      <c r="AM77" s="24">
        <f t="shared" si="19"/>
        <v>65.59132489854386</v>
      </c>
      <c r="AN77" s="24">
        <f>AM77^((FixedParams!$B$47-1)/FixedParams!$B$47)*EXP($C77)</f>
        <v>0.47053159071435319</v>
      </c>
      <c r="AO77" s="24">
        <f t="shared" si="20"/>
        <v>-5.0173007460252182E-2</v>
      </c>
      <c r="AP77" s="24">
        <f t="shared" si="21"/>
        <v>-2.0978304517585141E-2</v>
      </c>
      <c r="AQ77" s="14">
        <f t="shared" si="22"/>
        <v>-1.9869691372482987</v>
      </c>
      <c r="AS77" s="24">
        <f>EXP(-$D$17)*(($B77*FixedParams!$B$30)^$B$10*(1+FixedParams!$D$24)^(1-$B$10)+(1-$B77)^$B$10*((1+FixedParams!$D$27)/$AT$12)^(1-$B$10))^(1/(1-$B$10))</f>
        <v>5.8274664892700558</v>
      </c>
      <c r="AT77" s="24">
        <f>EXP($D77-$D$17)*(($B77*FixedParams!$C$31)^$B$10*(1+FixedParams!$D$25)^(1-$B$10)+(1-$B77)^$B$10*((1+FixedParams!$D$28)/$AT$12)^(1-$B$10))^(1/(1-$B$10))</f>
        <v>4.8843723652948672</v>
      </c>
      <c r="AU77" s="24">
        <f>EXP($D77-$D$17)*(($B77*FixedParams!$C$30)^$B$10*(1+FixedParams!$D$23)^(1-$B$10)+(1-$B77)^$B$10*((1+FixedParams!$D$26)/$AT$12)^(1-$B$10))^(1/(1-$B$10))</f>
        <v>4.9525606328526344</v>
      </c>
      <c r="AV77">
        <f>IF(FixedParams!$I$6=1,IF(AT77&lt;=MIN(AS77:AU77),1,0),$H77)</f>
        <v>1</v>
      </c>
      <c r="AW77">
        <f>IF(FixedParams!$I$6=1,IF(AU77&lt;=MIN(AS77:AU77),1,0),IF(AU77&lt;=AS77,1,0)*(1-$H77))</f>
        <v>0</v>
      </c>
      <c r="AX77" s="24">
        <f>$AT$13*IF(AV77=1,1,IF(AW77=1,FixedParams!$D$52,FixedParams!$D$53))</f>
        <v>0.41089128090616783</v>
      </c>
      <c r="AY77">
        <f>EXP($C77*FixedParams!$B$47)*EXP(IF(AV77+AW77=1,(1-FixedParams!$B$47)*$D77,0))*($B77^((FixedParams!$B$47-1)*$B$10/($B$10-1)))*((1/$B77-1)^$B$10*(AX77)^($B$10-1)+1)^((FixedParams!$B$47-$B$10)/($B$10-1))/((1+IF(AV77=1,FixedParams!$D$25,IF(AW77=1,FixedParams!$D$23,FixedParams!$D$24)))^FixedParams!$B$47)</f>
        <v>4.5571734215727647E-2</v>
      </c>
      <c r="AZ77">
        <f t="shared" si="4"/>
        <v>1.2271365593423678</v>
      </c>
      <c r="BA77">
        <f t="shared" si="23"/>
        <v>30.874591712274999</v>
      </c>
      <c r="BB77">
        <f t="shared" si="5"/>
        <v>90.24931148182479</v>
      </c>
      <c r="BC77">
        <f t="shared" si="24"/>
        <v>121.1239031940998</v>
      </c>
      <c r="BD77" s="24">
        <f t="shared" si="25"/>
        <v>2.9230932775685523</v>
      </c>
      <c r="BE77" s="24">
        <f t="shared" si="26"/>
        <v>1.6539840651539144</v>
      </c>
      <c r="BF77" s="23">
        <f>IF(AV77=1,BA77*(1+FixedParams!$C$25)+BB77*(1+FixedParams!$C$28)/$AT$12,IF(AW77=1,BA77*(1+FixedParams!$C$23)+BB77*(1+FixedParams!$C$26)/$AT$12,BA77*(1+FixedParams!$C$24)+BB77*(1+FixedParams!$C$27)/$AT$12))</f>
        <v>324.29478580786503</v>
      </c>
      <c r="BG77" s="24">
        <f t="shared" si="27"/>
        <v>66.394361763261571</v>
      </c>
      <c r="BH77" s="24">
        <f>BG77^((FixedParams!$B$47-1)/FixedParams!$B$47)*EXP($C77)</f>
        <v>0.47052585926242019</v>
      </c>
      <c r="BI77" s="7"/>
      <c r="BJ77" s="24">
        <f>EXP(-$D$17)*(($B77*FixedParams!$B$30)^$B$10*(1+FixedParams!$C$24)^(1-$B$10)+(1-$B77)^$B$10*((1+FixedParams!$C$27)/$BK$12)^(1-$B$10))^(1/(1-$B$10))</f>
        <v>6.4489449948846218</v>
      </c>
      <c r="BK77" s="24">
        <f>EXP($D77-$D$17)*(($B77*FixedParams!$C$31)^$B$10*(1+FixedParams!$C$25)^(1-$B$10)+(1-$B77)^$B$10*((1+FixedParams!$C$28)/$BK$12)^(1-$B$10))^(1/(1-$B$10))</f>
        <v>5.2221113391948046</v>
      </c>
      <c r="BL77" s="24">
        <f>EXP($D77-$D$17)*(($B77*FixedParams!$C$30)^$B$10*(1+FixedParams!$C$23)^(1-$B$10)+(1-$B77)^$B$10*((1+FixedParams!$C$26)/$BK$12)^(1-$B$10))^(1/(1-$B$10))</f>
        <v>5.3347966042430546</v>
      </c>
      <c r="BM77">
        <f>IF(FixedParams!$I$6=1,IF(BK77&lt;=MIN(BJ77:BL77),1,0),$H77)</f>
        <v>1</v>
      </c>
      <c r="BN77">
        <f>IF(FixedParams!$I$6=1,IF(BL77&lt;=MIN(BJ77:BL77),1,0),IF(BL77&lt;=BJ77,1,0)*(1-$H77))</f>
        <v>0</v>
      </c>
      <c r="BO77" s="24">
        <f>$BK$13*IF(BM77=1,1,IF(BN77=1,FixedParams!$C$52,FixedParams!$C$53))</f>
        <v>0.41068174962109105</v>
      </c>
      <c r="BP77">
        <f>EXP($C77*FixedParams!$B$47)*EXP(IF(BM77+BN77=1,(1-FixedParams!$B$47)*$D77,0))*($B77^((FixedParams!$B$47-1)*$B$10/($B$10-1)))*((1/$B77-1)^$B$10*(BO77)^($B$10-1)+1)^((FixedParams!$B$47-$B$10)/($B$10-1))/((1+IF(BM77=1,FixedParams!$C$25,IF(BN77=1,FixedParams!$C$23,FixedParams!$C$24)))^FixedParams!$B$47)</f>
        <v>4.2655845863929252E-2</v>
      </c>
      <c r="BQ77">
        <f t="shared" si="28"/>
        <v>1.2271128054197646</v>
      </c>
      <c r="BR77">
        <f t="shared" si="29"/>
        <v>31.296479916929503</v>
      </c>
      <c r="BS77">
        <f t="shared" si="6"/>
        <v>91.412562613783791</v>
      </c>
      <c r="BT77">
        <f t="shared" si="30"/>
        <v>122.70904253071329</v>
      </c>
      <c r="BU77" s="24">
        <f t="shared" si="31"/>
        <v>2.9208576445792271</v>
      </c>
      <c r="BV77" s="24">
        <f t="shared" si="32"/>
        <v>1.6585748330725536</v>
      </c>
      <c r="BW77" s="23">
        <f>IF(BM77=1,BR77*(1+FixedParams!$C$25)+BS77*(1+FixedParams!$C$28)/$BK$12,IF(BN77=1,BR77*(1+FixedParams!$C$23)+BS77*(1+FixedParams!$C$26)/$BK$12,BR77*(1+FixedParams!$C$24)+BS77*(1+FixedParams!$C$27)/$BK$12))</f>
        <v>347.41601742123709</v>
      </c>
      <c r="BX77" s="24">
        <f t="shared" si="33"/>
        <v>66.527884002336307</v>
      </c>
      <c r="BY77" s="24">
        <f>BX77^((FixedParams!$B$47-1)/FixedParams!$B$47)*EXP($C77)</f>
        <v>0.47052491301730703</v>
      </c>
      <c r="BZ77" s="24">
        <f t="shared" si="34"/>
        <v>-2.6483179814190433E-2</v>
      </c>
      <c r="CA77" s="24">
        <f t="shared" si="35"/>
        <v>-6.800581240128889E-3</v>
      </c>
      <c r="CB77" s="24">
        <f t="shared" si="36"/>
        <v>1.0527874679278362E-2</v>
      </c>
      <c r="CC77" s="24"/>
      <c r="CD77" s="24">
        <f>EXP(-$D$17)*(($B77*FixedParams!$B$30)^$B$10*(1+FixedParams!$D$24)^(1-$B$10)+(1-$B77)^$B$10*((1+FixedParams!$D$27)/$CE$12)^(1-$B$10))^(1/(1-$B$10))</f>
        <v>6.0734566559943515</v>
      </c>
      <c r="CE77" s="24">
        <f>EXP($D77-$D$17)*(($B77*FixedParams!$D$31)^$B$10*(1+FixedParams!$D$25)^(1-$B$10)+(1-$B77)^$B$10*((1+FixedParams!$D$28)/$CE$12)^(1-$B$10))^(1/(1-$B$10))</f>
        <v>5.0896617889599352</v>
      </c>
      <c r="CF77" s="24">
        <f>EXP($D77-$D$17)*(($B77*FixedParams!$D$30)^$B$10*(1+FixedParams!$D$23)^(1-$B$10)+(1-$B77)^$B$10*((1+FixedParams!$D$26)/$CE$12)^(1-$B$10))^(1/(1-$B$10))</f>
        <v>5.1583353242236232</v>
      </c>
      <c r="CG77">
        <f>IF(FixedParams!$I$6=1,IF(CE77&lt;=MIN(CD77:CF77),1,0),$H77)</f>
        <v>1</v>
      </c>
      <c r="CH77">
        <f>IF(FixedParams!$I$6=1,IF(CF77&lt;=MIN(CD77:CF77),1,0),IF(CF77&lt;=CD77,1,0)*(1-$H77))</f>
        <v>0</v>
      </c>
      <c r="CI77" s="24">
        <f>$CE$13*IF(CG77=1,1,IF(CH77=1,FixedParams!$D$52,FixedParams!$D$53))</f>
        <v>0.39201585704839609</v>
      </c>
      <c r="CJ77">
        <f>EXP($C77*FixedParams!$B$47)*EXP(IF(CG77+CH77=1,(1-FixedParams!$B$47)*$D77,0))*($B77^((FixedParams!$B$47-1)*$B$10/($B$10-1)))*((1/$B77-1)^$B$10*(CI77)^($B$10-1)+1)^((FixedParams!$B$47-$B$10)/($B$10-1))/((1+IF(CG77=1,FixedParams!$D$25,IF(CH77=1,FixedParams!$D$23,FixedParams!$D$24)))^FixedParams!$B$47)</f>
        <v>4.6521479222489545E-2</v>
      </c>
      <c r="CK77">
        <f t="shared" si="37"/>
        <v>1.2249273045578912</v>
      </c>
      <c r="CL77">
        <f t="shared" si="41"/>
        <v>33.465359118895492</v>
      </c>
      <c r="CM77">
        <f t="shared" si="7"/>
        <v>91.159771389332917</v>
      </c>
      <c r="CN77">
        <f t="shared" si="42"/>
        <v>124.62513050822841</v>
      </c>
      <c r="CO77" s="24">
        <f t="shared" si="43"/>
        <v>2.724003978725019</v>
      </c>
      <c r="CP77" s="24">
        <f t="shared" si="44"/>
        <v>1.6443270031148038</v>
      </c>
      <c r="CQ77" s="23">
        <f>IF(CG77=1,CL77*(1+FixedParams!$D$25)+CM77*(1+FixedParams!$D$28)/$CE$12,IF(CH77=1,CL77*(1+FixedParams!$D$23)+CM77*(1+FixedParams!$D$26)/$CE$12,CL77*(1+FixedParams!$D$24)+CM77*(1+FixedParams!$D$27)/$CE$12))</f>
        <v>340.6149614085183</v>
      </c>
      <c r="CR77" s="24">
        <f t="shared" si="45"/>
        <v>66.922906772970947</v>
      </c>
      <c r="CS77" s="24">
        <f>CR77^((FixedParams!$B$47-1)/FixedParams!$B$47)*EXP($C77)</f>
        <v>0.47052212466213977</v>
      </c>
      <c r="CT77" s="24"/>
    </row>
    <row r="78" spans="1:98" x14ac:dyDescent="0.15">
      <c r="A78">
        <v>0.30499999999999999</v>
      </c>
      <c r="B78">
        <f t="shared" si="8"/>
        <v>0.16896114069493487</v>
      </c>
      <c r="C78">
        <f>(D78-$D$17)*FixedParams!$B$47+$A78*$B$9</f>
        <v>-0.7621996240821417</v>
      </c>
      <c r="D78">
        <f>(A78-$B$6)*FixedParams!$B$46/(FixedParams!$B$45*Sectors!$B$6)</f>
        <v>-0.10595352882909759</v>
      </c>
      <c r="E78">
        <f t="shared" si="9"/>
        <v>0.46663886721159564</v>
      </c>
      <c r="F78" s="24">
        <f>EXP(-$D$17)*(($B78*FixedParams!$B$30)^$B$10*(1+FixedParams!$B$23)^(1-$B$10)+(1-$B78)^$B$10*((1+FixedParams!$B$26)/$B$11)^(1-$B$10))^(1/(1-$B$10))</f>
        <v>4.7875735521372587</v>
      </c>
      <c r="G78" s="24">
        <f>EXP($D78-$D$17)*(($B78*FixedParams!$B$31)^$B$10*(1+FixedParams!$B$25)^(1-$B$10)+(1-$B78)^$B$10*((1+FixedParams!$B$28)/$B$11)^(1-$B$10))^(1/(1-$B$10))</f>
        <v>4.1598331255577063</v>
      </c>
      <c r="H78">
        <f t="shared" si="10"/>
        <v>1</v>
      </c>
      <c r="I78" s="24">
        <f>$B$12*IF(H78=1,1,FixedParams!$B$52)</f>
        <v>0.3745928365283252</v>
      </c>
      <c r="J78">
        <f>EXP($C78*FixedParams!$B$47)*EXP(IF(H78=1,(1-FixedParams!$B$47)*$D78,0))*($B78^((FixedParams!$B$47-1)*$B$10/($B$10-1)))*((1/$B78-1)^$B$10*(I78)^($B$10-1)+1)^((FixedParams!$B$47-$B$10)/($B$10-1))/((1+IF(H78=1,FixedParams!$B$25,FixedParams!$B$24))^FixedParams!$B$47)</f>
        <v>6.0800115116427321E-2</v>
      </c>
      <c r="K78">
        <f t="shared" si="38"/>
        <v>1.2258873319652748</v>
      </c>
      <c r="L78">
        <f>K78*FixedParams!$B$8/K$15</f>
        <v>35.640381042432473</v>
      </c>
      <c r="M78">
        <f t="shared" si="0"/>
        <v>89.131925563523112</v>
      </c>
      <c r="N78">
        <f t="shared" si="11"/>
        <v>124.77230660595558</v>
      </c>
      <c r="O78" s="24">
        <f t="shared" si="12"/>
        <v>2.500869041141986</v>
      </c>
      <c r="P78" s="24">
        <f t="shared" si="1"/>
        <v>1.6265573942952318</v>
      </c>
      <c r="Q78" s="23">
        <f>IF(H78=1,L78*(1+FixedParams!$B$25)+M78*FixedParams!$B$33*(1+FixedParams!$B$28)/FixedParams!$B$32,L78*(1+FixedParams!$B$23)+M78*FixedParams!$B$33*(1+FixedParams!$B$26)/FixedParams!$B$32)</f>
        <v>274.06334489245774</v>
      </c>
      <c r="R78" s="24">
        <f t="shared" si="2"/>
        <v>65.883254597073346</v>
      </c>
      <c r="S78" s="24">
        <f>R78^((FixedParams!$B$47-1)/FixedParams!$B$47)*EXP($C78)</f>
        <v>0.46468677595384711</v>
      </c>
      <c r="T78" s="7">
        <f>(L78*FixedParams!$B$32*(FixedParams!$C$25-FixedParams!$C$23)+FixedParams!$B$33*(FixedParams!$C$28-FixedParams!$C$26)*M78)/N78</f>
        <v>-1217.2571217786915</v>
      </c>
      <c r="U78" s="7">
        <f>(L78*FixedParams!$B$32*(FixedParams!$C$25-FixedParams!$C$23)*$Z$12/$B$11+FixedParams!$B$33*(FixedParams!$C$28-FixedParams!$C$26)*M78)/N78</f>
        <v>-1504.138314171604</v>
      </c>
      <c r="V78" s="14">
        <f t="shared" si="13"/>
        <v>-1.8985539000703304</v>
      </c>
      <c r="W78" s="14">
        <f t="shared" si="46"/>
        <v>0.52915372575977415</v>
      </c>
      <c r="X78" s="73">
        <f t="shared" si="15"/>
        <v>0.97897666568908059</v>
      </c>
      <c r="Y78" s="24">
        <f>EXP(-$D$17)*(($B78*FixedParams!$B$30)^$B$10*(1+FixedParams!$C$24)^(1-$B$10)+(1-$B78)^$B$10*((1+FixedParams!$C$27)/$Z$12)^(1-$B$10))^(1/(1-$B$10))</f>
        <v>6.1796783263131241</v>
      </c>
      <c r="Z78" s="24">
        <f>EXP($D78-$D$17)*(($B78*FixedParams!$C$31)^$B$10*(1+FixedParams!$C$25)^(1-$B$10)+(1-$B78)^$B$10*((1+FixedParams!$C$28)/$Z$12)^(1-$B$10))^(1/(1-$B$10))</f>
        <v>5.0181115589114595</v>
      </c>
      <c r="AA78" s="24">
        <f>EXP($D78-$D$17)*(($B78*FixedParams!$C$30)^$B$10*(1+FixedParams!$C$23)^(1-$B$10)+(1-$B78)^$B$10*((1+FixedParams!$C$26)/$Z$12)^(1-$B$10))^(1/(1-$B$10))</f>
        <v>5.1273866100960452</v>
      </c>
      <c r="AB78">
        <f>IF(FixedParams!$I$6=1,IF(Z78&lt;=MIN(Y78:AA78),1,0),$H78)</f>
        <v>1</v>
      </c>
      <c r="AC78">
        <f>IF(FixedParams!$I$6=1,IF(AA78&lt;=MIN(Y78:AA78),1,0),IF(AA78&lt;=Y78,1,0)*(1-$H78))</f>
        <v>0</v>
      </c>
      <c r="AD78" s="24">
        <f>$Z$13*IF(AB78=1,1,IF(AC78=1,FixedParams!$C$52,FixedParams!$C$53))</f>
        <v>0.43187184563106507</v>
      </c>
      <c r="AE78">
        <f>EXP($C78*FixedParams!$B$47)*EXP(IF(AB78+AC78=1,(1-FixedParams!$B$47)*$D78,0))*($B78^((FixedParams!$B$47-1)*$B$10/($B$10-1)))*((1/$B78-1)^$B$10*(AD78)^($B$10-1)+1)^((FixedParams!$B$47-$B$10)/($B$10-1))/((1+IF(AB78=1,FixedParams!$C$25,IF(AC78=1,FixedParams!$C$23,FixedParams!$C$24)))^FixedParams!$B$47)</f>
        <v>4.1834692234851527E-2</v>
      </c>
      <c r="AF78">
        <f t="shared" si="39"/>
        <v>1.2327504503324065</v>
      </c>
      <c r="AG78">
        <f t="shared" si="40"/>
        <v>28.955415037168084</v>
      </c>
      <c r="AH78">
        <f t="shared" si="3"/>
        <v>89.642483876612559</v>
      </c>
      <c r="AI78">
        <f t="shared" si="16"/>
        <v>118.59789891378064</v>
      </c>
      <c r="AJ78" s="24">
        <f t="shared" si="17"/>
        <v>3.0958797779808935</v>
      </c>
      <c r="AK78" s="24">
        <f t="shared" si="18"/>
        <v>1.6760182573669489</v>
      </c>
      <c r="AL78" s="23">
        <f>IF(AB78=1,AG78*(1+FixedParams!$C$25)+AH78*(1+FixedParams!$C$28)/$Z$12,IF(AC78=1,AG78*(1+FixedParams!$C$23)+AH78*(1+FixedParams!$C$26)/$Z$12,AG78*(1+FixedParams!$C$24)+AH78*(1+FixedParams!$C$27)/$Z$12))</f>
        <v>323.65900693683642</v>
      </c>
      <c r="AM78" s="24">
        <f t="shared" si="19"/>
        <v>64.498168910187658</v>
      </c>
      <c r="AN78" s="24">
        <f>AM78^((FixedParams!$B$47-1)/FixedParams!$B$47)*EXP($C78)</f>
        <v>0.46469665936131771</v>
      </c>
      <c r="AO78" s="24">
        <f t="shared" si="20"/>
        <v>-5.0751758444231632E-2</v>
      </c>
      <c r="AP78" s="24">
        <f t="shared" si="21"/>
        <v>-2.124747157829535E-2</v>
      </c>
      <c r="AQ78" s="14">
        <f t="shared" si="22"/>
        <v>-1.9696985119522155</v>
      </c>
      <c r="AS78" s="24">
        <f>EXP(-$D$17)*(($B78*FixedParams!$B$30)^$B$10*(1+FixedParams!$D$24)^(1-$B$10)+(1-$B78)^$B$10*((1+FixedParams!$D$27)/$AT$12)^(1-$B$10))^(1/(1-$B$10))</f>
        <v>5.8370731237289473</v>
      </c>
      <c r="AT78" s="24">
        <f>EXP($D78-$D$17)*(($B78*FixedParams!$C$31)^$B$10*(1+FixedParams!$D$25)^(1-$B$10)+(1-$B78)^$B$10*((1+FixedParams!$D$28)/$AT$12)^(1-$B$10))^(1/(1-$B$10))</f>
        <v>4.905104920625539</v>
      </c>
      <c r="AU78" s="24">
        <f>EXP($D78-$D$17)*(($B78*FixedParams!$C$30)^$B$10*(1+FixedParams!$D$23)^(1-$B$10)+(1-$B78)^$B$10*((1+FixedParams!$D$26)/$AT$12)^(1-$B$10))^(1/(1-$B$10))</f>
        <v>4.9719012049004743</v>
      </c>
      <c r="AV78">
        <f>IF(FixedParams!$I$6=1,IF(AT78&lt;=MIN(AS78:AU78),1,0),$H78)</f>
        <v>1</v>
      </c>
      <c r="AW78">
        <f>IF(FixedParams!$I$6=1,IF(AU78&lt;=MIN(AS78:AU78),1,0),IF(AU78&lt;=AS78,1,0)*(1-$H78))</f>
        <v>0</v>
      </c>
      <c r="AX78" s="24">
        <f>$AT$13*IF(AV78=1,1,IF(AW78=1,FixedParams!$D$52,FixedParams!$D$53))</f>
        <v>0.41089128090616783</v>
      </c>
      <c r="AY78">
        <f>EXP($C78*FixedParams!$B$47)*EXP(IF(AV78+AW78=1,(1-FixedParams!$B$47)*$D78,0))*($B78^((FixedParams!$B$47-1)*$B$10/($B$10-1)))*((1/$B78-1)^$B$10*(AX78)^($B$10-1)+1)^((FixedParams!$B$47-$B$10)/($B$10-1))/((1+IF(AV78=1,FixedParams!$D$25,IF(AW78=1,FixedParams!$D$23,FixedParams!$D$24)))^FixedParams!$B$47)</f>
        <v>4.5692550092556336E-2</v>
      </c>
      <c r="AZ78">
        <f t="shared" si="4"/>
        <v>1.2303898386383381</v>
      </c>
      <c r="BA78">
        <f t="shared" si="23"/>
        <v>30.95644378425866</v>
      </c>
      <c r="BB78">
        <f t="shared" si="5"/>
        <v>88.939196350929805</v>
      </c>
      <c r="BC78">
        <f t="shared" si="24"/>
        <v>119.89564013518847</v>
      </c>
      <c r="BD78" s="24">
        <f t="shared" si="25"/>
        <v>2.8730430720907081</v>
      </c>
      <c r="BE78" s="24">
        <f t="shared" si="26"/>
        <v>1.6610046838910328</v>
      </c>
      <c r="BF78" s="23">
        <f>IF(AV78=1,BA78*(1+FixedParams!$C$25)+BB78*(1+FixedParams!$C$28)/$AT$12,IF(AW78=1,BA78*(1+FixedParams!$C$23)+BB78*(1+FixedParams!$C$26)/$AT$12,BA78*(1+FixedParams!$C$24)+BB78*(1+FixedParams!$C$27)/$AT$12))</f>
        <v>320.31244001314985</v>
      </c>
      <c r="BG78" s="24">
        <f t="shared" si="27"/>
        <v>65.301852905584937</v>
      </c>
      <c r="BH78" s="24">
        <f>BG78^((FixedParams!$B$47-1)/FixedParams!$B$47)*EXP($C78)</f>
        <v>0.46469089902990773</v>
      </c>
      <c r="BI78" s="7"/>
      <c r="BJ78" s="24">
        <f>EXP(-$D$17)*(($B78*FixedParams!$B$30)^$B$10*(1+FixedParams!$C$24)^(1-$B$10)+(1-$B78)^$B$10*((1+FixedParams!$C$27)/$BK$12)^(1-$B$10))^(1/(1-$B$10))</f>
        <v>6.4599625412181929</v>
      </c>
      <c r="BK78" s="24">
        <f>EXP($D78-$D$17)*(($B78*FixedParams!$C$31)^$B$10*(1+FixedParams!$C$25)^(1-$B$10)+(1-$B78)^$B$10*((1+FixedParams!$C$28)/$BK$12)^(1-$B$10))^(1/(1-$B$10))</f>
        <v>5.2442724604818949</v>
      </c>
      <c r="BL78" s="24">
        <f>EXP($D78-$D$17)*(($B78*FixedParams!$C$30)^$B$10*(1+FixedParams!$C$23)^(1-$B$10)+(1-$B78)^$B$10*((1+FixedParams!$C$26)/$BK$12)^(1-$B$10))^(1/(1-$B$10))</f>
        <v>5.3551450070682032</v>
      </c>
      <c r="BM78">
        <f>IF(FixedParams!$I$6=1,IF(BK78&lt;=MIN(BJ78:BL78),1,0),$H78)</f>
        <v>1</v>
      </c>
      <c r="BN78">
        <f>IF(FixedParams!$I$6=1,IF(BL78&lt;=MIN(BJ78:BL78),1,0),IF(BL78&lt;=BJ78,1,0)*(1-$H78))</f>
        <v>0</v>
      </c>
      <c r="BO78" s="24">
        <f>$BK$13*IF(BM78=1,1,IF(BN78=1,FixedParams!$C$52,FixedParams!$C$53))</f>
        <v>0.41068174962109105</v>
      </c>
      <c r="BP78">
        <f>EXP($C78*FixedParams!$B$47)*EXP(IF(BM78+BN78=1,(1-FixedParams!$B$47)*$D78,0))*($B78^((FixedParams!$B$47-1)*$B$10/($B$10-1)))*((1/$B78-1)^$B$10*(BO78)^($B$10-1)+1)^((FixedParams!$B$47-$B$10)/($B$10-1))/((1+IF(BM78=1,FixedParams!$C$25,IF(BN78=1,FixedParams!$C$23,FixedParams!$C$24)))^FixedParams!$B$47)</f>
        <v>4.2768910856178642E-2</v>
      </c>
      <c r="BQ78">
        <f t="shared" si="28"/>
        <v>1.2303654311038619</v>
      </c>
      <c r="BR78">
        <f t="shared" si="29"/>
        <v>31.379435399057993</v>
      </c>
      <c r="BS78">
        <f t="shared" si="6"/>
        <v>90.085517760443935</v>
      </c>
      <c r="BT78">
        <f t="shared" si="30"/>
        <v>121.46495315950193</v>
      </c>
      <c r="BU78" s="24">
        <f t="shared" si="31"/>
        <v>2.8708457183760641</v>
      </c>
      <c r="BV78" s="24">
        <f t="shared" si="32"/>
        <v>1.6656133421452277</v>
      </c>
      <c r="BW78" s="23">
        <f>IF(BM78=1,BR78*(1+FixedParams!$C$25)+BS78*(1+FixedParams!$C$28)/$BK$12,IF(BN78=1,BR78*(1+FixedParams!$C$23)+BS78*(1+FixedParams!$C$26)/$BK$12,BR78*(1+FixedParams!$C$24)+BS78*(1+FixedParams!$C$27)/$BK$12))</f>
        <v>343.1077759169317</v>
      </c>
      <c r="BX78" s="24">
        <f t="shared" si="33"/>
        <v>65.425238391485777</v>
      </c>
      <c r="BY78" s="24">
        <f>BX78^((FixedParams!$B$47-1)/FixedParams!$B$47)*EXP($C78)</f>
        <v>0.46469002096449491</v>
      </c>
      <c r="BZ78" s="24">
        <f t="shared" si="34"/>
        <v>-2.6864759307140322E-2</v>
      </c>
      <c r="CA78" s="24">
        <f t="shared" si="35"/>
        <v>-6.9762138412511505E-3</v>
      </c>
      <c r="CB78" s="24">
        <f t="shared" si="36"/>
        <v>1.0352242078156101E-2</v>
      </c>
      <c r="CC78" s="24"/>
      <c r="CD78" s="24">
        <f>EXP(-$D$17)*(($B78*FixedParams!$B$30)^$B$10*(1+FixedParams!$D$24)^(1-$B$10)+(1-$B78)^$B$10*((1+FixedParams!$D$27)/$CE$12)^(1-$B$10))^(1/(1-$B$10))</f>
        <v>6.0829406324735373</v>
      </c>
      <c r="CE78" s="24">
        <f>EXP($D78-$D$17)*(($B78*FixedParams!$D$31)^$B$10*(1+FixedParams!$D$25)^(1-$B$10)+(1-$B78)^$B$10*((1+FixedParams!$D$28)/$CE$12)^(1-$B$10))^(1/(1-$B$10))</f>
        <v>5.110810260344917</v>
      </c>
      <c r="CF78" s="24">
        <f>EXP($D78-$D$17)*(($B78*FixedParams!$D$30)^$B$10*(1+FixedParams!$D$23)^(1-$B$10)+(1-$B78)^$B$10*((1+FixedParams!$D$26)/$CE$12)^(1-$B$10))^(1/(1-$B$10))</f>
        <v>5.1779873245964971</v>
      </c>
      <c r="CG78">
        <f>IF(FixedParams!$I$6=1,IF(CE78&lt;=MIN(CD78:CF78),1,0),$H78)</f>
        <v>1</v>
      </c>
      <c r="CH78">
        <f>IF(FixedParams!$I$6=1,IF(CF78&lt;=MIN(CD78:CF78),1,0),IF(CF78&lt;=CD78,1,0)*(1-$H78))</f>
        <v>0</v>
      </c>
      <c r="CI78" s="24">
        <f>$CE$13*IF(CG78=1,1,IF(CH78=1,FixedParams!$D$52,FixedParams!$D$53))</f>
        <v>0.39201585704839609</v>
      </c>
      <c r="CJ78">
        <f>EXP($C78*FixedParams!$B$47)*EXP(IF(CG78+CH78=1,(1-FixedParams!$B$47)*$D78,0))*($B78^((FixedParams!$B$47-1)*$B$10/($B$10-1)))*((1/$B78-1)^$B$10*(CI78)^($B$10-1)+1)^((FixedParams!$B$47-$B$10)/($B$10-1))/((1+IF(CG78=1,FixedParams!$D$25,IF(CH78=1,FixedParams!$D$23,FixedParams!$D$24)))^FixedParams!$B$47)</f>
        <v>4.6642730495721166E-2</v>
      </c>
      <c r="CK78">
        <f t="shared" si="37"/>
        <v>1.2281198942557274</v>
      </c>
      <c r="CL78">
        <f t="shared" si="41"/>
        <v>33.552581569044023</v>
      </c>
      <c r="CM78">
        <f t="shared" si="7"/>
        <v>89.832428653477905</v>
      </c>
      <c r="CN78">
        <f t="shared" si="42"/>
        <v>123.38501022252193</v>
      </c>
      <c r="CO78" s="24">
        <f t="shared" si="43"/>
        <v>2.6773626484931428</v>
      </c>
      <c r="CP78" s="24">
        <f t="shared" si="44"/>
        <v>1.6511594811879751</v>
      </c>
      <c r="CQ78" s="23">
        <f>IF(CG78=1,CL78*(1+FixedParams!$D$25)+CM78*(1+FixedParams!$D$28)/$CE$12,IF(CH78=1,CL78*(1+FixedParams!$D$23)+CM78*(1+FixedParams!$D$26)/$CE$12,CL78*(1+FixedParams!$D$24)+CM78*(1+FixedParams!$D$27)/$CE$12))</f>
        <v>336.39102888146601</v>
      </c>
      <c r="CR78" s="24">
        <f t="shared" si="45"/>
        <v>65.819510360528184</v>
      </c>
      <c r="CS78" s="24">
        <f>CR78^((FixedParams!$B$47-1)/FixedParams!$B$47)*EXP($C78)</f>
        <v>0.46468722622186104</v>
      </c>
      <c r="CT78" s="24"/>
    </row>
    <row r="79" spans="1:98" x14ac:dyDescent="0.15">
      <c r="A79">
        <v>0.31</v>
      </c>
      <c r="B79">
        <f t="shared" si="8"/>
        <v>0.17058399161821916</v>
      </c>
      <c r="C79">
        <f>(D79-$D$17)*FixedParams!$B$47+$A79*$B$9</f>
        <v>-0.77469469988676698</v>
      </c>
      <c r="D79">
        <f>(A79-$B$6)*FixedParams!$B$46/(FixedParams!$B$45*Sectors!$B$6)</f>
        <v>-0.10323677167963355</v>
      </c>
      <c r="E79">
        <f t="shared" si="9"/>
        <v>0.46084445538833252</v>
      </c>
      <c r="F79" s="24">
        <f>EXP(-$D$17)*(($B79*FixedParams!$B$30)^$B$10*(1+FixedParams!$B$23)^(1-$B$10)+(1-$B79)^$B$10*((1+FixedParams!$B$26)/$B$11)^(1-$B$10))^(1/(1-$B$10))</f>
        <v>4.7943491493814747</v>
      </c>
      <c r="G79" s="24">
        <f>EXP($D79-$D$17)*(($B79*FixedParams!$B$31)^$B$10*(1+FixedParams!$B$25)^(1-$B$10)+(1-$B79)^$B$10*((1+FixedParams!$B$28)/$B$11)^(1-$B$10))^(1/(1-$B$10))</f>
        <v>4.176702806303747</v>
      </c>
      <c r="H79">
        <f t="shared" si="10"/>
        <v>1</v>
      </c>
      <c r="I79" s="24">
        <f>$B$12*IF(H79=1,1,FixedParams!$B$52)</f>
        <v>0.3745928365283252</v>
      </c>
      <c r="J79">
        <f>EXP($C79*FixedParams!$B$47)*EXP(IF(H79=1,(1-FixedParams!$B$47)*$D79,0))*($B79^((FixedParams!$B$47-1)*$B$10/($B$10-1)))*((1/$B79-1)^$B$10*(I79)^($B$10-1)+1)^((FixedParams!$B$47-$B$10)/($B$10-1))/((1+IF(H79=1,FixedParams!$B$25,FixedParams!$B$24))^FixedParams!$B$47)</f>
        <v>6.0953843976910942E-2</v>
      </c>
      <c r="K79">
        <f t="shared" si="38"/>
        <v>1.2289869027845644</v>
      </c>
      <c r="L79">
        <f>K79*FixedParams!$B$8/K$15</f>
        <v>35.730495265972401</v>
      </c>
      <c r="M79">
        <f t="shared" si="0"/>
        <v>87.827283283466429</v>
      </c>
      <c r="N79">
        <f t="shared" si="11"/>
        <v>123.55777854943884</v>
      </c>
      <c r="O79" s="24">
        <f t="shared" si="12"/>
        <v>2.4580483038282401</v>
      </c>
      <c r="P79" s="24">
        <f t="shared" si="1"/>
        <v>1.6331536935045163</v>
      </c>
      <c r="Q79" s="23">
        <f>IF(H79=1,L79*(1+FixedParams!$B$25)+M79*FixedParams!$B$33*(1+FixedParams!$B$28)/FixedParams!$B$32,L79*(1+FixedParams!$B$23)+M79*FixedParams!$B$33*(1+FixedParams!$B$26)/FixedParams!$B$32)</f>
        <v>270.66468549103331</v>
      </c>
      <c r="R79" s="24">
        <f t="shared" si="2"/>
        <v>64.803434202339915</v>
      </c>
      <c r="S79" s="24">
        <f>R79^((FixedParams!$B$47-1)/FixedParams!$B$47)*EXP($C79)</f>
        <v>0.45892419548022367</v>
      </c>
      <c r="T79" s="7">
        <f>(L79*FixedParams!$B$32*(FixedParams!$C$25-FixedParams!$C$23)+FixedParams!$B$33*(FixedParams!$C$28-FixedParams!$C$26)*M79)/N79</f>
        <v>-1177.128952491172</v>
      </c>
      <c r="U79" s="7">
        <f>(L79*FixedParams!$B$32*(FixedParams!$C$25-FixedParams!$C$23)*$Z$12/$B$11+FixedParams!$B$33*(FixedParams!$C$28-FixedParams!$C$26)*M79)/N79</f>
        <v>-1467.5625718892572</v>
      </c>
      <c r="V79" s="14">
        <f t="shared" si="13"/>
        <v>-1.8812832747742465</v>
      </c>
      <c r="W79" s="14">
        <f t="shared" si="46"/>
        <v>0.53521397184739983</v>
      </c>
      <c r="X79" s="73">
        <f t="shared" si="15"/>
        <v>0.97870977084485589</v>
      </c>
      <c r="Y79" s="24">
        <f>EXP(-$D$17)*(($B79*FixedParams!$B$30)^$B$10*(1+FixedParams!$C$24)^(1-$B$10)+(1-$B79)^$B$10*((1+FixedParams!$C$27)/$Z$12)^(1-$B$10))^(1/(1-$B$10))</f>
        <v>6.190757424897817</v>
      </c>
      <c r="Z79" s="24">
        <f>EXP($D79-$D$17)*(($B79*FixedParams!$C$31)^$B$10*(1+FixedParams!$C$25)^(1-$B$10)+(1-$B79)^$B$10*((1+FixedParams!$C$28)/$Z$12)^(1-$B$10))^(1/(1-$B$10))</f>
        <v>5.0398372477007074</v>
      </c>
      <c r="AA79" s="24">
        <f>EXP($D79-$D$17)*(($B79*FixedParams!$C$30)^$B$10*(1+FixedParams!$C$23)^(1-$B$10)+(1-$B79)^$B$10*((1+FixedParams!$C$26)/$Z$12)^(1-$B$10))^(1/(1-$B$10))</f>
        <v>5.1473961677823485</v>
      </c>
      <c r="AB79">
        <f>IF(FixedParams!$I$6=1,IF(Z79&lt;=MIN(Y79:AA79),1,0),$H79)</f>
        <v>1</v>
      </c>
      <c r="AC79">
        <f>IF(FixedParams!$I$6=1,IF(AA79&lt;=MIN(Y79:AA79),1,0),IF(AA79&lt;=Y79,1,0)*(1-$H79))</f>
        <v>0</v>
      </c>
      <c r="AD79" s="24">
        <f>$Z$13*IF(AB79=1,1,IF(AC79=1,FixedParams!$C$52,FixedParams!$C$53))</f>
        <v>0.43187184563106507</v>
      </c>
      <c r="AE79">
        <f>EXP($C79*FixedParams!$B$47)*EXP(IF(AB79+AC79=1,(1-FixedParams!$B$47)*$D79,0))*($B79^((FixedParams!$B$47-1)*$B$10/($B$10-1)))*((1/$B79-1)^$B$10*(AD79)^($B$10-1)+1)^((FixedParams!$B$47-$B$10)/($B$10-1))/((1+IF(AB79=1,FixedParams!$C$25,IF(AC79=1,FixedParams!$C$23,FixedParams!$C$24)))^FixedParams!$B$47)</f>
        <v>4.1946203724022281E-2</v>
      </c>
      <c r="AF79">
        <f t="shared" si="39"/>
        <v>1.2360363795731615</v>
      </c>
      <c r="AG79">
        <f t="shared" si="40"/>
        <v>29.03259646908171</v>
      </c>
      <c r="AH79">
        <f t="shared" si="3"/>
        <v>88.342447673471483</v>
      </c>
      <c r="AI79">
        <f t="shared" si="16"/>
        <v>117.37504414255319</v>
      </c>
      <c r="AJ79" s="24">
        <f t="shared" si="17"/>
        <v>3.0428710627915025</v>
      </c>
      <c r="AK79" s="24">
        <f t="shared" si="18"/>
        <v>1.6832745031951206</v>
      </c>
      <c r="AL79" s="23">
        <f>IF(AB79=1,AG79*(1+FixedParams!$C$25)+AH79*(1+FixedParams!$C$28)/$Z$12,IF(AC79=1,AG79*(1+FixedParams!$C$23)+AH79*(1+FixedParams!$C$26)/$Z$12,AG79*(1+FixedParams!$C$24)+AH79*(1+FixedParams!$C$27)/$Z$12))</f>
        <v>319.64539899835216</v>
      </c>
      <c r="AM79" s="24">
        <f t="shared" si="19"/>
        <v>63.423754238131792</v>
      </c>
      <c r="AN79" s="24">
        <f>AM79^((FixedParams!$B$47-1)/FixedParams!$B$47)*EXP($C79)</f>
        <v>0.45893408158339211</v>
      </c>
      <c r="AO79" s="24">
        <f t="shared" si="20"/>
        <v>-5.1334575559679192E-2</v>
      </c>
      <c r="AP79" s="24">
        <f t="shared" si="21"/>
        <v>-2.1520135106935592E-2</v>
      </c>
      <c r="AQ79" s="14">
        <f t="shared" si="22"/>
        <v>-1.9524278866561313</v>
      </c>
      <c r="AS79" s="24">
        <f>EXP(-$D$17)*(($B79*FixedParams!$B$30)^$B$10*(1+FixedParams!$D$24)^(1-$B$10)+(1-$B79)^$B$10*((1+FixedParams!$D$27)/$AT$12)^(1-$B$10))^(1/(1-$B$10))</f>
        <v>5.8466501036589653</v>
      </c>
      <c r="AT79" s="24">
        <f>EXP($D79-$D$17)*(($B79*FixedParams!$C$31)^$B$10*(1+FixedParams!$D$25)^(1-$B$10)+(1-$B79)^$B$10*((1+FixedParams!$D$28)/$AT$12)^(1-$B$10))^(1/(1-$B$10))</f>
        <v>4.9258788790181951</v>
      </c>
      <c r="AU79" s="24">
        <f>EXP($D79-$D$17)*(($B79*FixedParams!$C$30)^$B$10*(1+FixedParams!$D$23)^(1-$B$10)+(1-$B79)^$B$10*((1+FixedParams!$D$26)/$AT$12)^(1-$B$10))^(1/(1-$B$10))</f>
        <v>4.9912483822870577</v>
      </c>
      <c r="AV79">
        <f>IF(FixedParams!$I$6=1,IF(AT79&lt;=MIN(AS79:AU79),1,0),$H79)</f>
        <v>1</v>
      </c>
      <c r="AW79">
        <f>IF(FixedParams!$I$6=1,IF(AU79&lt;=MIN(AS79:AU79),1,0),IF(AU79&lt;=AS79,1,0)*(1-$H79))</f>
        <v>0</v>
      </c>
      <c r="AX79" s="24">
        <f>$AT$13*IF(AV79=1,1,IF(AW79=1,FixedParams!$D$52,FixedParams!$D$53))</f>
        <v>0.41089128090616783</v>
      </c>
      <c r="AY79">
        <f>EXP($C79*FixedParams!$B$47)*EXP(IF(AV79+AW79=1,(1-FixedParams!$B$47)*$D79,0))*($B79^((FixedParams!$B$47-1)*$B$10/($B$10-1)))*((1/$B79-1)^$B$10*(AX79)^($B$10-1)+1)^((FixedParams!$B$47-$B$10)/($B$10-1))/((1+IF(AV79=1,FixedParams!$D$25,IF(AW79=1,FixedParams!$D$23,FixedParams!$D$24)))^FixedParams!$B$47)</f>
        <v>4.5812189982492167E-2</v>
      </c>
      <c r="AZ79">
        <f t="shared" si="4"/>
        <v>1.2336114514521266</v>
      </c>
      <c r="BA79">
        <f t="shared" si="23"/>
        <v>31.037499131785804</v>
      </c>
      <c r="BB79">
        <f t="shared" si="5"/>
        <v>87.645237062638969</v>
      </c>
      <c r="BC79">
        <f t="shared" si="24"/>
        <v>118.68273619442478</v>
      </c>
      <c r="BD79" s="24">
        <f t="shared" si="25"/>
        <v>2.8238498433941359</v>
      </c>
      <c r="BE79" s="24">
        <f t="shared" si="26"/>
        <v>1.6680393228542212</v>
      </c>
      <c r="BF79" s="23">
        <f>IF(AV79=1,BA79*(1+FixedParams!$C$25)+BB79*(1+FixedParams!$C$28)/$AT$12,IF(AW79=1,BA79*(1+FixedParams!$C$23)+BB79*(1+FixedParams!$C$26)/$AT$12,BA79*(1+FixedParams!$C$24)+BB79*(1+FixedParams!$C$27)/$AT$12))</f>
        <v>316.37949397899706</v>
      </c>
      <c r="BG79" s="24">
        <f t="shared" si="27"/>
        <v>64.228029504870094</v>
      </c>
      <c r="BH79" s="24">
        <f>BG79^((FixedParams!$B$47-1)/FixedParams!$B$47)*EXP($C79)</f>
        <v>0.45892829268867052</v>
      </c>
      <c r="BI79" s="7"/>
      <c r="BJ79" s="24">
        <f>EXP(-$D$17)*(($B79*FixedParams!$B$30)^$B$10*(1+FixedParams!$C$24)^(1-$B$10)+(1-$B79)^$B$10*((1+FixedParams!$C$27)/$BK$12)^(1-$B$10))^(1/(1-$B$10))</f>
        <v>6.4709536685628484</v>
      </c>
      <c r="BK79" s="24">
        <f>EXP($D79-$D$17)*(($B79*FixedParams!$C$31)^$B$10*(1+FixedParams!$C$25)^(1-$B$10)+(1-$B79)^$B$10*((1+FixedParams!$C$28)/$BK$12)^(1-$B$10))^(1/(1-$B$10))</f>
        <v>5.2664777393993889</v>
      </c>
      <c r="BL79" s="24">
        <f>EXP($D79-$D$17)*(($B79*FixedParams!$C$30)^$B$10*(1+FixedParams!$C$23)^(1-$B$10)+(1-$B79)^$B$10*((1+FixedParams!$C$26)/$BK$12)^(1-$B$10))^(1/(1-$B$10))</f>
        <v>5.375490642915798</v>
      </c>
      <c r="BM79">
        <f>IF(FixedParams!$I$6=1,IF(BK79&lt;=MIN(BJ79:BL79),1,0),$H79)</f>
        <v>1</v>
      </c>
      <c r="BN79">
        <f>IF(FixedParams!$I$6=1,IF(BL79&lt;=MIN(BJ79:BL79),1,0),IF(BL79&lt;=BJ79,1,0)*(1-$H79))</f>
        <v>0</v>
      </c>
      <c r="BO79" s="24">
        <f>$BK$13*IF(BM79=1,1,IF(BN79=1,FixedParams!$C$52,FixedParams!$C$53))</f>
        <v>0.41068174962109105</v>
      </c>
      <c r="BP79">
        <f>EXP($C79*FixedParams!$B$47)*EXP(IF(BM79+BN79=1,(1-FixedParams!$B$47)*$D79,0))*($B79^((FixedParams!$B$47-1)*$B$10/($B$10-1)))*((1/$B79-1)^$B$10*(BO79)^($B$10-1)+1)^((FixedParams!$B$47-$B$10)/($B$10-1))/((1+IF(BM79=1,FixedParams!$C$25,IF(BN79=1,FixedParams!$C$23,FixedParams!$C$24)))^FixedParams!$B$47)</f>
        <v>4.2880874730787583E-2</v>
      </c>
      <c r="BQ79">
        <f t="shared" si="28"/>
        <v>1.2335863801084912</v>
      </c>
      <c r="BR79">
        <f t="shared" si="29"/>
        <v>31.461582994121475</v>
      </c>
      <c r="BS79">
        <f t="shared" si="6"/>
        <v>88.774837690305503</v>
      </c>
      <c r="BT79">
        <f t="shared" si="30"/>
        <v>120.23642068442697</v>
      </c>
      <c r="BU79" s="24">
        <f t="shared" si="31"/>
        <v>2.8216901135233048</v>
      </c>
      <c r="BV79" s="24">
        <f t="shared" si="32"/>
        <v>1.6726658759542044</v>
      </c>
      <c r="BW79" s="23">
        <f>IF(BM79=1,BR79*(1+FixedParams!$C$25)+BS79*(1+FixedParams!$C$28)/$BK$12,IF(BN79=1,BR79*(1+FixedParams!$C$23)+BS79*(1+FixedParams!$C$26)/$BK$12,BR79*(1+FixedParams!$C$24)+BS79*(1+FixedParams!$C$27)/$BK$12))</f>
        <v>338.85295690549066</v>
      </c>
      <c r="BX79" s="24">
        <f t="shared" si="33"/>
        <v>64.341477107265789</v>
      </c>
      <c r="BY79" s="24">
        <f>BX79^((FixedParams!$B$47-1)/FixedParams!$B$47)*EXP($C79)</f>
        <v>0.45892748197702088</v>
      </c>
      <c r="BZ79" s="24">
        <f t="shared" si="34"/>
        <v>-2.7248912261373277E-2</v>
      </c>
      <c r="CA79" s="24">
        <f t="shared" si="35"/>
        <v>-7.1541195187609799E-3</v>
      </c>
      <c r="CB79" s="24">
        <f t="shared" si="36"/>
        <v>1.0174336400646272E-2</v>
      </c>
      <c r="CC79" s="24"/>
      <c r="CD79" s="24">
        <f>EXP(-$D$17)*(($B79*FixedParams!$B$30)^$B$10*(1+FixedParams!$D$24)^(1-$B$10)+(1-$B79)^$B$10*((1+FixedParams!$D$27)/$CE$12)^(1-$B$10))^(1/(1-$B$10))</f>
        <v>6.0923850756517322</v>
      </c>
      <c r="CE79" s="24">
        <f>EXP($D79-$D$17)*(($B79*FixedParams!$D$31)^$B$10*(1+FixedParams!$D$25)^(1-$B$10)+(1-$B79)^$B$10*((1+FixedParams!$D$28)/$CE$12)^(1-$B$10))^(1/(1-$B$10))</f>
        <v>5.1319921181044679</v>
      </c>
      <c r="CF79" s="24">
        <f>EXP($D79-$D$17)*(($B79*FixedParams!$D$30)^$B$10*(1+FixedParams!$D$23)^(1-$B$10)+(1-$B79)^$B$10*((1+FixedParams!$D$26)/$CE$12)^(1-$B$10))^(1/(1-$B$10))</f>
        <v>5.1976361774274498</v>
      </c>
      <c r="CG79">
        <f>IF(FixedParams!$I$6=1,IF(CE79&lt;=MIN(CD79:CF79),1,0),$H79)</f>
        <v>1</v>
      </c>
      <c r="CH79">
        <f>IF(FixedParams!$I$6=1,IF(CF79&lt;=MIN(CD79:CF79),1,0),IF(CF79&lt;=CD79,1,0)*(1-$H79))</f>
        <v>0</v>
      </c>
      <c r="CI79" s="24">
        <f>$CE$13*IF(CG79=1,1,IF(CH79=1,FixedParams!$D$52,FixedParams!$D$53))</f>
        <v>0.39201585704839609</v>
      </c>
      <c r="CJ79">
        <f>EXP($C79*FixedParams!$B$47)*EXP(IF(CG79+CH79=1,(1-FixedParams!$B$47)*$D79,0))*($B79^((FixedParams!$B$47-1)*$B$10/($B$10-1)))*((1/$B79-1)^$B$10*(CI79)^($B$10-1)+1)^((FixedParams!$B$47-$B$10)/($B$10-1))/((1+IF(CG79=1,FixedParams!$D$25,IF(CH79=1,FixedParams!$D$23,FixedParams!$D$24)))^FixedParams!$B$47)</f>
        <v>4.6762743346448414E-2</v>
      </c>
      <c r="CK79">
        <f t="shared" si="37"/>
        <v>1.2312798758429546</v>
      </c>
      <c r="CL79">
        <f t="shared" si="41"/>
        <v>33.63891315642244</v>
      </c>
      <c r="CM79">
        <f t="shared" si="7"/>
        <v>88.521470297502731</v>
      </c>
      <c r="CN79">
        <f t="shared" si="42"/>
        <v>122.16038345392516</v>
      </c>
      <c r="CO79" s="24">
        <f t="shared" si="43"/>
        <v>2.631519927111615</v>
      </c>
      <c r="CP79" s="24">
        <f t="shared" si="44"/>
        <v>1.6580027454625712</v>
      </c>
      <c r="CQ79" s="23">
        <f>IF(CG79=1,CL79*(1+FixedParams!$D$25)+CM79*(1+FixedParams!$D$28)/$CE$12,IF(CH79=1,CL79*(1+FixedParams!$D$23)+CM79*(1+FixedParams!$D$26)/$CE$12,CL79*(1+FixedParams!$D$24)+CM79*(1+FixedParams!$D$27)/$CE$12))</f>
        <v>332.21947339754462</v>
      </c>
      <c r="CR79" s="24">
        <f t="shared" si="45"/>
        <v>64.734992913483254</v>
      </c>
      <c r="CS79" s="24">
        <f>CR79^((FixedParams!$B$47-1)/FixedParams!$B$47)*EXP($C79)</f>
        <v>0.45892468090874827</v>
      </c>
      <c r="CT79" s="24"/>
    </row>
    <row r="80" spans="1:98" x14ac:dyDescent="0.15">
      <c r="A80">
        <v>0.315</v>
      </c>
      <c r="B80">
        <f t="shared" si="8"/>
        <v>0.17221919961527796</v>
      </c>
      <c r="C80">
        <f>(D80-$D$17)*FixedParams!$B$47+$A80*$B$9</f>
        <v>-0.78718977569139226</v>
      </c>
      <c r="D80">
        <f>(A80-$B$6)*FixedParams!$B$46/(FixedParams!$B$45*Sectors!$B$6)</f>
        <v>-0.1005200145301695</v>
      </c>
      <c r="E80">
        <f t="shared" si="9"/>
        <v>0.45512199472631365</v>
      </c>
      <c r="F80" s="24">
        <f>EXP(-$D$17)*(($B80*FixedParams!$B$30)^$B$10*(1+FixedParams!$B$23)^(1-$B$10)+(1-$B80)^$B$10*((1+FixedParams!$B$26)/$B$11)^(1-$B$10))^(1/(1-$B$10))</f>
        <v>4.8010809815971349</v>
      </c>
      <c r="G80" s="24">
        <f>EXP($D80-$D$17)*(($B80*FixedParams!$B$31)^$B$10*(1+FixedParams!$B$25)^(1-$B$10)+(1-$B80)^$B$10*((1+FixedParams!$B$28)/$B$11)^(1-$B$10))^(1/(1-$B$10))</f>
        <v>4.1935897876165891</v>
      </c>
      <c r="H80">
        <f t="shared" si="10"/>
        <v>1</v>
      </c>
      <c r="I80" s="24">
        <f>$B$12*IF(H80=1,1,FixedParams!$B$52)</f>
        <v>0.3745928365283252</v>
      </c>
      <c r="J80">
        <f>EXP($C80*FixedParams!$B$47)*EXP(IF(H80=1,(1-FixedParams!$B$47)*$D80,0))*($B80^((FixedParams!$B$47-1)*$B$10/($B$10-1)))*((1/$B80-1)^$B$10*(I80)^($B$10-1)+1)^((FixedParams!$B$47-$B$10)/($B$10-1))/((1+IF(H80=1,FixedParams!$B$25,FixedParams!$B$24))^FixedParams!$B$47)</f>
        <v>6.1105869195079619E-2</v>
      </c>
      <c r="K80">
        <f t="shared" si="38"/>
        <v>1.2320521237752706</v>
      </c>
      <c r="L80">
        <f>K80*FixedParams!$B$8/K$15</f>
        <v>35.819610832500771</v>
      </c>
      <c r="M80">
        <f t="shared" si="0"/>
        <v>86.538774133237482</v>
      </c>
      <c r="N80">
        <f t="shared" si="11"/>
        <v>122.35838496573825</v>
      </c>
      <c r="O80" s="24">
        <f t="shared" si="12"/>
        <v>2.415960757862754</v>
      </c>
      <c r="P80" s="24">
        <f t="shared" si="1"/>
        <v>1.6397567574959466</v>
      </c>
      <c r="Q80" s="23">
        <f>IF(H80=1,L80*(1+FixedParams!$B$25)+M80*FixedParams!$B$33*(1+FixedParams!$B$28)/FixedParams!$B$32,L80*(1+FixedParams!$B$23)+M80*FixedParams!$B$33*(1+FixedParams!$B$26)/FixedParams!$B$32)</f>
        <v>267.30816960514204</v>
      </c>
      <c r="R80" s="24">
        <f t="shared" si="2"/>
        <v>63.742088077972362</v>
      </c>
      <c r="S80" s="24">
        <f>R80^((FixedParams!$B$47-1)/FixedParams!$B$47)*EXP($C80)</f>
        <v>0.45323307124007861</v>
      </c>
      <c r="T80" s="7">
        <f>(L80*FixedParams!$B$32*(FixedParams!$C$25-FixedParams!$C$23)+FixedParams!$B$33*(FixedParams!$C$28-FixedParams!$C$26)*M80)/N80</f>
        <v>-1136.7075105447379</v>
      </c>
      <c r="U80" s="7">
        <f>(L80*FixedParams!$B$32*(FixedParams!$C$25-FixedParams!$C$23)*$Z$12/$B$11+FixedParams!$B$33*(FixedParams!$C$28-FixedParams!$C$26)*M80)/N80</f>
        <v>-1430.7195195007837</v>
      </c>
      <c r="V80" s="14">
        <f t="shared" si="13"/>
        <v>-1.8640126494781633</v>
      </c>
      <c r="W80" s="14">
        <f t="shared" si="46"/>
        <v>0.54121539023224163</v>
      </c>
      <c r="X80" s="73">
        <f t="shared" si="15"/>
        <v>0.97843950114310996</v>
      </c>
      <c r="Y80" s="24">
        <f>EXP(-$D$17)*(($B80*FixedParams!$B$30)^$B$10*(1+FixedParams!$C$24)^(1-$B$10)+(1-$B80)^$B$10*((1+FixedParams!$C$27)/$Z$12)^(1-$B$10))^(1/(1-$B$10))</f>
        <v>6.2018180027966352</v>
      </c>
      <c r="Z80" s="24">
        <f>EXP($D80-$D$17)*(($B80*FixedParams!$C$31)^$B$10*(1+FixedParams!$C$25)^(1-$B$10)+(1-$B80)^$B$10*((1+FixedParams!$C$28)/$Z$12)^(1-$B$10))^(1/(1-$B$10))</f>
        <v>5.0616131579982957</v>
      </c>
      <c r="AA80" s="24">
        <f>EXP($D80-$D$17)*(($B80*FixedParams!$C$30)^$B$10*(1+FixedParams!$C$23)^(1-$B$10)+(1-$B80)^$B$10*((1+FixedParams!$C$26)/$Z$12)^(1-$B$10))^(1/(1-$B$10))</f>
        <v>5.1674108324631423</v>
      </c>
      <c r="AB80">
        <f>IF(FixedParams!$I$6=1,IF(Z80&lt;=MIN(Y80:AA80),1,0),$H80)</f>
        <v>1</v>
      </c>
      <c r="AC80">
        <f>IF(FixedParams!$I$6=1,IF(AA80&lt;=MIN(Y80:AA80),1,0),IF(AA80&lt;=Y80,1,0)*(1-$H80))</f>
        <v>0</v>
      </c>
      <c r="AD80" s="24">
        <f>$Z$13*IF(AB80=1,1,IF(AC80=1,FixedParams!$C$52,FixedParams!$C$53))</f>
        <v>0.43187184563106507</v>
      </c>
      <c r="AE80">
        <f>EXP($C80*FixedParams!$B$47)*EXP(IF(AB80+AC80=1,(1-FixedParams!$B$47)*$D80,0))*($B80^((FixedParams!$B$47-1)*$B$10/($B$10-1)))*((1/$B80-1)^$B$10*(AD80)^($B$10-1)+1)^((FixedParams!$B$47-$B$10)/($B$10-1))/((1+IF(AB80=1,FixedParams!$C$25,IF(AC80=1,FixedParams!$C$23,FixedParams!$C$24)))^FixedParams!$B$47)</f>
        <v>4.2056646702283873E-2</v>
      </c>
      <c r="AF80">
        <f t="shared" si="39"/>
        <v>1.2392908228095003</v>
      </c>
      <c r="AG80">
        <f t="shared" si="40"/>
        <v>29.109038343102267</v>
      </c>
      <c r="AH80">
        <f t="shared" si="3"/>
        <v>87.058438052363016</v>
      </c>
      <c r="AI80">
        <f t="shared" si="16"/>
        <v>116.16747639546529</v>
      </c>
      <c r="AJ80" s="24">
        <f t="shared" si="17"/>
        <v>2.9907699810011947</v>
      </c>
      <c r="AK80" s="24">
        <f t="shared" si="18"/>
        <v>1.6905475226967956</v>
      </c>
      <c r="AL80" s="23">
        <f>IF(AB80=1,AG80*(1+FixedParams!$C$25)+AH80*(1+FixedParams!$C$28)/$Z$12,IF(AC80=1,AG80*(1+FixedParams!$C$23)+AH80*(1+FixedParams!$C$26)/$Z$12,AG80*(1+FixedParams!$C$24)+AH80*(1+FixedParams!$C$27)/$Z$12))</f>
        <v>315.68155999388614</v>
      </c>
      <c r="AM80" s="24">
        <f t="shared" si="19"/>
        <v>62.367776860831455</v>
      </c>
      <c r="AN80" s="24">
        <f>AM80^((FixedParams!$B$47-1)/FixedParams!$B$47)*EXP($C80)</f>
        <v>0.45324296005072012</v>
      </c>
      <c r="AO80" s="24">
        <f t="shared" si="20"/>
        <v>-5.1921408243920157E-2</v>
      </c>
      <c r="AP80" s="24">
        <f t="shared" si="21"/>
        <v>-2.179632221982699E-2</v>
      </c>
      <c r="AQ80" s="14">
        <f t="shared" si="22"/>
        <v>-1.9351572613600483</v>
      </c>
      <c r="AS80" s="24">
        <f>EXP(-$D$17)*(($B80*FixedParams!$B$30)^$B$10*(1+FixedParams!$D$24)^(1-$B$10)+(1-$B80)^$B$10*((1+FixedParams!$D$27)/$AT$12)^(1-$B$10))^(1/(1-$B$10))</f>
        <v>5.8561948349909558</v>
      </c>
      <c r="AT80" s="24">
        <f>EXP($D80-$D$17)*(($B80*FixedParams!$C$31)^$B$10*(1+FixedParams!$D$25)^(1-$B$10)+(1-$B80)^$B$10*((1+FixedParams!$D$28)/$AT$12)^(1-$B$10))^(1/(1-$B$10))</f>
        <v>4.9466919312542537</v>
      </c>
      <c r="AU80" s="24">
        <f>EXP($D80-$D$17)*(($B80*FixedParams!$C$30)^$B$10*(1+FixedParams!$D$23)^(1-$B$10)+(1-$B80)^$B$10*((1+FixedParams!$D$26)/$AT$12)^(1-$B$10))^(1/(1-$B$10))</f>
        <v>5.0105993754838911</v>
      </c>
      <c r="AV80">
        <f>IF(FixedParams!$I$6=1,IF(AT80&lt;=MIN(AS80:AU80),1,0),$H80)</f>
        <v>1</v>
      </c>
      <c r="AW80">
        <f>IF(FixedParams!$I$6=1,IF(AU80&lt;=MIN(AS80:AU80),1,0),IF(AU80&lt;=AS80,1,0)*(1-$H80))</f>
        <v>0</v>
      </c>
      <c r="AX80" s="24">
        <f>$AT$13*IF(AV80=1,1,IF(AW80=1,FixedParams!$D$52,FixedParams!$D$53))</f>
        <v>0.41089128090616783</v>
      </c>
      <c r="AY80">
        <f>EXP($C80*FixedParams!$B$47)*EXP(IF(AV80+AW80=1,(1-FixedParams!$B$47)*$D80,0))*($B80^((FixedParams!$B$47-1)*$B$10/($B$10-1)))*((1/$B80-1)^$B$10*(AX80)^($B$10-1)+1)^((FixedParams!$B$47-$B$10)/($B$10-1))/((1+IF(AV80=1,FixedParams!$D$25,IF(AW80=1,FixedParams!$D$23,FixedParams!$D$24)))^FixedParams!$B$47)</f>
        <v>4.5930623466495846E-2</v>
      </c>
      <c r="AZ80">
        <f t="shared" si="4"/>
        <v>1.2368005786725924</v>
      </c>
      <c r="BA80">
        <f t="shared" si="23"/>
        <v>31.117737146129659</v>
      </c>
      <c r="BB80">
        <f t="shared" si="5"/>
        <v>86.367245780578727</v>
      </c>
      <c r="BC80">
        <f t="shared" si="24"/>
        <v>117.48498292670838</v>
      </c>
      <c r="BD80" s="24">
        <f t="shared" si="25"/>
        <v>2.7754989180285192</v>
      </c>
      <c r="BE80" s="24">
        <f t="shared" si="26"/>
        <v>1.6750872000779673</v>
      </c>
      <c r="BF80" s="23">
        <f>IF(AV80=1,BA80*(1+FixedParams!$C$25)+BB80*(1+FixedParams!$C$28)/$AT$12,IF(AW80=1,BA80*(1+FixedParams!$C$23)+BB80*(1+FixedParams!$C$26)/$AT$12,BA80*(1+FixedParams!$C$24)+BB80*(1+FixedParams!$C$27)/$AT$12))</f>
        <v>312.49533248082935</v>
      </c>
      <c r="BG80" s="24">
        <f t="shared" si="27"/>
        <v>63.172588231423362</v>
      </c>
      <c r="BH80" s="24">
        <f>BG80^((FixedParams!$B$47-1)/FixedParams!$B$47)*EXP($C80)</f>
        <v>0.45323714291155648</v>
      </c>
      <c r="BI80" s="7"/>
      <c r="BJ80" s="24">
        <f>EXP(-$D$17)*(($B80*FixedParams!$B$30)^$B$10*(1+FixedParams!$C$24)^(1-$B$10)+(1-$B80)^$B$10*((1+FixedParams!$C$27)/$BK$12)^(1-$B$10))^(1/(1-$B$10))</f>
        <v>6.4819155680186302</v>
      </c>
      <c r="BK80" s="24">
        <f>EXP($D80-$D$17)*(($B80*FixedParams!$C$31)^$B$10*(1+FixedParams!$C$25)^(1-$B$10)+(1-$B80)^$B$10*((1+FixedParams!$C$28)/$BK$12)^(1-$B$10))^(1/(1-$B$10))</f>
        <v>5.2887247055811573</v>
      </c>
      <c r="BL80" s="24">
        <f>EXP($D80-$D$17)*(($B80*FixedParams!$C$30)^$B$10*(1+FixedParams!$C$23)^(1-$B$10)+(1-$B80)^$B$10*((1+FixedParams!$C$26)/$BK$12)^(1-$B$10))^(1/(1-$B$10))</f>
        <v>5.3958303938153245</v>
      </c>
      <c r="BM80">
        <f>IF(FixedParams!$I$6=1,IF(BK80&lt;=MIN(BJ80:BL80),1,0),$H80)</f>
        <v>1</v>
      </c>
      <c r="BN80">
        <f>IF(FixedParams!$I$6=1,IF(BL80&lt;=MIN(BJ80:BL80),1,0),IF(BL80&lt;=BJ80,1,0)*(1-$H80))</f>
        <v>0</v>
      </c>
      <c r="BO80" s="24">
        <f>$BK$13*IF(BM80=1,1,IF(BN80=1,FixedParams!$C$52,FixedParams!$C$53))</f>
        <v>0.41068174962109105</v>
      </c>
      <c r="BP80">
        <f>EXP($C80*FixedParams!$B$47)*EXP(IF(BM80+BN80=1,(1-FixedParams!$B$47)*$D80,0))*($B80^((FixedParams!$B$47-1)*$B$10/($B$10-1)))*((1/$B80-1)^$B$10*(BO80)^($B$10-1)+1)^((FixedParams!$B$47-$B$10)/($B$10-1))/((1+IF(BM80=1,FixedParams!$C$25,IF(BN80=1,FixedParams!$C$23,FixedParams!$C$24)))^FixedParams!$B$47)</f>
        <v>4.2991709012499234E-2</v>
      </c>
      <c r="BQ80">
        <f t="shared" si="28"/>
        <v>1.2367748332645188</v>
      </c>
      <c r="BR80">
        <f t="shared" si="29"/>
        <v>31.542901809900236</v>
      </c>
      <c r="BS80">
        <f t="shared" si="6"/>
        <v>87.480332142616533</v>
      </c>
      <c r="BT80">
        <f t="shared" si="30"/>
        <v>119.02323395251676</v>
      </c>
      <c r="BU80" s="24">
        <f t="shared" si="31"/>
        <v>2.7733761677931437</v>
      </c>
      <c r="BV80" s="24">
        <f t="shared" si="32"/>
        <v>1.6797316498959347</v>
      </c>
      <c r="BW80" s="23">
        <f>IF(BM80=1,BR80*(1+FixedParams!$C$25)+BS80*(1+FixedParams!$C$28)/$BK$12,IF(BN80=1,BR80*(1+FixedParams!$C$23)+BS80*(1+FixedParams!$C$26)/$BK$12,BR80*(1+FixedParams!$C$24)+BS80*(1+FixedParams!$C$27)/$BK$12))</f>
        <v>334.65089784263989</v>
      </c>
      <c r="BX80" s="24">
        <f t="shared" si="33"/>
        <v>63.276293713961884</v>
      </c>
      <c r="BY80" s="24">
        <f>BX80^((FixedParams!$B$47-1)/FixedParams!$B$47)*EXP($C80)</f>
        <v>0.45323639873417759</v>
      </c>
      <c r="BZ80" s="24">
        <f t="shared" si="34"/>
        <v>-2.7635602805325673E-2</v>
      </c>
      <c r="CA80" s="24">
        <f t="shared" si="35"/>
        <v>-7.3343156391285592E-3</v>
      </c>
      <c r="CB80" s="24">
        <f t="shared" si="36"/>
        <v>9.9941402802786912E-3</v>
      </c>
      <c r="CC80" s="24"/>
      <c r="CD80" s="24">
        <f>EXP(-$D$17)*(($B80*FixedParams!$B$30)^$B$10*(1+FixedParams!$D$24)^(1-$B$10)+(1-$B80)^$B$10*((1+FixedParams!$D$27)/$CE$12)^(1-$B$10))^(1/(1-$B$10))</f>
        <v>6.1017872027289339</v>
      </c>
      <c r="CE80" s="24">
        <f>EXP($D80-$D$17)*(($B80*FixedParams!$D$31)^$B$10*(1+FixedParams!$D$25)^(1-$B$10)+(1-$B80)^$B$10*((1+FixedParams!$D$28)/$CE$12)^(1-$B$10))^(1/(1-$B$10))</f>
        <v>5.1532048256991683</v>
      </c>
      <c r="CF80" s="24">
        <f>EXP($D80-$D$17)*(($B80*FixedParams!$D$30)^$B$10*(1+FixedParams!$D$23)^(1-$B$10)+(1-$B80)^$B$10*((1+FixedParams!$D$26)/$CE$12)^(1-$B$10))^(1/(1-$B$10))</f>
        <v>5.2172788626043145</v>
      </c>
      <c r="CG80">
        <f>IF(FixedParams!$I$6=1,IF(CE80&lt;=MIN(CD80:CF80),1,0),$H80)</f>
        <v>1</v>
      </c>
      <c r="CH80">
        <f>IF(FixedParams!$I$6=1,IF(CF80&lt;=MIN(CD80:CF80),1,0),IF(CF80&lt;=CD80,1,0)*(1-$H80))</f>
        <v>0</v>
      </c>
      <c r="CI80" s="24">
        <f>$CE$13*IF(CG80=1,1,IF(CH80=1,FixedParams!$D$52,FixedParams!$D$53))</f>
        <v>0.39201585704839609</v>
      </c>
      <c r="CJ80">
        <f>EXP($C80*FixedParams!$B$47)*EXP(IF(CG80+CH80=1,(1-FixedParams!$B$47)*$D80,0))*($B80^((FixedParams!$B$47-1)*$B$10/($B$10-1)))*((1/$B80-1)^$B$10*(CI80)^($B$10-1)+1)^((FixedParams!$B$47-$B$10)/($B$10-1))/((1+IF(CG80=1,FixedParams!$D$25,IF(CH80=1,FixedParams!$D$23,FixedParams!$D$24)))^FixedParams!$B$47)</f>
        <v>4.6881486470107502E-2</v>
      </c>
      <c r="CK80">
        <f t="shared" si="37"/>
        <v>1.2344064250591325</v>
      </c>
      <c r="CL80">
        <f t="shared" si="41"/>
        <v>33.724331362003262</v>
      </c>
      <c r="CM80">
        <f t="shared" si="7"/>
        <v>87.226706282369889</v>
      </c>
      <c r="CN80">
        <f t="shared" si="42"/>
        <v>120.95103764437314</v>
      </c>
      <c r="CO80" s="24">
        <f t="shared" si="43"/>
        <v>2.5864621405258466</v>
      </c>
      <c r="CP80" s="24">
        <f t="shared" si="44"/>
        <v>1.6648559764538338</v>
      </c>
      <c r="CQ80" s="23">
        <f>IF(CG80=1,CL80*(1+FixedParams!$D$25)+CM80*(1+FixedParams!$D$28)/$CE$12,IF(CH80=1,CL80*(1+FixedParams!$D$23)+CM80*(1+FixedParams!$D$26)/$CE$12,CL80*(1+FixedParams!$D$24)+CM80*(1+FixedParams!$D$27)/$CE$12))</f>
        <v>328.09964538008342</v>
      </c>
      <c r="CR80" s="24">
        <f t="shared" si="45"/>
        <v>63.66904799588827</v>
      </c>
      <c r="CS80" s="24">
        <f>CR80^((FixedParams!$B$47-1)/FixedParams!$B$47)*EXP($C80)</f>
        <v>0.4532335914040409</v>
      </c>
      <c r="CT80" s="24"/>
    </row>
    <row r="81" spans="1:98" x14ac:dyDescent="0.15">
      <c r="A81">
        <v>0.32</v>
      </c>
      <c r="B81">
        <f t="shared" si="8"/>
        <v>0.173866796736868</v>
      </c>
      <c r="C81">
        <f>(D81-$D$17)*FixedParams!$B$47+$A81*$B$9</f>
        <v>-0.79968485149601753</v>
      </c>
      <c r="D81">
        <f>(A81-$B$6)*FixedParams!$B$46/(FixedParams!$B$45*Sectors!$B$6)</f>
        <v>-9.7803257380705458E-2</v>
      </c>
      <c r="E81">
        <f t="shared" si="9"/>
        <v>0.44947059178376053</v>
      </c>
      <c r="F81" s="24">
        <f>EXP(-$D$17)*(($B81*FixedParams!$B$30)^$B$10*(1+FixedParams!$B$23)^(1-$B$10)+(1-$B81)^$B$10*((1+FixedParams!$B$26)/$B$11)^(1-$B$10))^(1/(1-$B$10))</f>
        <v>4.8077667344797144</v>
      </c>
      <c r="G81" s="24">
        <f>EXP($D81-$D$17)*(($B81*FixedParams!$B$31)^$B$10*(1+FixedParams!$B$25)^(1-$B$10)+(1-$B81)^$B$10*((1+FixedParams!$B$28)/$B$11)^(1-$B$10))^(1/(1-$B$10))</f>
        <v>4.2104918517989223</v>
      </c>
      <c r="H81">
        <f t="shared" si="10"/>
        <v>1</v>
      </c>
      <c r="I81" s="24">
        <f>$B$12*IF(H81=1,1,FixedParams!$B$52)</f>
        <v>0.3745928365283252</v>
      </c>
      <c r="J81">
        <f>EXP($C81*FixedParams!$B$47)*EXP(IF(H81=1,(1-FixedParams!$B$47)*$D81,0))*($B81^((FixedParams!$B$47-1)*$B$10/($B$10-1)))*((1/$B81-1)^$B$10*(I81)^($B$10-1)+1)^((FixedParams!$B$47-$B$10)/($B$10-1))/((1+IF(H81=1,FixedParams!$B$25,FixedParams!$B$24))^FixedParams!$B$47)</f>
        <v>6.1256149340478662E-2</v>
      </c>
      <c r="K81">
        <f t="shared" si="38"/>
        <v>1.2350821595924366</v>
      </c>
      <c r="L81">
        <f>K81*FixedParams!$B$8/K$15</f>
        <v>35.907703455925542</v>
      </c>
      <c r="M81">
        <f t="shared" ref="M81:M144" si="47">(I81*(1/$B81-1))^$B$10*L81</f>
        <v>85.266211768635984</v>
      </c>
      <c r="N81">
        <f t="shared" si="11"/>
        <v>121.17391522456153</v>
      </c>
      <c r="O81" s="24">
        <f t="shared" si="12"/>
        <v>2.3745938492918355</v>
      </c>
      <c r="P81" s="24">
        <f t="shared" ref="P81:P144" si="48">(H81*(G81-F81)+F81)*$B$11</f>
        <v>1.6463657191164782</v>
      </c>
      <c r="Q81" s="23">
        <f>IF(H81=1,L81*(1+FixedParams!$B$25)+M81*FixedParams!$B$33*(1+FixedParams!$B$28)/FixedParams!$B$32,L81*(1+FixedParams!$B$23)+M81*FixedParams!$B$33*(1+FixedParams!$B$26)/FixedParams!$B$32)</f>
        <v>263.99327457630227</v>
      </c>
      <c r="R81" s="24">
        <f t="shared" ref="R81:R144" si="49">Q81*$B$11/P81</f>
        <v>62.698915914897633</v>
      </c>
      <c r="S81" s="24">
        <f>R81^((FixedParams!$B$47-1)/FixedParams!$B$47)*EXP($C81)</f>
        <v>0.44761251704235705</v>
      </c>
      <c r="T81" s="7">
        <f>(L81*FixedParams!$B$32*(FixedParams!$C$25-FixedParams!$C$23)+FixedParams!$B$33*(FixedParams!$C$28-FixedParams!$C$26)*M81)/N81</f>
        <v>-1095.9956631904658</v>
      </c>
      <c r="U81" s="7">
        <f>(L81*FixedParams!$B$32*(FixedParams!$C$25-FixedParams!$C$23)*$Z$12/$B$11+FixedParams!$B$33*(FixedParams!$C$28-FixedParams!$C$26)*M81)/N81</f>
        <v>-1393.6117704280839</v>
      </c>
      <c r="V81" s="14">
        <f t="shared" ref="V81:V144" si="50">LN(I81/O81)</f>
        <v>-1.8467420241820791</v>
      </c>
      <c r="W81" s="14">
        <f t="shared" si="46"/>
        <v>0.54715871289701501</v>
      </c>
      <c r="X81" s="73">
        <f t="shared" si="15"/>
        <v>0.97816583324712902</v>
      </c>
      <c r="Y81" s="24">
        <f>EXP(-$D$17)*(($B81*FixedParams!$B$30)^$B$10*(1+FixedParams!$C$24)^(1-$B$10)+(1-$B81)^$B$10*((1+FixedParams!$C$27)/$Z$12)^(1-$B$10))^(1/(1-$B$10))</f>
        <v>6.21285741461383</v>
      </c>
      <c r="Z81" s="24">
        <f>EXP($D81-$D$17)*(($B81*FixedParams!$C$31)^$B$10*(1+FixedParams!$C$25)^(1-$B$10)+(1-$B81)^$B$10*((1+FixedParams!$C$28)/$Z$12)^(1-$B$10))^(1/(1-$B$10))</f>
        <v>5.0834370009902914</v>
      </c>
      <c r="AA81" s="24">
        <f>EXP($D81-$D$17)*(($B81*FixedParams!$C$30)^$B$10*(1+FixedParams!$C$23)^(1-$B$10)+(1-$B81)^$B$10*((1+FixedParams!$C$26)/$Z$12)^(1-$B$10))^(1/(1-$B$10))</f>
        <v>5.1874276763690625</v>
      </c>
      <c r="AB81">
        <f>IF(FixedParams!$I$6=1,IF(Z81&lt;=MIN(Y81:AA81),1,0),$H81)</f>
        <v>1</v>
      </c>
      <c r="AC81">
        <f>IF(FixedParams!$I$6=1,IF(AA81&lt;=MIN(Y81:AA81),1,0),IF(AA81&lt;=Y81,1,0)*(1-$H81))</f>
        <v>0</v>
      </c>
      <c r="AD81" s="24">
        <f>$Z$13*IF(AB81=1,1,IF(AC81=1,FixedParams!$C$52,FixedParams!$C$53))</f>
        <v>0.43187184563106507</v>
      </c>
      <c r="AE81">
        <f>EXP($C81*FixedParams!$B$47)*EXP(IF(AB81+AC81=1,(1-FixedParams!$B$47)*$D81,0))*($B81^((FixedParams!$B$47-1)*$B$10/($B$10-1)))*((1/$B81-1)^$B$10*(AD81)^($B$10-1)+1)^((FixedParams!$B$47-$B$10)/($B$10-1))/((1+IF(AB81=1,FixedParams!$C$25,IF(AC81=1,FixedParams!$C$23,FixedParams!$C$24)))^FixedParams!$B$47)</f>
        <v>4.2165993321012403E-2</v>
      </c>
      <c r="AF81">
        <f t="shared" si="39"/>
        <v>1.2425129594209805</v>
      </c>
      <c r="AG81">
        <f t="shared" si="40"/>
        <v>29.184721384115722</v>
      </c>
      <c r="AH81">
        <f t="shared" ref="AH81:AH144" si="51">(AD81*(1/$B81-1))^$B$10*AG81</f>
        <v>85.790268537287972</v>
      </c>
      <c r="AI81">
        <f t="shared" si="16"/>
        <v>114.97498992140369</v>
      </c>
      <c r="AJ81" s="24">
        <f t="shared" si="17"/>
        <v>2.9395609917996603</v>
      </c>
      <c r="AK81" s="24">
        <f t="shared" si="18"/>
        <v>1.6978365514222606</v>
      </c>
      <c r="AL81" s="23">
        <f>IF(AB81=1,AG81*(1+FixedParams!$C$25)+AH81*(1+FixedParams!$C$28)/$Z$12,IF(AC81=1,AG81*(1+FixedParams!$C$23)+AH81*(1+FixedParams!$C$26)/$Z$12,AG81*(1+FixedParams!$C$24)+AH81*(1+FixedParams!$C$27)/$Z$12))</f>
        <v>311.76687268964088</v>
      </c>
      <c r="AM81" s="24">
        <f t="shared" si="19"/>
        <v>61.329937329587523</v>
      </c>
      <c r="AN81" s="24">
        <f>AM81^((FixedParams!$B$47-1)/FixedParams!$B$47)*EXP($C81)</f>
        <v>0.44762240856369806</v>
      </c>
      <c r="AO81" s="24">
        <f t="shared" si="20"/>
        <v>-5.2512203785449671E-2</v>
      </c>
      <c r="AP81" s="24">
        <f t="shared" si="21"/>
        <v>-2.2076059674238899E-2</v>
      </c>
      <c r="AQ81" s="14">
        <f t="shared" si="22"/>
        <v>-1.9178866360639641</v>
      </c>
      <c r="AS81" s="24">
        <f>EXP(-$D$17)*(($B81*FixedParams!$B$30)^$B$10*(1+FixedParams!$D$24)^(1-$B$10)+(1-$B81)^$B$10*((1+FixedParams!$D$27)/$AT$12)^(1-$B$10))^(1/(1-$B$10))</f>
        <v>5.8657046754109832</v>
      </c>
      <c r="AT81" s="24">
        <f>EXP($D81-$D$17)*(($B81*FixedParams!$C$31)^$B$10*(1+FixedParams!$D$25)^(1-$B$10)+(1-$B81)^$B$10*((1+FixedParams!$D$28)/$AT$12)^(1-$B$10))^(1/(1-$B$10))</f>
        <v>4.9675417035657112</v>
      </c>
      <c r="AU81" s="24">
        <f>EXP($D81-$D$17)*(($B81*FixedParams!$C$30)^$B$10*(1+FixedParams!$D$23)^(1-$B$10)+(1-$B81)^$B$10*((1+FixedParams!$D$26)/$AT$12)^(1-$B$10))^(1/(1-$B$10))</f>
        <v>5.0299513324235221</v>
      </c>
      <c r="AV81">
        <f>IF(FixedParams!$I$6=1,IF(AT81&lt;=MIN(AS81:AU81),1,0),$H81)</f>
        <v>1</v>
      </c>
      <c r="AW81">
        <f>IF(FixedParams!$I$6=1,IF(AU81&lt;=MIN(AS81:AU81),1,0),IF(AU81&lt;=AS81,1,0)*(1-$H81))</f>
        <v>0</v>
      </c>
      <c r="AX81" s="24">
        <f>$AT$13*IF(AV81=1,1,IF(AW81=1,FixedParams!$D$52,FixedParams!$D$53))</f>
        <v>0.41089128090616783</v>
      </c>
      <c r="AY81">
        <f>EXP($C81*FixedParams!$B$47)*EXP(IF(AV81+AW81=1,(1-FixedParams!$B$47)*$D81,0))*($B81^((FixedParams!$B$47-1)*$B$10/($B$10-1)))*((1/$B81-1)^$B$10*(AX81)^($B$10-1)+1)^((FixedParams!$B$47-$B$10)/($B$10-1))/((1+IF(AV81=1,FixedParams!$D$25,IF(AW81=1,FixedParams!$D$23,FixedParams!$D$24)))^FixedParams!$B$47)</f>
        <v>4.6047819862106966E-2</v>
      </c>
      <c r="AZ81">
        <f t="shared" ref="AZ81:AZ144" si="52">AY81/AY$17</f>
        <v>1.2399563940953007</v>
      </c>
      <c r="BA81">
        <f t="shared" si="23"/>
        <v>31.197137040097154</v>
      </c>
      <c r="BB81">
        <f t="shared" ref="BB81:BB144" si="53">(AX81*(1/$B81-1))^$B$10*BA81</f>
        <v>85.10503717662364</v>
      </c>
      <c r="BC81">
        <f t="shared" si="24"/>
        <v>116.3021742167208</v>
      </c>
      <c r="BD81" s="24">
        <f t="shared" si="25"/>
        <v>2.7279758737873792</v>
      </c>
      <c r="BE81" s="24">
        <f t="shared" si="26"/>
        <v>1.6821475117385334</v>
      </c>
      <c r="BF81" s="23">
        <f>IF(AV81=1,BA81*(1+FixedParams!$C$25)+BB81*(1+FixedParams!$C$28)/$AT$12,IF(AW81=1,BA81*(1+FixedParams!$C$23)+BB81*(1+FixedParams!$C$26)/$AT$12,BA81*(1+FixedParams!$C$24)+BB81*(1+FixedParams!$C$27)/$AT$12))</f>
        <v>308.65934788859568</v>
      </c>
      <c r="BG81" s="24">
        <f t="shared" si="27"/>
        <v>62.135230322684436</v>
      </c>
      <c r="BH81" s="24">
        <f>BG81^((FixedParams!$B$47-1)/FixedParams!$B$47)*EXP($C81)</f>
        <v>0.44761656350172485</v>
      </c>
      <c r="BI81" s="7"/>
      <c r="BJ81" s="24">
        <f>EXP(-$D$17)*(($B81*FixedParams!$B$30)^$B$10*(1+FixedParams!$C$24)^(1-$B$10)+(1-$B81)^$B$10*((1+FixedParams!$C$27)/$BK$12)^(1-$B$10))^(1/(1-$B$10))</f>
        <v>6.4928453762701448</v>
      </c>
      <c r="BK81" s="24">
        <f>EXP($D81-$D$17)*(($B81*FixedParams!$C$31)^$B$10*(1+FixedParams!$C$25)^(1-$B$10)+(1-$B81)^$B$10*((1+FixedParams!$C$28)/$BK$12)^(1-$B$10))^(1/(1-$B$10))</f>
        <v>5.31101081965289</v>
      </c>
      <c r="BL81" s="24">
        <f>EXP($D81-$D$17)*(($B81*FixedParams!$C$30)^$B$10*(1+FixedParams!$C$23)^(1-$B$10)+(1-$B81)^$B$10*((1+FixedParams!$C$26)/$BK$12)^(1-$B$10))^(1/(1-$B$10))</f>
        <v>5.4161610757414262</v>
      </c>
      <c r="BM81">
        <f>IF(FixedParams!$I$6=1,IF(BK81&lt;=MIN(BJ81:BL81),1,0),$H81)</f>
        <v>1</v>
      </c>
      <c r="BN81">
        <f>IF(FixedParams!$I$6=1,IF(BL81&lt;=MIN(BJ81:BL81),1,0),IF(BL81&lt;=BJ81,1,0)*(1-$H81))</f>
        <v>0</v>
      </c>
      <c r="BO81" s="24">
        <f>$BK$13*IF(BM81=1,1,IF(BN81=1,FixedParams!$C$52,FixedParams!$C$53))</f>
        <v>0.41068174962109105</v>
      </c>
      <c r="BP81">
        <f>EXP($C81*FixedParams!$B$47)*EXP(IF(BM81+BN81=1,(1-FixedParams!$B$47)*$D81,0))*($B81^((FixedParams!$B$47-1)*$B$10/($B$10-1)))*((1/$B81-1)^$B$10*(BO81)^($B$10-1)+1)^((FixedParams!$B$47-$B$10)/($B$10-1))/((1+IF(BM81=1,FixedParams!$C$25,IF(BN81=1,FixedParams!$C$23,FixedParams!$C$24)))^FixedParams!$B$47)</f>
        <v>4.3101384979594551E-2</v>
      </c>
      <c r="BQ81">
        <f t="shared" si="28"/>
        <v>1.2399299643126471</v>
      </c>
      <c r="BR81">
        <f t="shared" si="29"/>
        <v>31.623370773345897</v>
      </c>
      <c r="BS81">
        <f t="shared" ref="BS81:BS144" si="54">(BO81*(1/$B81-1))^$B$10*BR81</f>
        <v>86.20181339726858</v>
      </c>
      <c r="BT81">
        <f t="shared" si="30"/>
        <v>117.82518417061448</v>
      </c>
      <c r="BU81" s="24">
        <f t="shared" si="31"/>
        <v>2.7258894700094629</v>
      </c>
      <c r="BV81" s="24">
        <f t="shared" si="32"/>
        <v>1.686809857449445</v>
      </c>
      <c r="BW81" s="23">
        <f>IF(BM81=1,BR81*(1+FixedParams!$C$25)+BS81*(1+FixedParams!$C$28)/$BK$12,IF(BN81=1,BR81*(1+FixedParams!$C$23)+BS81*(1+FixedParams!$C$26)/$BK$12,BR81*(1+FixedParams!$C$24)+BS81*(1+FixedParams!$C$27)/$BK$12))</f>
        <v>330.50094440216839</v>
      </c>
      <c r="BX81" s="24">
        <f t="shared" si="33"/>
        <v>62.229386387084936</v>
      </c>
      <c r="BY81" s="24">
        <f>BX81^((FixedParams!$B$47-1)/FixedParams!$B$47)*EXP($C81)</f>
        <v>0.44761588504543748</v>
      </c>
      <c r="BZ81" s="24">
        <f t="shared" si="34"/>
        <v>-2.802479365778076E-2</v>
      </c>
      <c r="CA81" s="24">
        <f t="shared" si="35"/>
        <v>-7.5168193269421323E-3</v>
      </c>
      <c r="CB81" s="24">
        <f t="shared" si="36"/>
        <v>9.8116365924651189E-3</v>
      </c>
      <c r="CC81" s="24"/>
      <c r="CD81" s="24">
        <f>EXP(-$D$17)*(($B81*FixedParams!$B$30)^$B$10*(1+FixedParams!$D$24)^(1-$B$10)+(1-$B81)^$B$10*((1+FixedParams!$D$27)/$CE$12)^(1-$B$10))^(1/(1-$B$10))</f>
        <v>6.1111441821637262</v>
      </c>
      <c r="CE81" s="24">
        <f>EXP($D81-$D$17)*(($B81*FixedParams!$D$31)^$B$10*(1+FixedParams!$D$25)^(1-$B$10)+(1-$B81)^$B$10*((1+FixedParams!$D$28)/$CE$12)^(1-$B$10))^(1/(1-$B$10))</f>
        <v>5.1744457798472174</v>
      </c>
      <c r="CF81" s="24">
        <f>EXP($D81-$D$17)*(($B81*FixedParams!$D$30)^$B$10*(1+FixedParams!$D$23)^(1-$B$10)+(1-$B81)^$B$10*((1+FixedParams!$D$26)/$CE$12)^(1-$B$10))^(1/(1-$B$10))</f>
        <v>5.2369122962128278</v>
      </c>
      <c r="CG81">
        <f>IF(FixedParams!$I$6=1,IF(CE81&lt;=MIN(CD81:CF81),1,0),$H81)</f>
        <v>1</v>
      </c>
      <c r="CH81">
        <f>IF(FixedParams!$I$6=1,IF(CF81&lt;=MIN(CD81:CF81),1,0),IF(CF81&lt;=CD81,1,0)*(1-$H81))</f>
        <v>0</v>
      </c>
      <c r="CI81" s="24">
        <f>$CE$13*IF(CG81=1,1,IF(CH81=1,FixedParams!$D$52,FixedParams!$D$53))</f>
        <v>0.39201585704839609</v>
      </c>
      <c r="CJ81">
        <f>EXP($C81*FixedParams!$B$47)*EXP(IF(CG81+CH81=1,(1-FixedParams!$B$47)*$D81,0))*($B81^((FixedParams!$B$47-1)*$B$10/($B$10-1)))*((1/$B81-1)^$B$10*(CI81)^($B$10-1)+1)^((FixedParams!$B$47-$B$10)/($B$10-1))/((1+IF(CG81=1,FixedParams!$D$25,IF(CH81=1,FixedParams!$D$23,FixedParams!$D$24)))^FixedParams!$B$47)</f>
        <v>4.6998928303974674E-2</v>
      </c>
      <c r="CK81">
        <f t="shared" si="37"/>
        <v>1.2374987108463762</v>
      </c>
      <c r="CL81">
        <f t="shared" si="41"/>
        <v>33.808813481050905</v>
      </c>
      <c r="CM81">
        <f t="shared" ref="CM81:CM144" si="55">(CI81*(1/$B81-1))^$B$10*CL81</f>
        <v>85.947949108554141</v>
      </c>
      <c r="CN81">
        <f t="shared" si="42"/>
        <v>119.75676258960505</v>
      </c>
      <c r="CO81" s="24">
        <f t="shared" si="43"/>
        <v>2.5421758488130934</v>
      </c>
      <c r="CP81" s="24">
        <f t="shared" si="44"/>
        <v>1.6717183331144121</v>
      </c>
      <c r="CQ81" s="23">
        <f>IF(CG81=1,CL81*(1+FixedParams!$D$25)+CM81*(1+FixedParams!$D$28)/$CE$12,IF(CH81=1,CL81*(1+FixedParams!$D$23)+CM81*(1+FixedParams!$D$26)/$CE$12,CL81*(1+FixedParams!$D$24)+CM81*(1+FixedParams!$D$27)/$CE$12))</f>
        <v>324.03090330965421</v>
      </c>
      <c r="CR81" s="24">
        <f t="shared" si="45"/>
        <v>62.621373784927677</v>
      </c>
      <c r="CS81" s="24">
        <f>CR81^((FixedParams!$B$47-1)/FixedParams!$B$47)*EXP($C81)</f>
        <v>0.44761307151917129</v>
      </c>
      <c r="CT81" s="24"/>
    </row>
    <row r="82" spans="1:98" x14ac:dyDescent="0.15">
      <c r="A82">
        <v>0.32500000000000001</v>
      </c>
      <c r="B82">
        <f t="shared" ref="B82:B145" si="56">1/(1+EXP(-($A82-$B$7)/$B$8))</f>
        <v>0.1755268138664591</v>
      </c>
      <c r="C82">
        <f>(D82-$D$17)*FixedParams!$B$47+$A82*$B$9</f>
        <v>-0.81217992730064292</v>
      </c>
      <c r="D82">
        <f>(A82-$B$6)*FixedParams!$B$46/(FixedParams!$B$45*Sectors!$B$6)</f>
        <v>-9.5086500231241419E-2</v>
      </c>
      <c r="E82">
        <f t="shared" ref="E82:E145" si="57">EXP(C82)</f>
        <v>0.44388936421306197</v>
      </c>
      <c r="F82" s="24">
        <f>EXP(-$D$17)*(($B82*FixedParams!$B$30)^$B$10*(1+FixedParams!$B$23)^(1-$B$10)+(1-$B82)^$B$10*((1+FixedParams!$B$26)/$B$11)^(1-$B$10))^(1/(1-$B$10))</f>
        <v>4.8144040577816209</v>
      </c>
      <c r="G82" s="24">
        <f>EXP($D82-$D$17)*(($B82*FixedParams!$B$31)^$B$10*(1+FixedParams!$B$25)^(1-$B$10)+(1-$B82)^$B$10*((1+FixedParams!$B$28)/$B$11)^(1-$B$10))^(1/(1-$B$10))</f>
        <v>4.2274067271488587</v>
      </c>
      <c r="H82">
        <f t="shared" ref="H82:H145" si="58">IF(G82&lt;=F82,1,0)</f>
        <v>1</v>
      </c>
      <c r="I82" s="24">
        <f>$B$12*IF(H82=1,1,FixedParams!$B$52)</f>
        <v>0.3745928365283252</v>
      </c>
      <c r="J82">
        <f>EXP($C82*FixedParams!$B$47)*EXP(IF(H82=1,(1-FixedParams!$B$47)*$D82,0))*($B82^((FixedParams!$B$47-1)*$B$10/($B$10-1)))*((1/$B82-1)^$B$10*(I82)^($B$10-1)+1)^((FixedParams!$B$47-$B$10)/($B$10-1))/((1+IF(H82=1,FixedParams!$B$25,FixedParams!$B$24))^FixedParams!$B$47)</f>
        <v>6.1404642671032225E-2</v>
      </c>
      <c r="K82">
        <f t="shared" si="38"/>
        <v>1.2380761686080175</v>
      </c>
      <c r="L82">
        <f>K82*FixedParams!$B$8/K$15</f>
        <v>35.994748667485652</v>
      </c>
      <c r="M82">
        <f t="shared" si="47"/>
        <v>84.00941233812884</v>
      </c>
      <c r="N82">
        <f t="shared" ref="N82:N145" si="59">L82+M82</f>
        <v>120.00416100561449</v>
      </c>
      <c r="O82" s="24">
        <f t="shared" ref="O82:O145" si="60">M82/L82</f>
        <v>2.3339352391148998</v>
      </c>
      <c r="P82" s="24">
        <f t="shared" si="48"/>
        <v>1.6529796900964637</v>
      </c>
      <c r="Q82" s="23">
        <f>IF(H82=1,L82*(1+FixedParams!$B$25)+M82*FixedParams!$B$33*(1+FixedParams!$B$28)/FixedParams!$B$32,L82*(1+FixedParams!$B$23)+M82*FixedParams!$B$33*(1+FixedParams!$B$26)/FixedParams!$B$32)</f>
        <v>260.71948422904302</v>
      </c>
      <c r="R82" s="24">
        <f t="shared" si="49"/>
        <v>61.673621928705032</v>
      </c>
      <c r="S82" s="24">
        <f>R82^((FixedParams!$B$47-1)/FixedParams!$B$47)*EXP($C82)</f>
        <v>0.44206165768824063</v>
      </c>
      <c r="T82" s="7">
        <f>(L82*FixedParams!$B$32*(FixedParams!$C$25-FixedParams!$C$23)+FixedParams!$B$33*(FixedParams!$C$28-FixedParams!$C$26)*M82)/N82</f>
        <v>-1054.9964062582521</v>
      </c>
      <c r="U82" s="7">
        <f>(L82*FixedParams!$B$32*(FixedParams!$C$25-FixedParams!$C$23)*$Z$12/$B$11+FixedParams!$B$33*(FixedParams!$C$28-FixedParams!$C$26)*M82)/N82</f>
        <v>-1356.2420552891786</v>
      </c>
      <c r="V82" s="14">
        <f t="shared" si="50"/>
        <v>-1.8294713988859961</v>
      </c>
      <c r="W82" s="14">
        <f t="shared" ref="W82:W113" si="61">N82/(N$15*COUNT($N$17:$N$217))+W81</f>
        <v>0.55304466160676846</v>
      </c>
      <c r="X82" s="73">
        <f t="shared" ref="X82:X145" si="62">AM82/R82</f>
        <v>0.97788874425638561</v>
      </c>
      <c r="Y82" s="24">
        <f>EXP(-$D$17)*(($B82*FixedParams!$B$30)^$B$10*(1+FixedParams!$C$24)^(1-$B$10)+(1-$B82)^$B$10*((1+FixedParams!$C$27)/$Z$12)^(1-$B$10))^(1/(1-$B$10))</f>
        <v>6.2238729615017299</v>
      </c>
      <c r="Z82" s="24">
        <f>EXP($D82-$D$17)*(($B82*FixedParams!$C$31)^$B$10*(1+FixedParams!$C$25)^(1-$B$10)+(1-$B82)^$B$10*((1+FixedParams!$C$28)/$Z$12)^(1-$B$10))^(1/(1-$B$10))</f>
        <v>5.105306420897568</v>
      </c>
      <c r="AA82" s="24">
        <f>EXP($D82-$D$17)*(($B82*FixedParams!$C$30)^$B$10*(1+FixedParams!$C$23)^(1-$B$10)+(1-$B82)^$B$10*((1+FixedParams!$C$26)/$Z$12)^(1-$B$10))^(1/(1-$B$10))</f>
        <v>5.2074437069797517</v>
      </c>
      <c r="AB82">
        <f>IF(FixedParams!$I$6=1,IF(Z82&lt;=MIN(Y82:AA82),1,0),$H82)</f>
        <v>1</v>
      </c>
      <c r="AC82">
        <f>IF(FixedParams!$I$6=1,IF(AA82&lt;=MIN(Y82:AA82),1,0),IF(AA82&lt;=Y82,1,0)*(1-$H82))</f>
        <v>0</v>
      </c>
      <c r="AD82" s="24">
        <f>$Z$13*IF(AB82=1,1,IF(AC82=1,FixedParams!$C$52,FixedParams!$C$53))</f>
        <v>0.43187184563106507</v>
      </c>
      <c r="AE82">
        <f>EXP($C82*FixedParams!$B$47)*EXP(IF(AB82+AC82=1,(1-FixedParams!$B$47)*$D82,0))*($B82^((FixedParams!$B$47-1)*$B$10/($B$10-1)))*((1/$B82-1)^$B$10*(AD82)^($B$10-1)+1)^((FixedParams!$B$47-$B$10)/($B$10-1))/((1+IF(AB82=1,FixedParams!$C$25,IF(AC82=1,FixedParams!$C$23,FixedParams!$C$24)))^FixedParams!$B$47)</f>
        <v>4.2274215486736051E-2</v>
      </c>
      <c r="AF82">
        <f t="shared" ref="AF82:AF145" si="63">AE82/AE$17</f>
        <v>1.2457019615721816</v>
      </c>
      <c r="AG82">
        <f t="shared" ref="AG82:AG145" si="64">AF82*$Z$9/$AF$15</f>
        <v>29.259626147539297</v>
      </c>
      <c r="AH82">
        <f t="shared" si="51"/>
        <v>84.537755141697502</v>
      </c>
      <c r="AI82">
        <f t="shared" ref="AI82:AI145" si="65">AG82+AH82</f>
        <v>113.7973812892368</v>
      </c>
      <c r="AJ82" s="24">
        <f t="shared" ref="AJ82:AJ145" si="66">AH82/AG82</f>
        <v>2.8892288204716872</v>
      </c>
      <c r="AK82" s="24">
        <f t="shared" ref="AK82:AK145" si="67">IF(AB82=1,Z82,IF(AC82=1,AA82,Y82))*$Z$12</f>
        <v>1.7051408025558428</v>
      </c>
      <c r="AL82" s="23">
        <f>IF(AB82=1,AG82*(1+FixedParams!$C$25)+AH82*(1+FixedParams!$C$28)/$Z$12,IF(AC82=1,AG82*(1+FixedParams!$C$23)+AH82*(1+FixedParams!$C$26)/$Z$12,AG82*(1+FixedParams!$C$24)+AH82*(1+FixedParams!$C$27)/$Z$12))</f>
        <v>307.90072750785282</v>
      </c>
      <c r="AM82" s="24">
        <f t="shared" ref="AM82:AM145" si="68">AL82*$Z$12/AK82</f>
        <v>60.309940701604454</v>
      </c>
      <c r="AN82" s="24">
        <f>AM82^((FixedParams!$B$47-1)/FixedParams!$B$47)*EXP($C82)</f>
        <v>0.44207155191494923</v>
      </c>
      <c r="AO82" s="24">
        <f t="shared" ref="AO82:AO145" si="69">LN(AI82/$N82)</f>
        <v>-5.3106907318336428E-2</v>
      </c>
      <c r="AP82" s="24">
        <f t="shared" ref="AP82:AP145" si="70">LN(AM82/$R82)</f>
        <v>-2.2359373847354133E-2</v>
      </c>
      <c r="AQ82" s="14">
        <f t="shared" ref="AQ82:AQ145" si="71">LN(AD82/AJ82)</f>
        <v>-1.9006160107678811</v>
      </c>
      <c r="AS82" s="24">
        <f>EXP(-$D$17)*(($B82*FixedParams!$B$30)^$B$10*(1+FixedParams!$D$24)^(1-$B$10)+(1-$B82)^$B$10*((1+FixedParams!$D$27)/$AT$12)^(1-$B$10))^(1/(1-$B$10))</f>
        <v>5.8751769344547533</v>
      </c>
      <c r="AT82" s="24">
        <f>EXP($D82-$D$17)*(($B82*FixedParams!$C$31)^$B$10*(1+FixedParams!$D$25)^(1-$B$10)+(1-$B82)^$B$10*((1+FixedParams!$D$28)/$AT$12)^(1-$B$10))^(1/(1-$B$10))</f>
        <v>4.988425757137068</v>
      </c>
      <c r="AU82" s="24">
        <f>EXP($D82-$D$17)*(($B82*FixedParams!$C$30)^$B$10*(1+FixedParams!$D$23)^(1-$B$10)+(1-$B82)^$B$10*((1+FixedParams!$D$26)/$AT$12)^(1-$B$10))^(1/(1-$B$10))</f>
        <v>5.0493013383998049</v>
      </c>
      <c r="AV82">
        <f>IF(FixedParams!$I$6=1,IF(AT82&lt;=MIN(AS82:AU82),1,0),$H82)</f>
        <v>1</v>
      </c>
      <c r="AW82">
        <f>IF(FixedParams!$I$6=1,IF(AU82&lt;=MIN(AS82:AU82),1,0),IF(AU82&lt;=AS82,1,0)*(1-$H82))</f>
        <v>0</v>
      </c>
      <c r="AX82" s="24">
        <f>$AT$13*IF(AV82=1,1,IF(AW82=1,FixedParams!$D$52,FixedParams!$D$53))</f>
        <v>0.41089128090616783</v>
      </c>
      <c r="AY82">
        <f>EXP($C82*FixedParams!$B$47)*EXP(IF(AV82+AW82=1,(1-FixedParams!$B$47)*$D82,0))*($B82^((FixedParams!$B$47-1)*$B$10/($B$10-1)))*((1/$B82-1)^$B$10*(AX82)^($B$10-1)+1)^((FixedParams!$B$47-$B$10)/($B$10-1))/((1+IF(AV82=1,FixedParams!$D$25,IF(AW82=1,FixedParams!$D$23,FixedParams!$D$24)))^FixedParams!$B$47)</f>
        <v>4.616374823043045E-2</v>
      </c>
      <c r="AZ82">
        <f t="shared" si="52"/>
        <v>1.2430780646106518</v>
      </c>
      <c r="BA82">
        <f t="shared" ref="BA82:BA145" si="72">AZ82*$AT$9/$AZ$15</f>
        <v>31.275677852762175</v>
      </c>
      <c r="BB82">
        <f t="shared" si="53"/>
        <v>83.858428398756487</v>
      </c>
      <c r="BC82">
        <f t="shared" ref="BC82:BC145" si="73">BA82+BB82</f>
        <v>115.13410625151866</v>
      </c>
      <c r="BD82" s="24">
        <f t="shared" ref="BD82:BD145" si="74">BB82/BA82</f>
        <v>2.6812665354062135</v>
      </c>
      <c r="BE82" s="24">
        <f t="shared" ref="BE82:BE145" si="75">IF(AV82=1,AT82,IF(AW82=1,AU82,AS82))*$AT$12</f>
        <v>1.6892194319852936</v>
      </c>
      <c r="BF82" s="23">
        <f>IF(AV82=1,BA82*(1+FixedParams!$C$25)+BB82*(1+FixedParams!$C$28)/$AT$12,IF(AW82=1,BA82*(1+FixedParams!$C$23)+BB82*(1+FixedParams!$C$26)/$AT$12,BA82*(1+FixedParams!$C$24)+BB82*(1+FixedParams!$C$27)/$AT$12))</f>
        <v>304.87094007280484</v>
      </c>
      <c r="BG82" s="24">
        <f t="shared" ref="BG82:BG145" si="76">BF82*$AT$12/BE82</f>
        <v>61.115661516384847</v>
      </c>
      <c r="BH82" s="24">
        <f>BG82^((FixedParams!$B$47-1)/FixedParams!$B$47)*EXP($C82)</f>
        <v>0.44206567925462043</v>
      </c>
      <c r="BI82" s="7"/>
      <c r="BJ82" s="24">
        <f>EXP(-$D$17)*(($B82*FixedParams!$B$30)^$B$10*(1+FixedParams!$C$24)^(1-$B$10)+(1-$B82)^$B$10*((1+FixedParams!$C$27)/$BK$12)^(1-$B$10))^(1/(1-$B$10))</f>
        <v>6.5037401756156639</v>
      </c>
      <c r="BK82" s="24">
        <f>EXP($D82-$D$17)*(($B82*FixedParams!$C$31)^$B$10*(1+FixedParams!$C$25)^(1-$B$10)+(1-$B82)^$B$10*((1+FixedParams!$C$28)/$BK$12)^(1-$B$10))^(1/(1-$B$10))</f>
        <v>5.3333334727007626</v>
      </c>
      <c r="BL82" s="24">
        <f>EXP($D82-$D$17)*(($B82*FixedParams!$C$30)^$B$10*(1+FixedParams!$C$23)^(1-$B$10)+(1-$B82)^$B$10*((1+FixedParams!$C$26)/$BK$12)^(1-$B$10))^(1/(1-$B$10))</f>
        <v>5.4364794386282131</v>
      </c>
      <c r="BM82">
        <f>IF(FixedParams!$I$6=1,IF(BK82&lt;=MIN(BJ82:BL82),1,0),$H82)</f>
        <v>1</v>
      </c>
      <c r="BN82">
        <f>IF(FixedParams!$I$6=1,IF(BL82&lt;=MIN(BJ82:BL82),1,0),IF(BL82&lt;=BJ82,1,0)*(1-$H82))</f>
        <v>0</v>
      </c>
      <c r="BO82" s="24">
        <f>$BK$13*IF(BM82=1,1,IF(BN82=1,FixedParams!$C$52,FixedParams!$C$53))</f>
        <v>0.41068174962109105</v>
      </c>
      <c r="BP82">
        <f>EXP($C82*FixedParams!$B$47)*EXP(IF(BM82+BN82=1,(1-FixedParams!$B$47)*$D82,0))*($B82^((FixedParams!$B$47-1)*$B$10/($B$10-1)))*((1/$B82-1)^$B$10*(BO82)^($B$10-1)+1)^((FixedParams!$B$47-$B$10)/($B$10-1))/((1+IF(BM82=1,FixedParams!$C$25,IF(BN82=1,FixedParams!$C$23,FixedParams!$C$24)))^FixedParams!$B$47)</f>
        <v>4.3209873670436466E-2</v>
      </c>
      <c r="BQ82">
        <f t="shared" ref="BQ82:BQ145" si="77">BP82/BP$17</f>
        <v>1.2430509400916767</v>
      </c>
      <c r="BR82">
        <f t="shared" ref="BR82:BR145" si="78">BQ82*$BK$9/$BQ$15</f>
        <v>31.702968635382884</v>
      </c>
      <c r="BS82">
        <f t="shared" si="54"/>
        <v>84.939096242238875</v>
      </c>
      <c r="BT82">
        <f t="shared" ref="BT82:BT145" si="79">BR82+BS82</f>
        <v>116.64206487762176</v>
      </c>
      <c r="BU82" s="24">
        <f t="shared" ref="BU82:BU145" si="80">BS82/BR82</f>
        <v>2.6792158557492467</v>
      </c>
      <c r="BV82" s="24">
        <f t="shared" ref="BV82:BV145" si="81">IF(BM82=1,BK82,IF(BN82=1,BL82,BJ82))*$BK$12</f>
        <v>1.6938996700075817</v>
      </c>
      <c r="BW82" s="23">
        <f>IF(BM82=1,BR82*(1+FixedParams!$C$25)+BS82*(1+FixedParams!$C$28)/$BK$12,IF(BN82=1,BR82*(1+FixedParams!$C$23)+BS82*(1+FixedParams!$C$26)/$BK$12,BR82*(1+FixedParams!$C$24)+BS82*(1+FixedParams!$C$27)/$BK$12))</f>
        <v>326.40245037401468</v>
      </c>
      <c r="BX82" s="24">
        <f t="shared" ref="BX82:BX145" si="82">BW82*$BK$12/BV82</f>
        <v>61.200457845874539</v>
      </c>
      <c r="BY82" s="24">
        <f>BX82^((FixedParams!$B$47-1)/FixedParams!$B$47)*EXP($C82)</f>
        <v>0.44206506571242771</v>
      </c>
      <c r="BZ82" s="24">
        <f t="shared" ref="BZ82:BZ145" si="83">LN(BT82/$N82)</f>
        <v>-2.8416446126572934E-2</v>
      </c>
      <c r="CA82" s="24">
        <f t="shared" ref="CA82:CA145" si="84">LN(BX82/$R82)</f>
        <v>-7.7016474511401147E-3</v>
      </c>
      <c r="CB82" s="24">
        <f t="shared" ref="CB82:CB145" si="85">CA82-LN($BY$15/$S$15)</f>
        <v>9.6268084682671375E-3</v>
      </c>
      <c r="CC82" s="24"/>
      <c r="CD82" s="24">
        <f>EXP(-$D$17)*(($B82*FixedParams!$B$30)^$B$10*(1+FixedParams!$D$24)^(1-$B$10)+(1-$B82)^$B$10*((1+FixedParams!$D$27)/$CE$12)^(1-$B$10))^(1/(1-$B$10))</f>
        <v>6.120453133875694</v>
      </c>
      <c r="CE82" s="24">
        <f>EXP($D82-$D$17)*(($B82*FixedParams!$D$31)^$B$10*(1+FixedParams!$D$25)^(1-$B$10)+(1-$B82)^$B$10*((1+FixedParams!$D$28)/$CE$12)^(1-$B$10))^(1/(1-$B$10))</f>
        <v>5.1957123101119338</v>
      </c>
      <c r="CF82" s="24">
        <f>EXP($D82-$D$17)*(($B82*FixedParams!$D$30)^$B$10*(1+FixedParams!$D$23)^(1-$B$10)+(1-$B82)^$B$10*((1+FixedParams!$D$26)/$CE$12)^(1-$B$10))^(1/(1-$B$10))</f>
        <v>5.2565333305563513</v>
      </c>
      <c r="CG82">
        <f>IF(FixedParams!$I$6=1,IF(CE82&lt;=MIN(CD82:CF82),1,0),$H82)</f>
        <v>1</v>
      </c>
      <c r="CH82">
        <f>IF(FixedParams!$I$6=1,IF(CF82&lt;=MIN(CD82:CF82),1,0),IF(CF82&lt;=CD82,1,0)*(1-$H82))</f>
        <v>0</v>
      </c>
      <c r="CI82" s="24">
        <f>$CE$13*IF(CG82=1,1,IF(CH82=1,FixedParams!$D$52,FixedParams!$D$53))</f>
        <v>0.39201585704839609</v>
      </c>
      <c r="CJ82">
        <f>EXP($C82*FixedParams!$B$47)*EXP(IF(CG82+CH82=1,(1-FixedParams!$B$47)*$D82,0))*($B82^((FixedParams!$B$47-1)*$B$10/($B$10-1)))*((1/$B82-1)^$B$10*(CI82)^($B$10-1)+1)^((FixedParams!$B$47-$B$10)/($B$10-1))/((1+IF(CG82=1,FixedParams!$D$25,IF(CH82=1,FixedParams!$D$23,FixedParams!$D$24)))^FixedParams!$B$47)</f>
        <v>4.7115037034797656E-2</v>
      </c>
      <c r="CK82">
        <f t="shared" ref="CK82:CK145" si="86">CJ82/CJ$17</f>
        <v>1.240555895550294</v>
      </c>
      <c r="CL82">
        <f t="shared" si="41"/>
        <v>33.892336628611346</v>
      </c>
      <c r="CM82">
        <f t="shared" si="55"/>
        <v>84.685013783300477</v>
      </c>
      <c r="CN82">
        <f t="shared" si="42"/>
        <v>118.57735041191182</v>
      </c>
      <c r="CO82" s="24">
        <f t="shared" si="43"/>
        <v>2.4986478421735843</v>
      </c>
      <c r="CP82" s="24">
        <f t="shared" si="44"/>
        <v>1.6785889527010973</v>
      </c>
      <c r="CQ82" s="23">
        <f>IF(CG82=1,CL82*(1+FixedParams!$D$25)+CM82*(1+FixedParams!$D$28)/$CE$12,IF(CH82=1,CL82*(1+FixedParams!$D$23)+CM82*(1+FixedParams!$D$26)/$CE$12,CL82*(1+FixedParams!$D$24)+CM82*(1+FixedParams!$D$27)/$CE$12))</f>
        <v>320.01261362415175</v>
      </c>
      <c r="CR82" s="24">
        <f t="shared" si="45"/>
        <v>61.591673003399521</v>
      </c>
      <c r="CS82" s="24">
        <f>CR82^((FixedParams!$B$47-1)/FixedParams!$B$47)*EXP($C82)</f>
        <v>0.4420622460577408</v>
      </c>
      <c r="CT82" s="24"/>
    </row>
    <row r="83" spans="1:98" x14ac:dyDescent="0.15">
      <c r="A83">
        <v>0.33</v>
      </c>
      <c r="B83">
        <f t="shared" si="56"/>
        <v>0.17719928069603949</v>
      </c>
      <c r="C83">
        <f>(D83-$D$17)*FixedParams!$B$47+$A83*$B$9</f>
        <v>-0.8246750031052682</v>
      </c>
      <c r="D83">
        <f>(A83-$B$6)*FixedParams!$B$46/(FixedParams!$B$45*Sectors!$B$6)</f>
        <v>-9.2369743081777381E-2</v>
      </c>
      <c r="E83">
        <f t="shared" si="57"/>
        <v>0.43837744062301387</v>
      </c>
      <c r="F83" s="24">
        <f>EXP(-$D$17)*(($B83*FixedParams!$B$30)^$B$10*(1+FixedParams!$B$23)^(1-$B$10)+(1-$B83)^$B$10*((1+FixedParams!$B$26)/$B$11)^(1-$B$10))^(1/(1-$B$10))</f>
        <v>4.8209905656385716</v>
      </c>
      <c r="G83" s="24">
        <f>EXP($D83-$D$17)*(($B83*FixedParams!$B$31)^$B$10*(1+FixedParams!$B$25)^(1-$B$10)+(1-$B83)^$B$10*((1+FixedParams!$B$28)/$B$11)^(1-$B$10))^(1/(1-$B$10))</f>
        <v>4.2443320877474022</v>
      </c>
      <c r="H83">
        <f t="shared" si="58"/>
        <v>1</v>
      </c>
      <c r="I83" s="24">
        <f>$B$12*IF(H83=1,1,FixedParams!$B$52)</f>
        <v>0.3745928365283252</v>
      </c>
      <c r="J83">
        <f>EXP($C83*FixedParams!$B$47)*EXP(IF(H83=1,(1-FixedParams!$B$47)*$D83,0))*($B83^((FixedParams!$B$47-1)*$B$10/($B$10-1)))*((1/$B83-1)^$B$10*(I83)^($B$10-1)+1)^((FixedParams!$B$47-$B$10)/($B$10-1))/((1+IF(H83=1,FixedParams!$B$25,FixedParams!$B$24))^FixedParams!$B$47)</f>
        <v>6.1551307144151877E-2</v>
      </c>
      <c r="K83">
        <f t="shared" ref="K83:K146" si="87">J83/J$17</f>
        <v>1.2410333031348595</v>
      </c>
      <c r="L83">
        <f>K83*FixedParams!$B$8/K$15</f>
        <v>36.080721822262788</v>
      </c>
      <c r="M83">
        <f t="shared" si="47"/>
        <v>82.768194450347622</v>
      </c>
      <c r="N83">
        <f t="shared" si="59"/>
        <v>118.84891627261041</v>
      </c>
      <c r="O83" s="24">
        <f t="shared" si="60"/>
        <v>2.2939727996039534</v>
      </c>
      <c r="P83" s="24">
        <f t="shared" si="48"/>
        <v>1.6595977609665502</v>
      </c>
      <c r="Q83" s="23">
        <f>IF(H83=1,L83*(1+FixedParams!$B$25)+M83*FixedParams!$B$33*(1+FixedParams!$B$28)/FixedParams!$B$32,L83*(1+FixedParams!$B$23)+M83*FixedParams!$B$33*(1+FixedParams!$B$26)/FixedParams!$B$32)</f>
        <v>257.48628879050744</v>
      </c>
      <c r="R83" s="24">
        <f t="shared" si="49"/>
        <v>60.665914793477747</v>
      </c>
      <c r="S83" s="24">
        <f>R83^((FixedParams!$B$47-1)/FixedParams!$B$47)*EXP($C83)</f>
        <v>0.4365796288348332</v>
      </c>
      <c r="T83" s="7">
        <f>(L83*FixedParams!$B$32*(FixedParams!$C$25-FixedParams!$C$23)+FixedParams!$B$33*(FixedParams!$C$28-FixedParams!$C$26)*M83)/N83</f>
        <v>-1013.7128643469048</v>
      </c>
      <c r="U83" s="7">
        <f>(L83*FixedParams!$B$32*(FixedParams!$C$25-FixedParams!$C$23)*$Z$12/$B$11+FixedParams!$B$33*(FixedParams!$C$28-FixedParams!$C$26)*M83)/N83</f>
        <v>-1318.6132220714735</v>
      </c>
      <c r="V83" s="14">
        <f t="shared" si="50"/>
        <v>-1.8122007735899119</v>
      </c>
      <c r="W83" s="14">
        <f t="shared" si="61"/>
        <v>0.55887394802090906</v>
      </c>
      <c r="X83" s="73">
        <f t="shared" si="62"/>
        <v>0.977608211727787</v>
      </c>
      <c r="Y83" s="24">
        <f>EXP(-$D$17)*(($B83*FixedParams!$B$30)^$B$10*(1+FixedParams!$C$24)^(1-$B$10)+(1-$B83)^$B$10*((1+FixedParams!$C$27)/$Z$12)^(1-$B$10))^(1/(1-$B$10))</f>
        <v>6.234861891120298</v>
      </c>
      <c r="Z83" s="24">
        <f>EXP($D83-$D$17)*(($B83*FixedParams!$C$31)^$B$10*(1+FixedParams!$C$25)^(1-$B$10)+(1-$B83)^$B$10*((1+FixedParams!$C$28)/$Z$12)^(1-$B$10))^(1/(1-$B$10))</f>
        <v>5.1272189943936786</v>
      </c>
      <c r="AA83" s="24">
        <f>EXP($D83-$D$17)*(($B83*FixedParams!$C$30)^$B$10*(1+FixedParams!$C$23)^(1-$B$10)+(1-$B83)^$B$10*((1+FixedParams!$C$26)/$Z$12)^(1-$B$10))^(1/(1-$B$10))</f>
        <v>5.227455866956598</v>
      </c>
      <c r="AB83">
        <f>IF(FixedParams!$I$6=1,IF(Z83&lt;=MIN(Y83:AA83),1,0),$H83)</f>
        <v>1</v>
      </c>
      <c r="AC83">
        <f>IF(FixedParams!$I$6=1,IF(AA83&lt;=MIN(Y83:AA83),1,0),IF(AA83&lt;=Y83,1,0)*(1-$H83))</f>
        <v>0</v>
      </c>
      <c r="AD83" s="24">
        <f>$Z$13*IF(AB83=1,1,IF(AC83=1,FixedParams!$C$52,FixedParams!$C$53))</f>
        <v>0.43187184563106507</v>
      </c>
      <c r="AE83">
        <f>EXP($C83*FixedParams!$B$47)*EXP(IF(AB83+AC83=1,(1-FixedParams!$B$47)*$D83,0))*($B83^((FixedParams!$B$47-1)*$B$10/($B$10-1)))*((1/$B83-1)^$B$10*(AD83)^($B$10-1)+1)^((FixedParams!$B$47-$B$10)/($B$10-1))/((1+IF(AB83=1,FixedParams!$C$25,IF(AC83=1,FixedParams!$C$23,FixedParams!$C$24)))^FixedParams!$B$47)</f>
        <v>4.238128486740473E-2</v>
      </c>
      <c r="AF83">
        <f t="shared" si="63"/>
        <v>1.2488569943974539</v>
      </c>
      <c r="AG83">
        <f t="shared" si="64"/>
        <v>29.333733023660912</v>
      </c>
      <c r="AH83">
        <f t="shared" si="51"/>
        <v>83.300716336654858</v>
      </c>
      <c r="AI83">
        <f t="shared" si="65"/>
        <v>112.63444936031577</v>
      </c>
      <c r="AJ83" s="24">
        <f t="shared" si="66"/>
        <v>2.8397584538409615</v>
      </c>
      <c r="AK83" s="24">
        <f t="shared" si="67"/>
        <v>1.7124594667214801</v>
      </c>
      <c r="AL83" s="23">
        <f>IF(AB83=1,AG83*(1+FixedParams!$C$25)+AH83*(1+FixedParams!$C$28)/$Z$12,IF(AC83=1,AG83*(1+FixedParams!$C$23)+AH83*(1+FixedParams!$C$26)/$Z$12,AG83*(1+FixedParams!$C$24)+AH83*(1+FixedParams!$C$27)/$Z$12))</f>
        <v>304.08252243184972</v>
      </c>
      <c r="AM83" s="24">
        <f t="shared" si="68"/>
        <v>59.307496474082079</v>
      </c>
      <c r="AN83" s="24">
        <f>AM83^((FixedParams!$B$47-1)/FixedParams!$B$47)*EXP($C83)</f>
        <v>0.43658952575301002</v>
      </c>
      <c r="AO83" s="24">
        <f t="shared" si="69"/>
        <v>-5.3705461818449179E-2</v>
      </c>
      <c r="AP83" s="24">
        <f t="shared" si="70"/>
        <v>-2.2646290714869177E-2</v>
      </c>
      <c r="AQ83" s="14">
        <f t="shared" si="71"/>
        <v>-1.8833453854717968</v>
      </c>
      <c r="AS83" s="24">
        <f>EXP(-$D$17)*(($B83*FixedParams!$B$30)^$B$10*(1+FixedParams!$D$24)^(1-$B$10)+(1-$B83)^$B$10*((1+FixedParams!$D$27)/$AT$12)^(1-$B$10))^(1/(1-$B$10))</f>
        <v>5.8846088736431499</v>
      </c>
      <c r="AT83" s="24">
        <f>EXP($D83-$D$17)*(($B83*FixedParams!$C$31)^$B$10*(1+FixedParams!$D$25)^(1-$B$10)+(1-$B83)^$B$10*((1+FixedParams!$D$28)/$AT$12)^(1-$B$10))^(1/(1-$B$10))</f>
        <v>5.0093415876431768</v>
      </c>
      <c r="AU83" s="24">
        <f>EXP($D83-$D$17)*(($B83*FixedParams!$C$30)^$B$10*(1+FixedParams!$D$23)^(1-$B$10)+(1-$B83)^$B$10*((1+FixedParams!$D$26)/$AT$12)^(1-$B$10))^(1/(1-$B$10))</f>
        <v>5.0686464160166453</v>
      </c>
      <c r="AV83">
        <f>IF(FixedParams!$I$6=1,IF(AT83&lt;=MIN(AS83:AU83),1,0),$H83)</f>
        <v>1</v>
      </c>
      <c r="AW83">
        <f>IF(FixedParams!$I$6=1,IF(AU83&lt;=MIN(AS83:AU83),1,0),IF(AU83&lt;=AS83,1,0)*(1-$H83))</f>
        <v>0</v>
      </c>
      <c r="AX83" s="24">
        <f>$AT$13*IF(AV83=1,1,IF(AW83=1,FixedParams!$D$52,FixedParams!$D$53))</f>
        <v>0.41089128090616783</v>
      </c>
      <c r="AY83">
        <f>EXP($C83*FixedParams!$B$47)*EXP(IF(AV83+AW83=1,(1-FixedParams!$B$47)*$D83,0))*($B83^((FixedParams!$B$47-1)*$B$10/($B$10-1)))*((1/$B83-1)^$B$10*(AX83)^($B$10-1)+1)^((FixedParams!$B$47-$B$10)/($B$10-1))/((1+IF(AV83=1,FixedParams!$D$25,IF(AW83=1,FixedParams!$D$23,FixedParams!$D$24)))^FixedParams!$B$47)</f>
        <v>4.6278377383501053E-2</v>
      </c>
      <c r="AZ83">
        <f t="shared" si="52"/>
        <v>1.2461647504021889</v>
      </c>
      <c r="BA83">
        <f t="shared" si="72"/>
        <v>31.353338454454999</v>
      </c>
      <c r="BB83">
        <f t="shared" si="53"/>
        <v>82.627239039196866</v>
      </c>
      <c r="BC83">
        <f t="shared" si="73"/>
        <v>113.98057749365186</v>
      </c>
      <c r="BD83" s="24">
        <f t="shared" si="74"/>
        <v>2.6353569703342501</v>
      </c>
      <c r="BE83" s="24">
        <f t="shared" si="75"/>
        <v>1.696302112784237</v>
      </c>
      <c r="BF83" s="23">
        <f>IF(AV83=1,BA83*(1+FixedParams!$C$25)+BB83*(1+FixedParams!$C$28)/$AT$12,IF(AW83=1,BA83*(1+FixedParams!$C$23)+BB83*(1+FixedParams!$C$26)/$AT$12,BA83*(1+FixedParams!$C$24)+BB83*(1+FixedParams!$C$27)/$AT$12))</f>
        <v>301.12951631174889</v>
      </c>
      <c r="BG83" s="24">
        <f t="shared" si="76"/>
        <v>60.113591984735457</v>
      </c>
      <c r="BH83" s="24">
        <f>BG83^((FixedParams!$B$47-1)/FixedParams!$B$47)*EXP($C83)</f>
        <v>0.43658362582165722</v>
      </c>
      <c r="BI83" s="7"/>
      <c r="BJ83" s="24">
        <f>EXP(-$D$17)*(($B83*FixedParams!$B$30)^$B$10*(1+FixedParams!$C$24)^(1-$B$10)+(1-$B83)^$B$10*((1+FixedParams!$C$27)/$BK$12)^(1-$B$10))^(1/(1-$B$10))</f>
        <v>6.5145969940399278</v>
      </c>
      <c r="BK83" s="24">
        <f>EXP($D83-$D$17)*(($B83*FixedParams!$C$31)^$B$10*(1+FixedParams!$C$25)^(1-$B$10)+(1-$B83)^$B$10*((1+FixedParams!$C$28)/$BK$12)^(1-$B$10))^(1/(1-$B$10))</f>
        <v>5.3556899857785156</v>
      </c>
      <c r="BL83" s="24">
        <f>EXP($D83-$D$17)*(($B83*FixedParams!$C$30)^$B$10*(1+FixedParams!$C$23)^(1-$B$10)+(1-$B83)^$B$10*((1+FixedParams!$C$26)/$BK$12)^(1-$B$10))^(1/(1-$B$10))</f>
        <v>5.4567821664388889</v>
      </c>
      <c r="BM83">
        <f>IF(FixedParams!$I$6=1,IF(BK83&lt;=MIN(BJ83:BL83),1,0),$H83)</f>
        <v>1</v>
      </c>
      <c r="BN83">
        <f>IF(FixedParams!$I$6=1,IF(BL83&lt;=MIN(BJ83:BL83),1,0),IF(BL83&lt;=BJ83,1,0)*(1-$H83))</f>
        <v>0</v>
      </c>
      <c r="BO83" s="24">
        <f>$BK$13*IF(BM83=1,1,IF(BN83=1,FixedParams!$C$52,FixedParams!$C$53))</f>
        <v>0.41068174962109105</v>
      </c>
      <c r="BP83">
        <f>EXP($C83*FixedParams!$B$47)*EXP(IF(BM83+BN83=1,(1-FixedParams!$B$47)*$D83,0))*($B83^((FixedParams!$B$47-1)*$B$10/($B$10-1)))*((1/$B83-1)^$B$10*(BO83)^($B$10-1)+1)^((FixedParams!$B$47-$B$10)/($B$10-1))/((1+IF(BM83=1,FixedParams!$C$25,IF(BN83=1,FixedParams!$C$23,FixedParams!$C$24)))^FixedParams!$B$47)</f>
        <v>4.3317145890368156E-2</v>
      </c>
      <c r="BQ83">
        <f t="shared" si="77"/>
        <v>1.246136920736953</v>
      </c>
      <c r="BR83">
        <f t="shared" si="78"/>
        <v>31.781673975969632</v>
      </c>
      <c r="BS83">
        <f t="shared" si="54"/>
        <v>83.691997941305445</v>
      </c>
      <c r="BT83">
        <f t="shared" si="79"/>
        <v>115.47367191727508</v>
      </c>
      <c r="BU83" s="24">
        <f t="shared" si="80"/>
        <v>2.633341403117583</v>
      </c>
      <c r="BV83" s="24">
        <f t="shared" si="81"/>
        <v>1.7010002367204577</v>
      </c>
      <c r="BW83" s="23">
        <f>IF(BM83=1,BR83*(1+FixedParams!$C$25)+BS83*(1+FixedParams!$C$28)/$BK$12,IF(BN83=1,BR83*(1+FixedParams!$C$23)+BS83*(1+FixedParams!$C$26)/$BK$12,BR83*(1+FixedParams!$C$24)+BS83*(1+FixedParams!$C$27)/$BK$12))</f>
        <v>322.35477756361831</v>
      </c>
      <c r="BX83" s="24">
        <f t="shared" si="82"/>
        <v>60.189215286844139</v>
      </c>
      <c r="BY83" s="24">
        <f>BX83^((FixedParams!$B$47-1)/FixedParams!$B$47)*EXP($C83)</f>
        <v>0.43658307639261751</v>
      </c>
      <c r="BZ83" s="24">
        <f t="shared" si="83"/>
        <v>-2.8810520108537681E-2</v>
      </c>
      <c r="CA83" s="24">
        <f t="shared" si="84"/>
        <v>-7.88881661100479E-3</v>
      </c>
      <c r="CB83" s="24">
        <f t="shared" si="85"/>
        <v>9.4396393084024612E-3</v>
      </c>
      <c r="CC83" s="24"/>
      <c r="CD83" s="24">
        <f>EXP(-$D$17)*(($B83*FixedParams!$B$30)^$B$10*(1+FixedParams!$D$24)^(1-$B$10)+(1-$B83)^$B$10*((1+FixedParams!$D$27)/$CE$12)^(1-$B$10))^(1/(1-$B$10))</f>
        <v>6.1297111294930051</v>
      </c>
      <c r="CE83" s="24">
        <f>EXP($D83-$D$17)*(($B83*FixedParams!$D$31)^$B$10*(1+FixedParams!$D$25)^(1-$B$10)+(1-$B83)^$B$10*((1+FixedParams!$D$28)/$CE$12)^(1-$B$10))^(1/(1-$B$10))</f>
        <v>5.2170016785301554</v>
      </c>
      <c r="CF83" s="24">
        <f>EXP($D83-$D$17)*(($B83*FixedParams!$D$30)^$B$10*(1+FixedParams!$D$23)^(1-$B$10)+(1-$B83)^$B$10*((1+FixedParams!$D$26)/$CE$12)^(1-$B$10))^(1/(1-$B$10))</f>
        <v>5.2761387542292342</v>
      </c>
      <c r="CG83">
        <f>IF(FixedParams!$I$6=1,IF(CE83&lt;=MIN(CD83:CF83),1,0),$H83)</f>
        <v>1</v>
      </c>
      <c r="CH83">
        <f>IF(FixedParams!$I$6=1,IF(CF83&lt;=MIN(CD83:CF83),1,0),IF(CF83&lt;=CD83,1,0)*(1-$H83))</f>
        <v>0</v>
      </c>
      <c r="CI83" s="24">
        <f>$CE$13*IF(CG83=1,1,IF(CH83=1,FixedParams!$D$52,FixedParams!$D$53))</f>
        <v>0.39201585704839609</v>
      </c>
      <c r="CJ83">
        <f>EXP($C83*FixedParams!$B$47)*EXP(IF(CG83+CH83=1,(1-FixedParams!$B$47)*$D83,0))*($B83^((FixedParams!$B$47-1)*$B$10/($B$10-1)))*((1/$B83-1)^$B$10*(CI83)^($B$10-1)+1)^((FixedParams!$B$47-$B$10)/($B$10-1))/((1+IF(CG83=1,FixedParams!$D$25,IF(CH83=1,FixedParams!$D$23,FixedParams!$D$24)))^FixedParams!$B$47)</f>
        <v>4.7229780606820343E-2</v>
      </c>
      <c r="CK83">
        <f t="shared" si="86"/>
        <v>1.2435771351312821</v>
      </c>
      <c r="CL83">
        <f t="shared" ref="CL83:CL146" si="88">CK83*$CE$9/$CK$15</f>
        <v>33.974877745284786</v>
      </c>
      <c r="CM83">
        <f t="shared" si="55"/>
        <v>83.437717788151247</v>
      </c>
      <c r="CN83">
        <f t="shared" ref="CN83:CN146" si="89">CL83+CM83</f>
        <v>117.41259553343603</v>
      </c>
      <c r="CO83" s="24">
        <f t="shared" ref="CO83:CO146" si="90">CM83/CL83</f>
        <v>2.4558651369902624</v>
      </c>
      <c r="CP83" s="24">
        <f t="shared" ref="CP83:CP146" si="91">IF(CG83=1,CE83,IF(CH83=1,CF83,CD83))*$CE$12</f>
        <v>1.6854669506547677</v>
      </c>
      <c r="CQ83" s="23">
        <f>IF(CG83=1,CL83*(1+FixedParams!$D$25)+CM83*(1+FixedParams!$D$28)/$CE$12,IF(CH83=1,CL83*(1+FixedParams!$D$23)+CM83*(1+FixedParams!$D$26)/$CE$12,CL83*(1+FixedParams!$D$24)+CM83*(1+FixedParams!$D$27)/$CE$12))</f>
        <v>316.04415062011719</v>
      </c>
      <c r="CR83" s="24">
        <f t="shared" ref="CR83:CR146" si="92">CQ83*$CE$12/CP83</f>
        <v>60.579652853238088</v>
      </c>
      <c r="CS83" s="24">
        <f>CR83^((FixedParams!$B$47-1)/FixedParams!$B$47)*EXP($C83)</f>
        <v>0.43658025067920569</v>
      </c>
      <c r="CT83" s="24"/>
    </row>
    <row r="84" spans="1:98" x14ac:dyDescent="0.15">
      <c r="A84">
        <v>0.33500000000000002</v>
      </c>
      <c r="B84">
        <f t="shared" si="56"/>
        <v>0.17888422570187867</v>
      </c>
      <c r="C84">
        <f>(D84-$D$17)*FixedParams!$B$47+$A84*$B$9</f>
        <v>-0.83717007890989348</v>
      </c>
      <c r="D84">
        <f>(A84-$B$6)*FixedParams!$B$46/(FixedParams!$B$45*Sectors!$B$6)</f>
        <v>-8.9652985932313328E-2</v>
      </c>
      <c r="E84">
        <f t="shared" si="57"/>
        <v>0.43293396044276988</v>
      </c>
      <c r="F84" s="24">
        <f>EXP(-$D$17)*(($B84*FixedParams!$B$30)^$B$10*(1+FixedParams!$B$23)^(1-$B$10)+(1-$B84)^$B$10*((1+FixedParams!$B$26)/$B$11)^(1-$B$10))^(1/(1-$B$10))</f>
        <v>4.8275238369352227</v>
      </c>
      <c r="G84" s="24">
        <f>EXP($D84-$D$17)*(($B84*FixedParams!$B$31)^$B$10*(1+FixedParams!$B$25)^(1-$B$10)+(1-$B84)^$B$10*((1+FixedParams!$B$28)/$B$11)^(1-$B$10))^(1/(1-$B$10))</f>
        <v>4.2612655532834767</v>
      </c>
      <c r="H84">
        <f t="shared" si="58"/>
        <v>1</v>
      </c>
      <c r="I84" s="24">
        <f>$B$12*IF(H84=1,1,FixedParams!$B$52)</f>
        <v>0.3745928365283252</v>
      </c>
      <c r="J84">
        <f>EXP($C84*FixedParams!$B$47)*EXP(IF(H84=1,(1-FixedParams!$B$47)*$D84,0))*($B84^((FixedParams!$B$47-1)*$B$10/($B$10-1)))*((1/$B84-1)^$B$10*(I84)^($B$10-1)+1)^((FixedParams!$B$47-$B$10)/($B$10-1))/((1+IF(H84=1,FixedParams!$B$25,FixedParams!$B$24))^FixedParams!$B$47)</f>
        <v>6.1696100428372411E-2</v>
      </c>
      <c r="K84">
        <f t="shared" si="87"/>
        <v>1.2439527096613059</v>
      </c>
      <c r="L84">
        <f>K84*FixedParams!$B$8/K$15</f>
        <v>36.165598106002101</v>
      </c>
      <c r="M84">
        <f t="shared" si="47"/>
        <v>81.542379141843398</v>
      </c>
      <c r="N84">
        <f t="shared" si="59"/>
        <v>117.70797724784549</v>
      </c>
      <c r="O84" s="24">
        <f t="shared" si="60"/>
        <v>2.2546946106861285</v>
      </c>
      <c r="P84" s="24">
        <f t="shared" si="48"/>
        <v>1.6662190009892621</v>
      </c>
      <c r="Q84" s="23">
        <f>IF(H84=1,L84*(1+FixedParams!$B$25)+M84*FixedParams!$B$33*(1+FixedParams!$B$28)/FixedParams!$B$32,L84*(1+FixedParams!$B$23)+M84*FixedParams!$B$33*(1+FixedParams!$B$26)/FixedParams!$B$32)</f>
        <v>254.29318481105403</v>
      </c>
      <c r="R84" s="24">
        <f t="shared" si="49"/>
        <v>59.675507576642552</v>
      </c>
      <c r="S84" s="24">
        <f>R84^((FixedParams!$B$47-1)/FixedParams!$B$47)*EXP($C84)</f>
        <v>0.43116557686053575</v>
      </c>
      <c r="T84" s="7">
        <f>(L84*FixedParams!$B$32*(FixedParams!$C$25-FixedParams!$C$23)+FixedParams!$B$33*(FixedParams!$C$28-FixedParams!$C$26)*M84)/N84</f>
        <v>-972.14829090838111</v>
      </c>
      <c r="U84" s="7">
        <f>(L84*FixedParams!$B$32*(FixedParams!$C$25-FixedParams!$C$23)*$Z$12/$B$11+FixedParams!$B$33*(FixedParams!$C$28-FixedParams!$C$26)*M84)/N84</f>
        <v>-1280.7282362085393</v>
      </c>
      <c r="V84" s="14">
        <f t="shared" si="50"/>
        <v>-1.7949301482938291</v>
      </c>
      <c r="W84" s="14">
        <f t="shared" si="61"/>
        <v>0.56464727380398116</v>
      </c>
      <c r="X84" s="73">
        <f t="shared" si="62"/>
        <v>0.97732421369723643</v>
      </c>
      <c r="Y84" s="24">
        <f>EXP(-$D$17)*(($B84*FixedParams!$B$30)^$B$10*(1+FixedParams!$C$24)^(1-$B$10)+(1-$B84)^$B$10*((1+FixedParams!$C$27)/$Z$12)^(1-$B$10))^(1/(1-$B$10))</f>
        <v>6.2458213976371972</v>
      </c>
      <c r="Z84" s="24">
        <f>EXP($D84-$D$17)*(($B84*FixedParams!$C$31)^$B$10*(1+FixedParams!$C$25)^(1-$B$10)+(1-$B84)^$B$10*((1+FixedParams!$C$28)/$Z$12)^(1-$B$10))^(1/(1-$B$10))</f>
        <v>5.1491722300576255</v>
      </c>
      <c r="AA84" s="24">
        <f>EXP($D84-$D$17)*(($B84*FixedParams!$C$30)^$B$10*(1+FixedParams!$C$23)^(1-$B$10)+(1-$B84)^$B$10*((1+FixedParams!$C$26)/$Z$12)^(1-$B$10))^(1/(1-$B$10))</f>
        <v>5.2474610341269798</v>
      </c>
      <c r="AB84">
        <f>IF(FixedParams!$I$6=1,IF(Z84&lt;=MIN(Y84:AA84),1,0),$H84)</f>
        <v>1</v>
      </c>
      <c r="AC84">
        <f>IF(FixedParams!$I$6=1,IF(AA84&lt;=MIN(Y84:AA84),1,0),IF(AA84&lt;=Y84,1,0)*(1-$H84))</f>
        <v>0</v>
      </c>
      <c r="AD84" s="24">
        <f>$Z$13*IF(AB84=1,1,IF(AC84=1,FixedParams!$C$52,FixedParams!$C$53))</f>
        <v>0.43187184563106507</v>
      </c>
      <c r="AE84">
        <f>EXP($C84*FixedParams!$B$47)*EXP(IF(AB84+AC84=1,(1-FixedParams!$B$47)*$D84,0))*($B84^((FixedParams!$B$47-1)*$B$10/($B$10-1)))*((1/$B84-1)^$B$10*(AD84)^($B$10-1)+1)^((FixedParams!$B$47-$B$10)/($B$10-1))/((1+IF(AB84=1,FixedParams!$C$25,IF(AC84=1,FixedParams!$C$23,FixedParams!$C$24)))^FixedParams!$B$47)</f>
        <v>4.2487172899003896E-2</v>
      </c>
      <c r="AF84">
        <f t="shared" si="63"/>
        <v>1.2519772161958096</v>
      </c>
      <c r="AG84">
        <f t="shared" si="64"/>
        <v>29.4070222422169</v>
      </c>
      <c r="AH84">
        <f t="shared" si="51"/>
        <v>82.078973019266584</v>
      </c>
      <c r="AI84">
        <f t="shared" si="65"/>
        <v>111.48599526148348</v>
      </c>
      <c r="AJ84" s="24">
        <f t="shared" si="66"/>
        <v>2.7911351357919369</v>
      </c>
      <c r="AK84" s="24">
        <f t="shared" si="67"/>
        <v>1.7197917117999526</v>
      </c>
      <c r="AL84" s="23">
        <f>IF(AB84=1,AG84*(1+FixedParams!$C$25)+AH84*(1+FixedParams!$C$28)/$Z$12,IF(AC84=1,AG84*(1+FixedParams!$C$23)+AH84*(1+FixedParams!$C$26)/$Z$12,AG84*(1+FixedParams!$C$24)+AH84*(1+FixedParams!$C$27)/$Z$12))</f>
        <v>300.31166291228726</v>
      </c>
      <c r="AM84" s="24">
        <f t="shared" si="68"/>
        <v>58.322318519325655</v>
      </c>
      <c r="AN84" s="24">
        <f>AM84^((FixedParams!$B$47-1)/FixedParams!$B$47)*EXP($C84)</f>
        <v>0.43117547644770682</v>
      </c>
      <c r="AO84" s="24">
        <f t="shared" si="69"/>
        <v>-5.4307808101543856E-2</v>
      </c>
      <c r="AP84" s="24">
        <f t="shared" si="70"/>
        <v>-2.2936835829221829E-2</v>
      </c>
      <c r="AQ84" s="14">
        <f t="shared" si="71"/>
        <v>-1.8660747601757142</v>
      </c>
      <c r="AS84" s="24">
        <f>EXP(-$D$17)*(($B84*FixedParams!$B$30)^$B$10*(1+FixedParams!$D$24)^(1-$B$10)+(1-$B84)^$B$10*((1+FixedParams!$D$27)/$AT$12)^(1-$B$10))^(1/(1-$B$10))</f>
        <v>5.8939977066602411</v>
      </c>
      <c r="AT84" s="24">
        <f>EXP($D84-$D$17)*(($B84*FixedParams!$C$31)^$B$10*(1+FixedParams!$D$25)^(1-$B$10)+(1-$B84)^$B$10*((1+FixedParams!$D$28)/$AT$12)^(1-$B$10))^(1/(1-$B$10))</f>
        <v>5.0302866248248339</v>
      </c>
      <c r="AU84" s="24">
        <f>EXP($D84-$D$17)*(($B84*FixedParams!$C$30)^$B$10*(1+FixedParams!$D$23)^(1-$B$10)+(1-$B84)^$B$10*((1+FixedParams!$D$26)/$AT$12)^(1-$B$10))^(1/(1-$B$10))</f>
        <v>5.0879835251870951</v>
      </c>
      <c r="AV84">
        <f>IF(FixedParams!$I$6=1,IF(AT84&lt;=MIN(AS84:AU84),1,0),$H84)</f>
        <v>1</v>
      </c>
      <c r="AW84">
        <f>IF(FixedParams!$I$6=1,IF(AU84&lt;=MIN(AS84:AU84),1,0),IF(AU84&lt;=AS84,1,0)*(1-$H84))</f>
        <v>0</v>
      </c>
      <c r="AX84" s="24">
        <f>$AT$13*IF(AV84=1,1,IF(AW84=1,FixedParams!$D$52,FixedParams!$D$53))</f>
        <v>0.41089128090616783</v>
      </c>
      <c r="AY84">
        <f>EXP($C84*FixedParams!$B$47)*EXP(IF(AV84+AW84=1,(1-FixedParams!$B$47)*$D84,0))*($B84^((FixedParams!$B$47-1)*$B$10/($B$10-1)))*((1/$B84-1)^$B$10*(AX84)^($B$10-1)+1)^((FixedParams!$B$47-$B$10)/($B$10-1))/((1+IF(AV84=1,FixedParams!$D$25,IF(AW84=1,FixedParams!$D$23,FixedParams!$D$24)))^FixedParams!$B$47)</f>
        <v>4.6391675892031678E-2</v>
      </c>
      <c r="AZ84">
        <f t="shared" si="52"/>
        <v>1.2492156051552412</v>
      </c>
      <c r="BA84">
        <f t="shared" si="72"/>
        <v>31.430097552011695</v>
      </c>
      <c r="BB84">
        <f t="shared" si="53"/>
        <v>81.411291102793697</v>
      </c>
      <c r="BC84">
        <f t="shared" si="73"/>
        <v>112.8413886548054</v>
      </c>
      <c r="BD84" s="24">
        <f t="shared" si="74"/>
        <v>2.5902334845786354</v>
      </c>
      <c r="BE84" s="24">
        <f t="shared" si="75"/>
        <v>1.7033946837742513</v>
      </c>
      <c r="BF84" s="23">
        <f>IF(AV84=1,BA84*(1+FixedParams!$C$25)+BB84*(1+FixedParams!$C$28)/$AT$12,IF(AW84=1,BA84*(1+FixedParams!$C$23)+BB84*(1+FixedParams!$C$26)/$AT$12,BA84*(1+FixedParams!$C$24)+BB84*(1+FixedParams!$C$27)/$AT$12))</f>
        <v>297.43449119990737</v>
      </c>
      <c r="BG84" s="24">
        <f t="shared" si="76"/>
        <v>59.128736269628519</v>
      </c>
      <c r="BH84" s="24">
        <f>BG84^((FixedParams!$B$47-1)/FixedParams!$B$47)*EXP($C84)</f>
        <v>0.43116954957559445</v>
      </c>
      <c r="BI84" s="7"/>
      <c r="BJ84" s="24">
        <f>EXP(-$D$17)*(($B84*FixedParams!$B$30)^$B$10*(1+FixedParams!$C$24)^(1-$B$10)+(1-$B84)^$B$10*((1+FixedParams!$C$27)/$BK$12)^(1-$B$10))^(1/(1-$B$10))</f>
        <v>6.5254128053321052</v>
      </c>
      <c r="BK84" s="24">
        <f>EXP($D84-$D$17)*(($B84*FixedParams!$C$31)^$B$10*(1+FixedParams!$C$25)^(1-$B$10)+(1-$B84)^$B$10*((1+FixedParams!$C$28)/$BK$12)^(1-$B$10))^(1/(1-$B$10))</f>
        <v>5.378077609454941</v>
      </c>
      <c r="BL84" s="24">
        <f>EXP($D84-$D$17)*(($B84*FixedParams!$C$30)^$B$10*(1+FixedParams!$C$23)^(1-$B$10)+(1-$B84)^$B$10*((1+FixedParams!$C$26)/$BK$12)^(1-$B$10))^(1/(1-$B$10))</f>
        <v>5.4770658772926577</v>
      </c>
      <c r="BM84">
        <f>IF(FixedParams!$I$6=1,IF(BK84&lt;=MIN(BJ84:BL84),1,0),$H84)</f>
        <v>1</v>
      </c>
      <c r="BN84">
        <f>IF(FixedParams!$I$6=1,IF(BL84&lt;=MIN(BJ84:BL84),1,0),IF(BL84&lt;=BJ84,1,0)*(1-$H84))</f>
        <v>0</v>
      </c>
      <c r="BO84" s="24">
        <f>$BK$13*IF(BM84=1,1,IF(BN84=1,FixedParams!$C$52,FixedParams!$C$53))</f>
        <v>0.41068174962109105</v>
      </c>
      <c r="BP84">
        <f>EXP($C84*FixedParams!$B$47)*EXP(IF(BM84+BN84=1,(1-FixedParams!$B$47)*$D84,0))*($B84^((FixedParams!$B$47-1)*$B$10/($B$10-1)))*((1/$B84-1)^$B$10*(BO84)^($B$10-1)+1)^((FixedParams!$B$47-$B$10)/($B$10-1))/((1+IF(BM84=1,FixedParams!$C$25,IF(BN84=1,FixedParams!$C$23,FixedParams!$C$24)))^FixedParams!$B$47)</f>
        <v>4.3423172218970719E-2</v>
      </c>
      <c r="BQ84">
        <f t="shared" si="77"/>
        <v>1.2491870598891548</v>
      </c>
      <c r="BR84">
        <f t="shared" si="78"/>
        <v>31.859465209423568</v>
      </c>
      <c r="BS84">
        <f t="shared" si="54"/>
        <v>82.460338202029263</v>
      </c>
      <c r="BT84">
        <f t="shared" si="79"/>
        <v>114.31980341145282</v>
      </c>
      <c r="BU84" s="24">
        <f t="shared" si="80"/>
        <v>2.588252428595025</v>
      </c>
      <c r="BV84" s="24">
        <f t="shared" si="81"/>
        <v>1.70811068435173</v>
      </c>
      <c r="BW84" s="23">
        <f>IF(BM84=1,BR84*(1+FixedParams!$C$25)+BS84*(1+FixedParams!$C$28)/$BK$12,IF(BN84=1,BR84*(1+FixedParams!$C$23)+BS84*(1+FixedParams!$C$26)/$BK$12,BR84*(1+FixedParams!$C$24)+BS84*(1+FixedParams!$C$27)/$BK$12))</f>
        <v>318.35729569252209</v>
      </c>
      <c r="BX84" s="24">
        <f t="shared" si="82"/>
        <v>59.195370318351927</v>
      </c>
      <c r="BY84" s="24">
        <f>BX84^((FixedParams!$B$47-1)/FixedParams!$B$47)*EXP($C84)</f>
        <v>0.43116906346469508</v>
      </c>
      <c r="BZ84" s="24">
        <f t="shared" si="83"/>
        <v>-2.9206974090737033E-2</v>
      </c>
      <c r="CA84" s="24">
        <f t="shared" si="84"/>
        <v>-8.0783431219121089E-3</v>
      </c>
      <c r="CB84" s="24">
        <f t="shared" si="85"/>
        <v>9.2501127974951424E-3</v>
      </c>
      <c r="CC84" s="24"/>
      <c r="CD84" s="24">
        <f>EXP(-$D$17)*(($B84*FixedParams!$B$30)^$B$10*(1+FixedParams!$D$24)^(1-$B$10)+(1-$B84)^$B$10*((1+FixedParams!$D$27)/$CE$12)^(1-$B$10))^(1/(1-$B$10))</f>
        <v>6.1389151926466043</v>
      </c>
      <c r="CE84" s="24">
        <f>EXP($D84-$D$17)*(($B84*FixedParams!$D$31)^$B$10*(1+FixedParams!$D$25)^(1-$B$10)+(1-$B84)^$B$10*((1+FixedParams!$D$28)/$CE$12)^(1-$B$10))^(1/(1-$B$10))</f>
        <v>5.2383110792834673</v>
      </c>
      <c r="CF84" s="24">
        <f>EXP($D84-$D$17)*(($B84*FixedParams!$D$30)^$B$10*(1+FixedParams!$D$23)^(1-$B$10)+(1-$B84)^$B$10*((1+FixedParams!$D$26)/$CE$12)^(1-$B$10))^(1/(1-$B$10))</f>
        <v>5.2957252922457068</v>
      </c>
      <c r="CG84">
        <f>IF(FixedParams!$I$6=1,IF(CE84&lt;=MIN(CD84:CF84),1,0),$H84)</f>
        <v>1</v>
      </c>
      <c r="CH84">
        <f>IF(FixedParams!$I$6=1,IF(CF84&lt;=MIN(CD84:CF84),1,0),IF(CF84&lt;=CD84,1,0)*(1-$H84))</f>
        <v>0</v>
      </c>
      <c r="CI84" s="24">
        <f>$CE$13*IF(CG84=1,1,IF(CH84=1,FixedParams!$D$52,FixedParams!$D$53))</f>
        <v>0.39201585704839609</v>
      </c>
      <c r="CJ84">
        <f>EXP($C84*FixedParams!$B$47)*EXP(IF(CG84+CH84=1,(1-FixedParams!$B$47)*$D84,0))*($B84^((FixedParams!$B$47-1)*$B$10/($B$10-1)))*((1/$B84-1)^$B$10*(CI84)^($B$10-1)+1)^((FixedParams!$B$47-$B$10)/($B$10-1))/((1+IF(CG84=1,FixedParams!$D$25,IF(CH84=1,FixedParams!$D$23,FixedParams!$D$24)))^FixedParams!$B$47)</f>
        <v>4.7343126730205742E-2</v>
      </c>
      <c r="CK84">
        <f t="shared" si="86"/>
        <v>1.2465615793863014</v>
      </c>
      <c r="CL84">
        <f t="shared" si="88"/>
        <v>34.056413603284618</v>
      </c>
      <c r="CM84">
        <f t="shared" si="55"/>
        <v>82.205881046735172</v>
      </c>
      <c r="CN84">
        <f t="shared" si="89"/>
        <v>116.26229465001978</v>
      </c>
      <c r="CO84" s="24">
        <f t="shared" si="90"/>
        <v>2.4138149719560227</v>
      </c>
      <c r="CP84" s="24">
        <f t="shared" si="91"/>
        <v>1.6923514204941725</v>
      </c>
      <c r="CQ84" s="23">
        <f>IF(CG84=1,CL84*(1+FixedParams!$D$25)+CM84*(1+FixedParams!$D$28)/$CE$12,IF(CH84=1,CL84*(1+FixedParams!$D$23)+CM84*(1+FixedParams!$D$26)/$CE$12,CL84*(1+FixedParams!$D$24)+CM84*(1+FixedParams!$D$27)/$CE$12))</f>
        <v>312.1248963552822</v>
      </c>
      <c r="CR84" s="24">
        <f t="shared" si="92"/>
        <v>59.585024950060209</v>
      </c>
      <c r="CS84" s="24">
        <f>CR84^((FixedParams!$B$47-1)/FixedParams!$B$47)*EXP($C84)</f>
        <v>0.43116623176425373</v>
      </c>
      <c r="CT84" s="24"/>
    </row>
    <row r="85" spans="1:98" x14ac:dyDescent="0.15">
      <c r="A85">
        <v>0.34</v>
      </c>
      <c r="B85">
        <f t="shared" si="56"/>
        <v>0.1805816761202598</v>
      </c>
      <c r="C85">
        <f>(D85-$D$17)*FixedParams!$B$47+$A85*$B$9</f>
        <v>-0.84966515471451876</v>
      </c>
      <c r="D85">
        <f>(A85-$B$6)*FixedParams!$B$46/(FixedParams!$B$45*Sectors!$B$6)</f>
        <v>-8.693622878284929E-2</v>
      </c>
      <c r="E85">
        <f t="shared" si="57"/>
        <v>0.42755807378748151</v>
      </c>
      <c r="F85" s="24">
        <f>EXP(-$D$17)*(($B85*FixedParams!$B$30)^$B$10*(1+FixedParams!$B$23)^(1-$B$10)+(1-$B85)^$B$10*((1+FixedParams!$B$26)/$B$11)^(1-$B$10))^(1/(1-$B$10))</f>
        <v>4.8340014157111151</v>
      </c>
      <c r="G85" s="24">
        <f>EXP($D85-$D$17)*(($B85*FixedParams!$B$31)^$B$10*(1+FixedParams!$B$25)^(1-$B$10)+(1-$B85)^$B$10*((1+FixedParams!$B$28)/$B$11)^(1-$B$10))^(1/(1-$B$10))</f>
        <v>4.2782046889180982</v>
      </c>
      <c r="H85">
        <f t="shared" si="58"/>
        <v>1</v>
      </c>
      <c r="I85" s="24">
        <f>$B$12*IF(H85=1,1,FixedParams!$B$52)</f>
        <v>0.3745928365283252</v>
      </c>
      <c r="J85">
        <f>EXP($C85*FixedParams!$B$47)*EXP(IF(H85=1,(1-FixedParams!$B$47)*$D85,0))*($B85^((FixedParams!$B$47-1)*$B$10/($B$10-1)))*((1/$B85-1)^$B$10*(I85)^($B$10-1)+1)^((FixedParams!$B$47-$B$10)/($B$10-1))/((1+IF(H85=1,FixedParams!$B$25,FixedParams!$B$24))^FixedParams!$B$47)</f>
        <v>6.1838979915522452E-2</v>
      </c>
      <c r="K85">
        <f t="shared" si="87"/>
        <v>1.2468335290965904</v>
      </c>
      <c r="L85">
        <f>K85*FixedParams!$B$8/K$15</f>
        <v>36.249352542246569</v>
      </c>
      <c r="M85">
        <f t="shared" si="47"/>
        <v>80.331789845092374</v>
      </c>
      <c r="N85">
        <f t="shared" si="59"/>
        <v>116.58114238733894</v>
      </c>
      <c r="O85" s="24">
        <f t="shared" si="60"/>
        <v>2.2160889563881234</v>
      </c>
      <c r="P85" s="24">
        <f t="shared" si="48"/>
        <v>1.6728424581058909</v>
      </c>
      <c r="Q85" s="23">
        <f>IF(H85=1,L85*(1+FixedParams!$B$25)+M85*FixedParams!$B$33*(1+FixedParams!$B$28)/FixedParams!$B$32,L85*(1+FixedParams!$B$23)+M85*FixedParams!$B$33*(1+FixedParams!$B$26)/FixedParams!$B$32)</f>
        <v>251.13967508584298</v>
      </c>
      <c r="R85" s="24">
        <f t="shared" si="49"/>
        <v>58.702117674821416</v>
      </c>
      <c r="S85" s="24">
        <f>R85^((FixedParams!$B$47-1)/FixedParams!$B$47)*EXP($C85)</f>
        <v>0.42581865873209185</v>
      </c>
      <c r="T85" s="7">
        <f>(L85*FixedParams!$B$32*(FixedParams!$C$25-FixedParams!$C$23)+FixedParams!$B$33*(FixedParams!$C$28-FixedParams!$C$26)*M85)/N85</f>
        <v>-930.30606822392429</v>
      </c>
      <c r="U85" s="7">
        <f>(L85*FixedParams!$B$32*(FixedParams!$C$25-FixedParams!$C$23)*$Z$12/$B$11+FixedParams!$B$33*(FixedParams!$C$28-FixedParams!$C$26)*M85)/N85</f>
        <v>-1242.5901805583594</v>
      </c>
      <c r="V85" s="14">
        <f t="shared" si="50"/>
        <v>-1.777659522997745</v>
      </c>
      <c r="W85" s="14">
        <f t="shared" si="61"/>
        <v>0.57036533073522577</v>
      </c>
      <c r="X85" s="73">
        <f t="shared" si="62"/>
        <v>0.97703672870147618</v>
      </c>
      <c r="Y85" s="24">
        <f>EXP(-$D$17)*(($B85*FixedParams!$B$30)^$B$10*(1+FixedParams!$C$24)^(1-$B$10)+(1-$B85)^$B$10*((1+FixedParams!$C$27)/$Z$12)^(1-$B$10))^(1/(1-$B$10))</f>
        <v>6.2567486217699839</v>
      </c>
      <c r="Z85" s="24">
        <f>EXP($D85-$D$17)*(($B85*FixedParams!$C$31)^$B$10*(1+FixedParams!$C$25)^(1-$B$10)+(1-$B85)^$B$10*((1+FixedParams!$C$28)/$Z$12)^(1-$B$10))^(1/(1-$B$10))</f>
        <v>5.1711635678635641</v>
      </c>
      <c r="AA85" s="24">
        <f>EXP($D85-$D$17)*(($B85*FixedParams!$C$30)^$B$10*(1+FixedParams!$C$23)^(1-$B$10)+(1-$B85)^$B$10*((1+FixedParams!$C$26)/$Z$12)^(1-$B$10))^(1/(1-$B$10))</f>
        <v>5.2674560215220527</v>
      </c>
      <c r="AB85">
        <f>IF(FixedParams!$I$6=1,IF(Z85&lt;=MIN(Y85:AA85),1,0),$H85)</f>
        <v>1</v>
      </c>
      <c r="AC85">
        <f>IF(FixedParams!$I$6=1,IF(AA85&lt;=MIN(Y85:AA85),1,0),IF(AA85&lt;=Y85,1,0)*(1-$H85))</f>
        <v>0</v>
      </c>
      <c r="AD85" s="24">
        <f>$Z$13*IF(AB85=1,1,IF(AC85=1,FixedParams!$C$52,FixedParams!$C$53))</f>
        <v>0.43187184563106507</v>
      </c>
      <c r="AE85">
        <f>EXP($C85*FixedParams!$B$47)*EXP(IF(AB85+AC85=1,(1-FixedParams!$B$47)*$D85,0))*($B85^((FixedParams!$B$47-1)*$B$10/($B$10-1)))*((1/$B85-1)^$B$10*(AD85)^($B$10-1)+1)^((FixedParams!$B$47-$B$10)/($B$10-1))/((1+IF(AB85=1,FixedParams!$C$25,IF(AC85=1,FixedParams!$C$23,FixedParams!$C$24)))^FixedParams!$B$47)</f>
        <v>4.2591850792519224E-2</v>
      </c>
      <c r="AF85">
        <f t="shared" si="63"/>
        <v>1.2550617786361511</v>
      </c>
      <c r="AG85">
        <f t="shared" si="64"/>
        <v>29.479473877212502</v>
      </c>
      <c r="AH85">
        <f t="shared" si="51"/>
        <v>80.872348481374843</v>
      </c>
      <c r="AI85">
        <f t="shared" si="65"/>
        <v>110.35182235858734</v>
      </c>
      <c r="AJ85" s="24">
        <f t="shared" si="66"/>
        <v>2.7433443628683207</v>
      </c>
      <c r="AK85" s="24">
        <f t="shared" si="67"/>
        <v>1.7271366827584445</v>
      </c>
      <c r="AL85" s="23">
        <f>IF(AB85=1,AG85*(1+FixedParams!$C$25)+AH85*(1+FixedParams!$C$28)/$Z$12,IF(AC85=1,AG85*(1+FixedParams!$C$23)+AH85*(1+FixedParams!$C$26)/$Z$12,AG85*(1+FixedParams!$C$24)+AH85*(1+FixedParams!$C$27)/$Z$12))</f>
        <v>296.5875617745458</v>
      </c>
      <c r="AM85" s="24">
        <f t="shared" si="68"/>
        <v>57.354125020856621</v>
      </c>
      <c r="AN85" s="24">
        <f>AM85^((FixedParams!$B$47-1)/FixedParams!$B$47)*EXP($C85)</f>
        <v>0.42582856095720145</v>
      </c>
      <c r="AO85" s="24">
        <f t="shared" si="69"/>
        <v>-5.4913884823280308E-2</v>
      </c>
      <c r="AP85" s="24">
        <f t="shared" si="70"/>
        <v>-2.3231034297475049E-2</v>
      </c>
      <c r="AQ85" s="14">
        <f t="shared" si="71"/>
        <v>-1.8488041348796296</v>
      </c>
      <c r="AS85" s="24">
        <f>EXP(-$D$17)*(($B85*FixedParams!$B$30)^$B$10*(1+FixedParams!$D$24)^(1-$B$10)+(1-$B85)^$B$10*((1+FixedParams!$D$27)/$AT$12)^(1-$B$10))^(1/(1-$B$10))</f>
        <v>5.9033405995752322</v>
      </c>
      <c r="AT85" s="24">
        <f>EXP($D85-$D$17)*(($B85*FixedParams!$C$31)^$B$10*(1+FixedParams!$D$25)^(1-$B$10)+(1-$B85)^$B$10*((1+FixedParams!$D$28)/$AT$12)^(1-$B$10))^(1/(1-$B$10))</f>
        <v>5.0512582321040815</v>
      </c>
      <c r="AU85" s="24">
        <f>EXP($D85-$D$17)*(($B85*FixedParams!$C$30)^$B$10*(1+FixedParams!$D$23)^(1-$B$10)+(1-$B85)^$B$10*((1+FixedParams!$D$26)/$AT$12)^(1-$B$10))^(1/(1-$B$10))</f>
        <v>5.1073095631846686</v>
      </c>
      <c r="AV85">
        <f>IF(FixedParams!$I$6=1,IF(AT85&lt;=MIN(AS85:AU85),1,0),$H85)</f>
        <v>1</v>
      </c>
      <c r="AW85">
        <f>IF(FixedParams!$I$6=1,IF(AU85&lt;=MIN(AS85:AU85),1,0),IF(AU85&lt;=AS85,1,0)*(1-$H85))</f>
        <v>0</v>
      </c>
      <c r="AX85" s="24">
        <f>$AT$13*IF(AV85=1,1,IF(AW85=1,FixedParams!$D$52,FixedParams!$D$53))</f>
        <v>0.41089128090616783</v>
      </c>
      <c r="AY85">
        <f>EXP($C85*FixedParams!$B$47)*EXP(IF(AV85+AW85=1,(1-FixedParams!$B$47)*$D85,0))*($B85^((FixedParams!$B$47-1)*$B$10/($B$10-1)))*((1/$B85-1)^$B$10*(AX85)^($B$10-1)+1)^((FixedParams!$B$47-$B$10)/($B$10-1))/((1+IF(AV85=1,FixedParams!$D$25,IF(AW85=1,FixedParams!$D$23,FixedParams!$D$24)))^FixedParams!$B$47)</f>
        <v>4.6503612093551638E-2</v>
      </c>
      <c r="AZ85">
        <f t="shared" si="52"/>
        <v>1.2522297762760684</v>
      </c>
      <c r="BA85">
        <f t="shared" si="72"/>
        <v>31.505933694287773</v>
      </c>
      <c r="BB85">
        <f t="shared" si="53"/>
        <v>80.210408975673587</v>
      </c>
      <c r="BC85">
        <f t="shared" si="73"/>
        <v>111.71634266996136</v>
      </c>
      <c r="BD85" s="24">
        <f t="shared" si="74"/>
        <v>2.5458826186197507</v>
      </c>
      <c r="BE85" s="24">
        <f t="shared" si="75"/>
        <v>1.7104962521368523</v>
      </c>
      <c r="BF85" s="23">
        <f>IF(AV85=1,BA85*(1+FixedParams!$C$25)+BB85*(1+FixedParams!$C$28)/$AT$12,IF(AW85=1,BA85*(1+FixedParams!$C$23)+BB85*(1+FixedParams!$C$26)/$AT$12,BA85*(1+FixedParams!$C$24)+BB85*(1+FixedParams!$C$27)/$AT$12))</f>
        <v>293.78528655751273</v>
      </c>
      <c r="BG85" s="24">
        <f t="shared" si="76"/>
        <v>58.160813218835898</v>
      </c>
      <c r="BH85" s="24">
        <f>BG85^((FixedParams!$B$47-1)/FixedParams!$B$47)*EXP($C85)</f>
        <v>0.42582260747758105</v>
      </c>
      <c r="BI85" s="7"/>
      <c r="BJ85" s="24">
        <f>EXP(-$D$17)*(($B85*FixedParams!$B$30)^$B$10*(1+FixedParams!$C$24)^(1-$B$10)+(1-$B85)^$B$10*((1+FixedParams!$C$27)/$BK$12)^(1-$B$10))^(1/(1-$B$10))</f>
        <v>6.536184529250642</v>
      </c>
      <c r="BK85" s="24">
        <f>EXP($D85-$D$17)*(($B85*FixedParams!$C$31)^$B$10*(1+FixedParams!$C$25)^(1-$B$10)+(1-$B85)^$B$10*((1+FixedParams!$C$28)/$BK$12)^(1-$B$10))^(1/(1-$B$10))</f>
        <v>5.4004935234038562</v>
      </c>
      <c r="BL85" s="24">
        <f>EXP($D85-$D$17)*(($B85*FixedParams!$C$30)^$B$10*(1+FixedParams!$C$23)^(1-$B$10)+(1-$B85)^$B$10*((1+FixedParams!$C$26)/$BK$12)^(1-$B$10))^(1/(1-$B$10))</f>
        <v>5.4973271236508658</v>
      </c>
      <c r="BM85">
        <f>IF(FixedParams!$I$6=1,IF(BK85&lt;=MIN(BJ85:BL85),1,0),$H85)</f>
        <v>1</v>
      </c>
      <c r="BN85">
        <f>IF(FixedParams!$I$6=1,IF(BL85&lt;=MIN(BJ85:BL85),1,0),IF(BL85&lt;=BJ85,1,0)*(1-$H85))</f>
        <v>0</v>
      </c>
      <c r="BO85" s="24">
        <f>$BK$13*IF(BM85=1,1,IF(BN85=1,FixedParams!$C$52,FixedParams!$C$53))</f>
        <v>0.41068174962109105</v>
      </c>
      <c r="BP85">
        <f>EXP($C85*FixedParams!$B$47)*EXP(IF(BM85+BN85=1,(1-FixedParams!$B$47)*$D85,0))*($B85^((FixedParams!$B$47-1)*$B$10/($B$10-1)))*((1/$B85-1)^$B$10*(BO85)^($B$10-1)+1)^((FixedParams!$B$47-$B$10)/($B$10-1))/((1+IF(BM85=1,FixedParams!$C$25,IF(BN85=1,FixedParams!$C$23,FixedParams!$C$24)))^FixedParams!$B$47)</f>
        <v>4.3527923017685738E-2</v>
      </c>
      <c r="BQ85">
        <f t="shared" si="77"/>
        <v>1.2522005049135763</v>
      </c>
      <c r="BR85">
        <f t="shared" si="78"/>
        <v>31.936320590013715</v>
      </c>
      <c r="BS85">
        <f t="shared" si="54"/>
        <v>81.243939143995149</v>
      </c>
      <c r="BT85">
        <f t="shared" si="79"/>
        <v>113.18025973400887</v>
      </c>
      <c r="BU85" s="24">
        <f t="shared" si="80"/>
        <v>2.5439354829560301</v>
      </c>
      <c r="BV85" s="24">
        <f t="shared" si="81"/>
        <v>1.7152301171483741</v>
      </c>
      <c r="BW85" s="23">
        <f>IF(BM85=1,BR85*(1+FixedParams!$C$25)+BS85*(1+FixedParams!$C$28)/$BK$12,IF(BN85=1,BR85*(1+FixedParams!$C$23)+BS85*(1+FixedParams!$C$26)/$BK$12,BR85*(1+FixedParams!$C$24)+BS85*(1+FixedParams!$C$27)/$BK$12))</f>
        <v>314.40938230020242</v>
      </c>
      <c r="BX85" s="24">
        <f t="shared" si="82"/>
        <v>58.218638896178987</v>
      </c>
      <c r="BY85" s="24">
        <f>BX85^((FixedParams!$B$47-1)/FixedParams!$B$47)*EXP($C85)</f>
        <v>0.42582218389561444</v>
      </c>
      <c r="BZ85" s="24">
        <f t="shared" si="83"/>
        <v>-2.9605765153010291E-2</v>
      </c>
      <c r="CA85" s="24">
        <f t="shared" si="84"/>
        <v>-8.2702430008757058E-3</v>
      </c>
      <c r="CB85" s="24">
        <f t="shared" si="85"/>
        <v>9.0582129185315455E-3</v>
      </c>
      <c r="CC85" s="24"/>
      <c r="CD85" s="24">
        <f>EXP(-$D$17)*(($B85*FixedParams!$B$30)^$B$10*(1+FixedParams!$D$24)^(1-$B$10)+(1-$B85)^$B$10*((1+FixedParams!$D$27)/$CE$12)^(1-$B$10))^(1/(1-$B$10))</f>
        <v>6.1480622993124765</v>
      </c>
      <c r="CE85" s="24">
        <f>EXP($D85-$D$17)*(($B85*FixedParams!$D$31)^$B$10*(1+FixedParams!$D$25)^(1-$B$10)+(1-$B85)^$B$10*((1+FixedParams!$D$28)/$CE$12)^(1-$B$10))^(1/(1-$B$10))</f>
        <v>5.2596376384142758</v>
      </c>
      <c r="CF85" s="24">
        <f>EXP($D85-$D$17)*(($B85*FixedParams!$D$30)^$B$10*(1+FixedParams!$D$23)^(1-$B$10)+(1-$B85)^$B$10*((1+FixedParams!$D$26)/$CE$12)^(1-$B$10))^(1/(1-$B$10))</f>
        <v>5.3152896062261803</v>
      </c>
      <c r="CG85">
        <f>IF(FixedParams!$I$6=1,IF(CE85&lt;=MIN(CD85:CF85),1,0),$H85)</f>
        <v>1</v>
      </c>
      <c r="CH85">
        <f>IF(FixedParams!$I$6=1,IF(CF85&lt;=MIN(CD85:CF85),1,0),IF(CF85&lt;=CD85,1,0)*(1-$H85))</f>
        <v>0</v>
      </c>
      <c r="CI85" s="24">
        <f>$CE$13*IF(CG85=1,1,IF(CH85=1,FixedParams!$D$52,FixedParams!$D$53))</f>
        <v>0.39201585704839609</v>
      </c>
      <c r="CJ85">
        <f>EXP($C85*FixedParams!$B$47)*EXP(IF(CG85+CH85=1,(1-FixedParams!$B$47)*$D85,0))*($B85^((FixedParams!$B$47-1)*$B$10/($B$10-1)))*((1/$B85-1)^$B$10*(CI85)^($B$10-1)+1)^((FixedParams!$B$47-$B$10)/($B$10-1))/((1+IF(CG85=1,FixedParams!$D$25,IF(CH85=1,FixedParams!$D$23,FixedParams!$D$24)))^FixedParams!$B$47)</f>
        <v>4.7455042889863457E-2</v>
      </c>
      <c r="CK85">
        <f t="shared" si="86"/>
        <v>1.2495083721813105</v>
      </c>
      <c r="CL85">
        <f t="shared" si="88"/>
        <v>34.136920812787586</v>
      </c>
      <c r="CM85">
        <f t="shared" si="55"/>
        <v>80.989325892812133</v>
      </c>
      <c r="CN85">
        <f t="shared" si="89"/>
        <v>115.12624670559973</v>
      </c>
      <c r="CO85" s="24">
        <f t="shared" si="90"/>
        <v>2.3724848042672253</v>
      </c>
      <c r="CP85" s="24">
        <f t="shared" si="91"/>
        <v>1.6992414337242028</v>
      </c>
      <c r="CQ85" s="23">
        <f>IF(CG85=1,CL85*(1+FixedParams!$D$25)+CM85*(1+FixedParams!$D$28)/$CE$12,IF(CH85=1,CL85*(1+FixedParams!$D$23)+CM85*(1+FixedParams!$D$26)/$CE$12,CL85*(1+FixedParams!$D$24)+CM85*(1+FixedParams!$D$27)/$CE$12))</f>
        <v>308.25424055232247</v>
      </c>
      <c r="CR85" s="24">
        <f t="shared" si="92"/>
        <v>58.607505258719272</v>
      </c>
      <c r="CS85" s="24">
        <f>CR85^((FixedParams!$B$47-1)/FixedParams!$B$47)*EXP($C85)</f>
        <v>0.42581934628185086</v>
      </c>
      <c r="CT85" s="24"/>
    </row>
    <row r="86" spans="1:98" x14ac:dyDescent="0.15">
      <c r="A86">
        <v>0.34500000000000003</v>
      </c>
      <c r="B86">
        <f t="shared" si="56"/>
        <v>0.1822916579231901</v>
      </c>
      <c r="C86">
        <f>(D86-$D$17)*FixedParams!$B$47+$A86*$B$9</f>
        <v>-0.86216023051914403</v>
      </c>
      <c r="D86">
        <f>(A86-$B$6)*FixedParams!$B$46/(FixedParams!$B$45*Sectors!$B$6)</f>
        <v>-8.4219471633385251E-2</v>
      </c>
      <c r="E86">
        <f t="shared" si="57"/>
        <v>0.4222489413256062</v>
      </c>
      <c r="F86" s="24">
        <f>EXP(-$D$17)*(($B86*FixedParams!$B$30)^$B$10*(1+FixedParams!$B$23)^(1-$B$10)+(1-$B86)^$B$10*((1+FixedParams!$B$26)/$B$11)^(1-$B$10))^(1/(1-$B$10))</f>
        <v>4.8404208116079808</v>
      </c>
      <c r="G86" s="24">
        <f>EXP($D86-$D$17)*(($B86*FixedParams!$B$31)^$B$10*(1+FixedParams!$B$25)^(1-$B$10)+(1-$B86)^$B$10*((1+FixedParams!$B$28)/$B$11)^(1-$B$10))^(1/(1-$B$10))</f>
        <v>4.2951470051893041</v>
      </c>
      <c r="H86">
        <f t="shared" si="58"/>
        <v>1</v>
      </c>
      <c r="I86" s="24">
        <f>$B$12*IF(H86=1,1,FixedParams!$B$52)</f>
        <v>0.3745928365283252</v>
      </c>
      <c r="J86">
        <f>EXP($C86*FixedParams!$B$47)*EXP(IF(H86=1,(1-FixedParams!$B$47)*$D86,0))*($B86^((FixedParams!$B$47-1)*$B$10/($B$10-1)))*((1/$B86-1)^$B$10*(I86)^($B$10-1)+1)^((FixedParams!$B$47-$B$10)/($B$10-1))/((1+IF(H86=1,FixedParams!$B$25,FixedParams!$B$24))^FixedParams!$B$47)</f>
        <v>6.1979902733434969E-2</v>
      </c>
      <c r="K86">
        <f t="shared" si="87"/>
        <v>1.2496748970271114</v>
      </c>
      <c r="L86">
        <f>K86*FixedParams!$B$8/K$15</f>
        <v>36.331959999787692</v>
      </c>
      <c r="M86">
        <f t="shared" si="47"/>
        <v>79.136252356746184</v>
      </c>
      <c r="N86">
        <f t="shared" si="59"/>
        <v>115.46821235653388</v>
      </c>
      <c r="O86" s="24">
        <f t="shared" si="60"/>
        <v>2.1781443213415579</v>
      </c>
      <c r="P86" s="24">
        <f t="shared" si="48"/>
        <v>1.6794671588993209</v>
      </c>
      <c r="Q86" s="23">
        <f>IF(H86=1,L86*(1+FixedParams!$B$25)+M86*FixedParams!$B$33*(1+FixedParams!$B$28)/FixedParams!$B$32,L86*(1+FixedParams!$B$23)+M86*FixedParams!$B$33*(1+FixedParams!$B$26)/FixedParams!$B$32)</f>
        <v>248.02526857739315</v>
      </c>
      <c r="R86" s="24">
        <f t="shared" si="49"/>
        <v>57.74546675066869</v>
      </c>
      <c r="S86" s="24">
        <f>R86^((FixedParams!$B$47-1)/FixedParams!$B$47)*EXP($C86)</f>
        <v>0.42053804187328092</v>
      </c>
      <c r="T86" s="7">
        <f>(L86*FixedParams!$B$32*(FixedParams!$C$25-FixedParams!$C$23)+FixedParams!$B$33*(FixedParams!$C$28-FixedParams!$C$26)*M86)/N86</f>
        <v>-888.1897072700948</v>
      </c>
      <c r="U86" s="7">
        <f>(L86*FixedParams!$B$32*(FixedParams!$C$25-FixedParams!$C$23)*$Z$12/$B$11+FixedParams!$B$33*(FixedParams!$C$28-FixedParams!$C$26)*M86)/N86</f>
        <v>-1204.2022552812234</v>
      </c>
      <c r="V86" s="14">
        <f t="shared" si="50"/>
        <v>-1.7603888977016617</v>
      </c>
      <c r="W86" s="14">
        <f t="shared" si="61"/>
        <v>0.57602880081694807</v>
      </c>
      <c r="X86" s="73">
        <f t="shared" si="62"/>
        <v>0.9767457358002255</v>
      </c>
      <c r="Y86" s="24">
        <f>EXP(-$D$17)*(($B86*FixedParams!$B$30)^$B$10*(1+FixedParams!$C$24)^(1-$B$10)+(1-$B86)^$B$10*((1+FixedParams!$C$27)/$Z$12)^(1-$B$10))^(1/(1-$B$10))</f>
        <v>6.2676406508718756</v>
      </c>
      <c r="Z86" s="24">
        <f>EXP($D86-$D$17)*(($B86*FixedParams!$C$31)^$B$10*(1+FixedParams!$C$25)^(1-$B$10)+(1-$B86)^$B$10*((1+FixedParams!$C$28)/$Z$12)^(1-$B$10))^(1/(1-$B$10))</f>
        <v>5.1931903787093221</v>
      </c>
      <c r="AA86" s="24">
        <f>EXP($D86-$D$17)*(($B86*FixedParams!$C$30)^$B$10*(1+FixedParams!$C$23)^(1-$B$10)+(1-$B86)^$B$10*((1+FixedParams!$C$26)/$Z$12)^(1-$B$10))^(1/(1-$B$10))</f>
        <v>5.2874375774698983</v>
      </c>
      <c r="AB86">
        <f>IF(FixedParams!$I$6=1,IF(Z86&lt;=MIN(Y86:AA86),1,0),$H86)</f>
        <v>1</v>
      </c>
      <c r="AC86">
        <f>IF(FixedParams!$I$6=1,IF(AA86&lt;=MIN(Y86:AA86),1,0),IF(AA86&lt;=Y86,1,0)*(1-$H86))</f>
        <v>0</v>
      </c>
      <c r="AD86" s="24">
        <f>$Z$13*IF(AB86=1,1,IF(AC86=1,FixedParams!$C$52,FixedParams!$C$53))</f>
        <v>0.43187184563106507</v>
      </c>
      <c r="AE86">
        <f>EXP($C86*FixedParams!$B$47)*EXP(IF(AB86+AC86=1,(1-FixedParams!$B$47)*$D86,0))*($B86^((FixedParams!$B$47-1)*$B$10/($B$10-1)))*((1/$B86-1)^$B$10*(AD86)^($B$10-1)+1)^((FixedParams!$B$47-$B$10)/($B$10-1))/((1+IF(AB86=1,FixedParams!$C$25,IF(AC86=1,FixedParams!$C$23,FixedParams!$C$24)))^FixedParams!$B$47)</f>
        <v>4.2695289541256558E-2</v>
      </c>
      <c r="AF86">
        <f t="shared" si="63"/>
        <v>1.25810982697297</v>
      </c>
      <c r="AG86">
        <f t="shared" si="64"/>
        <v>29.551067851988293</v>
      </c>
      <c r="AH86">
        <f t="shared" si="51"/>
        <v>79.680668378506766</v>
      </c>
      <c r="AI86">
        <f t="shared" si="65"/>
        <v>109.23173623049506</v>
      </c>
      <c r="AJ86" s="24">
        <f t="shared" si="66"/>
        <v>2.6963718799469909</v>
      </c>
      <c r="AK86" s="24">
        <f t="shared" si="67"/>
        <v>1.7344935014930736</v>
      </c>
      <c r="AL86" s="23">
        <f>IF(AB86=1,AG86*(1+FixedParams!$C$25)+AH86*(1+FixedParams!$C$28)/$Z$12,IF(AC86=1,AG86*(1+FixedParams!$C$23)+AH86*(1+FixedParams!$C$26)/$Z$12,AG86*(1+FixedParams!$C$24)+AH86*(1+FixedParams!$C$27)/$Z$12))</f>
        <v>292.90963912727796</v>
      </c>
      <c r="AM86" s="24">
        <f t="shared" si="68"/>
        <v>56.402638410509347</v>
      </c>
      <c r="AN86" s="24">
        <f>AM86^((FixedParams!$B$47-1)/FixedParams!$B$47)*EXP($C86)</f>
        <v>0.42054794669668671</v>
      </c>
      <c r="AO86" s="24">
        <f t="shared" si="69"/>
        <v>-5.5523628481186471E-2</v>
      </c>
      <c r="AP86" s="24">
        <f t="shared" si="70"/>
        <v>-2.3528910758841028E-2</v>
      </c>
      <c r="AQ86" s="14">
        <f t="shared" si="71"/>
        <v>-1.8315335095835468</v>
      </c>
      <c r="AS86" s="24">
        <f>EXP(-$D$17)*(($B86*FixedParams!$B$30)^$B$10*(1+FixedParams!$D$24)^(1-$B$10)+(1-$B86)^$B$10*((1+FixedParams!$D$27)/$AT$12)^(1-$B$10))^(1/(1-$B$10))</f>
        <v>5.9126346711097426</v>
      </c>
      <c r="AT86" s="24">
        <f>EXP($D86-$D$17)*(($B86*FixedParams!$C$31)^$B$10*(1+FixedParams!$D$25)^(1-$B$10)+(1-$B86)^$B$10*((1+FixedParams!$D$28)/$AT$12)^(1-$B$10))^(1/(1-$B$10))</f>
        <v>5.072253706241086</v>
      </c>
      <c r="AU86" s="24">
        <f>EXP($D86-$D$17)*(($B86*FixedParams!$C$30)^$B$10*(1+FixedParams!$D$23)^(1-$B$10)+(1-$B86)^$B$10*((1+FixedParams!$D$26)/$AT$12)^(1-$B$10))^(1/(1-$B$10))</f>
        <v>5.1266213647487184</v>
      </c>
      <c r="AV86">
        <f>IF(FixedParams!$I$6=1,IF(AT86&lt;=MIN(AS86:AU86),1,0),$H86)</f>
        <v>1</v>
      </c>
      <c r="AW86">
        <f>IF(FixedParams!$I$6=1,IF(AU86&lt;=MIN(AS86:AU86),1,0),IF(AU86&lt;=AS86,1,0)*(1-$H86))</f>
        <v>0</v>
      </c>
      <c r="AX86" s="24">
        <f>$AT$13*IF(AV86=1,1,IF(AW86=1,FixedParams!$D$52,FixedParams!$D$53))</f>
        <v>0.41089128090616783</v>
      </c>
      <c r="AY86">
        <f>EXP($C86*FixedParams!$B$47)*EXP(IF(AV86+AW86=1,(1-FixedParams!$B$47)*$D86,0))*($B86^((FixedParams!$B$47-1)*$B$10/($B$10-1)))*((1/$B86-1)^$B$10*(AX86)^($B$10-1)+1)^((FixedParams!$B$47-$B$10)/($B$10-1))/((1+IF(AV86=1,FixedParams!$D$25,IF(AW86=1,FixedParams!$D$23,FixedParams!$D$24)))^FixedParams!$B$47)</f>
        <v>4.661415410093999E-2</v>
      </c>
      <c r="AZ86">
        <f t="shared" si="52"/>
        <v>1.2552064051216418</v>
      </c>
      <c r="BA86">
        <f t="shared" si="72"/>
        <v>31.580825277939486</v>
      </c>
      <c r="BB86">
        <f t="shared" si="53"/>
        <v>79.024419394140168</v>
      </c>
      <c r="BC86">
        <f t="shared" si="73"/>
        <v>110.60524467207965</v>
      </c>
      <c r="BD86" s="24">
        <f t="shared" si="74"/>
        <v>2.5022911433964961</v>
      </c>
      <c r="BE86" s="24">
        <f t="shared" si="75"/>
        <v>1.7176059024799952</v>
      </c>
      <c r="BF86" s="23">
        <f>IF(AV86=1,BA86*(1+FixedParams!$C$25)+BB86*(1+FixedParams!$C$28)/$AT$12,IF(AW86=1,BA86*(1+FixedParams!$C$23)+BB86*(1+FixedParams!$C$26)/$AT$12,BA86*(1+FixedParams!$C$24)+BB86*(1+FixedParams!$C$27)/$AT$12))</f>
        <v>290.18133134126566</v>
      </c>
      <c r="BG86" s="24">
        <f t="shared" si="76"/>
        <v>57.209545923189133</v>
      </c>
      <c r="BH86" s="24">
        <f>BG86^((FixedParams!$B$47-1)/FixedParams!$B$47)*EXP($C86)</f>
        <v>0.42054196694584806</v>
      </c>
      <c r="BI86" s="7"/>
      <c r="BJ86" s="24">
        <f>EXP(-$D$17)*(($B86*FixedParams!$B$30)^$B$10*(1+FixedParams!$C$24)^(1-$B$10)+(1-$B86)^$B$10*((1+FixedParams!$C$27)/$BK$12)^(1-$B$10))^(1/(1-$B$10))</f>
        <v>6.5469090317365088</v>
      </c>
      <c r="BK86" s="24">
        <f>EXP($D86-$D$17)*(($B86*FixedParams!$C$31)^$B$10*(1+FixedParams!$C$25)^(1-$B$10)+(1-$B86)^$B$10*((1+FixedParams!$C$28)/$BK$12)^(1-$B$10))^(1/(1-$B$10))</f>
        <v>5.4229348360385821</v>
      </c>
      <c r="BL86" s="24">
        <f>EXP($D86-$D$17)*(($B86*FixedParams!$C$30)^$B$10*(1+FixedParams!$C$23)^(1-$B$10)+(1-$B86)^$B$10*((1+FixedParams!$C$26)/$BK$12)^(1-$B$10))^(1/(1-$B$10))</f>
        <v>5.5175623925643187</v>
      </c>
      <c r="BM86">
        <f>IF(FixedParams!$I$6=1,IF(BK86&lt;=MIN(BJ86:BL86),1,0),$H86)</f>
        <v>1</v>
      </c>
      <c r="BN86">
        <f>IF(FixedParams!$I$6=1,IF(BL86&lt;=MIN(BJ86:BL86),1,0),IF(BL86&lt;=BJ86,1,0)*(1-$H86))</f>
        <v>0</v>
      </c>
      <c r="BO86" s="24">
        <f>$BK$13*IF(BM86=1,1,IF(BN86=1,FixedParams!$C$52,FixedParams!$C$53))</f>
        <v>0.41068174962109105</v>
      </c>
      <c r="BP86">
        <f>EXP($C86*FixedParams!$B$47)*EXP(IF(BM86+BN86=1,(1-FixedParams!$B$47)*$D86,0))*($B86^((FixedParams!$B$47-1)*$B$10/($B$10-1)))*((1/$B86-1)^$B$10*(BO86)^($B$10-1)+1)^((FixedParams!$B$47-$B$10)/($B$10-1))/((1+IF(BM86=1,FixedParams!$C$25,IF(BN86=1,FixedParams!$C$23,FixedParams!$C$24)))^FixedParams!$B$47)</f>
        <v>4.363136843780803E-2</v>
      </c>
      <c r="BQ86">
        <f t="shared" si="77"/>
        <v>1.2551763971300622</v>
      </c>
      <c r="BR86">
        <f t="shared" si="78"/>
        <v>32.012218217824994</v>
      </c>
      <c r="BS86">
        <f t="shared" si="54"/>
        <v>80.042625267307599</v>
      </c>
      <c r="BT86">
        <f t="shared" si="79"/>
        <v>112.05484348513259</v>
      </c>
      <c r="BU86" s="24">
        <f t="shared" si="80"/>
        <v>2.5003773472573165</v>
      </c>
      <c r="BV86" s="24">
        <f t="shared" si="81"/>
        <v>1.7223576167245913</v>
      </c>
      <c r="BW86" s="23">
        <f>IF(BM86=1,BR86*(1+FixedParams!$C$25)+BS86*(1+FixedParams!$C$28)/$BK$12,IF(BN86=1,BR86*(1+FixedParams!$C$23)+BS86*(1+FixedParams!$C$26)/$BK$12,BR86*(1+FixedParams!$C$24)+BS86*(1+FixedParams!$C$27)/$BK$12))</f>
        <v>310.51042264712146</v>
      </c>
      <c r="BX86" s="24">
        <f t="shared" si="82"/>
        <v>57.258741260101004</v>
      </c>
      <c r="BY86" s="24">
        <f>BX86^((FixedParams!$B$47-1)/FixedParams!$B$47)*EXP($C86)</f>
        <v>0.4205416051092899</v>
      </c>
      <c r="BZ86" s="24">
        <f t="shared" si="83"/>
        <v>-3.0006848971845811E-2</v>
      </c>
      <c r="CA86" s="24">
        <f t="shared" si="84"/>
        <v>-8.4645319518484047E-3</v>
      </c>
      <c r="CB86" s="24">
        <f t="shared" si="85"/>
        <v>8.8639239675588465E-3</v>
      </c>
      <c r="CC86" s="24"/>
      <c r="CD86" s="24">
        <f>EXP(-$D$17)*(($B86*FixedParams!$B$30)^$B$10*(1+FixedParams!$D$24)^(1-$B$10)+(1-$B86)^$B$10*((1+FixedParams!$D$27)/$CE$12)^(1-$B$10))^(1/(1-$B$10))</f>
        <v>6.157149378203373</v>
      </c>
      <c r="CE86" s="24">
        <f>EXP($D86-$D$17)*(($B86*FixedParams!$D$31)^$B$10*(1+FixedParams!$D$25)^(1-$B$10)+(1-$B86)^$B$10*((1+FixedParams!$D$28)/$CE$12)^(1-$B$10))^(1/(1-$B$10))</f>
        <v>5.2809784135886861</v>
      </c>
      <c r="CF86" s="24">
        <f>EXP($D86-$D$17)*(($B86*FixedParams!$D$30)^$B$10*(1+FixedParams!$D$23)^(1-$B$10)+(1-$B86)^$B$10*((1+FixedParams!$D$26)/$CE$12)^(1-$B$10))^(1/(1-$B$10))</f>
        <v>5.3348282946428407</v>
      </c>
      <c r="CG86">
        <f>IF(FixedParams!$I$6=1,IF(CE86&lt;=MIN(CD86:CF86),1,0),$H86)</f>
        <v>1</v>
      </c>
      <c r="CH86">
        <f>IF(FixedParams!$I$6=1,IF(CF86&lt;=MIN(CD86:CF86),1,0),IF(CF86&lt;=CD86,1,0)*(1-$H86))</f>
        <v>0</v>
      </c>
      <c r="CI86" s="24">
        <f>$CE$13*IF(CG86=1,1,IF(CH86=1,FixedParams!$D$52,FixedParams!$D$53))</f>
        <v>0.39201585704839609</v>
      </c>
      <c r="CJ86">
        <f>EXP($C86*FixedParams!$B$47)*EXP(IF(CG86+CH86=1,(1-FixedParams!$B$47)*$D86,0))*($B86^((FixedParams!$B$47-1)*$B$10/($B$10-1)))*((1/$B86-1)^$B$10*(CI86)^($B$10-1)+1)^((FixedParams!$B$47-$B$10)/($B$10-1))/((1+IF(CG86=1,FixedParams!$D$25,IF(CH86=1,FixedParams!$D$23,FixedParams!$D$24)))^FixedParams!$B$47)</f>
        <v>4.7565496354686494E-2</v>
      </c>
      <c r="CK86">
        <f t="shared" si="86"/>
        <v>1.2524166516944726</v>
      </c>
      <c r="CL86">
        <f t="shared" si="88"/>
        <v>34.216375828578279</v>
      </c>
      <c r="CM86">
        <f t="shared" si="55"/>
        <v>79.787877038568382</v>
      </c>
      <c r="CN86">
        <f t="shared" si="89"/>
        <v>114.00425286714666</v>
      </c>
      <c r="CO86" s="24">
        <f t="shared" si="90"/>
        <v>2.3318623058824297</v>
      </c>
      <c r="CP86" s="24">
        <f t="shared" si="91"/>
        <v>1.7061360397592837</v>
      </c>
      <c r="CQ86" s="23">
        <f>IF(CG86=1,CL86*(1+FixedParams!$D$25)+CM86*(1+FixedParams!$D$28)/$CE$12,IF(CH86=1,CL86*(1+FixedParams!$D$23)+CM86*(1+FixedParams!$D$26)/$CE$12,CL86*(1+FixedParams!$D$24)+CM86*(1+FixedParams!$D$27)/$CE$12))</f>
        <v>304.43158050380509</v>
      </c>
      <c r="CR86" s="24">
        <f t="shared" si="92"/>
        <v>57.646814029851107</v>
      </c>
      <c r="CS86" s="24">
        <f>CR86^((FixedParams!$B$47-1)/FixedParams!$B$47)*EXP($C86)</f>
        <v>0.42053876165793497</v>
      </c>
      <c r="CT86" s="24"/>
    </row>
    <row r="87" spans="1:98" x14ac:dyDescent="0.15">
      <c r="A87">
        <v>0.35000000000000003</v>
      </c>
      <c r="B87">
        <f t="shared" si="56"/>
        <v>0.1840141957941028</v>
      </c>
      <c r="C87">
        <f>(D87-$D$17)*FixedParams!$B$47+$A87*$B$9</f>
        <v>-0.87465530632376942</v>
      </c>
      <c r="D87">
        <f>(A87-$B$6)*FixedParams!$B$46/(FixedParams!$B$45*Sectors!$B$6)</f>
        <v>-8.1502714483921199E-2</v>
      </c>
      <c r="E87">
        <f t="shared" si="57"/>
        <v>0.41700573414786374</v>
      </c>
      <c r="F87" s="24">
        <f>EXP(-$D$17)*(($B87*FixedParams!$B$30)^$B$10*(1+FixedParams!$B$23)^(1-$B$10)+(1-$B87)^$B$10*((1+FixedParams!$B$26)/$B$11)^(1-$B$10))^(1/(1-$B$10))</f>
        <v>4.8467795003594558</v>
      </c>
      <c r="G87" s="24">
        <f>EXP($D87-$D$17)*(($B87*FixedParams!$B$31)^$B$10*(1+FixedParams!$B$25)^(1-$B$10)+(1-$B87)^$B$10*((1+FixedParams!$B$28)/$B$11)^(1-$B$10))^(1/(1-$B$10))</f>
        <v>4.3120899579594498</v>
      </c>
      <c r="H87">
        <f t="shared" si="58"/>
        <v>1</v>
      </c>
      <c r="I87" s="24">
        <f>$B$12*IF(H87=1,1,FixedParams!$B$52)</f>
        <v>0.3745928365283252</v>
      </c>
      <c r="J87">
        <f>EXP($C87*FixedParams!$B$47)*EXP(IF(H87=1,(1-FixedParams!$B$47)*$D87,0))*($B87^((FixedParams!$B$47-1)*$B$10/($B$10-1)))*((1/$B87-1)^$B$10*(I87)^($B$10-1)+1)^((FixedParams!$B$47-$B$10)/($B$10-1))/((1+IF(H87=1,FixedParams!$B$25,FixedParams!$B$24))^FixedParams!$B$47)</f>
        <v>6.2118825759205271E-2</v>
      </c>
      <c r="K87">
        <f t="shared" si="87"/>
        <v>1.2524759439837492</v>
      </c>
      <c r="L87">
        <f>K87*FixedParams!$B$8/K$15</f>
        <v>36.413395200437222</v>
      </c>
      <c r="M87">
        <f t="shared" si="47"/>
        <v>77.955594806121425</v>
      </c>
      <c r="N87">
        <f t="shared" si="59"/>
        <v>114.36899000655865</v>
      </c>
      <c r="O87" s="24">
        <f t="shared" si="60"/>
        <v>2.1408493873481316</v>
      </c>
      <c r="P87" s="24">
        <f t="shared" si="48"/>
        <v>1.6860921085734213</v>
      </c>
      <c r="Q87" s="23">
        <f>IF(H87=1,L87*(1+FixedParams!$B$25)+M87*FixedParams!$B$33*(1+FixedParams!$B$28)/FixedParams!$B$32,L87*(1+FixedParams!$B$23)+M87*FixedParams!$B$33*(1+FixedParams!$B$26)/FixedParams!$B$32)</f>
        <v>244.94948033910111</v>
      </c>
      <c r="R87" s="24">
        <f t="shared" si="49"/>
        <v>56.80528067067857</v>
      </c>
      <c r="S87" s="24">
        <f>R87^((FixedParams!$B$47-1)/FixedParams!$B$47)*EXP($C87)</f>
        <v>0.41532290403523991</v>
      </c>
      <c r="T87" s="7">
        <f>(L87*FixedParams!$B$32*(FixedParams!$C$25-FixedParams!$C$23)+FixedParams!$B$33*(FixedParams!$C$28-FixedParams!$C$26)*M87)/N87</f>
        <v>-845.80284747268627</v>
      </c>
      <c r="U87" s="7">
        <f>(L87*FixedParams!$B$32*(FixedParams!$C$25-FixedParams!$C$23)*$Z$12/$B$11+FixedParams!$B$33*(FixedParams!$C$28-FixedParams!$C$26)*M87)/N87</f>
        <v>-1165.5677776154268</v>
      </c>
      <c r="V87" s="14">
        <f t="shared" si="50"/>
        <v>-1.743118272405578</v>
      </c>
      <c r="W87" s="14">
        <f t="shared" si="61"/>
        <v>0.58163835638172068</v>
      </c>
      <c r="X87" s="73">
        <f t="shared" si="62"/>
        <v>0.97645121459857975</v>
      </c>
      <c r="Y87" s="24">
        <f>EXP(-$D$17)*(($B87*FixedParams!$B$30)^$B$10*(1+FixedParams!$C$24)^(1-$B$10)+(1-$B87)^$B$10*((1+FixedParams!$C$27)/$Z$12)^(1-$B$10))^(1/(1-$B$10))</f>
        <v>6.2784945190627699</v>
      </c>
      <c r="Z87" s="24">
        <f>EXP($D87-$D$17)*(($B87*FixedParams!$C$31)^$B$10*(1+FixedParams!$C$25)^(1-$B$10)+(1-$B87)^$B$10*((1+FixedParams!$C$28)/$Z$12)^(1-$B$10))^(1/(1-$B$10))</f>
        <v>5.2152499639857872</v>
      </c>
      <c r="AA87" s="24">
        <f>EXP($D87-$D$17)*(($B87*FixedParams!$C$30)^$B$10*(1+FixedParams!$C$23)^(1-$B$10)+(1-$B87)^$B$10*((1+FixedParams!$C$26)/$Z$12)^(1-$B$10))^(1/(1-$B$10))</f>
        <v>5.3074023857460251</v>
      </c>
      <c r="AB87">
        <f>IF(FixedParams!$I$6=1,IF(Z87&lt;=MIN(Y87:AA87),1,0),$H87)</f>
        <v>1</v>
      </c>
      <c r="AC87">
        <f>IF(FixedParams!$I$6=1,IF(AA87&lt;=MIN(Y87:AA87),1,0),IF(AA87&lt;=Y87,1,0)*(1-$H87))</f>
        <v>0</v>
      </c>
      <c r="AD87" s="24">
        <f>$Z$13*IF(AB87=1,1,IF(AC87=1,FixedParams!$C$52,FixedParams!$C$53))</f>
        <v>0.43187184563106507</v>
      </c>
      <c r="AE87">
        <f>EXP($C87*FixedParams!$B$47)*EXP(IF(AB87+AC87=1,(1-FixedParams!$B$47)*$D87,0))*($B87^((FixedParams!$B$47-1)*$B$10/($B$10-1)))*((1/$B87-1)^$B$10*(AD87)^($B$10-1)+1)^((FixedParams!$B$47-$B$10)/($B$10-1))/((1+IF(AB87=1,FixedParams!$C$25,IF(AC87=1,FixedParams!$C$23,FixedParams!$C$24)))^FixedParams!$B$47)</f>
        <v>4.2797459928523886E-2</v>
      </c>
      <c r="AF87">
        <f t="shared" si="63"/>
        <v>1.2611205002727131</v>
      </c>
      <c r="AG87">
        <f t="shared" si="64"/>
        <v>29.621783944537171</v>
      </c>
      <c r="AH87">
        <f t="shared" si="51"/>
        <v>78.503760699072998</v>
      </c>
      <c r="AI87">
        <f t="shared" si="65"/>
        <v>108.12554464361017</v>
      </c>
      <c r="AJ87" s="24">
        <f t="shared" si="66"/>
        <v>2.650203675985916</v>
      </c>
      <c r="AK87" s="24">
        <f t="shared" si="67"/>
        <v>1.7418612666850692</v>
      </c>
      <c r="AL87" s="23">
        <f>IF(AB87=1,AG87*(1+FixedParams!$C$25)+AH87*(1+FixedParams!$C$28)/$Z$12,IF(AC87=1,AG87*(1+FixedParams!$C$23)+AH87*(1+FixedParams!$C$26)/$Z$12,AG87*(1+FixedParams!$C$24)+AH87*(1+FixedParams!$C$27)/$Z$12))</f>
        <v>289.27732227208867</v>
      </c>
      <c r="AM87" s="24">
        <f t="shared" si="68"/>
        <v>55.467585306497313</v>
      </c>
      <c r="AN87" s="24">
        <f>AM87^((FixedParams!$B$47-1)/FixedParams!$B$47)*EXP($C87)</f>
        <v>0.41533281140870804</v>
      </c>
      <c r="AO87" s="24">
        <f t="shared" si="69"/>
        <v>-5.613697341863761E-2</v>
      </c>
      <c r="AP87" s="24">
        <f t="shared" si="70"/>
        <v>-2.3830489361877275E-2</v>
      </c>
      <c r="AQ87" s="14">
        <f t="shared" si="71"/>
        <v>-1.8142628842874629</v>
      </c>
      <c r="AS87" s="24">
        <f>EXP(-$D$17)*(($B87*FixedParams!$B$30)^$B$10*(1+FixedParams!$D$24)^(1-$B$10)+(1-$B87)^$B$10*((1+FixedParams!$D$27)/$AT$12)^(1-$B$10))^(1/(1-$B$10))</f>
        <v>5.9218769929518302</v>
      </c>
      <c r="AT87" s="24">
        <f>EXP($D87-$D$17)*(($B87*FixedParams!$C$31)^$B$10*(1+FixedParams!$D$25)^(1-$B$10)+(1-$B87)^$B$10*((1+FixedParams!$D$28)/$AT$12)^(1-$B$10))^(1/(1-$B$10))</f>
        <v>5.0932702770346108</v>
      </c>
      <c r="AU87" s="24">
        <f>EXP($D87-$D$17)*(($B87*FixedParams!$C$30)^$B$10*(1+FixedParams!$D$23)^(1-$B$10)+(1-$B87)^$B$10*((1+FixedParams!$D$26)/$AT$12)^(1-$B$10))^(1/(1-$B$10))</f>
        <v>5.1459157022457553</v>
      </c>
      <c r="AV87">
        <f>IF(FixedParams!$I$6=1,IF(AT87&lt;=MIN(AS87:AU87),1,0),$H87)</f>
        <v>1</v>
      </c>
      <c r="AW87">
        <f>IF(FixedParams!$I$6=1,IF(AU87&lt;=MIN(AS87:AU87),1,0),IF(AU87&lt;=AS87,1,0)*(1-$H87))</f>
        <v>0</v>
      </c>
      <c r="AX87" s="24">
        <f>$AT$13*IF(AV87=1,1,IF(AW87=1,FixedParams!$D$52,FixedParams!$D$53))</f>
        <v>0.41089128090616783</v>
      </c>
      <c r="AY87">
        <f>EXP($C87*FixedParams!$B$47)*EXP(IF(AV87+AW87=1,(1-FixedParams!$B$47)*$D87,0))*($B87^((FixedParams!$B$47-1)*$B$10/($B$10-1)))*((1/$B87-1)^$B$10*(AX87)^($B$10-1)+1)^((FixedParams!$B$47-$B$10)/($B$10-1))/((1+IF(AV87=1,FixedParams!$D$25,IF(AW87=1,FixedParams!$D$23,FixedParams!$D$24)))^FixedParams!$B$47)</f>
        <v>4.6723269811360504E-2</v>
      </c>
      <c r="AZ87">
        <f t="shared" si="52"/>
        <v>1.2581446272402421</v>
      </c>
      <c r="BA87">
        <f t="shared" si="72"/>
        <v>31.654750553477175</v>
      </c>
      <c r="BB87">
        <f t="shared" si="53"/>
        <v>77.853151413818011</v>
      </c>
      <c r="BC87">
        <f t="shared" si="73"/>
        <v>109.50790196729518</v>
      </c>
      <c r="BD87" s="24">
        <f t="shared" si="74"/>
        <v>2.4594460563602856</v>
      </c>
      <c r="BE87" s="24">
        <f t="shared" si="75"/>
        <v>1.7247226967366451</v>
      </c>
      <c r="BF87" s="23">
        <f>IF(AV87=1,BA87*(1+FixedParams!$C$25)+BB87*(1+FixedParams!$C$28)/$AT$12,IF(AW87=1,BA87*(1+FixedParams!$C$23)+BB87*(1+FixedParams!$C$26)/$AT$12,BA87*(1+FixedParams!$C$24)+BB87*(1+FixedParams!$C$27)/$AT$12))</f>
        <v>286.62206155618793</v>
      </c>
      <c r="BG87" s="24">
        <f t="shared" si="76"/>
        <v>56.274661654724554</v>
      </c>
      <c r="BH87" s="24">
        <f>BG87^((FixedParams!$B$47-1)/FixedParams!$B$47)*EXP($C87)</f>
        <v>0.41532680572603081</v>
      </c>
      <c r="BI87" s="7"/>
      <c r="BJ87" s="24">
        <f>EXP(-$D$17)*(($B87*FixedParams!$B$30)^$B$10*(1+FixedParams!$C$24)^(1-$B$10)+(1-$B87)^$B$10*((1+FixedParams!$C$27)/$BK$12)^(1-$B$10))^(1/(1-$B$10))</f>
        <v>6.5575831251764631</v>
      </c>
      <c r="BK87" s="24">
        <f>EXP($D87-$D$17)*(($B87*FixedParams!$C$31)^$B$10*(1+FixedParams!$C$25)^(1-$B$10)+(1-$B87)^$B$10*((1+FixedParams!$C$28)/$BK$12)^(1-$B$10))^(1/(1-$B$10))</f>
        <v>5.4453985841930486</v>
      </c>
      <c r="BL87" s="24">
        <f>EXP($D87-$D$17)*(($B87*FixedParams!$C$30)^$B$10*(1+FixedParams!$C$23)^(1-$B$10)+(1-$B87)^$B$10*((1+FixedParams!$C$26)/$BK$12)^(1-$B$10))^(1/(1-$B$10))</f>
        <v>5.5377681059837123</v>
      </c>
      <c r="BM87">
        <f>IF(FixedParams!$I$6=1,IF(BK87&lt;=MIN(BJ87:BL87),1,0),$H87)</f>
        <v>1</v>
      </c>
      <c r="BN87">
        <f>IF(FixedParams!$I$6=1,IF(BL87&lt;=MIN(BJ87:BL87),1,0),IF(BL87&lt;=BJ87,1,0)*(1-$H87))</f>
        <v>0</v>
      </c>
      <c r="BO87" s="24">
        <f>$BK$13*IF(BM87=1,1,IF(BN87=1,FixedParams!$C$52,FixedParams!$C$53))</f>
        <v>0.41068174962109105</v>
      </c>
      <c r="BP87">
        <f>EXP($C87*FixedParams!$B$47)*EXP(IF(BM87+BN87=1,(1-FixedParams!$B$47)*$D87,0))*($B87^((FixedParams!$B$47-1)*$B$10/($B$10-1)))*((1/$B87-1)^$B$10*(BO87)^($B$10-1)+1)^((FixedParams!$B$47-$B$10)/($B$10-1))/((1+IF(BM87=1,FixedParams!$C$25,IF(BN87=1,FixedParams!$C$23,FixedParams!$C$24)))^FixedParams!$B$47)</f>
        <v>4.3733478428853924E-2</v>
      </c>
      <c r="BQ87">
        <f t="shared" si="77"/>
        <v>1.2581138720537437</v>
      </c>
      <c r="BR87">
        <f t="shared" si="78"/>
        <v>32.087136044897981</v>
      </c>
      <c r="BS87">
        <f t="shared" si="54"/>
        <v>78.856223421333468</v>
      </c>
      <c r="BT87">
        <f t="shared" si="79"/>
        <v>110.94335946623144</v>
      </c>
      <c r="BU87" s="24">
        <f t="shared" si="80"/>
        <v>2.4575650288948743</v>
      </c>
      <c r="BV87" s="24">
        <f t="shared" si="81"/>
        <v>1.7294922419605256</v>
      </c>
      <c r="BW87" s="23">
        <f>IF(BM87=1,BR87*(1+FixedParams!$C$25)+BS87*(1+FixedParams!$C$28)/$BK$12,IF(BN87=1,BR87*(1+FixedParams!$C$23)+BS87*(1+FixedParams!$C$26)/$BK$12,BR87*(1+FixedParams!$C$24)+BS87*(1+FixedParams!$C$27)/$BK$12))</f>
        <v>306.65980961897787</v>
      </c>
      <c r="BX87" s="24">
        <f t="shared" si="82"/>
        <v>56.315401871435583</v>
      </c>
      <c r="BY87" s="24">
        <f>BX87^((FixedParams!$B$47-1)/FixedParams!$B$47)*EXP($C87)</f>
        <v>0.41532650485692058</v>
      </c>
      <c r="BZ87" s="24">
        <f t="shared" si="83"/>
        <v>-3.0410179825626951E-2</v>
      </c>
      <c r="CA87" s="24">
        <f t="shared" si="84"/>
        <v>-8.6612253508301495E-3</v>
      </c>
      <c r="CB87" s="24">
        <f t="shared" si="85"/>
        <v>8.6672305685771018E-3</v>
      </c>
      <c r="CC87" s="24"/>
      <c r="CD87" s="24">
        <f>EXP(-$D$17)*(($B87*FixedParams!$B$30)^$B$10*(1+FixedParams!$D$24)^(1-$B$10)+(1-$B87)^$B$10*((1+FixedParams!$D$27)/$CE$12)^(1-$B$10))^(1/(1-$B$10))</f>
        <v>6.1661733112114181</v>
      </c>
      <c r="CE87" s="24">
        <f>EXP($D87-$D$17)*(($B87*FixedParams!$D$31)^$B$10*(1+FixedParams!$D$25)^(1-$B$10)+(1-$B87)^$B$10*((1+FixedParams!$D$28)/$CE$12)^(1-$B$10))^(1/(1-$B$10))</f>
        <v>5.3023303939082478</v>
      </c>
      <c r="CF87" s="24">
        <f>EXP($D87-$D$17)*(($B87*FixedParams!$D$30)^$B$10*(1+FixedParams!$D$23)^(1-$B$10)+(1-$B87)^$B$10*((1+FixedParams!$D$26)/$CE$12)^(1-$B$10))^(1/(1-$B$10))</f>
        <v>5.354337893126405</v>
      </c>
      <c r="CG87">
        <f>IF(FixedParams!$I$6=1,IF(CE87&lt;=MIN(CD87:CF87),1,0),$H87)</f>
        <v>1</v>
      </c>
      <c r="CH87">
        <f>IF(FixedParams!$I$6=1,IF(CF87&lt;=MIN(CD87:CF87),1,0),IF(CF87&lt;=CD87,1,0)*(1-$H87))</f>
        <v>0</v>
      </c>
      <c r="CI87" s="24">
        <f>$CE$13*IF(CG87=1,1,IF(CH87=1,FixedParams!$D$52,FixedParams!$D$53))</f>
        <v>0.39201585704839609</v>
      </c>
      <c r="CJ87">
        <f>EXP($C87*FixedParams!$B$47)*EXP(IF(CG87+CH87=1,(1-FixedParams!$B$47)*$D87,0))*($B87^((FixedParams!$B$47-1)*$B$10/($B$10-1)))*((1/$B87-1)^$B$10*(CI87)^($B$10-1)+1)^((FixedParams!$B$47-$B$10)/($B$10-1))/((1+IF(CG87=1,FixedParams!$D$25,IF(CH87=1,FixedParams!$D$23,FixedParams!$D$24)))^FixedParams!$B$47)</f>
        <v>4.767445418720323E-2</v>
      </c>
      <c r="CK87">
        <f t="shared" si="86"/>
        <v>1.255285550670296</v>
      </c>
      <c r="CL87">
        <f t="shared" si="88"/>
        <v>34.294754956992286</v>
      </c>
      <c r="CM87">
        <f t="shared" si="55"/>
        <v>78.601361543154837</v>
      </c>
      <c r="CN87">
        <f t="shared" si="89"/>
        <v>112.89611650014712</v>
      </c>
      <c r="CO87" s="24">
        <f t="shared" si="90"/>
        <v>2.2919353598451351</v>
      </c>
      <c r="CP87" s="24">
        <f t="shared" si="91"/>
        <v>1.7130342658625561</v>
      </c>
      <c r="CQ87" s="23">
        <f>IF(CG87=1,CL87*(1+FixedParams!$D$25)+CM87*(1+FixedParams!$D$28)/$CE$12,IF(CH87=1,CL87*(1+FixedParams!$D$23)+CM87*(1+FixedParams!$D$26)/$CE$12,CL87*(1+FixedParams!$D$24)+CM87*(1+FixedParams!$D$27)/$CE$12))</f>
        <v>300.65632097831354</v>
      </c>
      <c r="CR87" s="24">
        <f t="shared" si="92"/>
        <v>56.702675737395055</v>
      </c>
      <c r="CS87" s="24">
        <f>CR87^((FixedParams!$B$47-1)/FixedParams!$B$47)*EXP($C87)</f>
        <v>0.41532365564573953</v>
      </c>
      <c r="CT87" s="24"/>
    </row>
    <row r="88" spans="1:98" x14ac:dyDescent="0.15">
      <c r="A88">
        <v>0.35499999999999998</v>
      </c>
      <c r="B88">
        <f t="shared" si="56"/>
        <v>0.18574931310355824</v>
      </c>
      <c r="C88">
        <f>(D88-$D$17)*FixedParams!$B$47+$A88*$B$9</f>
        <v>-0.88715038212839448</v>
      </c>
      <c r="D88">
        <f>(A88-$B$6)*FixedParams!$B$46/(FixedParams!$B$45*Sectors!$B$6)</f>
        <v>-7.8785957334457188E-2</v>
      </c>
      <c r="E88">
        <f t="shared" si="57"/>
        <v>0.41182763363781943</v>
      </c>
      <c r="F88" s="24">
        <f>EXP(-$D$17)*(($B88*FixedParams!$B$30)^$B$10*(1+FixedParams!$B$23)^(1-$B$10)+(1-$B88)^$B$10*((1+FixedParams!$B$26)/$B$11)^(1-$B$10))^(1/(1-$B$10))</f>
        <v>4.8530749243241473</v>
      </c>
      <c r="G88" s="24">
        <f>EXP($D88-$D$17)*(($B88*FixedParams!$B$31)^$B$10*(1+FixedParams!$B$25)^(1-$B$10)+(1-$B88)^$B$10*((1+FixedParams!$B$28)/$B$11)^(1-$B$10))^(1/(1-$B$10))</f>
        <v>4.3290309484065279</v>
      </c>
      <c r="H88">
        <f t="shared" si="58"/>
        <v>1</v>
      </c>
      <c r="I88" s="24">
        <f>$B$12*IF(H88=1,1,FixedParams!$B$52)</f>
        <v>0.3745928365283252</v>
      </c>
      <c r="J88">
        <f>EXP($C88*FixedParams!$B$47)*EXP(IF(H88=1,(1-FixedParams!$B$47)*$D88,0))*($B88^((FixedParams!$B$47-1)*$B$10/($B$10-1)))*((1/$B88-1)^$B$10*(I88)^($B$10-1)+1)^((FixedParams!$B$47-$B$10)/($B$10-1))/((1+IF(H88=1,FixedParams!$B$25,FixedParams!$B$24))^FixedParams!$B$47)</f>
        <v>6.2255705633000404E-2</v>
      </c>
      <c r="K88">
        <f t="shared" si="87"/>
        <v>1.2552357957202984</v>
      </c>
      <c r="L88">
        <f>K88*FixedParams!$B$8/K$15</f>
        <v>36.493632727122112</v>
      </c>
      <c r="M88">
        <f t="shared" si="47"/>
        <v>76.789647623922349</v>
      </c>
      <c r="N88">
        <f t="shared" si="59"/>
        <v>113.28328035104445</v>
      </c>
      <c r="O88" s="24">
        <f t="shared" si="60"/>
        <v>2.10419303000362</v>
      </c>
      <c r="P88" s="24">
        <f t="shared" si="48"/>
        <v>1.6927162909496518</v>
      </c>
      <c r="Q88" s="23">
        <f>IF(H88=1,L88*(1+FixedParams!$B$25)+M88*FixedParams!$B$33*(1+FixedParams!$B$28)/FixedParams!$B$32,L88*(1+FixedParams!$B$23)+M88*FixedParams!$B$33*(1+FixedParams!$B$26)/FixedParams!$B$32)</f>
        <v>241.91183143970676</v>
      </c>
      <c r="R88" s="24">
        <f t="shared" si="49"/>
        <v>55.881289443946351</v>
      </c>
      <c r="S88" s="24">
        <f>R88^((FixedParams!$B$47-1)/FixedParams!$B$47)*EXP($C88)</f>
        <v>0.4101724331683928</v>
      </c>
      <c r="T88" s="7">
        <f>(L88*FixedParams!$B$32*(FixedParams!$C$25-FixedParams!$C$23)+FixedParams!$B$33*(FixedParams!$C$28-FixedParams!$C$26)*M88)/N88</f>
        <v>-803.14925634677945</v>
      </c>
      <c r="U88" s="7">
        <f>(L88*FixedParams!$B$32*(FixedParams!$C$25-FixedParams!$C$23)*$Z$12/$B$11+FixedParams!$B$33*(FixedParams!$C$28-FixedParams!$C$26)*M88)/N88</f>
        <v>-1126.6901815491899</v>
      </c>
      <c r="V88" s="14">
        <f t="shared" si="50"/>
        <v>-1.7258476471094946</v>
      </c>
      <c r="W88" s="14">
        <f t="shared" si="61"/>
        <v>0.58719466019844979</v>
      </c>
      <c r="X88" s="73">
        <f t="shared" si="62"/>
        <v>0.97615314526967001</v>
      </c>
      <c r="Y88" s="24">
        <f>EXP(-$D$17)*(($B88*FixedParams!$B$30)^$B$10*(1+FixedParams!$C$24)^(1-$B$10)+(1-$B88)^$B$10*((1+FixedParams!$C$27)/$Z$12)^(1-$B$10))^(1/(1-$B$10))</f>
        <v>6.2893072074070098</v>
      </c>
      <c r="Z88" s="24">
        <f>EXP($D88-$D$17)*(($B88*FixedParams!$C$31)^$B$10*(1+FixedParams!$C$25)^(1-$B$10)+(1-$B88)^$B$10*((1+FixedParams!$C$28)/$Z$12)^(1-$B$10))^(1/(1-$B$10))</f>
        <v>5.2373395551891715</v>
      </c>
      <c r="AA88" s="24">
        <f>EXP($D88-$D$17)*(($B88*FixedParams!$C$30)^$B$10*(1+FixedParams!$C$23)^(1-$B$10)+(1-$B88)^$B$10*((1+FixedParams!$C$26)/$Z$12)^(1-$B$10))^(1/(1-$B$10))</f>
        <v>5.3273470657830897</v>
      </c>
      <c r="AB88">
        <f>IF(FixedParams!$I$6=1,IF(Z88&lt;=MIN(Y88:AA88),1,0),$H88)</f>
        <v>1</v>
      </c>
      <c r="AC88">
        <f>IF(FixedParams!$I$6=1,IF(AA88&lt;=MIN(Y88:AA88),1,0),IF(AA88&lt;=Y88,1,0)*(1-$H88))</f>
        <v>0</v>
      </c>
      <c r="AD88" s="24">
        <f>$Z$13*IF(AB88=1,1,IF(AC88=1,FixedParams!$C$52,FixedParams!$C$53))</f>
        <v>0.43187184563106507</v>
      </c>
      <c r="AE88">
        <f>EXP($C88*FixedParams!$B$47)*EXP(IF(AB88+AC88=1,(1-FixedParams!$B$47)*$D88,0))*($B88^((FixedParams!$B$47-1)*$B$10/($B$10-1)))*((1/$B88-1)^$B$10*(AD88)^($B$10-1)+1)^((FixedParams!$B$47-$B$10)/($B$10-1))/((1+IF(AB88=1,FixedParams!$C$25,IF(AC88=1,FixedParams!$C$23,FixedParams!$C$24)))^FixedParams!$B$47)</f>
        <v>4.2898332535678686E-2</v>
      </c>
      <c r="AF88">
        <f t="shared" si="63"/>
        <v>1.2640929316509149</v>
      </c>
      <c r="AG88">
        <f t="shared" si="64"/>
        <v>29.691601793074259</v>
      </c>
      <c r="AH88">
        <f t="shared" si="51"/>
        <v>77.341455733810449</v>
      </c>
      <c r="AI88">
        <f t="shared" si="65"/>
        <v>107.0330575268847</v>
      </c>
      <c r="AJ88" s="24">
        <f t="shared" si="66"/>
        <v>2.6048259798449407</v>
      </c>
      <c r="AK88" s="24">
        <f t="shared" si="67"/>
        <v>1.7492390536712707</v>
      </c>
      <c r="AL88" s="23">
        <f>IF(AB88=1,AG88*(1+FixedParams!$C$25)+AH88*(1+FixedParams!$C$28)/$Z$12,IF(AC88=1,AG88*(1+FixedParams!$C$23)+AH88*(1+FixedParams!$C$26)/$Z$12,AG88*(1+FixedParams!$C$24)+AH88*(1+FixedParams!$C$27)/$Z$12))</f>
        <v>285.69004561433479</v>
      </c>
      <c r="AM88" s="24">
        <f t="shared" si="68"/>
        <v>54.548696452433042</v>
      </c>
      <c r="AN88" s="24">
        <f>AM88^((FixedParams!$B$47-1)/FixedParams!$B$47)*EXP($C88)</f>
        <v>0.41018234303509565</v>
      </c>
      <c r="AO88" s="24">
        <f t="shared" si="69"/>
        <v>-5.6753851830879415E-2</v>
      </c>
      <c r="AP88" s="24">
        <f t="shared" si="70"/>
        <v>-2.4135793741352416E-2</v>
      </c>
      <c r="AQ88" s="14">
        <f t="shared" si="71"/>
        <v>-1.7969922589913798</v>
      </c>
      <c r="AS88" s="24">
        <f>EXP(-$D$17)*(($B88*FixedParams!$B$30)^$B$10*(1+FixedParams!$D$24)^(1-$B$10)+(1-$B88)^$B$10*((1+FixedParams!$D$27)/$AT$12)^(1-$B$10))^(1/(1-$B$10))</f>
        <v>5.9310645901181438</v>
      </c>
      <c r="AT88" s="24">
        <f>EXP($D88-$D$17)*(($B88*FixedParams!$C$31)^$B$10*(1+FixedParams!$D$25)^(1-$B$10)+(1-$B88)^$B$10*((1+FixedParams!$D$28)/$AT$12)^(1-$B$10))^(1/(1-$B$10))</f>
        <v>5.114305107067981</v>
      </c>
      <c r="AU88" s="24">
        <f>EXP($D88-$D$17)*(($B88*FixedParams!$C$30)^$B$10*(1+FixedParams!$D$23)^(1-$B$10)+(1-$B88)^$B$10*((1+FixedParams!$D$26)/$AT$12)^(1-$B$10))^(1/(1-$B$10))</f>
        <v>5.165189285888518</v>
      </c>
      <c r="AV88">
        <f>IF(FixedParams!$I$6=1,IF(AT88&lt;=MIN(AS88:AU88),1,0),$H88)</f>
        <v>1</v>
      </c>
      <c r="AW88">
        <f>IF(FixedParams!$I$6=1,IF(AU88&lt;=MIN(AS88:AU88),1,0),IF(AU88&lt;=AS88,1,0)*(1-$H88))</f>
        <v>0</v>
      </c>
      <c r="AX88" s="24">
        <f>$AT$13*IF(AV88=1,1,IF(AW88=1,FixedParams!$D$52,FixedParams!$D$53))</f>
        <v>0.41089128090616783</v>
      </c>
      <c r="AY88">
        <f>EXP($C88*FixedParams!$B$47)*EXP(IF(AV88+AW88=1,(1-FixedParams!$B$47)*$D88,0))*($B88^((FixedParams!$B$47-1)*$B$10/($B$10-1)))*((1/$B88-1)^$B$10*(AX88)^($B$10-1)+1)^((FixedParams!$B$47-$B$10)/($B$10-1))/((1+IF(AV88=1,FixedParams!$D$25,IF(AW88=1,FixedParams!$D$23,FixedParams!$D$24)))^FixedParams!$B$47)</f>
        <v>4.6830926915601666E-2</v>
      </c>
      <c r="AZ88">
        <f t="shared" si="52"/>
        <v>1.261043572622963</v>
      </c>
      <c r="BA88">
        <f t="shared" si="72"/>
        <v>31.727687631593124</v>
      </c>
      <c r="BB88">
        <f t="shared" si="53"/>
        <v>76.696436379035021</v>
      </c>
      <c r="BC88">
        <f t="shared" si="73"/>
        <v>108.42412401062815</v>
      </c>
      <c r="BD88" s="24">
        <f t="shared" si="74"/>
        <v>2.4173345775966313</v>
      </c>
      <c r="BE88" s="24">
        <f t="shared" si="75"/>
        <v>1.7318456740787533</v>
      </c>
      <c r="BF88" s="23">
        <f>IF(AV88=1,BA88*(1+FixedParams!$C$25)+BB88*(1+FixedParams!$C$28)/$AT$12,IF(AW88=1,BA88*(1+FixedParams!$C$23)+BB88*(1+FixedParams!$C$26)/$AT$12,BA88*(1+FixedParams!$C$24)+BB88*(1+FixedParams!$C$27)/$AT$12))</f>
        <v>283.10692016859576</v>
      </c>
      <c r="BG88" s="24">
        <f t="shared" si="76"/>
        <v>55.355891805778533</v>
      </c>
      <c r="BH88" s="24">
        <f>BG88^((FixedParams!$B$47-1)/FixedParams!$B$47)*EXP($C88)</f>
        <v>0.41017631176309738</v>
      </c>
      <c r="BI88" s="7"/>
      <c r="BJ88" s="24">
        <f>EXP(-$D$17)*(($B88*FixedParams!$B$30)^$B$10*(1+FixedParams!$C$24)^(1-$B$10)+(1-$B88)^$B$10*((1+FixedParams!$C$27)/$BK$12)^(1-$B$10))^(1/(1-$B$10))</f>
        <v>6.5682035687179221</v>
      </c>
      <c r="BK88" s="24">
        <f>EXP($D88-$D$17)*(($B88*FixedParams!$C$31)^$B$10*(1+FixedParams!$C$25)^(1-$B$10)+(1-$B88)^$B$10*((1+FixedParams!$C$28)/$BK$12)^(1-$B$10))^(1/(1-$B$10))</f>
        <v>5.4678817328516045</v>
      </c>
      <c r="BL88" s="24">
        <f>EXP($D88-$D$17)*(($B88*FixedParams!$C$30)^$B$10*(1+FixedParams!$C$23)^(1-$B$10)+(1-$B88)^$B$10*((1+FixedParams!$C$26)/$BK$12)^(1-$B$10))^(1/(1-$B$10))</f>
        <v>5.5579406211350948</v>
      </c>
      <c r="BM88">
        <f>IF(FixedParams!$I$6=1,IF(BK88&lt;=MIN(BJ88:BL88),1,0),$H88)</f>
        <v>1</v>
      </c>
      <c r="BN88">
        <f>IF(FixedParams!$I$6=1,IF(BL88&lt;=MIN(BJ88:BL88),1,0),IF(BL88&lt;=BJ88,1,0)*(1-$H88))</f>
        <v>0</v>
      </c>
      <c r="BO88" s="24">
        <f>$BK$13*IF(BM88=1,1,IF(BN88=1,FixedParams!$C$52,FixedParams!$C$53))</f>
        <v>0.41068174962109105</v>
      </c>
      <c r="BP88">
        <f>EXP($C88*FixedParams!$B$47)*EXP(IF(BM88+BN88=1,(1-FixedParams!$B$47)*$D88,0))*($B88^((FixedParams!$B$47-1)*$B$10/($B$10-1)))*((1/$B88-1)^$B$10*(BO88)^($B$10-1)+1)^((FixedParams!$B$47-$B$10)/($B$10-1))/((1+IF(BM88=1,FixedParams!$C$25,IF(BN88=1,FixedParams!$C$23,FixedParams!$C$24)))^FixedParams!$B$47)</f>
        <v>4.3834222747309068E-2</v>
      </c>
      <c r="BQ88">
        <f t="shared" si="77"/>
        <v>1.2610120596466929</v>
      </c>
      <c r="BR88">
        <f t="shared" si="78"/>
        <v>32.161051881647147</v>
      </c>
      <c r="BS88">
        <f t="shared" si="54"/>
        <v>77.684562773686707</v>
      </c>
      <c r="BT88">
        <f t="shared" si="79"/>
        <v>109.84561465533386</v>
      </c>
      <c r="BU88" s="24">
        <f t="shared" si="80"/>
        <v>2.4154857577285203</v>
      </c>
      <c r="BV88" s="24">
        <f t="shared" si="81"/>
        <v>1.7366330289164507</v>
      </c>
      <c r="BW88" s="23">
        <f>IF(BM88=1,BR88*(1+FixedParams!$C$25)+BS88*(1+FixedParams!$C$28)/$BK$12,IF(BN88=1,BR88*(1+FixedParams!$C$23)+BS88*(1+FixedParams!$C$26)/$BK$12,BR88*(1+FixedParams!$C$24)+BS88*(1+FixedParams!$C$27)/$BK$12))</f>
        <v>302.85694363214628</v>
      </c>
      <c r="BX88" s="24">
        <f t="shared" si="82"/>
        <v>55.388349351550545</v>
      </c>
      <c r="BY88" s="24">
        <f>BX88^((FixedParams!$B$47-1)/FixedParams!$B$47)*EXP($C88)</f>
        <v>0.41017607108892079</v>
      </c>
      <c r="BZ88" s="24">
        <f t="shared" si="83"/>
        <v>-3.0815710601263094E-2</v>
      </c>
      <c r="CA88" s="24">
        <f t="shared" si="84"/>
        <v>-8.8603382307570287E-3</v>
      </c>
      <c r="CB88" s="24">
        <f t="shared" si="85"/>
        <v>8.4681176886502226E-3</v>
      </c>
      <c r="CC88" s="24"/>
      <c r="CD88" s="24">
        <f>EXP(-$D$17)*(($B88*FixedParams!$B$30)^$B$10*(1+FixedParams!$D$24)^(1-$B$10)+(1-$B88)^$B$10*((1+FixedParams!$D$27)/$CE$12)^(1-$B$10))^(1/(1-$B$10))</f>
        <v>6.1751309339029943</v>
      </c>
      <c r="CE88" s="24">
        <f>EXP($D88-$D$17)*(($B88*FixedParams!$D$31)^$B$10*(1+FixedParams!$D$25)^(1-$B$10)+(1-$B88)^$B$10*((1+FixedParams!$D$28)/$CE$12)^(1-$B$10))^(1/(1-$B$10))</f>
        <v>5.3236904997725478</v>
      </c>
      <c r="CF88" s="24">
        <f>EXP($D88-$D$17)*(($B88*FixedParams!$D$30)^$B$10*(1+FixedParams!$D$23)^(1-$B$10)+(1-$B88)^$B$10*((1+FixedParams!$D$26)/$CE$12)^(1-$B$10))^(1/(1-$B$10))</f>
        <v>5.3738148748358574</v>
      </c>
      <c r="CG88">
        <f>IF(FixedParams!$I$6=1,IF(CE88&lt;=MIN(CD88:CF88),1,0),$H88)</f>
        <v>1</v>
      </c>
      <c r="CH88">
        <f>IF(FixedParams!$I$6=1,IF(CF88&lt;=MIN(CD88:CF88),1,0),IF(CF88&lt;=CD88,1,0)*(1-$H88))</f>
        <v>0</v>
      </c>
      <c r="CI88" s="24">
        <f>$CE$13*IF(CG88=1,1,IF(CH88=1,FixedParams!$D$52,FixedParams!$D$53))</f>
        <v>0.39201585704839609</v>
      </c>
      <c r="CJ88">
        <f>EXP($C88*FixedParams!$B$47)*EXP(IF(CG88+CH88=1,(1-FixedParams!$B$47)*$D88,0))*($B88^((FixedParams!$B$47-1)*$B$10/($B$10-1)))*((1/$B88-1)^$B$10*(CI88)^($B$10-1)+1)^((FixedParams!$B$47-$B$10)/($B$10-1))/((1+IF(CG88=1,FixedParams!$D$25,IF(CH88=1,FixedParams!$D$23,FixedParams!$D$24)))^FixedParams!$B$47)</f>
        <v>4.7781883253648232E-2</v>
      </c>
      <c r="CK88">
        <f t="shared" si="86"/>
        <v>1.2581141966848026</v>
      </c>
      <c r="CL88">
        <f t="shared" si="88"/>
        <v>34.372034363160687</v>
      </c>
      <c r="CM88">
        <f t="shared" si="55"/>
        <v>77.429608781464296</v>
      </c>
      <c r="CN88">
        <f t="shared" si="89"/>
        <v>111.80164314462499</v>
      </c>
      <c r="CO88" s="24">
        <f t="shared" si="90"/>
        <v>2.2526920566695328</v>
      </c>
      <c r="CP88" s="24">
        <f t="shared" si="91"/>
        <v>1.7199351171014823</v>
      </c>
      <c r="CQ88" s="23">
        <f>IF(CG88=1,CL88*(1+FixedParams!$D$25)+CM88*(1+FixedParams!$D$28)/$CE$12,IF(CH88=1,CL88*(1+FixedParams!$D$23)+CM88*(1+FixedParams!$D$26)/$CE$12,CL88*(1+FixedParams!$D$24)+CM88*(1+FixedParams!$D$27)/$CE$12))</f>
        <v>296.92787412773788</v>
      </c>
      <c r="CR88" s="24">
        <f t="shared" si="92"/>
        <v>55.774819017075465</v>
      </c>
      <c r="CS88" s="24">
        <f>CR88^((FixedParams!$B$47-1)/FixedParams!$B$47)*EXP($C88)</f>
        <v>0.41017321619772423</v>
      </c>
      <c r="CT88" s="24"/>
    </row>
    <row r="89" spans="1:98" x14ac:dyDescent="0.15">
      <c r="A89">
        <v>0.36</v>
      </c>
      <c r="B89">
        <f t="shared" si="56"/>
        <v>0.18749703188495886</v>
      </c>
      <c r="C89">
        <f>(D89-$D$17)*FixedParams!$B$47+$A89*$B$9</f>
        <v>-0.89964545793301975</v>
      </c>
      <c r="D89">
        <f>(A89-$B$6)*FixedParams!$B$46/(FixedParams!$B$45*Sectors!$B$6)</f>
        <v>-7.6069200184993149E-2</v>
      </c>
      <c r="E89">
        <f t="shared" si="57"/>
        <v>0.40671383134407396</v>
      </c>
      <c r="F89" s="24">
        <f>EXP(-$D$17)*(($B89*FixedParams!$B$30)^$B$10*(1+FixedParams!$B$23)^(1-$B$10)+(1-$B89)^$B$10*((1+FixedParams!$B$26)/$B$11)^(1-$B$10))^(1/(1-$B$10))</f>
        <v>4.859304493063088</v>
      </c>
      <c r="G89" s="24">
        <f>EXP($D89-$D$17)*(($B89*FixedParams!$B$31)^$B$10*(1+FixedParams!$B$25)^(1-$B$10)+(1-$B89)^$B$10*((1+FixedParams!$B$28)/$B$11)^(1-$B$10))^(1/(1-$B$10))</f>
        <v>4.345967323061072</v>
      </c>
      <c r="H89">
        <f t="shared" si="58"/>
        <v>1</v>
      </c>
      <c r="I89" s="24">
        <f>$B$12*IF(H89=1,1,FixedParams!$B$52)</f>
        <v>0.3745928365283252</v>
      </c>
      <c r="J89">
        <f>EXP($C89*FixedParams!$B$47)*EXP(IF(H89=1,(1-FixedParams!$B$47)*$D89,0))*($B89^((FixedParams!$B$47-1)*$B$10/($B$10-1)))*((1/$B89-1)^$B$10*(I89)^($B$10-1)+1)^((FixedParams!$B$47-$B$10)/($B$10-1))/((1+IF(H89=1,FixedParams!$B$25,FixedParams!$B$24))^FixedParams!$B$47)</f>
        <v>6.2390498772426223E-2</v>
      </c>
      <c r="K89">
        <f t="shared" si="87"/>
        <v>1.2579535735031449</v>
      </c>
      <c r="L89">
        <f>K89*FixedParams!$B$8/K$15</f>
        <v>36.572647032306278</v>
      </c>
      <c r="M89">
        <f t="shared" si="47"/>
        <v>75.638243511191689</v>
      </c>
      <c r="N89">
        <f t="shared" si="59"/>
        <v>112.21089054349797</v>
      </c>
      <c r="O89" s="24">
        <f t="shared" si="60"/>
        <v>2.0681643153796605</v>
      </c>
      <c r="P89" s="24">
        <f t="shared" si="48"/>
        <v>1.6993386684814933</v>
      </c>
      <c r="Q89" s="23">
        <f>IF(H89=1,L89*(1+FixedParams!$B$25)+M89*FixedParams!$B$33*(1+FixedParams!$B$28)/FixedParams!$B$32,L89*(1+FixedParams!$B$23)+M89*FixedParams!$B$33*(1+FixedParams!$B$26)/FixedParams!$B$32)</f>
        <v>238.91184888869714</v>
      </c>
      <c r="R89" s="24">
        <f t="shared" si="49"/>
        <v>54.973227161869254</v>
      </c>
      <c r="S89" s="24">
        <f>R89^((FixedParams!$B$47-1)/FixedParams!$B$47)*EXP($C89)</f>
        <v>0.40508582729596782</v>
      </c>
      <c r="T89" s="7">
        <f>(L89*FixedParams!$B$32*(FixedParams!$C$25-FixedParams!$C$23)+FixedParams!$B$33*(FixedParams!$C$28-FixedParams!$C$26)*M89)/N89</f>
        <v>-760.23282902125743</v>
      </c>
      <c r="U89" s="7">
        <f>(L89*FixedParams!$B$32*(FixedParams!$C$25-FixedParams!$C$23)*$Z$12/$B$11+FixedParams!$B$33*(FixedParams!$C$28-FixedParams!$C$26)*M89)/N89</f>
        <v>-1087.5730173872662</v>
      </c>
      <c r="V89" s="14">
        <f t="shared" si="50"/>
        <v>-1.7085770218134109</v>
      </c>
      <c r="W89" s="14">
        <f t="shared" si="61"/>
        <v>0.59269836557733158</v>
      </c>
      <c r="X89" s="73">
        <f t="shared" si="62"/>
        <v>0.97585150857756842</v>
      </c>
      <c r="Y89" s="24">
        <f>EXP(-$D$17)*(($B89*FixedParams!$B$30)^$B$10*(1+FixedParams!$C$24)^(1-$B$10)+(1-$B89)^$B$10*((1+FixedParams!$C$27)/$Z$12)^(1-$B$10))^(1/(1-$B$10))</f>
        <v>6.300075644139504</v>
      </c>
      <c r="Z89" s="24">
        <f>EXP($D89-$D$17)*(($B89*FixedParams!$C$31)^$B$10*(1+FixedParams!$C$25)^(1-$B$10)+(1-$B89)^$B$10*((1+FixedParams!$C$28)/$Z$12)^(1-$B$10))^(1/(1-$B$10))</f>
        <v>5.2594563135781787</v>
      </c>
      <c r="AA89" s="24">
        <f>EXP($D89-$D$17)*(($B89*FixedParams!$C$30)^$B$10*(1+FixedParams!$C$23)^(1-$B$10)+(1-$B89)^$B$10*((1+FixedParams!$C$26)/$Z$12)^(1-$B$10))^(1/(1-$B$10))</f>
        <v>5.347268172941777</v>
      </c>
      <c r="AB89">
        <f>IF(FixedParams!$I$6=1,IF(Z89&lt;=MIN(Y89:AA89),1,0),$H89)</f>
        <v>1</v>
      </c>
      <c r="AC89">
        <f>IF(FixedParams!$I$6=1,IF(AA89&lt;=MIN(Y89:AA89),1,0),IF(AA89&lt;=Y89,1,0)*(1-$H89))</f>
        <v>0</v>
      </c>
      <c r="AD89" s="24">
        <f>$Z$13*IF(AB89=1,1,IF(AC89=1,FixedParams!$C$52,FixedParams!$C$53))</f>
        <v>0.43187184563106507</v>
      </c>
      <c r="AE89">
        <f>EXP($C89*FixedParams!$B$47)*EXP(IF(AB89+AC89=1,(1-FixedParams!$B$47)*$D89,0))*($B89^((FixedParams!$B$47-1)*$B$10/($B$10-1)))*((1/$B89-1)^$B$10*(AD89)^($B$10-1)+1)^((FixedParams!$B$47-$B$10)/($B$10-1))/((1+IF(AB89=1,FixedParams!$C$25,IF(AC89=1,FixedParams!$C$23,FixedParams!$C$24)))^FixedParams!$B$47)</f>
        <v>4.2997877750547309E-2</v>
      </c>
      <c r="AF89">
        <f t="shared" si="63"/>
        <v>1.2670262485202928</v>
      </c>
      <c r="AG89">
        <f t="shared" si="64"/>
        <v>29.760500901864255</v>
      </c>
      <c r="AH89">
        <f t="shared" si="51"/>
        <v>76.193586045463633</v>
      </c>
      <c r="AI89">
        <f t="shared" si="65"/>
        <v>105.95408694732788</v>
      </c>
      <c r="AJ89" s="24">
        <f t="shared" si="66"/>
        <v>2.560225256178088</v>
      </c>
      <c r="AK89" s="24">
        <f t="shared" si="67"/>
        <v>1.7566259143296239</v>
      </c>
      <c r="AL89" s="23">
        <f>IF(AB89=1,AG89*(1+FixedParams!$C$25)+AH89*(1+FixedParams!$C$28)/$Z$12,IF(AC89=1,AG89*(1+FixedParams!$C$23)+AH89*(1+FixedParams!$C$26)/$Z$12,AG89*(1+FixedParams!$C$24)+AH89*(1+FixedParams!$C$27)/$Z$12))</f>
        <v>282.14725057503352</v>
      </c>
      <c r="AM89" s="24">
        <f t="shared" si="68"/>
        <v>53.645706657287469</v>
      </c>
      <c r="AN89" s="24">
        <f>AM89^((FixedParams!$B$47-1)/FixedParams!$B$47)*EXP($C89)</f>
        <v>0.40509573959048212</v>
      </c>
      <c r="AO89" s="24">
        <f t="shared" si="69"/>
        <v>-5.7374193773131535E-2</v>
      </c>
      <c r="AP89" s="24">
        <f t="shared" si="70"/>
        <v>-2.444484699479417E-2</v>
      </c>
      <c r="AQ89" s="14">
        <f t="shared" si="71"/>
        <v>-1.7797216336952961</v>
      </c>
      <c r="AS89" s="24">
        <f>EXP(-$D$17)*(($B89*FixedParams!$B$30)^$B$10*(1+FixedParams!$D$24)^(1-$B$10)+(1-$B89)^$B$10*((1+FixedParams!$D$27)/$AT$12)^(1-$B$10))^(1/(1-$B$10))</f>
        <v>5.9401944413656302</v>
      </c>
      <c r="AT89" s="24">
        <f>EXP($D89-$D$17)*(($B89*FixedParams!$C$31)^$B$10*(1+FixedParams!$D$25)^(1-$B$10)+(1-$B89)^$B$10*((1+FixedParams!$D$28)/$AT$12)^(1-$B$10))^(1/(1-$B$10))</f>
        <v>5.1353552915025915</v>
      </c>
      <c r="AU89" s="24">
        <f>EXP($D89-$D$17)*(($B89*FixedParams!$C$30)^$B$10*(1+FixedParams!$D$23)^(1-$B$10)+(1-$B89)^$B$10*((1+FixedParams!$D$26)/$AT$12)^(1-$B$10))^(1/(1-$B$10))</f>
        <v>5.1844387640146792</v>
      </c>
      <c r="AV89">
        <f>IF(FixedParams!$I$6=1,IF(AT89&lt;=MIN(AS89:AU89),1,0),$H89)</f>
        <v>1</v>
      </c>
      <c r="AW89">
        <f>IF(FixedParams!$I$6=1,IF(AU89&lt;=MIN(AS89:AU89),1,0),IF(AU89&lt;=AS89,1,0)*(1-$H89))</f>
        <v>0</v>
      </c>
      <c r="AX89" s="24">
        <f>$AT$13*IF(AV89=1,1,IF(AW89=1,FixedParams!$D$52,FixedParams!$D$53))</f>
        <v>0.41089128090616783</v>
      </c>
      <c r="AY89">
        <f>EXP($C89*FixedParams!$B$47)*EXP(IF(AV89+AW89=1,(1-FixedParams!$B$47)*$D89,0))*($B89^((FixedParams!$B$47-1)*$B$10/($B$10-1)))*((1/$B89-1)^$B$10*(AX89)^($B$10-1)+1)^((FixedParams!$B$47-$B$10)/($B$10-1))/((1+IF(AV89=1,FixedParams!$D$25,IF(AW89=1,FixedParams!$D$23,FixedParams!$D$24)))^FixedParams!$B$47)</f>
        <v>4.6937092907828083E-2</v>
      </c>
      <c r="AZ89">
        <f t="shared" si="52"/>
        <v>1.2639023659662922</v>
      </c>
      <c r="BA89">
        <f t="shared" si="72"/>
        <v>31.799614489768032</v>
      </c>
      <c r="BB89">
        <f t="shared" si="53"/>
        <v>75.554107892438466</v>
      </c>
      <c r="BC89">
        <f t="shared" si="73"/>
        <v>107.3537223822065</v>
      </c>
      <c r="BD89" s="24">
        <f t="shared" si="74"/>
        <v>2.3759441460131239</v>
      </c>
      <c r="BE89" s="24">
        <f t="shared" si="75"/>
        <v>1.7389738508473349</v>
      </c>
      <c r="BF89" s="23">
        <f>IF(AV89=1,BA89*(1+FixedParams!$C$25)+BB89*(1+FixedParams!$C$28)/$AT$12,IF(AW89=1,BA89*(1+FixedParams!$C$23)+BB89*(1+FixedParams!$C$26)/$AT$12,BA89*(1+FixedParams!$C$24)+BB89*(1+FixedParams!$C$27)/$AT$12))</f>
        <v>279.63535702018424</v>
      </c>
      <c r="BG89" s="24">
        <f t="shared" si="76"/>
        <v>54.452971829017045</v>
      </c>
      <c r="BH89" s="24">
        <f>BG89^((FixedParams!$B$47-1)/FixedParams!$B$47)*EXP($C89)</f>
        <v>0.40508968307486592</v>
      </c>
      <c r="BI89" s="7"/>
      <c r="BJ89" s="24">
        <f>EXP(-$D$17)*(($B89*FixedParams!$B$30)^$B$10*(1+FixedParams!$C$24)^(1-$B$10)+(1-$B89)^$B$10*((1+FixedParams!$C$27)/$BK$12)^(1-$B$10))^(1/(1-$B$10))</f>
        <v>6.5787670686370303</v>
      </c>
      <c r="BK89" s="24">
        <f>EXP($D89-$D$17)*(($B89*FixedParams!$C$31)^$B$10*(1+FixedParams!$C$25)^(1-$B$10)+(1-$B89)^$B$10*((1+FixedParams!$C$28)/$BK$12)^(1-$B$10))^(1/(1-$B$10))</f>
        <v>5.4903811749296576</v>
      </c>
      <c r="BL89" s="24">
        <f>EXP($D89-$D$17)*(($B89*FixedParams!$C$30)^$B$10*(1+FixedParams!$C$23)^(1-$B$10)+(1-$B89)^$B$10*((1+FixedParams!$C$26)/$BK$12)^(1-$B$10))^(1/(1-$B$10))</f>
        <v>5.5780762309622407</v>
      </c>
      <c r="BM89">
        <f>IF(FixedParams!$I$6=1,IF(BK89&lt;=MIN(BJ89:BL89),1,0),$H89)</f>
        <v>1</v>
      </c>
      <c r="BN89">
        <f>IF(FixedParams!$I$6=1,IF(BL89&lt;=MIN(BJ89:BL89),1,0),IF(BL89&lt;=BJ89,1,0)*(1-$H89))</f>
        <v>0</v>
      </c>
      <c r="BO89" s="24">
        <f>$BK$13*IF(BM89=1,1,IF(BN89=1,FixedParams!$C$52,FixedParams!$C$53))</f>
        <v>0.41068174962109105</v>
      </c>
      <c r="BP89">
        <f>EXP($C89*FixedParams!$B$47)*EXP(IF(BM89+BN89=1,(1-FixedParams!$B$47)*$D89,0))*($B89^((FixedParams!$B$47-1)*$B$10/($B$10-1)))*((1/$B89-1)^$B$10*(BO89)^($B$10-1)+1)^((FixedParams!$B$47-$B$10)/($B$10-1))/((1+IF(BM89=1,FixedParams!$C$25,IF(BN89=1,FixedParams!$C$23,FixedParams!$C$24)))^FixedParams!$B$47)</f>
        <v>4.3933570965761254E-2</v>
      </c>
      <c r="BQ89">
        <f t="shared" si="77"/>
        <v>1.2638700845806541</v>
      </c>
      <c r="BR89">
        <f t="shared" si="78"/>
        <v>32.233943403561632</v>
      </c>
      <c r="BS89">
        <f t="shared" si="54"/>
        <v>76.527474779449591</v>
      </c>
      <c r="BT89">
        <f t="shared" si="79"/>
        <v>108.76141818301122</v>
      </c>
      <c r="BU89" s="24">
        <f t="shared" si="80"/>
        <v>2.3741269822727871</v>
      </c>
      <c r="BV89" s="24">
        <f t="shared" si="81"/>
        <v>1.7437789907630983</v>
      </c>
      <c r="BW89" s="23">
        <f>IF(BM89=1,BR89*(1+FixedParams!$C$25)+BS89*(1+FixedParams!$C$28)/$BK$12,IF(BN89=1,BR89*(1+FixedParams!$C$23)+BS89*(1+FixedParams!$C$26)/$BK$12,BR89*(1+FixedParams!$C$24)+BS89*(1+FixedParams!$C$27)/$BK$12))</f>
        <v>299.10123254029003</v>
      </c>
      <c r="BX89" s="24">
        <f t="shared" si="82"/>
        <v>54.477316421317887</v>
      </c>
      <c r="BY89" s="24">
        <f>BX89^((FixedParams!$B$47-1)/FixedParams!$B$47)*EXP($C89)</f>
        <v>0.40508950182843934</v>
      </c>
      <c r="BZ89" s="24">
        <f t="shared" si="83"/>
        <v>-3.1223392802226031E-2</v>
      </c>
      <c r="CA89" s="24">
        <f t="shared" si="84"/>
        <v>-9.061885266196482E-3</v>
      </c>
      <c r="CB89" s="24">
        <f t="shared" si="85"/>
        <v>8.2665706532107693E-3</v>
      </c>
      <c r="CC89" s="24"/>
      <c r="CD89" s="24">
        <f>EXP(-$D$17)*(($B89*FixedParams!$B$30)^$B$10*(1+FixedParams!$D$24)^(1-$B$10)+(1-$B89)^$B$10*((1+FixedParams!$D$27)/$CE$12)^(1-$B$10))^(1/(1-$B$10))</f>
        <v>6.1840190360672951</v>
      </c>
      <c r="CE89" s="24">
        <f>EXP($D89-$D$17)*(($B89*FixedParams!$D$31)^$B$10*(1+FixedParams!$D$25)^(1-$B$10)+(1-$B89)^$B$10*((1+FixedParams!$D$28)/$CE$12)^(1-$B$10))^(1/(1-$B$10))</f>
        <v>5.3450555827947364</v>
      </c>
      <c r="CF89" s="24">
        <f>EXP($D89-$D$17)*(($B89*FixedParams!$D$30)^$B$10*(1+FixedParams!$D$23)^(1-$B$10)+(1-$B89)^$B$10*((1+FixedParams!$D$26)/$CE$12)^(1-$B$10))^(1/(1-$B$10))</f>
        <v>5.3932556508930576</v>
      </c>
      <c r="CG89">
        <f>IF(FixedParams!$I$6=1,IF(CE89&lt;=MIN(CD89:CF89),1,0),$H89)</f>
        <v>1</v>
      </c>
      <c r="CH89">
        <f>IF(FixedParams!$I$6=1,IF(CF89&lt;=MIN(CD89:CF89),1,0),IF(CF89&lt;=CD89,1,0)*(1-$H89))</f>
        <v>0</v>
      </c>
      <c r="CI89" s="24">
        <f>$CE$13*IF(CG89=1,1,IF(CH89=1,FixedParams!$D$52,FixedParams!$D$53))</f>
        <v>0.39201585704839609</v>
      </c>
      <c r="CJ89">
        <f>EXP($C89*FixedParams!$B$47)*EXP(IF(CG89+CH89=1,(1-FixedParams!$B$47)*$D89,0))*($B89^((FixedParams!$B$47-1)*$B$10/($B$10-1)))*((1/$B89-1)^$B$10*(CI89)^($B$10-1)+1)^((FixedParams!$B$47-$B$10)/($B$10-1))/((1+IF(CG89=1,FixedParams!$D$25,IF(CH89=1,FixedParams!$D$23,FixedParams!$D$24)))^FixedParams!$B$47)</f>
        <v>4.7887750234457203E-2</v>
      </c>
      <c r="CK89">
        <f t="shared" si="86"/>
        <v>1.2609017124218631</v>
      </c>
      <c r="CL89">
        <f t="shared" si="88"/>
        <v>34.448190078559627</v>
      </c>
      <c r="CM89">
        <f t="shared" si="55"/>
        <v>76.272450413140589</v>
      </c>
      <c r="CN89">
        <f t="shared" si="89"/>
        <v>110.72064049170021</v>
      </c>
      <c r="CO89" s="24">
        <f t="shared" si="90"/>
        <v>2.214120690788111</v>
      </c>
      <c r="CP89" s="24">
        <f t="shared" si="91"/>
        <v>1.7268375763205561</v>
      </c>
      <c r="CQ89" s="23">
        <f>IF(CG89=1,CL89*(1+FixedParams!$D$25)+CM89*(1+FixedParams!$D$28)/$CE$12,IF(CH89=1,CL89*(1+FixedParams!$D$23)+CM89*(1+FixedParams!$D$26)/$CE$12,CL89*(1+FixedParams!$D$24)+CM89*(1+FixedParams!$D$27)/$CE$12))</f>
        <v>293.24565939571374</v>
      </c>
      <c r="CR89" s="24">
        <f t="shared" si="92"/>
        <v>54.862976605827214</v>
      </c>
      <c r="CS89" s="24">
        <f>CR89^((FixedParams!$B$47-1)/FixedParams!$B$47)*EXP($C89)</f>
        <v>0.40508664133909295</v>
      </c>
      <c r="CT89" s="24"/>
    </row>
    <row r="90" spans="1:98" x14ac:dyDescent="0.15">
      <c r="A90">
        <v>0.36499999999999999</v>
      </c>
      <c r="B90">
        <f t="shared" si="56"/>
        <v>0.18925737281028676</v>
      </c>
      <c r="C90">
        <f>(D90-$D$17)*FixedParams!$B$47+$A90*$B$9</f>
        <v>-0.91214053373764503</v>
      </c>
      <c r="D90">
        <f>(A90-$B$6)*FixedParams!$B$46/(FixedParams!$B$45*Sectors!$B$6)</f>
        <v>-7.3352443035529097E-2</v>
      </c>
      <c r="E90">
        <f t="shared" si="57"/>
        <v>0.40166352885404127</v>
      </c>
      <c r="F90" s="24">
        <f>EXP(-$D$17)*(($B90*FixedParams!$B$30)^$B$10*(1+FixedParams!$B$23)^(1-$B$10)+(1-$B90)^$B$10*((1+FixedParams!$B$26)/$B$11)^(1-$B$10))^(1/(1-$B$10))</f>
        <v>4.8654655839625001</v>
      </c>
      <c r="G90" s="24">
        <f>EXP($D90-$D$17)*(($B90*FixedParams!$B$31)^$B$10*(1+FixedParams!$B$25)^(1-$B$10)+(1-$B90)^$B$10*((1+FixedParams!$B$28)/$B$11)^(1-$B$10))^(1/(1-$B$10))</f>
        <v>4.362896373890341</v>
      </c>
      <c r="H90">
        <f t="shared" si="58"/>
        <v>1</v>
      </c>
      <c r="I90" s="24">
        <f>$B$12*IF(H90=1,1,FixedParams!$B$52)</f>
        <v>0.3745928365283252</v>
      </c>
      <c r="J90">
        <f>EXP($C90*FixedParams!$B$47)*EXP(IF(H90=1,(1-FixedParams!$B$47)*$D90,0))*($B90^((FixedParams!$B$47-1)*$B$10/($B$10-1)))*((1/$B90-1)^$B$10*(I90)^($B$10-1)+1)^((FixedParams!$B$47-$B$10)/($B$10-1))/((1+IF(H90=1,FixedParams!$B$25,FixedParams!$B$24))^FixedParams!$B$47)</f>
        <v>6.2523161387455561E-2</v>
      </c>
      <c r="K90">
        <f t="shared" si="87"/>
        <v>1.2606283944122572</v>
      </c>
      <c r="L90">
        <f>K90*FixedParams!$B$8/K$15</f>
        <v>36.650412446741385</v>
      </c>
      <c r="M90">
        <f t="shared" si="47"/>
        <v>74.501217408483953</v>
      </c>
      <c r="N90">
        <f t="shared" si="59"/>
        <v>111.15162985522534</v>
      </c>
      <c r="O90" s="24">
        <f t="shared" si="60"/>
        <v>2.0327524967623636</v>
      </c>
      <c r="P90" s="24">
        <f t="shared" si="48"/>
        <v>1.705958182287364</v>
      </c>
      <c r="Q90" s="23">
        <f>IF(H90=1,L90*(1+FixedParams!$B$25)+M90*FixedParams!$B$33*(1+FixedParams!$B$28)/FixedParams!$B$32,L90*(1+FixedParams!$B$23)+M90*FixedParams!$B$33*(1+FixedParams!$B$26)/FixedParams!$B$32)</f>
        <v>235.94906556263413</v>
      </c>
      <c r="R90" s="24">
        <f t="shared" si="49"/>
        <v>54.080831938770352</v>
      </c>
      <c r="S90" s="24">
        <f>R90^((FixedParams!$B$47-1)/FixedParams!$B$47)*EXP($C90)</f>
        <v>0.40006229438908353</v>
      </c>
      <c r="T90" s="7">
        <f>(L90*FixedParams!$B$32*(FixedParams!$C$25-FixedParams!$C$23)+FixedParams!$B$33*(FixedParams!$C$28-FixedParams!$C$26)*M90)/N90</f>
        <v>-717.05758764627512</v>
      </c>
      <c r="U90" s="7">
        <f>(L90*FixedParams!$B$32*(FixedParams!$C$25-FixedParams!$C$23)*$Z$12/$B$11+FixedParams!$B$33*(FixedParams!$C$28-FixedParams!$C$26)*M90)/N90</f>
        <v>-1048.219951210868</v>
      </c>
      <c r="V90" s="14">
        <f t="shared" si="50"/>
        <v>-1.6913063965173274</v>
      </c>
      <c r="W90" s="14">
        <f t="shared" si="61"/>
        <v>0.59815011647372551</v>
      </c>
      <c r="X90" s="73">
        <f t="shared" si="62"/>
        <v>0.97554628590041625</v>
      </c>
      <c r="Y90" s="24">
        <f>EXP(-$D$17)*(($B90*FixedParams!$B$30)^$B$10*(1+FixedParams!$C$24)^(1-$B$10)+(1-$B90)^$B$10*((1+FixedParams!$C$27)/$Z$12)^(1-$B$10))^(1/(1-$B$10))</f>
        <v>6.3107967049417342</v>
      </c>
      <c r="Z90" s="24">
        <f>EXP($D90-$D$17)*(($B90*FixedParams!$C$31)^$B$10*(1+FixedParams!$C$25)^(1-$B$10)+(1-$B90)^$B$10*((1+FixedParams!$C$28)/$Z$12)^(1-$B$10))^(1/(1-$B$10))</f>
        <v>5.2815973298781698</v>
      </c>
      <c r="AA90" s="24">
        <f>EXP($D90-$D$17)*(($B90*FixedParams!$C$30)^$B$10*(1+FixedParams!$C$23)^(1-$B$10)+(1-$B90)^$B$10*((1+FixedParams!$C$26)/$Z$12)^(1-$B$10))^(1/(1-$B$10))</f>
        <v>5.3671621988446745</v>
      </c>
      <c r="AB90">
        <f>IF(FixedParams!$I$6=1,IF(Z90&lt;=MIN(Y90:AA90),1,0),$H90)</f>
        <v>1</v>
      </c>
      <c r="AC90">
        <f>IF(FixedParams!$I$6=1,IF(AA90&lt;=MIN(Y90:AA90),1,0),IF(AA90&lt;=Y90,1,0)*(1-$H90))</f>
        <v>0</v>
      </c>
      <c r="AD90" s="24">
        <f>$Z$13*IF(AB90=1,1,IF(AC90=1,FixedParams!$C$52,FixedParams!$C$53))</f>
        <v>0.43187184563106507</v>
      </c>
      <c r="AE90">
        <f>EXP($C90*FixedParams!$B$47)*EXP(IF(AB90+AC90=1,(1-FixedParams!$B$47)*$D90,0))*($B90^((FixedParams!$B$47-1)*$B$10/($B$10-1)))*((1/$B90-1)^$B$10*(AD90)^($B$10-1)+1)^((FixedParams!$B$47-$B$10)/($B$10-1))/((1+IF(AB90=1,FixedParams!$C$25,IF(AC90=1,FixedParams!$C$23,FixedParams!$C$24)))^FixedParams!$B$47)</f>
        <v>4.3096065776219036E-2</v>
      </c>
      <c r="AF90">
        <f t="shared" si="63"/>
        <v>1.2699195728498844</v>
      </c>
      <c r="AG90">
        <f t="shared" si="64"/>
        <v>29.828460647308169</v>
      </c>
      <c r="AH90">
        <f t="shared" si="51"/>
        <v>75.05998643869772</v>
      </c>
      <c r="AI90">
        <f t="shared" si="65"/>
        <v>104.8884470860059</v>
      </c>
      <c r="AJ90" s="24">
        <f t="shared" si="66"/>
        <v>2.5163882013962198</v>
      </c>
      <c r="AK90" s="24">
        <f t="shared" si="67"/>
        <v>1.7640208769803731</v>
      </c>
      <c r="AL90" s="23">
        <f>IF(AB90=1,AG90*(1+FixedParams!$C$25)+AH90*(1+FixedParams!$C$28)/$Z$12,IF(AC90=1,AG90*(1+FixedParams!$C$23)+AH90*(1+FixedParams!$C$26)/$Z$12,AG90*(1+FixedParams!$C$24)+AH90*(1+FixedParams!$C$27)/$Z$12))</f>
        <v>278.64838550385963</v>
      </c>
      <c r="AM90" s="24">
        <f t="shared" si="68"/>
        <v>52.758354736272025</v>
      </c>
      <c r="AN90" s="24">
        <f>AM90^((FixedParams!$B$47-1)/FixedParams!$B$47)*EXP($C90)</f>
        <v>0.40007220903739066</v>
      </c>
      <c r="AO90" s="24">
        <f t="shared" si="69"/>
        <v>-5.799792717082386E-2</v>
      </c>
      <c r="AP90" s="24">
        <f t="shared" si="70"/>
        <v>-2.4757671658740134E-2</v>
      </c>
      <c r="AQ90" s="14">
        <f t="shared" si="71"/>
        <v>-1.7624510083992122</v>
      </c>
      <c r="AS90" s="24">
        <f>EXP(-$D$17)*(($B90*FixedParams!$B$30)^$B$10*(1+FixedParams!$D$24)^(1-$B$10)+(1-$B90)^$B$10*((1+FixedParams!$D$27)/$AT$12)^(1-$B$10))^(1/(1-$B$10))</f>
        <v>5.9492634796541255</v>
      </c>
      <c r="AT90" s="24">
        <f>EXP($D90-$D$17)*(($B90*FixedParams!$C$31)^$B$10*(1+FixedParams!$D$25)^(1-$B$10)+(1-$B90)^$B$10*((1+FixedParams!$D$28)/$AT$12)^(1-$B$10))^(1/(1-$B$10))</f>
        <v>5.156417857920891</v>
      </c>
      <c r="AU90" s="24">
        <f>EXP($D90-$D$17)*(($B90*FixedParams!$C$30)^$B$10*(1+FixedParams!$D$23)^(1-$B$10)+(1-$B90)^$B$10*((1+FixedParams!$D$26)/$AT$12)^(1-$B$10))^(1/(1-$B$10))</f>
        <v>5.2036607234269328</v>
      </c>
      <c r="AV90">
        <f>IF(FixedParams!$I$6=1,IF(AT90&lt;=MIN(AS90:AU90),1,0),$H90)</f>
        <v>1</v>
      </c>
      <c r="AW90">
        <f>IF(FixedParams!$I$6=1,IF(AU90&lt;=MIN(AS90:AU90),1,0),IF(AU90&lt;=AS90,1,0)*(1-$H90))</f>
        <v>0</v>
      </c>
      <c r="AX90" s="24">
        <f>$AT$13*IF(AV90=1,1,IF(AW90=1,FixedParams!$D$52,FixedParams!$D$53))</f>
        <v>0.41089128090616783</v>
      </c>
      <c r="AY90">
        <f>EXP($C90*FixedParams!$B$47)*EXP(IF(AV90+AW90=1,(1-FixedParams!$B$47)*$D90,0))*($B90^((FixedParams!$B$47-1)*$B$10/($B$10-1)))*((1/$B90-1)^$B$10*(AX90)^($B$10-1)+1)^((FixedParams!$B$47-$B$10)/($B$10-1))/((1+IF(AV90=1,FixedParams!$D$25,IF(AW90=1,FixedParams!$D$23,FixedParams!$D$24)))^FixedParams!$B$47)</f>
        <v>4.7041735095746537E-2</v>
      </c>
      <c r="AZ90">
        <f t="shared" si="52"/>
        <v>1.2667201269458599</v>
      </c>
      <c r="BA90">
        <f t="shared" si="72"/>
        <v>31.870508979158483</v>
      </c>
      <c r="BB90">
        <f t="shared" si="53"/>
        <v>74.426001784838007</v>
      </c>
      <c r="BC90">
        <f t="shared" si="73"/>
        <v>106.29651076399649</v>
      </c>
      <c r="BD90" s="24">
        <f t="shared" si="74"/>
        <v>2.3352624155926853</v>
      </c>
      <c r="BE90" s="24">
        <f t="shared" si="75"/>
        <v>1.7461062204992974</v>
      </c>
      <c r="BF90" s="23">
        <f>IF(AV90=1,BA90*(1+FixedParams!$C$25)+BB90*(1+FixedParams!$C$28)/$AT$12,IF(AW90=1,BA90*(1+FixedParams!$C$23)+BB90*(1+FixedParams!$C$26)/$AT$12,BA90*(1+FixedParams!$C$24)+BB90*(1+FixedParams!$C$27)/$AT$12))</f>
        <v>276.20682874320664</v>
      </c>
      <c r="BG90" s="24">
        <f t="shared" si="76"/>
        <v>53.565641178384922</v>
      </c>
      <c r="BH90" s="24">
        <f>BG90^((FixedParams!$B$47-1)/FixedParams!$B$47)*EXP($C90)</f>
        <v>0.40006612762709054</v>
      </c>
      <c r="BI90" s="7"/>
      <c r="BJ90" s="24">
        <f>EXP(-$D$17)*(($B90*FixedParams!$B$30)^$B$10*(1+FixedParams!$C$24)^(1-$B$10)+(1-$B90)^$B$10*((1+FixedParams!$C$27)/$BK$12)^(1-$B$10))^(1/(1-$B$10))</f>
        <v>6.589270278761477</v>
      </c>
      <c r="BK90" s="24">
        <f>EXP($D90-$D$17)*(($B90*FixedParams!$C$31)^$B$10*(1+FixedParams!$C$25)^(1-$B$10)+(1-$B90)^$B$10*((1+FixedParams!$C$28)/$BK$12)^(1-$B$10))^(1/(1-$B$10))</f>
        <v>5.5128937311072965</v>
      </c>
      <c r="BL90" s="24">
        <f>EXP($D90-$D$17)*(($B90*FixedParams!$C$30)^$B$10*(1+FixedParams!$C$23)^(1-$B$10)+(1-$B90)^$B$10*((1+FixedParams!$C$26)/$BK$12)^(1-$B$10))^(1/(1-$B$10))</f>
        <v>5.5981711646378001</v>
      </c>
      <c r="BM90">
        <f>IF(FixedParams!$I$6=1,IF(BK90&lt;=MIN(BJ90:BL90),1,0),$H90)</f>
        <v>1</v>
      </c>
      <c r="BN90">
        <f>IF(FixedParams!$I$6=1,IF(BL90&lt;=MIN(BJ90:BL90),1,0),IF(BL90&lt;=BJ90,1,0)*(1-$H90))</f>
        <v>0</v>
      </c>
      <c r="BO90" s="24">
        <f>$BK$13*IF(BM90=1,1,IF(BN90=1,FixedParams!$C$52,FixedParams!$C$53))</f>
        <v>0.41068174962109105</v>
      </c>
      <c r="BP90">
        <f>EXP($C90*FixedParams!$B$47)*EXP(IF(BM90+BN90=1,(1-FixedParams!$B$47)*$D90,0))*($B90^((FixedParams!$B$47-1)*$B$10/($B$10-1)))*((1/$B90-1)^$B$10*(BO90)^($B$10-1)+1)^((FixedParams!$B$47-$B$10)/($B$10-1))/((1+IF(BM90=1,FixedParams!$C$25,IF(BN90=1,FixedParams!$C$23,FixedParams!$C$24)))^FixedParams!$B$47)</f>
        <v>4.4031492482421331E-2</v>
      </c>
      <c r="BQ90">
        <f t="shared" si="77"/>
        <v>1.2666870665109391</v>
      </c>
      <c r="BR90">
        <f t="shared" si="78"/>
        <v>32.305788158190666</v>
      </c>
      <c r="BS90">
        <f t="shared" si="54"/>
        <v>75.38479315062375</v>
      </c>
      <c r="BT90">
        <f t="shared" si="79"/>
        <v>107.69058130881442</v>
      </c>
      <c r="BU90" s="24">
        <f t="shared" si="80"/>
        <v>2.3334763659530475</v>
      </c>
      <c r="BV90" s="24">
        <f t="shared" si="81"/>
        <v>1.7509291177288173</v>
      </c>
      <c r="BW90" s="23">
        <f>IF(BM90=1,BR90*(1+FixedParams!$C$25)+BS90*(1+FixedParams!$C$28)/$BK$12,IF(BN90=1,BR90*(1+FixedParams!$C$23)+BS90*(1+FixedParams!$C$26)/$BK$12,BR90*(1+FixedParams!$C$24)+BS90*(1+FixedParams!$C$27)/$BK$12))</f>
        <v>295.39209154213057</v>
      </c>
      <c r="BX90" s="24">
        <f t="shared" si="82"/>
        <v>53.582039841497071</v>
      </c>
      <c r="BY90" s="24">
        <f>BX90^((FixedParams!$B$47-1)/FixedParams!$B$47)*EXP($C90)</f>
        <v>0.40006600504644757</v>
      </c>
      <c r="BZ90" s="24">
        <f t="shared" si="83"/>
        <v>-3.1633176558022919E-2</v>
      </c>
      <c r="CA90" s="24">
        <f t="shared" si="84"/>
        <v>-9.2658807578545246E-3</v>
      </c>
      <c r="CB90" s="24">
        <f t="shared" si="85"/>
        <v>8.0625751615527267E-3</v>
      </c>
      <c r="CC90" s="24"/>
      <c r="CD90" s="24">
        <f>EXP(-$D$17)*(($B90*FixedParams!$B$30)^$B$10*(1+FixedParams!$D$24)^(1-$B$10)+(1-$B90)^$B$10*((1+FixedParams!$D$27)/$CE$12)^(1-$B$10))^(1/(1-$B$10))</f>
        <v>6.1928343623198572</v>
      </c>
      <c r="CE90" s="24">
        <f>EXP($D90-$D$17)*(($B90*FixedParams!$D$31)^$B$10*(1+FixedParams!$D$25)^(1-$B$10)+(1-$B90)^$B$10*((1+FixedParams!$D$28)/$CE$12)^(1-$B$10))^(1/(1-$B$10))</f>
        <v>5.3664224257719795</v>
      </c>
      <c r="CF90" s="24">
        <f>EXP($D90-$D$17)*(($B90*FixedParams!$D$30)^$B$10*(1+FixedParams!$D$23)^(1-$B$10)+(1-$B90)^$B$10*((1+FixedParams!$D$26)/$CE$12)^(1-$B$10))^(1/(1-$B$10))</f>
        <v>5.4126565708839163</v>
      </c>
      <c r="CG90">
        <f>IF(FixedParams!$I$6=1,IF(CE90&lt;=MIN(CD90:CF90),1,0),$H90)</f>
        <v>1</v>
      </c>
      <c r="CH90">
        <f>IF(FixedParams!$I$6=1,IF(CF90&lt;=MIN(CD90:CF90),1,0),IF(CF90&lt;=CD90,1,0)*(1-$H90))</f>
        <v>0</v>
      </c>
      <c r="CI90" s="24">
        <f>$CE$13*IF(CG90=1,1,IF(CH90=1,FixedParams!$D$52,FixedParams!$D$53))</f>
        <v>0.39201585704839609</v>
      </c>
      <c r="CJ90">
        <f>EXP($C90*FixedParams!$B$47)*EXP(IF(CG90+CH90=1,(1-FixedParams!$B$47)*$D90,0))*($B90^((FixedParams!$B$47-1)*$B$10/($B$10-1)))*((1/$B90-1)^$B$10*(CI90)^($B$10-1)+1)^((FixedParams!$B$47-$B$10)/($B$10-1))/((1+IF(CG90=1,FixedParams!$D$25,IF(CH90=1,FixedParams!$D$23,FixedParams!$D$24)))^FixedParams!$B$47)</f>
        <v>4.7992021635189258E-2</v>
      </c>
      <c r="CK90">
        <f t="shared" si="86"/>
        <v>1.2636472159607841</v>
      </c>
      <c r="CL90">
        <f t="shared" si="88"/>
        <v>34.523198008867254</v>
      </c>
      <c r="CM90">
        <f t="shared" si="55"/>
        <v>75.129720351814782</v>
      </c>
      <c r="CN90">
        <f t="shared" si="89"/>
        <v>109.65291836068204</v>
      </c>
      <c r="CO90" s="24">
        <f t="shared" si="90"/>
        <v>2.1762097570601013</v>
      </c>
      <c r="CP90" s="24">
        <f t="shared" si="91"/>
        <v>1.7337406041317567</v>
      </c>
      <c r="CQ90" s="23">
        <f>IF(CG90=1,CL90*(1+FixedParams!$D$25)+CM90*(1+FixedParams!$D$28)/$CE$12,IF(CH90=1,CL90*(1+FixedParams!$D$23)+CM90*(1+FixedParams!$D$26)/$CE$12,CL90*(1+FixedParams!$D$24)+CM90*(1+FixedParams!$D$27)/$CE$12))</f>
        <v>289.60910342719632</v>
      </c>
      <c r="CR90" s="24">
        <f t="shared" si="92"/>
        <v>53.966885282150514</v>
      </c>
      <c r="CS90" s="24">
        <f>CR90^((FixedParams!$B$47-1)/FixedParams!$B$47)*EXP($C90)</f>
        <v>0.40006313904288165</v>
      </c>
      <c r="CT90" s="24"/>
    </row>
    <row r="91" spans="1:98" x14ac:dyDescent="0.15">
      <c r="A91">
        <v>0.37</v>
      </c>
      <c r="B91">
        <f t="shared" si="56"/>
        <v>0.19103035516587774</v>
      </c>
      <c r="C91">
        <f>(D91-$D$17)*FixedParams!$B$47+$A91*$B$9</f>
        <v>-0.92463560954227031</v>
      </c>
      <c r="D91">
        <f>(A91-$B$6)*FixedParams!$B$46/(FixedParams!$B$45*Sectors!$B$6)</f>
        <v>-7.0635685886065058E-2</v>
      </c>
      <c r="E91">
        <f t="shared" si="57"/>
        <v>0.39667593766929304</v>
      </c>
      <c r="F91" s="24">
        <f>EXP(-$D$17)*(($B91*FixedParams!$B$30)^$B$10*(1+FixedParams!$B$23)^(1-$B$10)+(1-$B91)^$B$10*((1+FixedParams!$B$26)/$B$11)^(1-$B$10))^(1/(1-$B$10))</f>
        <v>4.8715555429028141</v>
      </c>
      <c r="G91" s="24">
        <f>EXP($D91-$D$17)*(($B91*FixedParams!$B$31)^$B$10*(1+FixedParams!$B$25)^(1-$B$10)+(1-$B91)^$B$10*((1+FixedParams!$B$28)/$B$11)^(1-$B$10))^(1/(1-$B$10))</f>
        <v>4.3798153384313423</v>
      </c>
      <c r="H91">
        <f t="shared" si="58"/>
        <v>1</v>
      </c>
      <c r="I91" s="24">
        <f>$B$12*IF(H91=1,1,FixedParams!$B$52)</f>
        <v>0.3745928365283252</v>
      </c>
      <c r="J91">
        <f>EXP($C91*FixedParams!$B$47)*EXP(IF(H91=1,(1-FixedParams!$B$47)*$D91,0))*($B91^((FixedParams!$B$47-1)*$B$10/($B$10-1)))*((1/$B91-1)^$B$10*(I91)^($B$10-1)+1)^((FixedParams!$B$47-$B$10)/($B$10-1))/((1+IF(H91=1,FixedParams!$B$25,FixedParams!$B$24))^FixedParams!$B$47)</f>
        <v>6.2653649495921851E-2</v>
      </c>
      <c r="K91">
        <f t="shared" si="87"/>
        <v>1.2632593716535767</v>
      </c>
      <c r="L91">
        <f>K91*FixedParams!$B$8/K$15</f>
        <v>36.726903188549009</v>
      </c>
      <c r="M91">
        <f t="shared" si="47"/>
        <v>73.37840646525585</v>
      </c>
      <c r="N91">
        <f t="shared" si="59"/>
        <v>110.10530965380485</v>
      </c>
      <c r="O91" s="24">
        <f t="shared" si="60"/>
        <v>1.9979470114467566</v>
      </c>
      <c r="P91" s="24">
        <f t="shared" si="48"/>
        <v>1.7125737522026343</v>
      </c>
      <c r="Q91" s="23">
        <f>IF(H91=1,L91*(1+FixedParams!$B$25)+M91*FixedParams!$B$33*(1+FixedParams!$B$28)/FixedParams!$B$32,L91*(1+FixedParams!$B$23)+M91*FixedParams!$B$33*(1+FixedParams!$B$26)/FixedParams!$B$32)</f>
        <v>233.02302013239529</v>
      </c>
      <c r="R91" s="24">
        <f t="shared" si="49"/>
        <v>53.203845853431325</v>
      </c>
      <c r="S91" s="24">
        <f>R91^((FixedParams!$B$47-1)/FixedParams!$B$47)*EXP($C91)</f>
        <v>0.39510105224338282</v>
      </c>
      <c r="T91" s="7">
        <f>(L91*FixedParams!$B$32*(FixedParams!$C$25-FixedParams!$C$23)+FixedParams!$B$33*(FixedParams!$C$28-FixedParams!$C$26)*M91)/N91</f>
        <v>-673.62768068234027</v>
      </c>
      <c r="U91" s="7">
        <f>(L91*FixedParams!$B$32*(FixedParams!$C$25-FixedParams!$C$23)*$Z$12/$B$11+FixedParams!$B$33*(FixedParams!$C$28-FixedParams!$C$26)*M91)/N91</f>
        <v>-1008.6347642296812</v>
      </c>
      <c r="V91" s="14">
        <f t="shared" si="50"/>
        <v>-1.6740357712212435</v>
      </c>
      <c r="W91" s="14">
        <f t="shared" si="61"/>
        <v>0.60355054759097237</v>
      </c>
      <c r="X91" s="73">
        <f t="shared" si="62"/>
        <v>0.97523745925377037</v>
      </c>
      <c r="Y91" s="24">
        <f>EXP(-$D$17)*(($B91*FixedParams!$B$30)^$B$10*(1+FixedParams!$C$24)^(1-$B$10)+(1-$B91)^$B$10*((1+FixedParams!$C$27)/$Z$12)^(1-$B$10))^(1/(1-$B$10))</f>
        <v>6.3214672132692433</v>
      </c>
      <c r="Z91" s="24">
        <f>EXP($D91-$D$17)*(($B91*FixedParams!$C$31)^$B$10*(1+FixedParams!$C$25)^(1-$B$10)+(1-$B91)^$B$10*((1+FixedParams!$C$28)/$Z$12)^(1-$B$10))^(1/(1-$B$10))</f>
        <v>5.3037596240344049</v>
      </c>
      <c r="AA91" s="24">
        <f>EXP($D91-$D$17)*(($B91*FixedParams!$C$30)^$B$10*(1+FixedParams!$C$23)^(1-$B$10)+(1-$B91)^$B$10*((1+FixedParams!$C$26)/$Z$12)^(1-$B$10))^(1/(1-$B$10))</f>
        <v>5.387025571775057</v>
      </c>
      <c r="AB91">
        <f>IF(FixedParams!$I$6=1,IF(Z91&lt;=MIN(Y91:AA91),1,0),$H91)</f>
        <v>1</v>
      </c>
      <c r="AC91">
        <f>IF(FixedParams!$I$6=1,IF(AA91&lt;=MIN(Y91:AA91),1,0),IF(AA91&lt;=Y91,1,0)*(1-$H91))</f>
        <v>0</v>
      </c>
      <c r="AD91" s="24">
        <f>$Z$13*IF(AB91=1,1,IF(AC91=1,FixedParams!$C$52,FixedParams!$C$53))</f>
        <v>0.43187184563106507</v>
      </c>
      <c r="AE91">
        <f>EXP($C91*FixedParams!$B$47)*EXP(IF(AB91+AC91=1,(1-FixedParams!$B$47)*$D91,0))*($B91^((FixedParams!$B$47-1)*$B$10/($B$10-1)))*((1/$B91-1)^$B$10*(AD91)^($B$10-1)+1)^((FixedParams!$B$47-$B$10)/($B$10-1))/((1+IF(AB91=1,FixedParams!$C$25,IF(AC91=1,FixedParams!$C$23,FixedParams!$C$24)))^FixedParams!$B$47)</f>
        <v>4.3192866640220415E-2</v>
      </c>
      <c r="AF91">
        <f t="shared" si="63"/>
        <v>1.2727720214353877</v>
      </c>
      <c r="AG91">
        <f t="shared" si="64"/>
        <v>29.895460284293222</v>
      </c>
      <c r="AH91">
        <f t="shared" si="51"/>
        <v>73.940493930239171</v>
      </c>
      <c r="AI91">
        <f t="shared" si="65"/>
        <v>103.83595421453239</v>
      </c>
      <c r="AJ91" s="24">
        <f t="shared" si="66"/>
        <v>2.4733017396988122</v>
      </c>
      <c r="AK91" s="24">
        <f t="shared" si="67"/>
        <v>1.7714229463036475</v>
      </c>
      <c r="AL91" s="23">
        <f>IF(AB91=1,AG91*(1+FixedParams!$C$25)+AH91*(1+FixedParams!$C$28)/$Z$12,IF(AC91=1,AG91*(1+FixedParams!$C$23)+AH91*(1+FixedParams!$C$26)/$Z$12,AG91*(1+FixedParams!$C$24)+AH91*(1+FixedParams!$C$27)/$Z$12))</f>
        <v>275.19290559322377</v>
      </c>
      <c r="AM91" s="24">
        <f t="shared" si="68"/>
        <v>51.886383452629609</v>
      </c>
      <c r="AN91" s="24">
        <f>AM91^((FixedParams!$B$47-1)/FixedParams!$B$47)*EXP($C91)</f>
        <v>0.39511096916287042</v>
      </c>
      <c r="AO91" s="24">
        <f t="shared" si="69"/>
        <v>-5.8624977831979175E-2</v>
      </c>
      <c r="AP91" s="24">
        <f t="shared" si="70"/>
        <v>-2.5074289684692969E-2</v>
      </c>
      <c r="AQ91" s="14">
        <f t="shared" si="71"/>
        <v>-1.7451803831031285</v>
      </c>
      <c r="AS91" s="24">
        <f>EXP(-$D$17)*(($B91*FixedParams!$B$30)^$B$10*(1+FixedParams!$D$24)^(1-$B$10)+(1-$B91)^$B$10*((1+FixedParams!$D$27)/$AT$12)^(1-$B$10))^(1/(1-$B$10))</f>
        <v>5.9582685926612147</v>
      </c>
      <c r="AT91" s="24">
        <f>EXP($D91-$D$17)*(($B91*FixedParams!$C$31)^$B$10*(1+FixedParams!$D$25)^(1-$B$10)+(1-$B91)^$B$10*((1+FixedParams!$D$28)/$AT$12)^(1-$B$10))^(1/(1-$B$10))</f>
        <v>5.1774897662209067</v>
      </c>
      <c r="AU91" s="24">
        <f>EXP($D91-$D$17)*(($B91*FixedParams!$C$30)^$B$10*(1+FixedParams!$D$23)^(1-$B$10)+(1-$B91)^$B$10*((1+FixedParams!$D$26)/$AT$12)^(1-$B$10))^(1/(1-$B$10))</f>
        <v>5.2228516897963537</v>
      </c>
      <c r="AV91">
        <f>IF(FixedParams!$I$6=1,IF(AT91&lt;=MIN(AS91:AU91),1,0),$H91)</f>
        <v>1</v>
      </c>
      <c r="AW91">
        <f>IF(FixedParams!$I$6=1,IF(AU91&lt;=MIN(AS91:AU91),1,0),IF(AU91&lt;=AS91,1,0)*(1-$H91))</f>
        <v>0</v>
      </c>
      <c r="AX91" s="24">
        <f>$AT$13*IF(AV91=1,1,IF(AW91=1,FixedParams!$D$52,FixedParams!$D$53))</f>
        <v>0.41089128090616783</v>
      </c>
      <c r="AY91">
        <f>EXP($C91*FixedParams!$B$47)*EXP(IF(AV91+AW91=1,(1-FixedParams!$B$47)*$D91,0))*($B91^((FixedParams!$B$47-1)*$B$10/($B$10-1)))*((1/$B91-1)^$B$10*(AX91)^($B$10-1)+1)^((FixedParams!$B$47-$B$10)/($B$10-1))/((1+IF(AV91=1,FixedParams!$D$25,IF(AW91=1,FixedParams!$D$23,FixedParams!$D$24)))^FixedParams!$B$47)</f>
        <v>4.7144820611191122E-2</v>
      </c>
      <c r="AZ91">
        <f t="shared" si="52"/>
        <v>1.2694959705014701</v>
      </c>
      <c r="BA91">
        <f t="shared" si="72"/>
        <v>31.940348831768318</v>
      </c>
      <c r="BB91">
        <f t="shared" si="53"/>
        <v>73.311956085271035</v>
      </c>
      <c r="BC91">
        <f t="shared" si="73"/>
        <v>105.25230491703935</v>
      </c>
      <c r="BD91" s="24">
        <f t="shared" si="74"/>
        <v>2.2952772517109747</v>
      </c>
      <c r="BE91" s="24">
        <f t="shared" si="75"/>
        <v>1.7532417535717244</v>
      </c>
      <c r="BF91" s="23">
        <f>IF(AV91=1,BA91*(1+FixedParams!$C$25)+BB91*(1+FixedParams!$C$28)/$AT$12,IF(AW91=1,BA91*(1+FixedParams!$C$23)+BB91*(1+FixedParams!$C$26)/$AT$12,BA91*(1+FixedParams!$C$24)+BB91*(1+FixedParams!$C$27)/$AT$12))</f>
        <v>272.82079867673582</v>
      </c>
      <c r="BG91" s="24">
        <f t="shared" si="76"/>
        <v>52.693643250959056</v>
      </c>
      <c r="BH91" s="24">
        <f>BG91^((FixedParams!$B$47-1)/FixedParams!$B$47)*EXP($C91)</f>
        <v>0.39510486321009464</v>
      </c>
      <c r="BI91" s="7"/>
      <c r="BJ91" s="24">
        <f>EXP(-$D$17)*(($B91*FixedParams!$B$30)^$B$10*(1+FixedParams!$C$24)^(1-$B$10)+(1-$B91)^$B$10*((1+FixedParams!$C$27)/$BK$12)^(1-$B$10))^(1/(1-$B$10))</f>
        <v>6.59970980094963</v>
      </c>
      <c r="BK91" s="24">
        <f>EXP($D91-$D$17)*(($B91*FixedParams!$C$31)^$B$10*(1+FixedParams!$C$25)^(1-$B$10)+(1-$B91)^$B$10*((1+FixedParams!$C$28)/$BK$12)^(1-$B$10))^(1/(1-$B$10))</f>
        <v>5.5354161497180119</v>
      </c>
      <c r="BL91" s="24">
        <f>EXP($D91-$D$17)*(($B91*FixedParams!$C$30)^$B$10*(1+FixedParams!$C$23)^(1-$B$10)+(1-$B91)^$B$10*((1+FixedParams!$C$26)/$BK$12)^(1-$B$10))^(1/(1-$B$10))</f>
        <v>5.6182215881450865</v>
      </c>
      <c r="BM91">
        <f>IF(FixedParams!$I$6=1,IF(BK91&lt;=MIN(BJ91:BL91),1,0),$H91)</f>
        <v>1</v>
      </c>
      <c r="BN91">
        <f>IF(FixedParams!$I$6=1,IF(BL91&lt;=MIN(BJ91:BL91),1,0),IF(BL91&lt;=BJ91,1,0)*(1-$H91))</f>
        <v>0</v>
      </c>
      <c r="BO91" s="24">
        <f>$BK$13*IF(BM91=1,1,IF(BN91=1,FixedParams!$C$52,FixedParams!$C$53))</f>
        <v>0.41068174962109105</v>
      </c>
      <c r="BP91">
        <f>EXP($C91*FixedParams!$B$47)*EXP(IF(BM91+BN91=1,(1-FixedParams!$B$47)*$D91,0))*($B91^((FixedParams!$B$47-1)*$B$10/($B$10-1)))*((1/$B91-1)^$B$10*(BO91)^($B$10-1)+1)^((FixedParams!$B$47-$B$10)/($B$10-1))/((1+IF(BM91=1,FixedParams!$C$25,IF(BN91=1,FixedParams!$C$23,FixedParams!$C$24)))^FixedParams!$B$47)</f>
        <v>4.4127956531036593E-2</v>
      </c>
      <c r="BQ91">
        <f t="shared" si="77"/>
        <v>1.2694621203616123</v>
      </c>
      <c r="BR91">
        <f t="shared" si="78"/>
        <v>32.37656357241697</v>
      </c>
      <c r="BS91">
        <f t="shared" si="54"/>
        <v>74.256353825806414</v>
      </c>
      <c r="BT91">
        <f t="shared" si="79"/>
        <v>106.63291739822338</v>
      </c>
      <c r="BU91" s="24">
        <f t="shared" si="80"/>
        <v>2.2935217834257338</v>
      </c>
      <c r="BV91" s="24">
        <f t="shared" si="81"/>
        <v>1.7580823770642295</v>
      </c>
      <c r="BW91" s="23">
        <f>IF(BM91=1,BR91*(1+FixedParams!$C$25)+BS91*(1+FixedParams!$C$28)/$BK$12,IF(BN91=1,BR91*(1+FixedParams!$C$23)+BS91*(1+FixedParams!$C$26)/$BK$12,BR91*(1+FixedParams!$C$24)+BS91*(1+FixedParams!$C$27)/$BK$12))</f>
        <v>291.72894309036019</v>
      </c>
      <c r="BX91" s="24">
        <f t="shared" si="82"/>
        <v>52.702260354033477</v>
      </c>
      <c r="BY91" s="24">
        <f>BX91^((FixedParams!$B$47-1)/FixedParams!$B$47)*EXP($C91)</f>
        <v>0.39510479853837566</v>
      </c>
      <c r="BZ91" s="24">
        <f t="shared" si="83"/>
        <v>-3.2045010635115792E-2</v>
      </c>
      <c r="CA91" s="24">
        <f t="shared" si="84"/>
        <v>-9.4723386168979531E-3</v>
      </c>
      <c r="CB91" s="24">
        <f t="shared" si="85"/>
        <v>7.8561173025092981E-3</v>
      </c>
      <c r="CC91" s="24"/>
      <c r="CD91" s="24">
        <f>EXP(-$D$17)*(($B91*FixedParams!$B$30)^$B$10*(1+FixedParams!$D$24)^(1-$B$10)+(1-$B91)^$B$10*((1+FixedParams!$D$27)/$CE$12)^(1-$B$10))^(1/(1-$B$10))</f>
        <v>6.201573612762461</v>
      </c>
      <c r="CE91" s="24">
        <f>EXP($D91-$D$17)*(($B91*FixedParams!$D$31)^$B$10*(1+FixedParams!$D$25)^(1-$B$10)+(1-$B91)^$B$10*((1+FixedParams!$D$28)/$CE$12)^(1-$B$10))^(1/(1-$B$10))</f>
        <v>5.387787742712927</v>
      </c>
      <c r="CF91" s="24">
        <f>EXP($D91-$D$17)*(($B91*FixedParams!$D$30)^$B$10*(1+FixedParams!$D$23)^(1-$B$10)+(1-$B91)^$B$10*((1+FixedParams!$D$26)/$CE$12)^(1-$B$10))^(1/(1-$B$10))</f>
        <v>5.432013923428034</v>
      </c>
      <c r="CG91">
        <f>IF(FixedParams!$I$6=1,IF(CE91&lt;=MIN(CD91:CF91),1,0),$H91)</f>
        <v>1</v>
      </c>
      <c r="CH91">
        <f>IF(FixedParams!$I$6=1,IF(CF91&lt;=MIN(CD91:CF91),1,0),IF(CF91&lt;=CD91,1,0)*(1-$H91))</f>
        <v>0</v>
      </c>
      <c r="CI91" s="24">
        <f>$CE$13*IF(CG91=1,1,IF(CH91=1,FixedParams!$D$52,FixedParams!$D$53))</f>
        <v>0.39201585704839609</v>
      </c>
      <c r="CJ91">
        <f>EXP($C91*FixedParams!$B$47)*EXP(IF(CG91+CH91=1,(1-FixedParams!$B$47)*$D91,0))*($B91^((FixedParams!$B$47-1)*$B$10/($B$10-1)))*((1/$B91-1)^$B$10*(CI91)^($B$10-1)+1)^((FixedParams!$B$47-$B$10)/($B$10-1))/((1+IF(CG91=1,FixedParams!$D$25,IF(CH91=1,FixedParams!$D$23,FixedParams!$D$24)))^FixedParams!$B$47)</f>
        <v>4.809466379788057E-2</v>
      </c>
      <c r="CK91">
        <f t="shared" si="86"/>
        <v>1.2663498210752553</v>
      </c>
      <c r="CL91">
        <f t="shared" si="88"/>
        <v>34.597033942131048</v>
      </c>
      <c r="CM91">
        <f t="shared" si="55"/>
        <v>74.00125473456302</v>
      </c>
      <c r="CN91">
        <f t="shared" si="89"/>
        <v>108.59828867669407</v>
      </c>
      <c r="CO91" s="24">
        <f t="shared" si="90"/>
        <v>2.1389479473396968</v>
      </c>
      <c r="CP91" s="24">
        <f t="shared" si="91"/>
        <v>1.740643138923422</v>
      </c>
      <c r="CQ91" s="23">
        <f>IF(CG91=1,CL91*(1+FixedParams!$D$25)+CM91*(1+FixedParams!$D$28)/$CE$12,IF(CH91=1,CL91*(1+FixedParams!$D$23)+CM91*(1+FixedParams!$D$26)/$CE$12,CL91*(1+FixedParams!$D$24)+CM91*(1+FixedParams!$D$27)/$CE$12))</f>
        <v>286.017639979156</v>
      </c>
      <c r="CR91" s="24">
        <f t="shared" si="92"/>
        <v>53.086285807379781</v>
      </c>
      <c r="CS91" s="24">
        <f>CR91^((FixedParams!$B$47-1)/FixedParams!$B$47)*EXP($C91)</f>
        <v>0.39510192710659353</v>
      </c>
      <c r="CT91" s="24"/>
    </row>
    <row r="92" spans="1:98" x14ac:dyDescent="0.15">
      <c r="A92">
        <v>0.375</v>
      </c>
      <c r="B92">
        <f t="shared" si="56"/>
        <v>0.19281599682824219</v>
      </c>
      <c r="C92">
        <f>(D92-$D$17)*FixedParams!$B$47+$A92*$B$9</f>
        <v>-0.9371306853468957</v>
      </c>
      <c r="D92">
        <f>(A92-$B$6)*FixedParams!$B$46/(FixedParams!$B$45*Sectors!$B$6)</f>
        <v>-6.791892873660102E-2</v>
      </c>
      <c r="E92">
        <f t="shared" si="57"/>
        <v>0.39175027908245119</v>
      </c>
      <c r="F92" s="24">
        <f>EXP(-$D$17)*(($B92*FixedParams!$B$30)^$B$10*(1+FixedParams!$B$23)^(1-$B$10)+(1-$B92)^$B$10*((1+FixedParams!$B$26)/$B$11)^(1-$B$10))^(1/(1-$B$10))</f>
        <v>4.8775716849747957</v>
      </c>
      <c r="G92" s="24">
        <f>EXP($D92-$D$17)*(($B92*FixedParams!$B$31)^$B$10*(1+FixedParams!$B$25)^(1-$B$10)+(1-$B92)^$B$10*((1+FixedParams!$B$28)/$B$11)^(1-$B$10))^(1/(1-$B$10))</f>
        <v>4.3967213999743251</v>
      </c>
      <c r="H92">
        <f t="shared" si="58"/>
        <v>1</v>
      </c>
      <c r="I92" s="24">
        <f>$B$12*IF(H92=1,1,FixedParams!$B$52)</f>
        <v>0.3745928365283252</v>
      </c>
      <c r="J92">
        <f>EXP($C92*FixedParams!$B$47)*EXP(IF(H92=1,(1-FixedParams!$B$47)*$D92,0))*($B92^((FixedParams!$B$47-1)*$B$10/($B$10-1)))*((1/$B92-1)^$B$10*(I92)^($B$10-1)+1)^((FixedParams!$B$47-$B$10)/($B$10-1))/((1+IF(H92=1,FixedParams!$B$25,FixedParams!$B$24))^FixedParams!$B$47)</f>
        <v>6.2781918939581433E-2</v>
      </c>
      <c r="K92">
        <f t="shared" si="87"/>
        <v>1.2658456148828767</v>
      </c>
      <c r="L92">
        <f>K92*FixedParams!$B$8/K$15</f>
        <v>36.802093372636236</v>
      </c>
      <c r="M92">
        <f t="shared" si="47"/>
        <v>72.269650009469871</v>
      </c>
      <c r="N92">
        <f t="shared" si="59"/>
        <v>109.07174338210611</v>
      </c>
      <c r="O92" s="24">
        <f t="shared" si="60"/>
        <v>1.9637374775861289</v>
      </c>
      <c r="P92" s="24">
        <f t="shared" si="48"/>
        <v>1.7191842768513754</v>
      </c>
      <c r="Q92" s="23">
        <f>IF(H92=1,L92*(1+FixedParams!$B$25)+M92*FixedParams!$B$33*(1+FixedParams!$B$28)/FixedParams!$B$32,L92*(1+FixedParams!$B$23)+M92*FixedParams!$B$33*(1+FixedParams!$B$26)/FixedParams!$B$32)</f>
        <v>230.13325699131832</v>
      </c>
      <c r="R92" s="24">
        <f t="shared" si="49"/>
        <v>52.342014891519433</v>
      </c>
      <c r="S92" s="24">
        <f>R92^((FixedParams!$B$47-1)/FixedParams!$B$47)*EXP($C92)</f>
        <v>0.39020132835719756</v>
      </c>
      <c r="T92" s="7">
        <f>(L92*FixedParams!$B$32*(FixedParams!$C$25-FixedParams!$C$23)+FixedParams!$B$33*(FixedParams!$C$28-FixedParams!$C$26)*M92)/N92</f>
        <v>-629.94738206983675</v>
      </c>
      <c r="U92" s="7">
        <f>(L92*FixedParams!$B$32*(FixedParams!$C$25-FixedParams!$C$23)*$Z$12/$B$11+FixedParams!$B$33*(FixedParams!$C$28-FixedParams!$C$26)*M92)/N92</f>
        <v>-968.8213520249094</v>
      </c>
      <c r="V92" s="14">
        <f t="shared" si="50"/>
        <v>-1.6567651459251602</v>
      </c>
      <c r="W92" s="14">
        <f t="shared" si="61"/>
        <v>0.60890028448218259</v>
      </c>
      <c r="X92" s="73">
        <f t="shared" si="62"/>
        <v>0.97492501131413922</v>
      </c>
      <c r="Y92" s="24">
        <f>EXP(-$D$17)*(($B92*FixedParams!$B$30)^$B$10*(1+FixedParams!$C$24)^(1-$B$10)+(1-$B92)^$B$10*((1+FixedParams!$C$27)/$Z$12)^(1-$B$10))^(1/(1-$B$10))</f>
        <v>6.3320839407321108</v>
      </c>
      <c r="Z92" s="24">
        <f>EXP($D92-$D$17)*(($B92*FixedParams!$C$31)^$B$10*(1+FixedParams!$C$25)^(1-$B$10)+(1-$B92)^$B$10*((1+FixedParams!$C$28)/$Z$12)^(1-$B$10))^(1/(1-$B$10))</f>
        <v>5.3259401450164221</v>
      </c>
      <c r="AA92" s="24">
        <f>EXP($D92-$D$17)*(($B92*FixedParams!$C$30)^$B$10*(1+FixedParams!$C$23)^(1-$B$10)+(1-$B92)^$B$10*((1+FixedParams!$C$26)/$Z$12)^(1-$B$10))^(1/(1-$B$10))</f>
        <v>5.4068546571423832</v>
      </c>
      <c r="AB92">
        <f>IF(FixedParams!$I$6=1,IF(Z92&lt;=MIN(Y92:AA92),1,0),$H92)</f>
        <v>1</v>
      </c>
      <c r="AC92">
        <f>IF(FixedParams!$I$6=1,IF(AA92&lt;=MIN(Y92:AA92),1,0),IF(AA92&lt;=Y92,1,0)*(1-$H92))</f>
        <v>0</v>
      </c>
      <c r="AD92" s="24">
        <f>$Z$13*IF(AB92=1,1,IF(AC92=1,FixedParams!$C$52,FixedParams!$C$53))</f>
        <v>0.43187184563106507</v>
      </c>
      <c r="AE92">
        <f>EXP($C92*FixedParams!$B$47)*EXP(IF(AB92+AC92=1,(1-FixedParams!$B$47)*$D92,0))*($B92^((FixedParams!$B$47-1)*$B$10/($B$10-1)))*((1/$B92-1)^$B$10*(AD92)^($B$10-1)+1)^((FixedParams!$B$47-$B$10)/($B$10-1))/((1+IF(AB92=1,FixedParams!$C$25,IF(AC92=1,FixedParams!$C$23,FixedParams!$C$24)))^FixedParams!$B$47)</f>
        <v>4.3288250204072926E-2</v>
      </c>
      <c r="AF92">
        <f t="shared" si="63"/>
        <v>1.2755827061807994</v>
      </c>
      <c r="AG92">
        <f t="shared" si="64"/>
        <v>29.961478952808076</v>
      </c>
      <c r="AH92">
        <f t="shared" si="51"/>
        <v>72.834947719237533</v>
      </c>
      <c r="AI92">
        <f t="shared" si="65"/>
        <v>102.79642667204561</v>
      </c>
      <c r="AJ92" s="24">
        <f t="shared" si="66"/>
        <v>2.4309530191736823</v>
      </c>
      <c r="AK92" s="24">
        <f t="shared" si="67"/>
        <v>1.7788311032741226</v>
      </c>
      <c r="AL92" s="23">
        <f>IF(AB92=1,AG92*(1+FixedParams!$C$25)+AH92*(1+FixedParams!$C$28)/$Z$12,IF(AC92=1,AG92*(1+FixedParams!$C$23)+AH92*(1+FixedParams!$C$26)/$Z$12,AG92*(1+FixedParams!$C$24)+AH92*(1+FixedParams!$C$27)/$Z$12))</f>
        <v>271.78027279341489</v>
      </c>
      <c r="AM92" s="24">
        <f t="shared" si="68"/>
        <v>51.029539460319427</v>
      </c>
      <c r="AN92" s="24">
        <f>AM92^((FixedParams!$B$47-1)/FixedParams!$B$47)*EXP($C92)</f>
        <v>0.39021124745666241</v>
      </c>
      <c r="AO92" s="24">
        <f t="shared" si="69"/>
        <v>-5.9255269461794047E-2</v>
      </c>
      <c r="AP92" s="24">
        <f t="shared" si="70"/>
        <v>-2.5394722414806573E-2</v>
      </c>
      <c r="AQ92" s="14">
        <f t="shared" si="71"/>
        <v>-1.727909757807045</v>
      </c>
      <c r="AS92" s="24">
        <f>EXP(-$D$17)*(($B92*FixedParams!$B$30)^$B$10*(1+FixedParams!$D$24)^(1-$B$10)+(1-$B92)^$B$10*((1+FixedParams!$D$27)/$AT$12)^(1-$B$10))^(1/(1-$B$10))</f>
        <v>5.9672066233506795</v>
      </c>
      <c r="AT92" s="24">
        <f>EXP($D92-$D$17)*(($B92*FixedParams!$C$31)^$B$10*(1+FixedParams!$D$25)^(1-$B$10)+(1-$B92)^$B$10*((1+FixedParams!$D$28)/$AT$12)^(1-$B$10))^(1/(1-$B$10))</f>
        <v>5.1985679085642644</v>
      </c>
      <c r="AU92" s="24">
        <f>EXP($D92-$D$17)*(($B92*FixedParams!$C$30)^$B$10*(1+FixedParams!$D$23)^(1-$B$10)+(1-$B92)^$B$10*((1+FixedParams!$D$26)/$AT$12)^(1-$B$10))^(1/(1-$B$10))</f>
        <v>5.2420081281307063</v>
      </c>
      <c r="AV92">
        <f>IF(FixedParams!$I$6=1,IF(AT92&lt;=MIN(AS92:AU92),1,0),$H92)</f>
        <v>1</v>
      </c>
      <c r="AW92">
        <f>IF(FixedParams!$I$6=1,IF(AU92&lt;=MIN(AS92:AU92),1,0),IF(AU92&lt;=AS92,1,0)*(1-$H92))</f>
        <v>0</v>
      </c>
      <c r="AX92" s="24">
        <f>$AT$13*IF(AV92=1,1,IF(AW92=1,FixedParams!$D$52,FixedParams!$D$53))</f>
        <v>0.41089128090616783</v>
      </c>
      <c r="AY92">
        <f>EXP($C92*FixedParams!$B$47)*EXP(IF(AV92+AW92=1,(1-FixedParams!$B$47)*$D92,0))*($B92^((FixedParams!$B$47-1)*$B$10/($B$10-1)))*((1/$B92-1)^$B$10*(AX92)^($B$10-1)+1)^((FixedParams!$B$47-$B$10)/($B$10-1))/((1+IF(AV92=1,FixedParams!$D$25,IF(AW92=1,FixedParams!$D$23,FixedParams!$D$24)))^FixedParams!$B$47)</f>
        <v>4.7246316421131342E-2</v>
      </c>
      <c r="AZ92">
        <f t="shared" si="52"/>
        <v>1.2722290071335218</v>
      </c>
      <c r="BA92">
        <f t="shared" si="72"/>
        <v>32.009111667906545</v>
      </c>
      <c r="BB92">
        <f t="shared" si="53"/>
        <v>72.211810991285347</v>
      </c>
      <c r="BC92">
        <f t="shared" si="73"/>
        <v>104.2209226591919</v>
      </c>
      <c r="BD92" s="24">
        <f t="shared" si="74"/>
        <v>2.2559767275168539</v>
      </c>
      <c r="BE92" s="24">
        <f t="shared" si="75"/>
        <v>1.7603793976642741</v>
      </c>
      <c r="BF92" s="23">
        <f>IF(AV92=1,BA92*(1+FixedParams!$C$25)+BB92*(1+FixedParams!$C$28)/$AT$12,IF(AW92=1,BA92*(1+FixedParams!$C$23)+BB92*(1+FixedParams!$C$26)/$AT$12,BA92*(1+FixedParams!$C$24)+BB92*(1+FixedParams!$C$27)/$AT$12))</f>
        <v>269.47673678399786</v>
      </c>
      <c r="BG92" s="24">
        <f t="shared" si="76"/>
        <v>51.836725329692136</v>
      </c>
      <c r="BH92" s="24">
        <f>BG92^((FixedParams!$B$47-1)/FixedParams!$B$47)*EXP($C92)</f>
        <v>0.39020511731693547</v>
      </c>
      <c r="BI92" s="7"/>
      <c r="BJ92" s="24">
        <f>EXP(-$D$17)*(($B92*FixedParams!$B$30)^$B$10*(1+FixedParams!$C$24)^(1-$B$10)+(1-$B92)^$B$10*((1+FixedParams!$C$27)/$BK$12)^(1-$B$10))^(1/(1-$B$10))</f>
        <v>6.6100821856275314</v>
      </c>
      <c r="BK92" s="24">
        <f>EXP($D92-$D$17)*(($B92*FixedParams!$C$31)^$B$10*(1+FixedParams!$C$25)^(1-$B$10)+(1-$B92)^$B$10*((1+FixedParams!$C$28)/$BK$12)^(1-$B$10))^(1/(1-$B$10))</f>
        <v>5.5579451066946799</v>
      </c>
      <c r="BL92" s="24">
        <f>EXP($D92-$D$17)*(($B92*FixedParams!$C$30)^$B$10*(1+FixedParams!$C$23)^(1-$B$10)+(1-$B92)^$B$10*((1+FixedParams!$C$26)/$BK$12)^(1-$B$10))^(1/(1-$B$10))</f>
        <v>5.6382236049322678</v>
      </c>
      <c r="BM92">
        <f>IF(FixedParams!$I$6=1,IF(BK92&lt;=MIN(BJ92:BL92),1,0),$H92)</f>
        <v>1</v>
      </c>
      <c r="BN92">
        <f>IF(FixedParams!$I$6=1,IF(BL92&lt;=MIN(BJ92:BL92),1,0),IF(BL92&lt;=BJ92,1,0)*(1-$H92))</f>
        <v>0</v>
      </c>
      <c r="BO92" s="24">
        <f>$BK$13*IF(BM92=1,1,IF(BN92=1,FixedParams!$C$52,FixedParams!$C$53))</f>
        <v>0.41068174962109105</v>
      </c>
      <c r="BP92">
        <f>EXP($C92*FixedParams!$B$47)*EXP(IF(BM92+BN92=1,(1-FixedParams!$B$47)*$D92,0))*($B92^((FixedParams!$B$47-1)*$B$10/($B$10-1)))*((1/$B92-1)^$B$10*(BO92)^($B$10-1)+1)^((FixedParams!$B$47-$B$10)/($B$10-1))/((1+IF(BM92=1,FixedParams!$C$25,IF(BN92=1,FixedParams!$C$23,FixedParams!$C$24)))^FixedParams!$B$47)</f>
        <v>4.422293219119984E-2</v>
      </c>
      <c r="BQ92">
        <f t="shared" si="77"/>
        <v>1.2721943566220604</v>
      </c>
      <c r="BR92">
        <f t="shared" si="78"/>
        <v>32.446246960020581</v>
      </c>
      <c r="BS92">
        <f t="shared" si="54"/>
        <v>73.141994940086832</v>
      </c>
      <c r="BT92">
        <f t="shared" si="79"/>
        <v>105.58824190010742</v>
      </c>
      <c r="BU92" s="24">
        <f t="shared" si="80"/>
        <v>2.254251316961573</v>
      </c>
      <c r="BV92" s="24">
        <f t="shared" si="81"/>
        <v>1.7652377130250743</v>
      </c>
      <c r="BW92" s="23">
        <f>IF(BM92=1,BR92*(1+FixedParams!$C$25)+BS92*(1+FixedParams!$C$28)/$BK$12,IF(BN92=1,BR92*(1+FixedParams!$C$23)+BS92*(1+FixedParams!$C$26)/$BK$12,BR92*(1+FixedParams!$C$24)+BS92*(1+FixedParams!$C$27)/$BK$12))</f>
        <v>288.1112168016864</v>
      </c>
      <c r="BX92" s="24">
        <f t="shared" si="82"/>
        <v>51.837722624257204</v>
      </c>
      <c r="BY92" s="24">
        <f>BX92^((FixedParams!$B$47-1)/FixedParams!$B$47)*EXP($C92)</f>
        <v>0.39020510980227807</v>
      </c>
      <c r="BZ92" s="24">
        <f t="shared" si="83"/>
        <v>-3.2458842449307114E-2</v>
      </c>
      <c r="CA92" s="24">
        <f t="shared" si="84"/>
        <v>-9.6812723491058496E-3</v>
      </c>
      <c r="CB92" s="24">
        <f t="shared" si="85"/>
        <v>7.6471835703014017E-3</v>
      </c>
      <c r="CC92" s="24"/>
      <c r="CD92" s="24">
        <f>EXP(-$D$17)*(($B92*FixedParams!$B$30)^$B$10*(1+FixedParams!$D$24)^(1-$B$10)+(1-$B92)^$B$10*((1+FixedParams!$D$27)/$CE$12)^(1-$B$10))^(1/(1-$B$10))</f>
        <v>6.2102334437006226</v>
      </c>
      <c r="CE92" s="24">
        <f>EXP($D92-$D$17)*(($B92*FixedParams!$D$31)^$B$10*(1+FixedParams!$D$25)^(1-$B$10)+(1-$B92)^$B$10*((1+FixedParams!$D$28)/$CE$12)^(1-$B$10))^(1/(1-$B$10))</f>
        <v>5.4091481789241991</v>
      </c>
      <c r="CF92" s="24">
        <f>EXP($D92-$D$17)*(($B92*FixedParams!$D$30)^$B$10*(1+FixedParams!$D$23)^(1-$B$10)+(1-$B92)^$B$10*((1+FixedParams!$D$26)/$CE$12)^(1-$B$10))^(1/(1-$B$10))</f>
        <v>5.4513239368184019</v>
      </c>
      <c r="CG92">
        <f>IF(FixedParams!$I$6=1,IF(CE92&lt;=MIN(CD92:CF92),1,0),$H92)</f>
        <v>1</v>
      </c>
      <c r="CH92">
        <f>IF(FixedParams!$I$6=1,IF(CF92&lt;=MIN(CD92:CF92),1,0),IF(CF92&lt;=CD92,1,0)*(1-$H92))</f>
        <v>0</v>
      </c>
      <c r="CI92" s="24">
        <f>$CE$13*IF(CG92=1,1,IF(CH92=1,FixedParams!$D$52,FixedParams!$D$53))</f>
        <v>0.39201585704839609</v>
      </c>
      <c r="CJ92">
        <f>EXP($C92*FixedParams!$B$47)*EXP(IF(CG92+CH92=1,(1-FixedParams!$B$47)*$D92,0))*($B92^((FixedParams!$B$47-1)*$B$10/($B$10-1)))*((1/$B92-1)^$B$10*(CI92)^($B$10-1)+1)^((FixedParams!$B$47-$B$10)/($B$10-1))/((1+IF(CG92=1,FixedParams!$D$25,IF(CH92=1,FixedParams!$D$23,FixedParams!$D$24)))^FixedParams!$B$47)</f>
        <v>4.8195642912832293E-2</v>
      </c>
      <c r="CK92">
        <f t="shared" si="86"/>
        <v>1.2690086375437277</v>
      </c>
      <c r="CL92">
        <f t="shared" si="88"/>
        <v>34.669673557247457</v>
      </c>
      <c r="CM92">
        <f t="shared" si="55"/>
        <v>72.886891891581314</v>
      </c>
      <c r="CN92">
        <f t="shared" si="89"/>
        <v>107.55656544882876</v>
      </c>
      <c r="CO92" s="24">
        <f t="shared" si="90"/>
        <v>2.1023241471030469</v>
      </c>
      <c r="CP92" s="24">
        <f t="shared" si="91"/>
        <v>1.7475440968881915</v>
      </c>
      <c r="CQ92" s="23">
        <f>IF(CG92=1,CL92*(1+FixedParams!$D$25)+CM92*(1+FixedParams!$D$28)/$CE$12,IF(CH92=1,CL92*(1+FixedParams!$D$23)+CM92*(1+FixedParams!$D$26)/$CE$12,CL92*(1+FixedParams!$D$24)+CM92*(1+FixedParams!$D$27)/$CE$12))</f>
        <v>282.47070983238228</v>
      </c>
      <c r="CR92" s="24">
        <f t="shared" si="92"/>
        <v>52.220922867851925</v>
      </c>
      <c r="CS92" s="24">
        <f>CR92^((FixedParams!$B$47-1)/FixedParams!$B$47)*EXP($C92)</f>
        <v>0.39020223303036466</v>
      </c>
      <c r="CT92" s="24"/>
    </row>
    <row r="93" spans="1:98" x14ac:dyDescent="0.15">
      <c r="A93">
        <v>0.38</v>
      </c>
      <c r="B93">
        <f t="shared" si="56"/>
        <v>0.19461431423994663</v>
      </c>
      <c r="C93">
        <f>(D93-$D$17)*FixedParams!$B$47+$A93*$B$9</f>
        <v>-0.94962576115152098</v>
      </c>
      <c r="D93">
        <f>(A93-$B$6)*FixedParams!$B$46/(FixedParams!$B$45*Sectors!$B$6)</f>
        <v>-6.5202171587136967E-2</v>
      </c>
      <c r="E93">
        <f t="shared" si="57"/>
        <v>0.38688578405560919</v>
      </c>
      <c r="F93" s="24">
        <f>EXP(-$D$17)*(($B93*FixedParams!$B$30)^$B$10*(1+FixedParams!$B$23)^(1-$B$10)+(1-$B93)^$B$10*((1+FixedParams!$B$26)/$B$11)^(1-$B$10))^(1/(1-$B$10))</f>
        <v>4.8835112952436877</v>
      </c>
      <c r="G93" s="24">
        <f>EXP($D93-$D$17)*(($B93*FixedParams!$B$31)^$B$10*(1+FixedParams!$B$25)^(1-$B$10)+(1-$B93)^$B$10*((1+FixedParams!$B$28)/$B$11)^(1-$B$10))^(1/(1-$B$10))</f>
        <v>4.4136116877983387</v>
      </c>
      <c r="H93">
        <f t="shared" si="58"/>
        <v>1</v>
      </c>
      <c r="I93" s="24">
        <f>$B$12*IF(H93=1,1,FixedParams!$B$52)</f>
        <v>0.3745928365283252</v>
      </c>
      <c r="J93">
        <f>EXP($C93*FixedParams!$B$47)*EXP(IF(H93=1,(1-FixedParams!$B$47)*$D93,0))*($B93^((FixedParams!$B$47-1)*$B$10/($B$10-1)))*((1/$B93-1)^$B$10*(I93)^($B$10-1)+1)^((FixedParams!$B$47-$B$10)/($B$10-1))/((1+IF(H93=1,FixedParams!$B$25,FixedParams!$B$24))^FixedParams!$B$47)</f>
        <v>6.2907925400746897E-2</v>
      </c>
      <c r="K93">
        <f t="shared" si="87"/>
        <v>1.268386230541132</v>
      </c>
      <c r="L93">
        <f>K93*FixedParams!$B$8/K$15</f>
        <v>36.875957020445881</v>
      </c>
      <c r="M93">
        <f t="shared" si="47"/>
        <v>71.174789517404591</v>
      </c>
      <c r="N93">
        <f t="shared" si="59"/>
        <v>108.05074653785047</v>
      </c>
      <c r="O93" s="24">
        <f t="shared" si="60"/>
        <v>1.9301136910953041</v>
      </c>
      <c r="P93" s="24">
        <f t="shared" si="48"/>
        <v>1.7257886337384658</v>
      </c>
      <c r="Q93" s="23">
        <f>IF(H93=1,L93*(1+FixedParams!$B$25)+M93*FixedParams!$B$33*(1+FixedParams!$B$28)/FixedParams!$B$32,L93*(1+FixedParams!$B$23)+M93*FixedParams!$B$33*(1+FixedParams!$B$26)/FixedParams!$B$32)</f>
        <v>227.27932618423392</v>
      </c>
      <c r="R93" s="24">
        <f t="shared" si="49"/>
        <v>51.495088888893321</v>
      </c>
      <c r="S93" s="24">
        <f>R93^((FixedParams!$B$47-1)/FixedParams!$B$47)*EXP($C93)</f>
        <v>0.38536235981122252</v>
      </c>
      <c r="T93" s="7">
        <f>(L93*FixedParams!$B$32*(FixedParams!$C$25-FixedParams!$C$23)+FixedParams!$B$33*(FixedParams!$C$28-FixedParams!$C$26)*M93)/N93</f>
        <v>-586.02109027794927</v>
      </c>
      <c r="U93" s="7">
        <f>(L93*FixedParams!$B$32*(FixedParams!$C$25-FixedParams!$C$23)*$Z$12/$B$11+FixedParams!$B$33*(FixedParams!$C$28-FixedParams!$C$26)*M93)/N93</f>
        <v>-928.78372368239422</v>
      </c>
      <c r="V93" s="14">
        <f t="shared" si="50"/>
        <v>-1.6394945206290767</v>
      </c>
      <c r="W93" s="14">
        <f t="shared" si="61"/>
        <v>0.6141999436510226</v>
      </c>
      <c r="X93" s="73">
        <f t="shared" si="62"/>
        <v>0.97460892544270539</v>
      </c>
      <c r="Y93" s="24">
        <f>EXP(-$D$17)*(($B93*FixedParams!$B$30)^$B$10*(1+FixedParams!$C$24)^(1-$B$10)+(1-$B93)^$B$10*((1+FixedParams!$C$27)/$Z$12)^(1-$B$10))^(1/(1-$B$10))</f>
        <v>6.3426436075299861</v>
      </c>
      <c r="Z93" s="24">
        <f>EXP($D93-$D$17)*(($B93*FixedParams!$C$31)^$B$10*(1+FixedParams!$C$25)^(1-$B$10)+(1-$B93)^$B$10*((1+FixedParams!$C$28)/$Z$12)^(1-$B$10))^(1/(1-$B$10))</f>
        <v>5.3481357706757207</v>
      </c>
      <c r="AA93" s="24">
        <f>EXP($D93-$D$17)*(($B93*FixedParams!$C$30)^$B$10*(1+FixedParams!$C$23)^(1-$B$10)+(1-$B93)^$B$10*((1+FixedParams!$C$26)/$Z$12)^(1-$B$10))^(1/(1-$B$10))</f>
        <v>5.4266457580163276</v>
      </c>
      <c r="AB93">
        <f>IF(FixedParams!$I$6=1,IF(Z93&lt;=MIN(Y93:AA93),1,0),$H93)</f>
        <v>1</v>
      </c>
      <c r="AC93">
        <f>IF(FixedParams!$I$6=1,IF(AA93&lt;=MIN(Y93:AA93),1,0),IF(AA93&lt;=Y93,1,0)*(1-$H93))</f>
        <v>0</v>
      </c>
      <c r="AD93" s="24">
        <f>$Z$13*IF(AB93=1,1,IF(AC93=1,FixedParams!$C$52,FixedParams!$C$53))</f>
        <v>0.43187184563106507</v>
      </c>
      <c r="AE93">
        <f>EXP($C93*FixedParams!$B$47)*EXP(IF(AB93+AC93=1,(1-FixedParams!$B$47)*$D93,0))*($B93^((FixedParams!$B$47-1)*$B$10/($B$10-1)))*((1/$B93-1)^$B$10*(AD93)^($B$10-1)+1)^((FixedParams!$B$47-$B$10)/($B$10-1))/((1+IF(AB93=1,FixedParams!$C$25,IF(AC93=1,FixedParams!$C$23,FixedParams!$C$24)))^FixedParams!$B$47)</f>
        <v>4.3382186173237768E-2</v>
      </c>
      <c r="AF93">
        <f t="shared" si="63"/>
        <v>1.27835073439146</v>
      </c>
      <c r="AG93">
        <f t="shared" si="64"/>
        <v>30.02649568482602</v>
      </c>
      <c r="AH93">
        <f t="shared" si="51"/>
        <v>71.743189157843759</v>
      </c>
      <c r="AI93">
        <f t="shared" si="65"/>
        <v>101.76968484266978</v>
      </c>
      <c r="AJ93" s="24">
        <f t="shared" si="66"/>
        <v>2.3893294079634937</v>
      </c>
      <c r="AK93" s="24">
        <f t="shared" si="67"/>
        <v>1.7862443051134889</v>
      </c>
      <c r="AL93" s="23">
        <f>IF(AB93=1,AG93*(1+FixedParams!$C$25)+AH93*(1+FixedParams!$C$28)/$Z$12,IF(AC93=1,AG93*(1+FixedParams!$C$23)+AH93*(1+FixedParams!$C$26)/$Z$12,AG93*(1+FixedParams!$C$24)+AH93*(1+FixedParams!$C$27)/$Z$12))</f>
        <v>268.40995572879535</v>
      </c>
      <c r="AM93" s="24">
        <f t="shared" si="68"/>
        <v>50.187573247580914</v>
      </c>
      <c r="AN93" s="24">
        <f>AM93^((FixedParams!$B$47-1)/FixedParams!$B$47)*EXP($C93)</f>
        <v>0.38537228099087611</v>
      </c>
      <c r="AO93" s="24">
        <f t="shared" si="69"/>
        <v>-5.9888723679426194E-2</v>
      </c>
      <c r="AP93" s="24">
        <f t="shared" si="70"/>
        <v>-2.5718990557303603E-2</v>
      </c>
      <c r="AQ93" s="14">
        <f t="shared" si="71"/>
        <v>-1.7106391325109618</v>
      </c>
      <c r="AS93" s="24">
        <f>EXP(-$D$17)*(($B93*FixedParams!$B$30)^$B$10*(1+FixedParams!$D$24)^(1-$B$10)+(1-$B93)^$B$10*((1+FixedParams!$D$27)/$AT$12)^(1-$B$10))^(1/(1-$B$10))</f>
        <v>5.9760743705958692</v>
      </c>
      <c r="AT93" s="24">
        <f>EXP($D93-$D$17)*(($B93*FixedParams!$C$31)^$B$10*(1+FixedParams!$D$25)^(1-$B$10)+(1-$B93)^$B$10*((1+FixedParams!$D$28)/$AT$12)^(1-$B$10))^(1/(1-$B$10))</f>
        <v>5.2196491093797537</v>
      </c>
      <c r="AU93" s="24">
        <f>EXP($D93-$D$17)*(($B93*FixedParams!$C$30)^$B$10*(1+FixedParams!$D$23)^(1-$B$10)+(1-$B93)^$B$10*((1+FixedParams!$D$26)/$AT$12)^(1-$B$10))^(1/(1-$B$10))</f>
        <v>5.2611264433095055</v>
      </c>
      <c r="AV93">
        <f>IF(FixedParams!$I$6=1,IF(AT93&lt;=MIN(AS93:AU93),1,0),$H93)</f>
        <v>1</v>
      </c>
      <c r="AW93">
        <f>IF(FixedParams!$I$6=1,IF(AU93&lt;=MIN(AS93:AU93),1,0),IF(AU93&lt;=AS93,1,0)*(1-$H93))</f>
        <v>0</v>
      </c>
      <c r="AX93" s="24">
        <f>$AT$13*IF(AV93=1,1,IF(AW93=1,FixedParams!$D$52,FixedParams!$D$53))</f>
        <v>0.41089128090616783</v>
      </c>
      <c r="AY93">
        <f>EXP($C93*FixedParams!$B$47)*EXP(IF(AV93+AW93=1,(1-FixedParams!$B$47)*$D93,0))*($B93^((FixedParams!$B$47-1)*$B$10/($B$10-1)))*((1/$B93-1)^$B$10*(AX93)^($B$10-1)+1)^((FixedParams!$B$47-$B$10)/($B$10-1))/((1+IF(AV93=1,FixedParams!$D$25,IF(AW93=1,FixedParams!$D$23,FixedParams!$D$24)))^FixedParams!$B$47)</f>
        <v>4.734618933910572E-2</v>
      </c>
      <c r="AZ93">
        <f t="shared" si="52"/>
        <v>1.2749183432108893</v>
      </c>
      <c r="BA93">
        <f t="shared" si="72"/>
        <v>32.076775003933555</v>
      </c>
      <c r="BB93">
        <f t="shared" si="53"/>
        <v>71.125408839432893</v>
      </c>
      <c r="BC93">
        <f t="shared" si="73"/>
        <v>103.20218384336644</v>
      </c>
      <c r="BD93" s="24">
        <f t="shared" si="74"/>
        <v>2.2173491203748141</v>
      </c>
      <c r="BE93" s="24">
        <f t="shared" si="75"/>
        <v>1.7675180774403858</v>
      </c>
      <c r="BF93" s="23">
        <f>IF(AV93=1,BA93*(1+FixedParams!$C$25)+BB93*(1+FixedParams!$C$28)/$AT$12,IF(AW93=1,BA93*(1+FixedParams!$C$23)+BB93*(1+FixedParams!$C$26)/$AT$12,BA93*(1+FixedParams!$C$24)+BB93*(1+FixedParams!$C$27)/$AT$12))</f>
        <v>266.1741195707595</v>
      </c>
      <c r="BG93" s="24">
        <f t="shared" si="76"/>
        <v>50.994638527030936</v>
      </c>
      <c r="BH93" s="24">
        <f>BG93^((FixedParams!$B$47-1)/FixedParams!$B$47)*EXP($C93)</f>
        <v>0.3853661270230781</v>
      </c>
      <c r="BI93" s="7"/>
      <c r="BJ93" s="24">
        <f>EXP(-$D$17)*(($B93*FixedParams!$B$30)^$B$10*(1+FixedParams!$C$24)^(1-$B$10)+(1-$B93)^$B$10*((1+FixedParams!$C$27)/$BK$12)^(1-$B$10))^(1/(1-$B$10))</f>
        <v>6.6203839323852396</v>
      </c>
      <c r="BK93" s="24">
        <f>EXP($D93-$D$17)*(($B93*FixedParams!$C$31)^$B$10*(1+FixedParams!$C$25)^(1-$B$10)+(1-$B93)^$B$10*((1+FixedParams!$C$28)/$BK$12)^(1-$B$10))^(1/(1-$B$10))</f>
        <v>5.5804772055749634</v>
      </c>
      <c r="BL93" s="24">
        <f>EXP($D93-$D$17)*(($B93*FixedParams!$C$30)^$B$10*(1+FixedParams!$C$23)^(1-$B$10)+(1-$B93)^$B$10*((1+FixedParams!$C$26)/$BK$12)^(1-$B$10))^(1/(1-$B$10))</f>
        <v>5.6581732566407128</v>
      </c>
      <c r="BM93">
        <f>IF(FixedParams!$I$6=1,IF(BK93&lt;=MIN(BJ93:BL93),1,0),$H93)</f>
        <v>1</v>
      </c>
      <c r="BN93">
        <f>IF(FixedParams!$I$6=1,IF(BL93&lt;=MIN(BJ93:BL93),1,0),IF(BL93&lt;=BJ93,1,0)*(1-$H93))</f>
        <v>0</v>
      </c>
      <c r="BO93" s="24">
        <f>$BK$13*IF(BM93=1,1,IF(BN93=1,FixedParams!$C$52,FixedParams!$C$53))</f>
        <v>0.41068174962109105</v>
      </c>
      <c r="BP93">
        <f>EXP($C93*FixedParams!$B$47)*EXP(IF(BM93+BN93=1,(1-FixedParams!$B$47)*$D93,0))*($B93^((FixedParams!$B$47-1)*$B$10/($B$10-1)))*((1/$B93-1)^$B$10*(BO93)^($B$10-1)+1)^((FixedParams!$B$47-$B$10)/($B$10-1))/((1+IF(BM93=1,FixedParams!$C$25,IF(BN93=1,FixedParams!$C$23,FixedParams!$C$24)))^FixedParams!$B$47)</f>
        <v>4.4316388399057098E-2</v>
      </c>
      <c r="BQ93">
        <f t="shared" si="77"/>
        <v>1.2748828816550288</v>
      </c>
      <c r="BR93">
        <f t="shared" si="78"/>
        <v>32.514815529534999</v>
      </c>
      <c r="BS93">
        <f t="shared" si="54"/>
        <v>72.041556795156396</v>
      </c>
      <c r="BT93">
        <f t="shared" si="79"/>
        <v>104.5563723246914</v>
      </c>
      <c r="BU93" s="24">
        <f t="shared" si="80"/>
        <v>2.2156532528907347</v>
      </c>
      <c r="BV93" s="24">
        <f t="shared" si="81"/>
        <v>1.7723940468739239</v>
      </c>
      <c r="BW93" s="23">
        <f>IF(BM93=1,BR93*(1+FixedParams!$C$25)+BS93*(1+FixedParams!$C$28)/$BK$12,IF(BN93=1,BR93*(1+FixedParams!$C$23)+BS93*(1+FixedParams!$C$26)/$BK$12,BR93*(1+FixedParams!$C$24)+BS93*(1+FixedParams!$C$27)/$BK$12))</f>
        <v>284.53834936798825</v>
      </c>
      <c r="BX93" s="24">
        <f t="shared" si="82"/>
        <v>50.988175183966533</v>
      </c>
      <c r="BY93" s="24">
        <f>BX93^((FixedParams!$B$47-1)/FixedParams!$B$47)*EXP($C93)</f>
        <v>0.38536617591851063</v>
      </c>
      <c r="BZ93" s="24">
        <f t="shared" si="83"/>
        <v>-3.287461807960676E-2</v>
      </c>
      <c r="CA93" s="24">
        <f t="shared" si="84"/>
        <v>-9.8926950388635061E-3</v>
      </c>
      <c r="CB93" s="24">
        <f t="shared" si="85"/>
        <v>7.4357608805437451E-3</v>
      </c>
      <c r="CC93" s="24"/>
      <c r="CD93" s="24">
        <f>EXP(-$D$17)*(($B93*FixedParams!$B$30)^$B$10*(1+FixedParams!$D$24)^(1-$B$10)+(1-$B93)^$B$10*((1+FixedParams!$D$27)/$CE$12)^(1-$B$10))^(1/(1-$B$10))</f>
        <v>6.2188104684200338</v>
      </c>
      <c r="CE93" s="24">
        <f>EXP($D93-$D$17)*(($B93*FixedParams!$D$31)^$B$10*(1+FixedParams!$D$25)^(1-$B$10)+(1-$B93)^$B$10*((1+FixedParams!$D$28)/$CE$12)^(1-$B$10))^(1/(1-$B$10))</f>
        <v>5.430500311157946</v>
      </c>
      <c r="CF93" s="24">
        <f>EXP($D93-$D$17)*(($B93*FixedParams!$D$30)^$B$10*(1+FixedParams!$D$23)^(1-$B$10)+(1-$B93)^$B$10*((1+FixedParams!$D$26)/$CE$12)^(1-$B$10))^(1/(1-$B$10))</f>
        <v>5.4705827797329762</v>
      </c>
      <c r="CG93">
        <f>IF(FixedParams!$I$6=1,IF(CE93&lt;=MIN(CD93:CF93),1,0),$H93)</f>
        <v>1</v>
      </c>
      <c r="CH93">
        <f>IF(FixedParams!$I$6=1,IF(CF93&lt;=MIN(CD93:CF93),1,0),IF(CF93&lt;=CD93,1,0)*(1-$H93))</f>
        <v>0</v>
      </c>
      <c r="CI93" s="24">
        <f>$CE$13*IF(CG93=1,1,IF(CH93=1,FixedParams!$D$52,FixedParams!$D$53))</f>
        <v>0.39201585704839609</v>
      </c>
      <c r="CJ93">
        <f>EXP($C93*FixedParams!$B$47)*EXP(IF(CG93+CH93=1,(1-FixedParams!$B$47)*$D93,0))*($B93^((FixedParams!$B$47-1)*$B$10/($B$10-1)))*((1/$B93-1)^$B$10*(CI93)^($B$10-1)+1)^((FixedParams!$B$47-$B$10)/($B$10-1))/((1+IF(CG93=1,FixedParams!$D$25,IF(CH93=1,FixedParams!$D$23,FixedParams!$D$24)))^FixedParams!$B$47)</f>
        <v>4.8294925030835253E-2</v>
      </c>
      <c r="CK93">
        <f t="shared" si="86"/>
        <v>1.271622771471296</v>
      </c>
      <c r="CL93">
        <f t="shared" si="88"/>
        <v>34.741092432755778</v>
      </c>
      <c r="CM93">
        <f t="shared" si="55"/>
        <v>71.786472316070899</v>
      </c>
      <c r="CN93">
        <f t="shared" si="89"/>
        <v>106.52756474882668</v>
      </c>
      <c r="CO93" s="24">
        <f t="shared" si="90"/>
        <v>2.0663274321329843</v>
      </c>
      <c r="CP93" s="24">
        <f t="shared" si="91"/>
        <v>1.7544423720706772</v>
      </c>
      <c r="CQ93" s="23">
        <f>IF(CG93=1,CL93*(1+FixedParams!$D$25)+CM93*(1+FixedParams!$D$28)/$CE$12,IF(CH93=1,CL93*(1+FixedParams!$D$23)+CM93*(1+FixedParams!$D$26)/$CE$12,CL93*(1+FixedParams!$D$24)+CM93*(1+FixedParams!$D$27)/$CE$12))</f>
        <v>278.96776070437789</v>
      </c>
      <c r="CR93" s="24">
        <f t="shared" si="92"/>
        <v>51.370545017958683</v>
      </c>
      <c r="CS93" s="24">
        <f>CR93^((FixedParams!$B$47-1)/FixedParams!$B$47)*EXP($C93)</f>
        <v>0.38536329389663937</v>
      </c>
      <c r="CT93" s="24"/>
    </row>
    <row r="94" spans="1:98" x14ac:dyDescent="0.15">
      <c r="A94">
        <v>0.38500000000000001</v>
      </c>
      <c r="B94">
        <f t="shared" si="56"/>
        <v>0.19642532238556709</v>
      </c>
      <c r="C94">
        <f>(D94-$D$17)*FixedParams!$B$47+$A94*$B$9</f>
        <v>-0.96212083695614625</v>
      </c>
      <c r="D94">
        <f>(A94-$B$6)*FixedParams!$B$46/(FixedParams!$B$45*Sectors!$B$6)</f>
        <v>-6.2485414437672929E-2</v>
      </c>
      <c r="E94">
        <f t="shared" si="57"/>
        <v>0.38208169310026296</v>
      </c>
      <c r="F94" s="24">
        <f>EXP(-$D$17)*(($B94*FixedParams!$B$30)^$B$10*(1+FixedParams!$B$23)^(1-$B$10)+(1-$B94)^$B$10*((1+FixedParams!$B$26)/$B$11)^(1-$B$10))^(1/(1-$B$10))</f>
        <v>4.8893716295621514</v>
      </c>
      <c r="G94" s="24">
        <f>EXP($D94-$D$17)*(($B94*FixedParams!$B$31)^$B$10*(1+FixedParams!$B$25)^(1-$B$10)+(1-$B94)^$B$10*((1+FixedParams!$B$28)/$B$11)^(1-$B$10))^(1/(1-$B$10))</f>
        <v>4.430483277460449</v>
      </c>
      <c r="H94">
        <f t="shared" si="58"/>
        <v>1</v>
      </c>
      <c r="I94" s="24">
        <f>$B$12*IF(H94=1,1,FixedParams!$B$52)</f>
        <v>0.3745928365283252</v>
      </c>
      <c r="J94">
        <f>EXP($C94*FixedParams!$B$47)*EXP(IF(H94=1,(1-FixedParams!$B$47)*$D94,0))*($B94^((FixedParams!$B$47-1)*$B$10/($B$10-1)))*((1/$B94-1)^$B$10*(I94)^($B$10-1)+1)^((FixedParams!$B$47-$B$10)/($B$10-1))/((1+IF(H94=1,FixedParams!$B$25,FixedParams!$B$24))^FixedParams!$B$47)</f>
        <v>6.3031624419493976E-2</v>
      </c>
      <c r="K94">
        <f t="shared" si="87"/>
        <v>1.2708803222014553</v>
      </c>
      <c r="L94">
        <f>K94*FixedParams!$B$8/K$15</f>
        <v>36.948468070043049</v>
      </c>
      <c r="M94">
        <f t="shared" si="47"/>
        <v>70.093668583669341</v>
      </c>
      <c r="N94">
        <f t="shared" si="59"/>
        <v>107.04213665371239</v>
      </c>
      <c r="O94" s="24">
        <f t="shared" si="60"/>
        <v>1.8970656226069531</v>
      </c>
      <c r="P94" s="24">
        <f t="shared" si="48"/>
        <v>1.7323856793626797</v>
      </c>
      <c r="Q94" s="23">
        <f>IF(H94=1,L94*(1+FixedParams!$B$25)+M94*FixedParams!$B$33*(1+FixedParams!$B$28)/FixedParams!$B$32,L94*(1+FixedParams!$B$23)+M94*FixedParams!$B$33*(1+FixedParams!$B$26)/FixedParams!$B$32)</f>
        <v>224.460783337382</v>
      </c>
      <c r="R94" s="24">
        <f t="shared" si="49"/>
        <v>50.662821475774265</v>
      </c>
      <c r="S94" s="24">
        <f>R94^((FixedParams!$B$47-1)/FixedParams!$B$47)*EXP($C94)</f>
        <v>0.38058339314968165</v>
      </c>
      <c r="T94" s="7">
        <f>(L94*FixedParams!$B$32*(FixedParams!$C$25-FixedParams!$C$23)+FixedParams!$B$33*(FixedParams!$C$28-FixedParams!$C$26)*M94)/N94</f>
        <v>-541.8533272321921</v>
      </c>
      <c r="U94" s="7">
        <f>(L94*FixedParams!$B$32*(FixedParams!$C$25-FixedParams!$C$23)*$Z$12/$B$11+FixedParams!$B$33*(FixedParams!$C$28-FixedParams!$C$26)*M94)/N94</f>
        <v>-888.52600081508638</v>
      </c>
      <c r="V94" s="14">
        <f t="shared" si="50"/>
        <v>-1.6222238953329928</v>
      </c>
      <c r="W94" s="14">
        <f t="shared" si="61"/>
        <v>0.61945013265152482</v>
      </c>
      <c r="X94" s="73">
        <f t="shared" si="62"/>
        <v>0.97428918570920509</v>
      </c>
      <c r="Y94" s="24">
        <f>EXP(-$D$17)*(($B94*FixedParams!$B$30)^$B$10*(1+FixedParams!$C$24)^(1-$B$10)+(1-$B94)^$B$10*((1+FixedParams!$C$27)/$Z$12)^(1-$B$10))^(1/(1-$B$10))</f>
        <v>6.353142882943188</v>
      </c>
      <c r="Z94" s="24">
        <f>EXP($D94-$D$17)*(($B94*FixedParams!$C$31)^$B$10*(1+FixedParams!$C$25)^(1-$B$10)+(1-$B94)^$B$10*((1+FixedParams!$C$28)/$Z$12)^(1-$B$10))^(1/(1-$B$10))</f>
        <v>5.3703433076588087</v>
      </c>
      <c r="AA94" s="24">
        <f>EXP($D94-$D$17)*(($B94*FixedParams!$C$30)^$B$10*(1+FixedParams!$C$23)^(1-$B$10)+(1-$B94)^$B$10*((1+FixedParams!$C$26)/$Z$12)^(1-$B$10))^(1/(1-$B$10))</f>
        <v>5.4463951157311126</v>
      </c>
      <c r="AB94">
        <f>IF(FixedParams!$I$6=1,IF(Z94&lt;=MIN(Y94:AA94),1,0),$H94)</f>
        <v>1</v>
      </c>
      <c r="AC94">
        <f>IF(FixedParams!$I$6=1,IF(AA94&lt;=MIN(Y94:AA94),1,0),IF(AA94&lt;=Y94,1,0)*(1-$H94))</f>
        <v>0</v>
      </c>
      <c r="AD94" s="24">
        <f>$Z$13*IF(AB94=1,1,IF(AC94=1,FixedParams!$C$52,FixedParams!$C$53))</f>
        <v>0.43187184563106507</v>
      </c>
      <c r="AE94">
        <f>EXP($C94*FixedParams!$B$47)*EXP(IF(AB94+AC94=1,(1-FixedParams!$B$47)*$D94,0))*($B94^((FixedParams!$B$47-1)*$B$10/($B$10-1)))*((1/$B94-1)^$B$10*(AD94)^($B$10-1)+1)^((FixedParams!$B$47-$B$10)/($B$10-1))/((1+IF(AB94=1,FixedParams!$C$25,IF(AC94=1,FixedParams!$C$23,FixedParams!$C$24)))^FixedParams!$B$47)</f>
        <v>4.3474644107451062E-2</v>
      </c>
      <c r="AF94">
        <f t="shared" si="63"/>
        <v>1.2810752090786024</v>
      </c>
      <c r="AG94">
        <f t="shared" si="64"/>
        <v>30.090489411458364</v>
      </c>
      <c r="AH94">
        <f t="shared" si="51"/>
        <v>70.665061722000146</v>
      </c>
      <c r="AI94">
        <f t="shared" si="65"/>
        <v>100.75555113345851</v>
      </c>
      <c r="AJ94" s="24">
        <f t="shared" si="66"/>
        <v>2.3484184904979015</v>
      </c>
      <c r="AK94" s="24">
        <f t="shared" si="67"/>
        <v>1.793661485261409</v>
      </c>
      <c r="AL94" s="23">
        <f>IF(AB94=1,AG94*(1+FixedParams!$C$25)+AH94*(1+FixedParams!$C$28)/$Z$12,IF(AC94=1,AG94*(1+FixedParams!$C$23)+AH94*(1+FixedParams!$C$26)/$Z$12,AG94*(1+FixedParams!$C$24)+AH94*(1+FixedParams!$C$27)/$Z$12))</f>
        <v>265.0814296150362</v>
      </c>
      <c r="AM94" s="24">
        <f t="shared" si="68"/>
        <v>49.360239081362934</v>
      </c>
      <c r="AN94" s="24">
        <f>AM94^((FixedParams!$B$47-1)/FixedParams!$B$47)*EXP($C94)</f>
        <v>0.38059331630115673</v>
      </c>
      <c r="AO94" s="24">
        <f t="shared" si="69"/>
        <v>-6.0525260037032451E-2</v>
      </c>
      <c r="AP94" s="24">
        <f t="shared" si="70"/>
        <v>-2.6047114161651553E-2</v>
      </c>
      <c r="AQ94" s="14">
        <f t="shared" si="71"/>
        <v>-1.6933685072148776</v>
      </c>
      <c r="AS94" s="24">
        <f>EXP(-$D$17)*(($B94*FixedParams!$B$30)^$B$10*(1+FixedParams!$D$24)^(1-$B$10)+(1-$B94)^$B$10*((1+FixedParams!$D$27)/$AT$12)^(1-$B$10))^(1/(1-$B$10))</f>
        <v>5.9848685898592207</v>
      </c>
      <c r="AT94" s="24">
        <f>EXP($D94-$D$17)*(($B94*FixedParams!$C$31)^$B$10*(1+FixedParams!$D$25)^(1-$B$10)+(1-$B94)^$B$10*((1+FixedParams!$D$28)/$AT$12)^(1-$B$10))^(1/(1-$B$10))</f>
        <v>5.240730125424454</v>
      </c>
      <c r="AU94" s="24">
        <f>EXP($D94-$D$17)*(($B94*FixedParams!$C$30)^$B$10*(1+FixedParams!$D$23)^(1-$B$10)+(1-$B94)^$B$10*((1+FixedParams!$D$26)/$AT$12)^(1-$B$10))^(1/(1-$B$10))</f>
        <v>5.2802029806875197</v>
      </c>
      <c r="AV94">
        <f>IF(FixedParams!$I$6=1,IF(AT94&lt;=MIN(AS94:AU94),1,0),$H94)</f>
        <v>1</v>
      </c>
      <c r="AW94">
        <f>IF(FixedParams!$I$6=1,IF(AU94&lt;=MIN(AS94:AU94),1,0),IF(AU94&lt;=AS94,1,0)*(1-$H94))</f>
        <v>0</v>
      </c>
      <c r="AX94" s="24">
        <f>$AT$13*IF(AV94=1,1,IF(AW94=1,FixedParams!$D$52,FixedParams!$D$53))</f>
        <v>0.41089128090616783</v>
      </c>
      <c r="AY94">
        <f>EXP($C94*FixedParams!$B$47)*EXP(IF(AV94+AW94=1,(1-FixedParams!$B$47)*$D94,0))*($B94^((FixedParams!$B$47-1)*$B$10/($B$10-1)))*((1/$B94-1)^$B$10*(AX94)^($B$10-1)+1)^((FixedParams!$B$47-$B$10)/($B$10-1))/((1+IF(AV94=1,FixedParams!$D$25,IF(AW94=1,FixedParams!$D$23,FixedParams!$D$24)))^FixedParams!$B$47)</f>
        <v>4.7444406037084622E-2</v>
      </c>
      <c r="AZ94">
        <f t="shared" si="52"/>
        <v>1.2775630812903589</v>
      </c>
      <c r="BA94">
        <f t="shared" si="72"/>
        <v>32.143316260298121</v>
      </c>
      <c r="BB94">
        <f t="shared" si="53"/>
        <v>70.052594075971726</v>
      </c>
      <c r="BC94">
        <f t="shared" si="73"/>
        <v>102.19591033626985</v>
      </c>
      <c r="BD94" s="24">
        <f t="shared" si="74"/>
        <v>2.1793829083683356</v>
      </c>
      <c r="BE94" s="24">
        <f t="shared" si="75"/>
        <v>1.7746566946479794</v>
      </c>
      <c r="BF94" s="23">
        <f>IF(AV94=1,BA94*(1+FixedParams!$C$25)+BB94*(1+FixedParams!$C$28)/$AT$12,IF(AW94=1,BA94*(1+FixedParams!$C$23)+BB94*(1+FixedParams!$C$26)/$AT$12,BA94*(1+FixedParams!$C$24)+BB94*(1+FixedParams!$C$27)/$AT$12))</f>
        <v>262.91243000476402</v>
      </c>
      <c r="BG94" s="24">
        <f t="shared" si="76"/>
        <v>50.167137729396124</v>
      </c>
      <c r="BH94" s="24">
        <f>BG94^((FixedParams!$B$47-1)/FixedParams!$B$47)*EXP($C94)</f>
        <v>0.38058713886756146</v>
      </c>
      <c r="BI94" s="7"/>
      <c r="BJ94" s="24">
        <f>EXP(-$D$17)*(($B94*FixedParams!$B$30)^$B$10*(1+FixedParams!$C$24)^(1-$B$10)+(1-$B94)^$B$10*((1+FixedParams!$C$27)/$BK$12)^(1-$B$10))^(1/(1-$B$10))</f>
        <v>6.6306114906340481</v>
      </c>
      <c r="BK94" s="24">
        <f>EXP($D94-$D$17)*(($B94*FixedParams!$C$31)^$B$10*(1+FixedParams!$C$25)^(1-$B$10)+(1-$B94)^$B$10*((1+FixedParams!$C$28)/$BK$12)^(1-$B$10))^(1/(1-$B$10))</f>
        <v>5.6030089775682601</v>
      </c>
      <c r="BL94" s="24">
        <f>EXP($D94-$D$17)*(($B94*FixedParams!$C$30)^$B$10*(1+FixedParams!$C$23)^(1-$B$10)+(1-$B94)^$B$10*((1+FixedParams!$C$26)/$BK$12)^(1-$B$10))^(1/(1-$B$10))</f>
        <v>5.6780665239092603</v>
      </c>
      <c r="BM94">
        <f>IF(FixedParams!$I$6=1,IF(BK94&lt;=MIN(BJ94:BL94),1,0),$H94)</f>
        <v>1</v>
      </c>
      <c r="BN94">
        <f>IF(FixedParams!$I$6=1,IF(BL94&lt;=MIN(BJ94:BL94),1,0),IF(BL94&lt;=BJ94,1,0)*(1-$H94))</f>
        <v>0</v>
      </c>
      <c r="BO94" s="24">
        <f>$BK$13*IF(BM94=1,1,IF(BN94=1,FixedParams!$C$52,FixedParams!$C$53))</f>
        <v>0.41068174962109105</v>
      </c>
      <c r="BP94">
        <f>EXP($C94*FixedParams!$B$47)*EXP(IF(BM94+BN94=1,(1-FixedParams!$B$47)*$D94,0))*($B94^((FixedParams!$B$47-1)*$B$10/($B$10-1)))*((1/$B94-1)^$B$10*(BO94)^($B$10-1)+1)^((FixedParams!$B$47-$B$10)/($B$10-1))/((1+IF(BM94=1,FixedParams!$C$25,IF(BN94=1,FixedParams!$C$23,FixedParams!$C$24)))^FixedParams!$B$47)</f>
        <v>4.4408293958416722E-2</v>
      </c>
      <c r="BQ94">
        <f t="shared" si="77"/>
        <v>1.2775267980162053</v>
      </c>
      <c r="BR94">
        <f t="shared" si="78"/>
        <v>32.582246392397927</v>
      </c>
      <c r="BS94">
        <f t="shared" si="54"/>
        <v>70.954881829629386</v>
      </c>
      <c r="BT94">
        <f t="shared" si="79"/>
        <v>103.53712822202732</v>
      </c>
      <c r="BU94" s="24">
        <f t="shared" si="80"/>
        <v>2.1777160781088605</v>
      </c>
      <c r="BV94" s="24">
        <f t="shared" si="81"/>
        <v>1.7795502769014462</v>
      </c>
      <c r="BW94" s="23">
        <f>IF(BM94=1,BR94*(1+FixedParams!$C$25)+BS94*(1+FixedParams!$C$28)/$BK$12,IF(BN94=1,BR94*(1+FixedParams!$C$23)+BS94*(1+FixedParams!$C$26)/$BK$12,BR94*(1+FixedParams!$C$24)+BS94*(1+FixedParams!$C$27)/$BK$12))</f>
        <v>281.00978446857755</v>
      </c>
      <c r="BX94" s="24">
        <f t="shared" si="82"/>
        <v>50.153370375383105</v>
      </c>
      <c r="BY94" s="24">
        <f>BX94^((FixedParams!$B$47-1)/FixedParams!$B$47)*EXP($C94)</f>
        <v>0.38058724343089845</v>
      </c>
      <c r="BZ94" s="24">
        <f t="shared" si="83"/>
        <v>-3.3292282283596687E-2</v>
      </c>
      <c r="CA94" s="24">
        <f t="shared" si="84"/>
        <v>-1.0106619332998912E-2</v>
      </c>
      <c r="CB94" s="24">
        <f t="shared" si="85"/>
        <v>7.2218365864083391E-3</v>
      </c>
      <c r="CC94" s="24"/>
      <c r="CD94" s="24">
        <f>EXP(-$D$17)*(($B94*FixedParams!$B$30)^$B$10*(1+FixedParams!$D$24)^(1-$B$10)+(1-$B94)^$B$10*((1+FixedParams!$D$27)/$CE$12)^(1-$B$10))^(1/(1-$B$10))</f>
        <v>6.2273012580230844</v>
      </c>
      <c r="CE94" s="24">
        <f>EXP($D94-$D$17)*(($B94*FixedParams!$D$31)^$B$10*(1+FixedParams!$D$25)^(1-$B$10)+(1-$B94)^$B$10*((1+FixedParams!$D$28)/$CE$12)^(1-$B$10))^(1/(1-$B$10))</f>
        <v>5.4518406478225288</v>
      </c>
      <c r="CF94" s="24">
        <f>EXP($D94-$D$17)*(($B94*FixedParams!$D$30)^$B$10*(1+FixedParams!$D$23)^(1-$B$10)+(1-$B94)^$B$10*((1+FixedParams!$D$26)/$CE$12)^(1-$B$10))^(1/(1-$B$10))</f>
        <v>5.4897865620196837</v>
      </c>
      <c r="CG94">
        <f>IF(FixedParams!$I$6=1,IF(CE94&lt;=MIN(CD94:CF94),1,0),$H94)</f>
        <v>1</v>
      </c>
      <c r="CH94">
        <f>IF(FixedParams!$I$6=1,IF(CF94&lt;=MIN(CD94:CF94),1,0),IF(CF94&lt;=CD94,1,0)*(1-$H94))</f>
        <v>0</v>
      </c>
      <c r="CI94" s="24">
        <f>$CE$13*IF(CG94=1,1,IF(CH94=1,FixedParams!$D$52,FixedParams!$D$53))</f>
        <v>0.39201585704839609</v>
      </c>
      <c r="CJ94">
        <f>EXP($C94*FixedParams!$B$47)*EXP(IF(CG94+CH94=1,(1-FixedParams!$B$47)*$D94,0))*($B94^((FixedParams!$B$47-1)*$B$10/($B$10-1)))*((1/$B94-1)^$B$10*(CI94)^($B$10-1)+1)^((FixedParams!$B$47-$B$10)/($B$10-1))/((1+IF(CG94=1,FixedParams!$D$25,IF(CH94=1,FixedParams!$D$23,FixedParams!$D$24)))^FixedParams!$B$47)</f>
        <v>4.8392476075834141E-2</v>
      </c>
      <c r="CK94">
        <f t="shared" si="86"/>
        <v>1.2741913256231494</v>
      </c>
      <c r="CL94">
        <f t="shared" si="88"/>
        <v>34.81126605594816</v>
      </c>
      <c r="CM94">
        <f t="shared" si="55"/>
        <v>70.699838634331584</v>
      </c>
      <c r="CN94">
        <f t="shared" si="89"/>
        <v>105.51110469027975</v>
      </c>
      <c r="CO94" s="24">
        <f t="shared" si="90"/>
        <v>2.0309470652605346</v>
      </c>
      <c r="CP94" s="24">
        <f t="shared" si="91"/>
        <v>1.7613368364355295</v>
      </c>
      <c r="CQ94" s="23">
        <f>IF(CG94=1,CL94*(1+FixedParams!$D$25)+CM94*(1+FixedParams!$D$28)/$CE$12,IF(CH94=1,CL94*(1+FixedParams!$D$23)+CM94*(1+FixedParams!$D$26)/$CE$12,CL94*(1+FixedParams!$D$24)+CM94*(1+FixedParams!$D$27)/$CE$12))</f>
        <v>275.50824716333733</v>
      </c>
      <c r="CR94" s="24">
        <f t="shared" si="92"/>
        <v>50.534904624069597</v>
      </c>
      <c r="CS94" s="24">
        <f>CR94^((FixedParams!$B$47-1)/FixedParams!$B$47)*EXP($C94)</f>
        <v>0.38058435625133852</v>
      </c>
      <c r="CT94" s="24"/>
    </row>
    <row r="95" spans="1:98" x14ac:dyDescent="0.15">
      <c r="A95">
        <v>0.39</v>
      </c>
      <c r="B95">
        <f t="shared" si="56"/>
        <v>0.19824903476772765</v>
      </c>
      <c r="C95">
        <f>(D95-$D$17)*FixedParams!$B$47+$A95*$B$9</f>
        <v>-0.97461591276077153</v>
      </c>
      <c r="D95">
        <f>(A95-$B$6)*FixedParams!$B$46/(FixedParams!$B$45*Sectors!$B$6)</f>
        <v>-5.9768657288208883E-2</v>
      </c>
      <c r="E95">
        <f t="shared" si="57"/>
        <v>0.37733725615873265</v>
      </c>
      <c r="F95" s="24">
        <f>EXP(-$D$17)*(($B95*FixedParams!$B$30)^$B$10*(1+FixedParams!$B$23)^(1-$B$10)+(1-$B95)^$B$10*((1+FixedParams!$B$26)/$B$11)^(1-$B$10))^(1/(1-$B$10))</f>
        <v>4.8951499154327784</v>
      </c>
      <c r="G95" s="24">
        <f>EXP($D95-$D$17)*(($B95*FixedParams!$B$31)^$B$10*(1+FixedParams!$B$25)^(1-$B$10)+(1-$B95)^$B$10*((1+FixedParams!$B$28)/$B$11)^(1-$B$10))^(1/(1-$B$10))</f>
        <v>4.447333191140129</v>
      </c>
      <c r="H95">
        <f t="shared" si="58"/>
        <v>1</v>
      </c>
      <c r="I95" s="24">
        <f>$B$12*IF(H95=1,1,FixedParams!$B$52)</f>
        <v>0.3745928365283252</v>
      </c>
      <c r="J95">
        <f>EXP($C95*FixedParams!$B$47)*EXP(IF(H95=1,(1-FixedParams!$B$47)*$D95,0))*($B95^((FixedParams!$B$47-1)*$B$10/($B$10-1)))*((1/$B95-1)^$B$10*(I95)^($B$10-1)+1)^((FixedParams!$B$47-$B$10)/($B$10-1))/((1+IF(H95=1,FixedParams!$B$25,FixedParams!$B$24))^FixedParams!$B$47)</f>
        <v>6.3152971411442105E-2</v>
      </c>
      <c r="K95">
        <f t="shared" si="87"/>
        <v>1.273326990927599</v>
      </c>
      <c r="L95">
        <f>K95*FixedParams!$B$8/K$15</f>
        <v>37.019600386537881</v>
      </c>
      <c r="M95">
        <f t="shared" si="47"/>
        <v>69.026132891416509</v>
      </c>
      <c r="N95">
        <f t="shared" si="59"/>
        <v>106.04573327795438</v>
      </c>
      <c r="O95" s="24">
        <f t="shared" si="60"/>
        <v>1.8645834144800155</v>
      </c>
      <c r="P95" s="24">
        <f t="shared" si="48"/>
        <v>1.7389742493513485</v>
      </c>
      <c r="Q95" s="23">
        <f>IF(H95=1,L95*(1+FixedParams!$B$25)+M95*FixedParams!$B$33*(1+FixedParams!$B$28)/FixedParams!$B$32,L95*(1+FixedParams!$B$23)+M95*FixedParams!$B$33*(1+FixedParams!$B$26)/FixedParams!$B$32)</f>
        <v>221.67718958919278</v>
      </c>
      <c r="R95" s="24">
        <f t="shared" si="49"/>
        <v>49.844970021767828</v>
      </c>
      <c r="S95" s="24">
        <f>R95^((FixedParams!$B$47-1)/FixedParams!$B$47)*EXP($C95)</f>
        <v>0.37586368426296823</v>
      </c>
      <c r="T95" s="7">
        <f>(L95*FixedParams!$B$32*(FixedParams!$C$25-FixedParams!$C$23)+FixedParams!$B$33*(FixedParams!$C$28-FixedParams!$C$26)*M95)/N95</f>
        <v>-497.44873711986719</v>
      </c>
      <c r="U95" s="7">
        <f>(L95*FixedParams!$B$32*(FixedParams!$C$25-FixedParams!$C$23)*$Z$12/$B$11+FixedParams!$B$33*(FixedParams!$C$28-FixedParams!$C$26)*M95)/N95</f>
        <v>-848.0524164742535</v>
      </c>
      <c r="V95" s="14">
        <f t="shared" si="50"/>
        <v>-1.6049532700369094</v>
      </c>
      <c r="W95" s="14">
        <f t="shared" si="61"/>
        <v>0.6246514501869479</v>
      </c>
      <c r="X95" s="73">
        <f t="shared" si="62"/>
        <v>0.97396577691594699</v>
      </c>
      <c r="Y95" s="24">
        <f>EXP(-$D$17)*(($B95*FixedParams!$B$30)^$B$10*(1+FixedParams!$C$24)^(1-$B$10)+(1-$B95)^$B$10*((1+FixedParams!$C$27)/$Z$12)^(1-$B$10))^(1/(1-$B$10))</f>
        <v>6.3635783858813317</v>
      </c>
      <c r="Z95" s="24">
        <f>EXP($D95-$D$17)*(($B95*FixedParams!$C$31)^$B$10*(1+FixedParams!$C$25)^(1-$B$10)+(1-$B95)^$B$10*((1+FixedParams!$C$28)/$Z$12)^(1-$B$10))^(1/(1-$B$10))</f>
        <v>5.3925594913777637</v>
      </c>
      <c r="AA95" s="24">
        <f>EXP($D95-$D$17)*(($B95*FixedParams!$C$30)^$B$10*(1+FixedParams!$C$23)^(1-$B$10)+(1-$B95)^$B$10*((1+FixedParams!$C$26)/$Z$12)^(1-$B$10))^(1/(1-$B$10))</f>
        <v>5.466098910561886</v>
      </c>
      <c r="AB95">
        <f>IF(FixedParams!$I$6=1,IF(Z95&lt;=MIN(Y95:AA95),1,0),$H95)</f>
        <v>1</v>
      </c>
      <c r="AC95">
        <f>IF(FixedParams!$I$6=1,IF(AA95&lt;=MIN(Y95:AA95),1,0),IF(AA95&lt;=Y95,1,0)*(1-$H95))</f>
        <v>0</v>
      </c>
      <c r="AD95" s="24">
        <f>$Z$13*IF(AB95=1,1,IF(AC95=1,FixedParams!$C$52,FixedParams!$C$53))</f>
        <v>0.43187184563106507</v>
      </c>
      <c r="AE95">
        <f>EXP($C95*FixedParams!$B$47)*EXP(IF(AB95+AC95=1,(1-FixedParams!$B$47)*$D95,0))*($B95^((FixedParams!$B$47-1)*$B$10/($B$10-1)))*((1/$B95-1)^$B$10*(AD95)^($B$10-1)+1)^((FixedParams!$B$47-$B$10)/($B$10-1))/((1+IF(AB95=1,FixedParams!$C$25,IF(AC95=1,FixedParams!$C$23,FixedParams!$C$24)))^FixedParams!$B$47)</f>
        <v>4.3565593431451471E-2</v>
      </c>
      <c r="AF95">
        <f t="shared" si="63"/>
        <v>1.2837552292754648</v>
      </c>
      <c r="AG95">
        <f t="shared" si="64"/>
        <v>30.153438970379408</v>
      </c>
      <c r="AH95">
        <f t="shared" si="51"/>
        <v>69.600410982436003</v>
      </c>
      <c r="AI95">
        <f t="shared" si="65"/>
        <v>99.753849952815415</v>
      </c>
      <c r="AJ95" s="24">
        <f t="shared" si="66"/>
        <v>2.3082080637902194</v>
      </c>
      <c r="AK95" s="24">
        <f t="shared" si="67"/>
        <v>1.801081553365687</v>
      </c>
      <c r="AL95" s="23">
        <f>IF(AB95=1,AG95*(1+FixedParams!$C$25)+AH95*(1+FixedParams!$C$28)/$Z$12,IF(AC95=1,AG95*(1+FixedParams!$C$23)+AH95*(1+FixedParams!$C$26)/$Z$12,AG95*(1+FixedParams!$C$24)+AH95*(1+FixedParams!$C$27)/$Z$12))</f>
        <v>261.79417617737613</v>
      </c>
      <c r="AM95" s="24">
        <f t="shared" si="68"/>
        <v>48.547294952603188</v>
      </c>
      <c r="AN95" s="24">
        <f>AM95^((FixedParams!$B$47-1)/FixedParams!$B$47)*EXP($C95)</f>
        <v>0.37587360926932739</v>
      </c>
      <c r="AO95" s="24">
        <f t="shared" si="69"/>
        <v>-6.1164796041067934E-2</v>
      </c>
      <c r="AP95" s="24">
        <f t="shared" si="70"/>
        <v>-2.6379112593512759E-2</v>
      </c>
      <c r="AQ95" s="14">
        <f t="shared" si="71"/>
        <v>-1.6760978819187946</v>
      </c>
      <c r="AS95" s="24">
        <f>EXP(-$D$17)*(($B95*FixedParams!$B$30)^$B$10*(1+FixedParams!$D$24)^(1-$B$10)+(1-$B95)^$B$10*((1+FixedParams!$D$27)/$AT$12)^(1-$B$10))^(1/(1-$B$10))</f>
        <v>5.9935859939292611</v>
      </c>
      <c r="AT95" s="24">
        <f>EXP($D95-$D$17)*(($B95*FixedParams!$C$31)^$B$10*(1+FixedParams!$D$25)^(1-$B$10)+(1-$B95)^$B$10*((1+FixedParams!$D$28)/$AT$12)^(1-$B$10))^(1/(1-$B$10))</f>
        <v>5.2618076459043825</v>
      </c>
      <c r="AU95" s="24">
        <f>EXP($D95-$D$17)*(($B95*FixedParams!$C$30)^$B$10*(1+FixedParams!$D$23)^(1-$B$10)+(1-$B95)^$B$10*((1+FixedParams!$D$26)/$AT$12)^(1-$B$10))^(1/(1-$B$10))</f>
        <v>5.2992340267683584</v>
      </c>
      <c r="AV95">
        <f>IF(FixedParams!$I$6=1,IF(AT95&lt;=MIN(AS95:AU95),1,0),$H95)</f>
        <v>1</v>
      </c>
      <c r="AW95">
        <f>IF(FixedParams!$I$6=1,IF(AU95&lt;=MIN(AS95:AU95),1,0),IF(AU95&lt;=AS95,1,0)*(1-$H95))</f>
        <v>0</v>
      </c>
      <c r="AX95" s="24">
        <f>$AT$13*IF(AV95=1,1,IF(AW95=1,FixedParams!$D$52,FixedParams!$D$53))</f>
        <v>0.41089128090616783</v>
      </c>
      <c r="AY95">
        <f>EXP($C95*FixedParams!$B$47)*EXP(IF(AV95+AW95=1,(1-FixedParams!$B$47)*$D95,0))*($B95^((FixedParams!$B$47-1)*$B$10/($B$10-1)))*((1/$B95-1)^$B$10*(AX95)^($B$10-1)+1)^((FixedParams!$B$47-$B$10)/($B$10-1))/((1+IF(AV95=1,FixedParams!$D$25,IF(AW95=1,FixedParams!$D$23,FixedParams!$D$24)))^FixedParams!$B$47)</f>
        <v>4.7540933057763406E-2</v>
      </c>
      <c r="AZ95">
        <f t="shared" si="52"/>
        <v>1.2801623204476533</v>
      </c>
      <c r="BA95">
        <f t="shared" si="72"/>
        <v>32.208712769865919</v>
      </c>
      <c r="BB95">
        <f t="shared" si="53"/>
        <v>68.993213227769047</v>
      </c>
      <c r="BC95">
        <f t="shared" si="73"/>
        <v>101.20192599763496</v>
      </c>
      <c r="BD95" s="24">
        <f t="shared" si="74"/>
        <v>2.1420667668631035</v>
      </c>
      <c r="BE95" s="24">
        <f t="shared" si="75"/>
        <v>1.78179412816031</v>
      </c>
      <c r="BF95" s="23">
        <f>IF(AV95=1,BA95*(1+FixedParams!$C$25)+BB95*(1+FixedParams!$C$28)/$AT$12,IF(AW95=1,BA95*(1+FixedParams!$C$23)+BB95*(1+FixedParams!$C$26)/$AT$12,BA95*(1+FixedParams!$C$24)+BB95*(1+FixedParams!$C$27)/$AT$12))</f>
        <v>259.69115743619471</v>
      </c>
      <c r="BG95" s="24">
        <f t="shared" si="76"/>
        <v>49.353981542508443</v>
      </c>
      <c r="BH95" s="24">
        <f>BG95^((FixedParams!$B$47-1)/FixedParams!$B$47)*EXP($C95)</f>
        <v>0.37586740873563806</v>
      </c>
      <c r="BI95" s="7"/>
      <c r="BJ95" s="24">
        <f>EXP(-$D$17)*(($B95*FixedParams!$B$30)^$B$10*(1+FixedParams!$C$24)^(1-$B$10)+(1-$B95)^$B$10*((1+FixedParams!$C$27)/$BK$12)^(1-$B$10))^(1/(1-$B$10))</f>
        <v>6.6407612603260189</v>
      </c>
      <c r="BK95" s="24">
        <f>EXP($D95-$D$17)*(($B95*FixedParams!$C$31)^$B$10*(1+FixedParams!$C$25)^(1-$B$10)+(1-$B95)^$B$10*((1+FixedParams!$C$28)/$BK$12)^(1-$B$10))^(1/(1-$B$10))</f>
        <v>5.6255368816863749</v>
      </c>
      <c r="BL95" s="24">
        <f>EXP($D95-$D$17)*(($B95*FixedParams!$C$30)^$B$10*(1+FixedParams!$C$23)^(1-$B$10)+(1-$B95)^$B$10*((1+FixedParams!$C$26)/$BK$12)^(1-$B$10))^(1/(1-$B$10))</f>
        <v>5.6978993272559624</v>
      </c>
      <c r="BM95">
        <f>IF(FixedParams!$I$6=1,IF(BK95&lt;=MIN(BJ95:BL95),1,0),$H95)</f>
        <v>1</v>
      </c>
      <c r="BN95">
        <f>IF(FixedParams!$I$6=1,IF(BL95&lt;=MIN(BJ95:BL95),1,0),IF(BL95&lt;=BJ95,1,0)*(1-$H95))</f>
        <v>0</v>
      </c>
      <c r="BO95" s="24">
        <f>$BK$13*IF(BM95=1,1,IF(BN95=1,FixedParams!$C$52,FixedParams!$C$53))</f>
        <v>0.41068174962109105</v>
      </c>
      <c r="BP95">
        <f>EXP($C95*FixedParams!$B$47)*EXP(IF(BM95+BN95=1,(1-FixedParams!$B$47)*$D95,0))*($B95^((FixedParams!$B$47-1)*$B$10/($B$10-1)))*((1/$B95-1)^$B$10*(BO95)^($B$10-1)+1)^((FixedParams!$B$47-$B$10)/($B$10-1))/((1+IF(BM95=1,FixedParams!$C$25,IF(BN95=1,FixedParams!$C$23,FixedParams!$C$24)))^FixedParams!$B$47)</f>
        <v>4.4498617552261643E-2</v>
      </c>
      <c r="BQ95">
        <f t="shared" si="77"/>
        <v>1.2801252047854017</v>
      </c>
      <c r="BR95">
        <f t="shared" si="78"/>
        <v>32.648516571397771</v>
      </c>
      <c r="BS95">
        <f t="shared" si="54"/>
        <v>69.881814589567938</v>
      </c>
      <c r="BT95">
        <f t="shared" si="79"/>
        <v>102.53033116096572</v>
      </c>
      <c r="BU95" s="24">
        <f t="shared" si="80"/>
        <v>2.1404284766429162</v>
      </c>
      <c r="BV95" s="24">
        <f t="shared" si="81"/>
        <v>1.7867052784679081</v>
      </c>
      <c r="BW95" s="23">
        <f>IF(BM95=1,BR95*(1+FixedParams!$C$25)+BS95*(1+FixedParams!$C$28)/$BK$12,IF(BN95=1,BR95*(1+FixedParams!$C$23)+BS95*(1+FixedParams!$C$26)/$BK$12,BR95*(1+FixedParams!$C$24)+BS95*(1+FixedParams!$C$27)/$BK$12))</f>
        <v>277.52497268354529</v>
      </c>
      <c r="BX95" s="24">
        <f t="shared" si="82"/>
        <v>49.333064295963027</v>
      </c>
      <c r="BY95" s="24">
        <f>BX95^((FixedParams!$B$47-1)/FixedParams!$B$47)*EXP($C95)</f>
        <v>0.37586756822937822</v>
      </c>
      <c r="BZ95" s="24">
        <f t="shared" si="83"/>
        <v>-3.3711778514294174E-2</v>
      </c>
      <c r="CA95" s="24">
        <f t="shared" si="84"/>
        <v>-1.0323057424486555E-2</v>
      </c>
      <c r="CB95" s="24">
        <f t="shared" si="85"/>
        <v>7.0053984949206959E-3</v>
      </c>
      <c r="CC95" s="24"/>
      <c r="CD95" s="24">
        <f>EXP(-$D$17)*(($B95*FixedParams!$B$30)^$B$10*(1+FixedParams!$D$24)^(1-$B$10)+(1-$B95)^$B$10*((1+FixedParams!$D$27)/$CE$12)^(1-$B$10))^(1/(1-$B$10))</f>
        <v>6.2357023423267117</v>
      </c>
      <c r="CE95" s="24">
        <f>EXP($D95-$D$17)*(($B95*FixedParams!$D$31)^$B$10*(1+FixedParams!$D$25)^(1-$B$10)+(1-$B95)^$B$10*((1+FixedParams!$D$28)/$CE$12)^(1-$B$10))^(1/(1-$B$10))</f>
        <v>5.4731656292582613</v>
      </c>
      <c r="CF95" s="24">
        <f>EXP($D95-$D$17)*(($B95*FixedParams!$D$30)^$B$10*(1+FixedParams!$D$23)^(1-$B$10)+(1-$B95)^$B$10*((1+FixedParams!$D$26)/$CE$12)^(1-$B$10))^(1/(1-$B$10))</f>
        <v>5.5089313355565013</v>
      </c>
      <c r="CG95">
        <f>IF(FixedParams!$I$6=1,IF(CE95&lt;=MIN(CD95:CF95),1,0),$H95)</f>
        <v>1</v>
      </c>
      <c r="CH95">
        <f>IF(FixedParams!$I$6=1,IF(CF95&lt;=MIN(CD95:CF95),1,0),IF(CF95&lt;=CD95,1,0)*(1-$H95))</f>
        <v>0</v>
      </c>
      <c r="CI95" s="24">
        <f>$CE$13*IF(CG95=1,1,IF(CH95=1,FixedParams!$D$52,FixedParams!$D$53))</f>
        <v>0.39201585704839609</v>
      </c>
      <c r="CJ95">
        <f>EXP($C95*FixedParams!$B$47)*EXP(IF(CG95+CH95=1,(1-FixedParams!$B$47)*$D95,0))*($B95^((FixedParams!$B$47-1)*$B$10/($B$10-1)))*((1/$B95-1)^$B$10*(CI95)^($B$10-1)+1)^((FixedParams!$B$47-$B$10)/($B$10-1))/((1+IF(CG95=1,FixedParams!$D$25,IF(CH95=1,FixedParams!$D$23,FixedParams!$D$24)))^FixedParams!$B$47)</f>
        <v>4.8488261858031838E-2</v>
      </c>
      <c r="CK95">
        <f t="shared" si="86"/>
        <v>1.2767133997696154</v>
      </c>
      <c r="CL95">
        <f t="shared" si="88"/>
        <v>34.880169832296282</v>
      </c>
      <c r="CM95">
        <f t="shared" si="55"/>
        <v>69.626835576056408</v>
      </c>
      <c r="CN95">
        <f t="shared" si="89"/>
        <v>104.50700540835268</v>
      </c>
      <c r="CO95" s="24">
        <f t="shared" si="90"/>
        <v>1.9961724931622167</v>
      </c>
      <c r="CP95" s="24">
        <f t="shared" si="91"/>
        <v>1.7682263399565212</v>
      </c>
      <c r="CQ95" s="23">
        <f>IF(CG95=1,CL95*(1+FixedParams!$D$25)+CM95*(1+FixedParams!$D$28)/$CE$12,IF(CH95=1,CL95*(1+FixedParams!$D$23)+CM95*(1+FixedParams!$D$26)/$CE$12,CL95*(1+FixedParams!$D$24)+CM95*(1+FixedParams!$D$27)/$CE$12))</f>
        <v>272.0916305431881</v>
      </c>
      <c r="CR95" s="24">
        <f t="shared" si="92"/>
        <v>49.713757809310572</v>
      </c>
      <c r="CS95" s="24">
        <f>CR95^((FixedParams!$B$47-1)/FixedParams!$B$47)*EXP($C95)</f>
        <v>0.3758646759864997</v>
      </c>
      <c r="CT95" s="24"/>
    </row>
    <row r="96" spans="1:98" x14ac:dyDescent="0.15">
      <c r="A96">
        <v>0.39500000000000002</v>
      </c>
      <c r="B96">
        <f t="shared" si="56"/>
        <v>0.20008546338323779</v>
      </c>
      <c r="C96">
        <f>(D96-$D$17)*FixedParams!$B$47+$A96*$B$9</f>
        <v>-0.98711098856539681</v>
      </c>
      <c r="D96">
        <f>(A96-$B$6)*FixedParams!$B$46/(FixedParams!$B$45*Sectors!$B$6)</f>
        <v>-5.7051900138744838E-2</v>
      </c>
      <c r="E96">
        <f t="shared" si="57"/>
        <v>0.37265173248705702</v>
      </c>
      <c r="F96" s="24">
        <f>EXP(-$D$17)*(($B96*FixedParams!$B$30)^$B$10*(1+FixedParams!$B$23)^(1-$B$10)+(1-$B96)^$B$10*((1+FixedParams!$B$26)/$B$11)^(1-$B$10))^(1/(1-$B$10))</f>
        <v>4.9008433529209379</v>
      </c>
      <c r="G96" s="24">
        <f>EXP($D96-$D$17)*(($B96*FixedParams!$B$31)^$B$10*(1+FixedParams!$B$25)^(1-$B$10)+(1-$B96)^$B$10*((1+FixedParams!$B$28)/$B$11)^(1-$B$10))^(1/(1-$B$10))</f>
        <v>4.4641583980404143</v>
      </c>
      <c r="H96">
        <f t="shared" si="58"/>
        <v>1</v>
      </c>
      <c r="I96" s="24">
        <f>$B$12*IF(H96=1,1,FixedParams!$B$52)</f>
        <v>0.3745928365283252</v>
      </c>
      <c r="J96">
        <f>EXP($C96*FixedParams!$B$47)*EXP(IF(H96=1,(1-FixedParams!$B$47)*$D96,0))*($B96^((FixedParams!$B$47-1)*$B$10/($B$10-1)))*((1/$B96-1)^$B$10*(I96)^($B$10-1)+1)^((FixedParams!$B$47-$B$10)/($B$10-1))/((1+IF(H96=1,FixedParams!$B$25,FixedParams!$B$24))^FixedParams!$B$47)</f>
        <v>6.3271921686110705E-2</v>
      </c>
      <c r="K96">
        <f t="shared" si="87"/>
        <v>1.2757253356440654</v>
      </c>
      <c r="L96">
        <f>K96*FixedParams!$B$8/K$15</f>
        <v>37.089327772845841</v>
      </c>
      <c r="M96">
        <f t="shared" si="47"/>
        <v>67.972030182749222</v>
      </c>
      <c r="N96">
        <f t="shared" si="59"/>
        <v>105.06135795559507</v>
      </c>
      <c r="O96" s="24">
        <f t="shared" si="60"/>
        <v>1.8326573778593391</v>
      </c>
      <c r="P96" s="24">
        <f t="shared" si="48"/>
        <v>1.7455531586172188</v>
      </c>
      <c r="Q96" s="23">
        <f>IF(H96=1,L96*(1+FixedParams!$B$25)+M96*FixedParams!$B$33*(1+FixedParams!$B$28)/FixedParams!$B$32,L96*(1+FixedParams!$B$23)+M96*FixedParams!$B$33*(1+FixedParams!$B$26)/FixedParams!$B$32)</f>
        <v>218.92811152192922</v>
      </c>
      <c r="R96" s="24">
        <f t="shared" si="49"/>
        <v>49.041295581722608</v>
      </c>
      <c r="S96" s="24">
        <f>R96^((FixedParams!$B$47-1)/FixedParams!$B$47)*EXP($C96)</f>
        <v>0.37120249827173901</v>
      </c>
      <c r="T96" s="7">
        <f>(L96*FixedParams!$B$32*(FixedParams!$C$25-FixedParams!$C$23)+FixedParams!$B$33*(FixedParams!$C$28-FixedParams!$C$26)*M96)/N96</f>
        <v>-452.81208507298368</v>
      </c>
      <c r="U96" s="7">
        <f>(L96*FixedParams!$B$32*(FixedParams!$C$25-FixedParams!$C$23)*$Z$12/$B$11+FixedParams!$B$33*(FixedParams!$C$28-FixedParams!$C$26)*M96)/N96</f>
        <v>-807.36731394899653</v>
      </c>
      <c r="V96" s="14">
        <f t="shared" si="50"/>
        <v>-1.5876826447408259</v>
      </c>
      <c r="W96" s="14">
        <f t="shared" si="61"/>
        <v>0.62980448620771345</v>
      </c>
      <c r="X96" s="73">
        <f t="shared" si="62"/>
        <v>0.97363868462195557</v>
      </c>
      <c r="Y96" s="24">
        <f>EXP(-$D$17)*(($B96*FixedParams!$B$30)^$B$10*(1+FixedParams!$C$24)^(1-$B$10)+(1-$B96)^$B$10*((1+FixedParams!$C$27)/$Z$12)^(1-$B$10))^(1/(1-$B$10))</f>
        <v>6.3739466854910312</v>
      </c>
      <c r="Z96" s="24">
        <f>EXP($D96-$D$17)*(($B96*FixedParams!$C$31)^$B$10*(1+FixedParams!$C$25)^(1-$B$10)+(1-$B96)^$B$10*((1+FixedParams!$C$28)/$Z$12)^(1-$B$10))^(1/(1-$B$10))</f>
        <v>5.4147809860404115</v>
      </c>
      <c r="AA96" s="24">
        <f>EXP($D96-$D$17)*(($B96*FixedParams!$C$30)^$B$10*(1+FixedParams!$C$23)^(1-$B$10)+(1-$B96)^$B$10*((1+FixedParams!$C$26)/$Z$12)^(1-$B$10))^(1/(1-$B$10))</f>
        <v>5.4857532624748284</v>
      </c>
      <c r="AB96">
        <f>IF(FixedParams!$I$6=1,IF(Z96&lt;=MIN(Y96:AA96),1,0),$H96)</f>
        <v>1</v>
      </c>
      <c r="AC96">
        <f>IF(FixedParams!$I$6=1,IF(AA96&lt;=MIN(Y96:AA96),1,0),IF(AA96&lt;=Y96,1,0)*(1-$H96))</f>
        <v>0</v>
      </c>
      <c r="AD96" s="24">
        <f>$Z$13*IF(AB96=1,1,IF(AC96=1,FixedParams!$C$52,FixedParams!$C$53))</f>
        <v>0.43187184563106507</v>
      </c>
      <c r="AE96">
        <f>EXP($C96*FixedParams!$B$47)*EXP(IF(AB96+AC96=1,(1-FixedParams!$B$47)*$D96,0))*($B96^((FixedParams!$B$47-1)*$B$10/($B$10-1)))*((1/$B96-1)^$B$10*(AD96)^($B$10-1)+1)^((FixedParams!$B$47-$B$10)/($B$10-1))/((1+IF(AB96=1,FixedParams!$C$25,IF(AC96=1,FixedParams!$C$23,FixedParams!$C$24)))^FixedParams!$B$47)</f>
        <v>4.3655003446103596E-2</v>
      </c>
      <c r="AF96">
        <f t="shared" si="63"/>
        <v>1.2863898903650668</v>
      </c>
      <c r="AG96">
        <f t="shared" si="64"/>
        <v>30.215323113525436</v>
      </c>
      <c r="AH96">
        <f t="shared" si="51"/>
        <v>68.549084575865564</v>
      </c>
      <c r="AI96">
        <f t="shared" si="65"/>
        <v>98.764407689390993</v>
      </c>
      <c r="AJ96" s="24">
        <f t="shared" si="66"/>
        <v>2.2686861337974769</v>
      </c>
      <c r="AK96" s="24">
        <f t="shared" si="67"/>
        <v>1.8085033952923457</v>
      </c>
      <c r="AL96" s="23">
        <f>IF(AB96=1,AG96*(1+FixedParams!$C$25)+AH96*(1+FixedParams!$C$28)/$Z$12,IF(AC96=1,AG96*(1+FixedParams!$C$23)+AH96*(1+FixedParams!$C$26)/$Z$12,AG96*(1+FixedParams!$C$24)+AH96*(1+FixedParams!$C$27)/$Z$12))</f>
        <v>258.54768356989592</v>
      </c>
      <c r="AM96" s="24">
        <f t="shared" si="68"/>
        <v>47.748502522344921</v>
      </c>
      <c r="AN96" s="24">
        <f>AM96^((FixedParams!$B$47-1)/FixedParams!$B$47)*EXP($C96)</f>
        <v>0.3712124250074858</v>
      </c>
      <c r="AO96" s="24">
        <f t="shared" si="69"/>
        <v>-6.1807247175869946E-2</v>
      </c>
      <c r="AP96" s="24">
        <f t="shared" si="70"/>
        <v>-2.671500450948058E-2</v>
      </c>
      <c r="AQ96" s="14">
        <f t="shared" si="71"/>
        <v>-1.6588272566227107</v>
      </c>
      <c r="AS96" s="24">
        <f>EXP(-$D$17)*(($B96*FixedParams!$B$30)^$B$10*(1+FixedParams!$D$24)^(1-$B$10)+(1-$B96)^$B$10*((1+FixedParams!$D$27)/$AT$12)^(1-$B$10))^(1/(1-$B$10))</f>
        <v>6.0022232537162088</v>
      </c>
      <c r="AT96" s="24">
        <f>EXP($D96-$D$17)*(($B96*FixedParams!$C$31)^$B$10*(1+FixedParams!$D$25)^(1-$B$10)+(1-$B96)^$B$10*((1+FixedParams!$D$28)/$AT$12)^(1-$B$10))^(1/(1-$B$10))</f>
        <v>5.2828782926567079</v>
      </c>
      <c r="AU96" s="24">
        <f>EXP($D96-$D$17)*(($B96*FixedParams!$C$30)^$B$10*(1+FixedParams!$D$23)^(1-$B$10)+(1-$B96)^$B$10*((1+FixedParams!$D$26)/$AT$12)^(1-$B$10))^(1/(1-$B$10))</f>
        <v>5.3182158099498125</v>
      </c>
      <c r="AV96">
        <f>IF(FixedParams!$I$6=1,IF(AT96&lt;=MIN(AS96:AU96),1,0),$H96)</f>
        <v>1</v>
      </c>
      <c r="AW96">
        <f>IF(FixedParams!$I$6=1,IF(AU96&lt;=MIN(AS96:AU96),1,0),IF(AU96&lt;=AS96,1,0)*(1-$H96))</f>
        <v>0</v>
      </c>
      <c r="AX96" s="24">
        <f>$AT$13*IF(AV96=1,1,IF(AW96=1,FixedParams!$D$52,FixedParams!$D$53))</f>
        <v>0.41089128090616783</v>
      </c>
      <c r="AY96">
        <f>EXP($C96*FixedParams!$B$47)*EXP(IF(AV96+AW96=1,(1-FixedParams!$B$47)*$D96,0))*($B96^((FixedParams!$B$47-1)*$B$10/($B$10-1)))*((1/$B96-1)^$B$10*(AX96)^($B$10-1)+1)^((FixedParams!$B$47-$B$10)/($B$10-1))/((1+IF(AV96=1,FixedParams!$D$25,IF(AW96=1,FixedParams!$D$23,FixedParams!$D$24)))^FixedParams!$B$47)</f>
        <v>4.7635736827288999E-2</v>
      </c>
      <c r="AZ96">
        <f t="shared" si="52"/>
        <v>1.2827151566201282</v>
      </c>
      <c r="BA96">
        <f t="shared" si="72"/>
        <v>32.272941786541722</v>
      </c>
      <c r="BB96">
        <f t="shared" si="53"/>
        <v>67.947114873403066</v>
      </c>
      <c r="BC96">
        <f t="shared" si="73"/>
        <v>100.22005665994479</v>
      </c>
      <c r="BD96" s="24">
        <f t="shared" si="74"/>
        <v>2.1053895651290762</v>
      </c>
      <c r="BE96" s="24">
        <f t="shared" si="75"/>
        <v>1.7889292340376706</v>
      </c>
      <c r="BF96" s="23">
        <f>IF(AV96=1,BA96*(1+FixedParams!$C$25)+BB96*(1+FixedParams!$C$28)/$AT$12,IF(AW96=1,BA96*(1+FixedParams!$C$23)+BB96*(1+FixedParams!$C$26)/$AT$12,BA96*(1+FixedParams!$C$24)+BB96*(1+FixedParams!$C$27)/$AT$12))</f>
        <v>256.50979751916168</v>
      </c>
      <c r="BG96" s="24">
        <f t="shared" si="76"/>
        <v>48.554932237548371</v>
      </c>
      <c r="BH96" s="24">
        <f>BG96^((FixedParams!$B$47-1)/FixedParams!$B$47)*EXP($C96)</f>
        <v>0.37120620174286789</v>
      </c>
      <c r="BI96" s="7"/>
      <c r="BJ96" s="24">
        <f>EXP(-$D$17)*(($B96*FixedParams!$B$30)^$B$10*(1+FixedParams!$C$24)^(1-$B$10)+(1-$B96)^$B$10*((1+FixedParams!$C$27)/$BK$12)^(1-$B$10))^(1/(1-$B$10))</f>
        <v>6.6508295927372476</v>
      </c>
      <c r="BK96" s="24">
        <f>EXP($D96-$D$17)*(($B96*FixedParams!$C$31)^$B$10*(1+FixedParams!$C$25)^(1-$B$10)+(1-$B96)^$B$10*((1+FixedParams!$C$28)/$BK$12)^(1-$B$10))^(1/(1-$B$10))</f>
        <v>5.6480573049400027</v>
      </c>
      <c r="BL96" s="24">
        <f>EXP($D96-$D$17)*(($B96*FixedParams!$C$30)^$B$10*(1+FixedParams!$C$23)^(1-$B$10)+(1-$B96)^$B$10*((1+FixedParams!$C$26)/$BK$12)^(1-$B$10))^(1/(1-$B$10))</f>
        <v>5.7176675280390175</v>
      </c>
      <c r="BM96">
        <f>IF(FixedParams!$I$6=1,IF(BK96&lt;=MIN(BJ96:BL96),1,0),$H96)</f>
        <v>1</v>
      </c>
      <c r="BN96">
        <f>IF(FixedParams!$I$6=1,IF(BL96&lt;=MIN(BJ96:BL96),1,0),IF(BL96&lt;=BJ96,1,0)*(1-$H96))</f>
        <v>0</v>
      </c>
      <c r="BO96" s="24">
        <f>$BK$13*IF(BM96=1,1,IF(BN96=1,FixedParams!$C$52,FixedParams!$C$53))</f>
        <v>0.41068174962109105</v>
      </c>
      <c r="BP96">
        <f>EXP($C96*FixedParams!$B$47)*EXP(IF(BM96+BN96=1,(1-FixedParams!$B$47)*$D96,0))*($B96^((FixedParams!$B$47-1)*$B$10/($B$10-1)))*((1/$B96-1)^$B$10*(BO96)^($B$10-1)+1)^((FixedParams!$B$47-$B$10)/($B$10-1))/((1+IF(BM96=1,FixedParams!$C$25,IF(BN96=1,FixedParams!$C$23,FixedParams!$C$24)))^FixedParams!$B$47)</f>
        <v>4.4587327754667061E-2</v>
      </c>
      <c r="BQ96">
        <f t="shared" si="77"/>
        <v>1.2826771979093998</v>
      </c>
      <c r="BR96">
        <f t="shared" si="78"/>
        <v>32.713603009417646</v>
      </c>
      <c r="BS96">
        <f t="shared" si="54"/>
        <v>68.822201699207866</v>
      </c>
      <c r="BT96">
        <f t="shared" si="79"/>
        <v>101.53580470862551</v>
      </c>
      <c r="BU96" s="24">
        <f t="shared" si="80"/>
        <v>2.1037793262758373</v>
      </c>
      <c r="BV96" s="24">
        <f t="shared" si="81"/>
        <v>1.7938579040655782</v>
      </c>
      <c r="BW96" s="23">
        <f>IF(BM96=1,BR96*(1+FixedParams!$C$25)+BS96*(1+FixedParams!$C$28)/$BK$12,IF(BN96=1,BR96*(1+FixedParams!$C$23)+BS96*(1+FixedParams!$C$26)/$BK$12,BR96*(1+FixedParams!$C$24)+BS96*(1+FixedParams!$C$27)/$BK$12))</f>
        <v>274.08337140818441</v>
      </c>
      <c r="BX96" s="24">
        <f t="shared" si="82"/>
        <v>48.527016744051238</v>
      </c>
      <c r="BY96" s="24">
        <f>BX96^((FixedParams!$B$47-1)/FixedParams!$B$47)*EXP($C96)</f>
        <v>0.37120641543409411</v>
      </c>
      <c r="BZ96" s="24">
        <f t="shared" si="83"/>
        <v>-3.4133048938531446E-2</v>
      </c>
      <c r="CA96" s="24">
        <f t="shared" si="84"/>
        <v>-1.0542021036016551E-2</v>
      </c>
      <c r="CB96" s="24">
        <f t="shared" si="85"/>
        <v>6.7864348833907E-3</v>
      </c>
      <c r="CC96" s="24"/>
      <c r="CD96" s="24">
        <f>EXP(-$D$17)*(($B96*FixedParams!$B$30)^$B$10*(1+FixedParams!$D$24)^(1-$B$10)+(1-$B96)^$B$10*((1+FixedParams!$D$27)/$CE$12)^(1-$B$10))^(1/(1-$B$10))</f>
        <v>6.2440102108227133</v>
      </c>
      <c r="CE96" s="24">
        <f>EXP($D96-$D$17)*(($B96*FixedParams!$D$31)^$B$10*(1+FixedParams!$D$25)^(1-$B$10)+(1-$B96)^$B$10*((1+FixedParams!$D$28)/$CE$12)^(1-$B$10))^(1/(1-$B$10))</f>
        <v>5.4944716280802783</v>
      </c>
      <c r="CF96" s="24">
        <f>EXP($D96-$D$17)*(($B96*FixedParams!$D$30)^$B$10*(1+FixedParams!$D$23)^(1-$B$10)+(1-$B96)^$B$10*((1+FixedParams!$D$26)/$CE$12)^(1-$B$10))^(1/(1-$B$10))</f>
        <v>5.5280130951881254</v>
      </c>
      <c r="CG96">
        <f>IF(FixedParams!$I$6=1,IF(CE96&lt;=MIN(CD96:CF96),1,0),$H96)</f>
        <v>1</v>
      </c>
      <c r="CH96">
        <f>IF(FixedParams!$I$6=1,IF(CF96&lt;=MIN(CD96:CF96),1,0),IF(CF96&lt;=CD96,1,0)*(1-$H96))</f>
        <v>0</v>
      </c>
      <c r="CI96" s="24">
        <f>$CE$13*IF(CG96=1,1,IF(CH96=1,FixedParams!$D$52,FixedParams!$D$53))</f>
        <v>0.39201585704839609</v>
      </c>
      <c r="CJ96">
        <f>EXP($C96*FixedParams!$B$47)*EXP(IF(CG96+CH96=1,(1-FixedParams!$B$47)*$D96,0))*($B96^((FixedParams!$B$47-1)*$B$10/($B$10-1)))*((1/$B96-1)^$B$10*(CI96)^($B$10-1)+1)^((FixedParams!$B$47-$B$10)/($B$10-1))/((1+IF(CG96=1,FixedParams!$D$25,IF(CH96=1,FixedParams!$D$23,FixedParams!$D$24)))^FixedParams!$B$47)</f>
        <v>4.8582248087436324E-2</v>
      </c>
      <c r="CK96">
        <f t="shared" si="86"/>
        <v>1.2791880910428528</v>
      </c>
      <c r="CL96">
        <f t="shared" si="88"/>
        <v>34.947779095196317</v>
      </c>
      <c r="CM96">
        <f t="shared" si="55"/>
        <v>68.567309944824586</v>
      </c>
      <c r="CN96">
        <f t="shared" si="89"/>
        <v>103.51508904002091</v>
      </c>
      <c r="CO96" s="24">
        <f t="shared" si="90"/>
        <v>1.9619933432121694</v>
      </c>
      <c r="CP96" s="24">
        <f t="shared" si="91"/>
        <v>1.7751097107273195</v>
      </c>
      <c r="CQ96" s="23">
        <f>IF(CG96=1,CL96*(1+FixedParams!$D$25)+CM96*(1+FixedParams!$D$28)/$CE$12,IF(CH96=1,CL96*(1+FixedParams!$D$23)+CM96*(1+FixedParams!$D$26)/$CE$12,CL96*(1+FixedParams!$D$24)+CM96*(1+FixedParams!$D$27)/$CE$12))</f>
        <v>268.71737885968764</v>
      </c>
      <c r="CR96" s="24">
        <f t="shared" si="92"/>
        <v>48.906864399184315</v>
      </c>
      <c r="CS96" s="24">
        <f>CR96^((FixedParams!$B$47-1)/FixedParams!$B$47)*EXP($C96)</f>
        <v>0.37120351822437408</v>
      </c>
      <c r="CT96" s="24"/>
    </row>
    <row r="97" spans="1:98" x14ac:dyDescent="0.15">
      <c r="A97">
        <v>0.4</v>
      </c>
      <c r="B97">
        <f t="shared" si="56"/>
        <v>0.20193461869934035</v>
      </c>
      <c r="C97">
        <f>(D97-$D$17)*FixedParams!$B$47+$A97*$B$9</f>
        <v>-0.9996060643700222</v>
      </c>
      <c r="D97">
        <f>(A97-$B$6)*FixedParams!$B$46/(FixedParams!$B$45*Sectors!$B$6)</f>
        <v>-5.4335142989280799E-2</v>
      </c>
      <c r="E97">
        <f t="shared" si="57"/>
        <v>0.36802439053934183</v>
      </c>
      <c r="F97" s="24">
        <f>EXP(-$D$17)*(($B97*FixedParams!$B$30)^$B$10*(1+FixedParams!$B$23)^(1-$B$10)+(1-$B97)^$B$10*((1+FixedParams!$B$26)/$B$11)^(1-$B$10))^(1/(1-$B$10))</f>
        <v>4.9064491156185763</v>
      </c>
      <c r="G97" s="24">
        <f>EXP($D97-$D$17)*(($B97*FixedParams!$B$31)^$B$10*(1+FixedParams!$B$25)^(1-$B$10)+(1-$B97)^$B$10*((1+FixedParams!$B$28)/$B$11)^(1-$B$10))^(1/(1-$B$10))</f>
        <v>4.4809558148473005</v>
      </c>
      <c r="H97">
        <f t="shared" si="58"/>
        <v>1</v>
      </c>
      <c r="I97" s="24">
        <f>$B$12*IF(H97=1,1,FixedParams!$B$52)</f>
        <v>0.3745928365283252</v>
      </c>
      <c r="J97">
        <f>EXP($C97*FixedParams!$B$47)*EXP(IF(H97=1,(1-FixedParams!$B$47)*$D97,0))*($B97^((FixedParams!$B$47-1)*$B$10/($B$10-1)))*((1/$B97-1)^$B$10*(I97)^($B$10-1)+1)^((FixedParams!$B$47-$B$10)/($B$10-1))/((1+IF(H97=1,FixedParams!$B$25,FixedParams!$B$24))^FixedParams!$B$47)</f>
        <v>6.3388430465849674E-2</v>
      </c>
      <c r="K97">
        <f t="shared" si="87"/>
        <v>1.2780744535177937</v>
      </c>
      <c r="L97">
        <f>K97*FixedParams!$B$8/K$15</f>
        <v>37.157623980784493</v>
      </c>
      <c r="M97">
        <f t="shared" si="47"/>
        <v>66.931210229319376</v>
      </c>
      <c r="N97">
        <f t="shared" si="59"/>
        <v>104.08883421010387</v>
      </c>
      <c r="O97" s="24">
        <f t="shared" si="60"/>
        <v>1.8012779897856721</v>
      </c>
      <c r="P97" s="24">
        <f t="shared" si="48"/>
        <v>1.752121201538084</v>
      </c>
      <c r="Q97" s="23">
        <f>IF(H97=1,L97*(1+FixedParams!$B$25)+M97*FixedParams!$B$33*(1+FixedParams!$B$28)/FixedParams!$B$32,L97*(1+FixedParams!$B$23)+M97*FixedParams!$B$33*(1+FixedParams!$B$26)/FixedParams!$B$32)</f>
        <v>216.21312109417516</v>
      </c>
      <c r="R97" s="24">
        <f t="shared" si="49"/>
        <v>48.251562842411815</v>
      </c>
      <c r="S97" s="24">
        <f>R97^((FixedParams!$B$47-1)/FixedParams!$B$47)*EXP($C97)</f>
        <v>0.36659910941244572</v>
      </c>
      <c r="T97" s="7">
        <f>(L97*FixedParams!$B$32*(FixedParams!$C$25-FixedParams!$C$23)+FixedParams!$B$33*(FixedParams!$C$28-FixedParams!$C$26)*M97)/N97</f>
        <v>-407.94825572838715</v>
      </c>
      <c r="U97" s="7">
        <f>(L97*FixedParams!$B$32*(FixedParams!$C$25-FixedParams!$C$23)*$Z$12/$B$11+FixedParams!$B$33*(FixedParams!$C$28-FixedParams!$C$26)*M97)/N97</f>
        <v>-766.47514545384649</v>
      </c>
      <c r="V97" s="14">
        <f t="shared" si="50"/>
        <v>-1.570412019444742</v>
      </c>
      <c r="W97" s="14">
        <f t="shared" si="61"/>
        <v>0.63490982200844492</v>
      </c>
      <c r="X97" s="73">
        <f t="shared" si="62"/>
        <v>0.97330789516721528</v>
      </c>
      <c r="Y97" s="24">
        <f>EXP(-$D$17)*(($B97*FixedParams!$B$30)^$B$10*(1+FixedParams!$C$24)^(1-$B$10)+(1-$B97)^$B$10*((1+FixedParams!$C$27)/$Z$12)^(1-$B$10))^(1/(1-$B$10))</f>
        <v>6.3842443018240376</v>
      </c>
      <c r="Z97" s="24">
        <f>EXP($D97-$D$17)*(($B97*FixedParams!$C$31)^$B$10*(1+FixedParams!$C$25)^(1-$B$10)+(1-$B97)^$B$10*((1+FixedParams!$C$28)/$Z$12)^(1-$B$10))^(1/(1-$B$10))</f>
        <v>5.4370043847422354</v>
      </c>
      <c r="AA97" s="24">
        <f>EXP($D97-$D$17)*(($B97*FixedParams!$C$30)^$B$10*(1+FixedParams!$C$23)^(1-$B$10)+(1-$B97)^$B$10*((1+FixedParams!$C$26)/$Z$12)^(1-$B$10))^(1/(1-$B$10))</f>
        <v>5.5053542319526123</v>
      </c>
      <c r="AB97">
        <f>IF(FixedParams!$I$6=1,IF(Z97&lt;=MIN(Y97:AA97),1,0),$H97)</f>
        <v>1</v>
      </c>
      <c r="AC97">
        <f>IF(FixedParams!$I$6=1,IF(AA97&lt;=MIN(Y97:AA97),1,0),IF(AA97&lt;=Y97,1,0)*(1-$H97))</f>
        <v>0</v>
      </c>
      <c r="AD97" s="24">
        <f>$Z$13*IF(AB97=1,1,IF(AC97=1,FixedParams!$C$52,FixedParams!$C$53))</f>
        <v>0.43187184563106507</v>
      </c>
      <c r="AE97">
        <f>EXP($C97*FixedParams!$B$47)*EXP(IF(AB97+AC97=1,(1-FixedParams!$B$47)*$D97,0))*($B97^((FixedParams!$B$47-1)*$B$10/($B$10-1)))*((1/$B97-1)^$B$10*(AD97)^($B$10-1)+1)^((FixedParams!$B$47-$B$10)/($B$10-1))/((1+IF(AB97=1,FixedParams!$C$25,IF(AC97=1,FixedParams!$C$23,FixedParams!$C$24)))^FixedParams!$B$47)</f>
        <v>4.3742843339918111E-2</v>
      </c>
      <c r="AF97">
        <f t="shared" si="63"/>
        <v>1.2889782844196735</v>
      </c>
      <c r="AG97">
        <f t="shared" si="64"/>
        <v>30.276120515068197</v>
      </c>
      <c r="AH97">
        <f t="shared" si="51"/>
        <v>67.510932176382923</v>
      </c>
      <c r="AI97">
        <f t="shared" si="65"/>
        <v>97.787052691451123</v>
      </c>
      <c r="AJ97" s="24">
        <f t="shared" si="66"/>
        <v>2.2298409118428246</v>
      </c>
      <c r="AK97" s="24">
        <f t="shared" si="67"/>
        <v>1.8159258731563255</v>
      </c>
      <c r="AL97" s="23">
        <f>IF(AB97=1,AG97*(1+FixedParams!$C$25)+AH97*(1+FixedParams!$C$28)/$Z$12,IF(AC97=1,AG97*(1+FixedParams!$C$23)+AH97*(1+FixedParams!$C$26)/$Z$12,AG97*(1+FixedParams!$C$24)+AH97*(1+FixedParams!$C$27)/$Z$12))</f>
        <v>255.34144629579305</v>
      </c>
      <c r="AM97" s="24">
        <f t="shared" si="68"/>
        <v>46.963627068676459</v>
      </c>
      <c r="AN97" s="24">
        <f>AM97^((FixedParams!$B$47-1)/FixedParams!$B$47)*EXP($C97)</f>
        <v>0.36660903774353715</v>
      </c>
      <c r="AO97" s="24">
        <f t="shared" si="69"/>
        <v>-6.2452526929539169E-2</v>
      </c>
      <c r="AP97" s="24">
        <f t="shared" si="70"/>
        <v>-2.7054807831623132E-2</v>
      </c>
      <c r="AQ97" s="14">
        <f t="shared" si="71"/>
        <v>-1.641556631326627</v>
      </c>
      <c r="AS97" s="24">
        <f>EXP(-$D$17)*(($B97*FixedParams!$B$30)^$B$10*(1+FixedParams!$D$24)^(1-$B$10)+(1-$B97)^$B$10*((1+FixedParams!$D$27)/$AT$12)^(1-$B$10))^(1/(1-$B$10))</f>
        <v>6.0107769991074305</v>
      </c>
      <c r="AT97" s="24">
        <f>EXP($D97-$D$17)*(($B97*FixedParams!$C$31)^$B$10*(1+FixedParams!$D$25)^(1-$B$10)+(1-$B97)^$B$10*((1+FixedParams!$D$28)/$AT$12)^(1-$B$10))^(1/(1-$B$10))</f>
        <v>5.303938620395483</v>
      </c>
      <c r="AU97" s="24">
        <f>EXP($D97-$D$17)*(($B97*FixedParams!$C$30)^$B$10*(1+FixedParams!$D$23)^(1-$B$10)+(1-$B97)^$B$10*((1+FixedParams!$D$26)/$AT$12)^(1-$B$10))^(1/(1-$B$10))</f>
        <v>5.3371445013424568</v>
      </c>
      <c r="AV97">
        <f>IF(FixedParams!$I$6=1,IF(AT97&lt;=MIN(AS97:AU97),1,0),$H97)</f>
        <v>1</v>
      </c>
      <c r="AW97">
        <f>IF(FixedParams!$I$6=1,IF(AU97&lt;=MIN(AS97:AU97),1,0),IF(AU97&lt;=AS97,1,0)*(1-$H97))</f>
        <v>0</v>
      </c>
      <c r="AX97" s="24">
        <f>$AT$13*IF(AV97=1,1,IF(AW97=1,FixedParams!$D$52,FixedParams!$D$53))</f>
        <v>0.41089128090616783</v>
      </c>
      <c r="AY97">
        <f>EXP($C97*FixedParams!$B$47)*EXP(IF(AV97+AW97=1,(1-FixedParams!$B$47)*$D97,0))*($B97^((FixedParams!$B$47-1)*$B$10/($B$10-1)))*((1/$B97-1)^$B$10*(AX97)^($B$10-1)+1)^((FixedParams!$B$47-$B$10)/($B$10-1))/((1+IF(AV97=1,FixedParams!$D$25,IF(AW97=1,FixedParams!$D$23,FixedParams!$D$24)))^FixedParams!$B$47)</f>
        <v>4.7728783668420087E-2</v>
      </c>
      <c r="AZ97">
        <f t="shared" si="52"/>
        <v>1.2852206829611441</v>
      </c>
      <c r="BA97">
        <f t="shared" si="72"/>
        <v>32.335980494185371</v>
      </c>
      <c r="BB97">
        <f t="shared" si="53"/>
        <v>66.914149614457699</v>
      </c>
      <c r="BC97">
        <f t="shared" si="73"/>
        <v>99.250130108643077</v>
      </c>
      <c r="BD97" s="24">
        <f t="shared" si="74"/>
        <v>2.0693403630203866</v>
      </c>
      <c r="BE97" s="24">
        <f t="shared" si="75"/>
        <v>1.796060845610604</v>
      </c>
      <c r="BF97" s="23">
        <f>IF(AV97=1,BA97*(1+FixedParams!$C$25)+BB97*(1+FixedParams!$C$28)/$AT$12,IF(AW97=1,BA97*(1+FixedParams!$C$23)+BB97*(1+FixedParams!$C$26)/$AT$12,BA97*(1+FixedParams!$C$24)+BB97*(1+FixedParams!$C$27)/$AT$12))</f>
        <v>253.3678521341929</v>
      </c>
      <c r="BG97" s="24">
        <f t="shared" si="76"/>
        <v>47.769755698134531</v>
      </c>
      <c r="BH97" s="24">
        <f>BG97^((FixedParams!$B$47-1)/FixedParams!$B$47)*EXP($C97)</f>
        <v>0.36660279212065067</v>
      </c>
      <c r="BI97" s="7"/>
      <c r="BJ97" s="24">
        <f>EXP(-$D$17)*(($B97*FixedParams!$B$30)^$B$10*(1+FixedParams!$C$24)^(1-$B$10)+(1-$B97)^$B$10*((1+FixedParams!$C$27)/$BK$12)^(1-$B$10))^(1/(1-$B$10))</f>
        <v>6.660812791316272</v>
      </c>
      <c r="BK97" s="24">
        <f>EXP($D97-$D$17)*(($B97*FixedParams!$C$31)^$B$10*(1+FixedParams!$C$25)^(1-$B$10)+(1-$B97)^$B$10*((1+FixedParams!$C$28)/$BK$12)^(1-$B$10))^(1/(1-$B$10))</f>
        <v>5.6705665626031863</v>
      </c>
      <c r="BL97" s="24">
        <f>EXP($D97-$D$17)*(($B97*FixedParams!$C$30)^$B$10*(1+FixedParams!$C$23)^(1-$B$10)+(1-$B97)^$B$10*((1+FixedParams!$C$26)/$BK$12)^(1-$B$10))^(1/(1-$B$10))</f>
        <v>5.7373669294983189</v>
      </c>
      <c r="BM97">
        <f>IF(FixedParams!$I$6=1,IF(BK97&lt;=MIN(BJ97:BL97),1,0),$H97)</f>
        <v>1</v>
      </c>
      <c r="BN97">
        <f>IF(FixedParams!$I$6=1,IF(BL97&lt;=MIN(BJ97:BL97),1,0),IF(BL97&lt;=BJ97,1,0)*(1-$H97))</f>
        <v>0</v>
      </c>
      <c r="BO97" s="24">
        <f>$BK$13*IF(BM97=1,1,IF(BN97=1,FixedParams!$C$52,FixedParams!$C$53))</f>
        <v>0.41068174962109105</v>
      </c>
      <c r="BP97">
        <f>EXP($C97*FixedParams!$B$47)*EXP(IF(BM97+BN97=1,(1-FixedParams!$B$47)*$D97,0))*($B97^((FixedParams!$B$47-1)*$B$10/($B$10-1)))*((1/$B97-1)^$B$10*(BO97)^($B$10-1)+1)^((FixedParams!$B$47-$B$10)/($B$10-1))/((1+IF(BM97=1,FixedParams!$C$25,IF(BN97=1,FixedParams!$C$23,FixedParams!$C$24)))^FixedParams!$B$47)</f>
        <v>4.4674393043124212E-2</v>
      </c>
      <c r="BQ97">
        <f t="shared" si="77"/>
        <v>1.2851818705564773</v>
      </c>
      <c r="BR97">
        <f t="shared" si="78"/>
        <v>32.777482578477255</v>
      </c>
      <c r="BS97">
        <f t="shared" si="54"/>
        <v>67.775891831879861</v>
      </c>
      <c r="BT97">
        <f t="shared" si="79"/>
        <v>100.55337441035712</v>
      </c>
      <c r="BU97" s="24">
        <f t="shared" si="80"/>
        <v>2.0677576952289707</v>
      </c>
      <c r="BV97" s="24">
        <f t="shared" si="81"/>
        <v>1.801006983402722</v>
      </c>
      <c r="BW97" s="23">
        <f>IF(BM97=1,BR97*(1+FixedParams!$C$25)+BS97*(1+FixedParams!$C$28)/$BK$12,IF(BN97=1,BR97*(1+FixedParams!$C$23)+BS97*(1+FixedParams!$C$26)/$BK$12,BR97*(1+FixedParams!$C$24)+BS97*(1+FixedParams!$C$27)/$BK$12))</f>
        <v>270.68444476847145</v>
      </c>
      <c r="BX97" s="24">
        <f t="shared" si="82"/>
        <v>47.734991165363972</v>
      </c>
      <c r="BY97" s="24">
        <f>BX97^((FixedParams!$B$47-1)/FixedParams!$B$47)*EXP($C97)</f>
        <v>0.36660305928093206</v>
      </c>
      <c r="BZ97" s="24">
        <f t="shared" si="83"/>
        <v>-3.4556034456853631E-2</v>
      </c>
      <c r="CA97" s="24">
        <f t="shared" si="84"/>
        <v>-1.0763521403456034E-2</v>
      </c>
      <c r="CB97" s="24">
        <f t="shared" si="85"/>
        <v>6.5649345159512172E-3</v>
      </c>
      <c r="CC97" s="24"/>
      <c r="CD97" s="24">
        <f>EXP(-$D$17)*(($B97*FixedParams!$B$30)^$B$10*(1+FixedParams!$D$24)^(1-$B$10)+(1-$B97)^$B$10*((1+FixedParams!$D$27)/$CE$12)^(1-$B$10))^(1/(1-$B$10))</f>
        <v>6.2522213137015799</v>
      </c>
      <c r="CE97" s="24">
        <f>EXP($D97-$D$17)*(($B97*FixedParams!$D$31)^$B$10*(1+FixedParams!$D$25)^(1-$B$10)+(1-$B97)^$B$10*((1+FixedParams!$D$28)/$CE$12)^(1-$B$10))^(1/(1-$B$10))</f>
        <v>5.5157549495904536</v>
      </c>
      <c r="CF97" s="24">
        <f>EXP($D97-$D$17)*(($B97*FixedParams!$D$30)^$B$10*(1+FixedParams!$D$23)^(1-$B$10)+(1-$B97)^$B$10*((1+FixedParams!$D$26)/$CE$12)^(1-$B$10))^(1/(1-$B$10))</f>
        <v>5.5470277797407013</v>
      </c>
      <c r="CG97">
        <f>IF(FixedParams!$I$6=1,IF(CE97&lt;=MIN(CD97:CF97),1,0),$H97)</f>
        <v>1</v>
      </c>
      <c r="CH97">
        <f>IF(FixedParams!$I$6=1,IF(CF97&lt;=MIN(CD97:CF97),1,0),IF(CF97&lt;=CD97,1,0)*(1-$H97))</f>
        <v>0</v>
      </c>
      <c r="CI97" s="24">
        <f>$CE$13*IF(CG97=1,1,IF(CH97=1,FixedParams!$D$52,FixedParams!$D$53))</f>
        <v>0.39201585704839609</v>
      </c>
      <c r="CJ97">
        <f>EXP($C97*FixedParams!$B$47)*EXP(IF(CG97+CH97=1,(1-FixedParams!$B$47)*$D97,0))*($B97^((FixedParams!$B$47-1)*$B$10/($B$10-1)))*((1/$B97-1)^$B$10*(CI97)^($B$10-1)+1)^((FixedParams!$B$47-$B$10)/($B$10-1))/((1+IF(CG97=1,FixedParams!$D$25,IF(CH97=1,FixedParams!$D$23,FixedParams!$D$24)))^FixedParams!$B$47)</f>
        <v>4.8674400387849634E-2</v>
      </c>
      <c r="CK97">
        <f t="shared" si="86"/>
        <v>1.2816144943051877</v>
      </c>
      <c r="CL97">
        <f t="shared" si="88"/>
        <v>35.014069116031962</v>
      </c>
      <c r="CM97">
        <f t="shared" si="55"/>
        <v>67.521110588788019</v>
      </c>
      <c r="CN97">
        <f t="shared" si="89"/>
        <v>102.53517970481998</v>
      </c>
      <c r="CO97" s="24">
        <f t="shared" si="90"/>
        <v>1.9283994203881889</v>
      </c>
      <c r="CP97" s="24">
        <f t="shared" si="91"/>
        <v>1.7819857550945635</v>
      </c>
      <c r="CQ97" s="23">
        <f>IF(CG97=1,CL97*(1+FixedParams!$D$25)+CM97*(1+FixedParams!$D$28)/$CE$12,IF(CH97=1,CL97*(1+FixedParams!$D$23)+CM97*(1+FixedParams!$D$26)/$CE$12,CL97*(1+FixedParams!$D$24)+CM97*(1+FixedParams!$D$27)/$CE$12))</f>
        <v>265.38496672755906</v>
      </c>
      <c r="CR97" s="24">
        <f t="shared" si="92"/>
        <v>48.113987868018675</v>
      </c>
      <c r="CS97" s="24">
        <f>CR97^((FixedParams!$B$47-1)/FixedParams!$B$47)*EXP($C97)</f>
        <v>0.36660015720295824</v>
      </c>
      <c r="CT97" s="24"/>
    </row>
    <row r="98" spans="1:98" x14ac:dyDescent="0.15">
      <c r="A98">
        <v>0.40500000000000003</v>
      </c>
      <c r="B98">
        <f t="shared" si="56"/>
        <v>0.20379650963008458</v>
      </c>
      <c r="C98">
        <f>(D98-$D$17)*FixedParams!$B$47+$A98*$B$9</f>
        <v>-1.0121011401746471</v>
      </c>
      <c r="D98">
        <f>(A98-$B$6)*FixedParams!$B$46/(FixedParams!$B$45*Sectors!$B$6)</f>
        <v>-5.1618385839816754E-2</v>
      </c>
      <c r="E98">
        <f t="shared" si="57"/>
        <v>0.36345450785354461</v>
      </c>
      <c r="F98" s="24">
        <f>EXP(-$D$17)*(($B98*FixedParams!$B$30)^$B$10*(1+FixedParams!$B$23)^(1-$B$10)+(1-$B98)^$B$10*((1+FixedParams!$B$26)/$B$11)^(1-$B$10))^(1/(1-$B$10))</f>
        <v>4.9119643516596856</v>
      </c>
      <c r="G98" s="24">
        <f>EXP($D98-$D$17)*(($B98*FixedParams!$B$31)^$B$10*(1+FixedParams!$B$25)^(1-$B$10)+(1-$B98)^$B$10*((1+FixedParams!$B$28)/$B$11)^(1-$B$10))^(1/(1-$B$10))</f>
        <v>4.49772230624888</v>
      </c>
      <c r="H98">
        <f t="shared" si="58"/>
        <v>1</v>
      </c>
      <c r="I98" s="24">
        <f>$B$12*IF(H98=1,1,FixedParams!$B$52)</f>
        <v>0.3745928365283252</v>
      </c>
      <c r="J98">
        <f>EXP($C98*FixedParams!$B$47)*EXP(IF(H98=1,(1-FixedParams!$B$47)*$D98,0))*($B98^((FixedParams!$B$47-1)*$B$10/($B$10-1)))*((1/$B98-1)^$B$10*(I98)^($B$10-1)+1)^((FixedParams!$B$47-$B$10)/($B$10-1))/((1+IF(H98=1,FixedParams!$B$25,FixedParams!$B$24))^FixedParams!$B$47)</f>
        <v>6.3502452905343593E-2</v>
      </c>
      <c r="K98">
        <f t="shared" si="87"/>
        <v>1.2803734403514158</v>
      </c>
      <c r="L98">
        <f>K98*FixedParams!$B$8/K$15</f>
        <v>37.224462722506757</v>
      </c>
      <c r="M98">
        <f t="shared" si="47"/>
        <v>65.903524803112944</v>
      </c>
      <c r="N98">
        <f t="shared" si="59"/>
        <v>103.1279875256197</v>
      </c>
      <c r="O98" s="24">
        <f t="shared" si="60"/>
        <v>1.7704358903551394</v>
      </c>
      <c r="P98" s="24">
        <f t="shared" si="48"/>
        <v>1.7586771521597739</v>
      </c>
      <c r="Q98" s="23">
        <f>IF(H98=1,L98*(1+FixedParams!$B$25)+M98*FixedParams!$B$33*(1+FixedParams!$B$28)/FixedParams!$B$32,L98*(1+FixedParams!$B$23)+M98*FixedParams!$B$33*(1+FixedParams!$B$26)/FixedParams!$B$32)</f>
        <v>213.53179557416124</v>
      </c>
      <c r="R98" s="24">
        <f t="shared" si="49"/>
        <v>47.475540070024394</v>
      </c>
      <c r="S98" s="24">
        <f>R98^((FixedParams!$B$47-1)/FixedParams!$B$47)*EXP($C98)</f>
        <v>0.3620528009242861</v>
      </c>
      <c r="T98" s="7">
        <f>(L98*FixedParams!$B$32*(FixedParams!$C$25-FixedParams!$C$23)+FixedParams!$B$33*(FixedParams!$C$28-FixedParams!$C$26)*M98)/N98</f>
        <v>-362.86225166500498</v>
      </c>
      <c r="U98" s="7">
        <f>(L98*FixedParams!$B$32*(FixedParams!$C$25-FixedParams!$C$23)*$Z$12/$B$11+FixedParams!$B$33*(FixedParams!$C$28-FixedParams!$C$26)*M98)/N98</f>
        <v>-725.3804707043563</v>
      </c>
      <c r="V98" s="14">
        <f t="shared" si="50"/>
        <v>-1.5531413941486587</v>
      </c>
      <c r="W98" s="14">
        <f t="shared" si="61"/>
        <v>0.63996803032413407</v>
      </c>
      <c r="X98" s="73">
        <f t="shared" si="62"/>
        <v>0.97297339569699359</v>
      </c>
      <c r="Y98" s="24">
        <f>EXP(-$D$17)*(($B98*FixedParams!$B$30)^$B$10*(1+FixedParams!$C$24)^(1-$B$10)+(1-$B98)^$B$10*((1+FixedParams!$C$27)/$Z$12)^(1-$B$10))^(1/(1-$B$10))</f>
        <v>6.3944677065672924</v>
      </c>
      <c r="Z98" s="24">
        <f>EXP($D98-$D$17)*(($B98*FixedParams!$C$31)^$B$10*(1+FixedParams!$C$25)^(1-$B$10)+(1-$B98)^$B$10*((1+FixedParams!$C$28)/$Z$12)^(1-$B$10))^(1/(1-$B$10))</f>
        <v>5.4592262096221269</v>
      </c>
      <c r="AA98" s="24">
        <f>EXP($D98-$D$17)*(($B98*FixedParams!$C$30)^$B$10*(1+FixedParams!$C$23)^(1-$B$10)+(1-$B98)^$B$10*((1+FixedParams!$C$26)/$Z$12)^(1-$B$10))^(1/(1-$B$10))</f>
        <v>5.5248978208968325</v>
      </c>
      <c r="AB98">
        <f>IF(FixedParams!$I$6=1,IF(Z98&lt;=MIN(Y98:AA98),1,0),$H98)</f>
        <v>1</v>
      </c>
      <c r="AC98">
        <f>IF(FixedParams!$I$6=1,IF(AA98&lt;=MIN(Y98:AA98),1,0),IF(AA98&lt;=Y98,1,0)*(1-$H98))</f>
        <v>0</v>
      </c>
      <c r="AD98" s="24">
        <f>$Z$13*IF(AB98=1,1,IF(AC98=1,FixedParams!$C$52,FixedParams!$C$53))</f>
        <v>0.43187184563106507</v>
      </c>
      <c r="AE98">
        <f>EXP($C98*FixedParams!$B$47)*EXP(IF(AB98+AC98=1,(1-FixedParams!$B$47)*$D98,0))*($B98^((FixedParams!$B$47-1)*$B$10/($B$10-1)))*((1/$B98-1)^$B$10*(AD98)^($B$10-1)+1)^((FixedParams!$B$47-$B$10)/($B$10-1))/((1+IF(AB98=1,FixedParams!$C$25,IF(AC98=1,FixedParams!$C$23,FixedParams!$C$24)))^FixedParams!$B$47)</f>
        <v>4.3829082200970662E-2</v>
      </c>
      <c r="AF98">
        <f t="shared" si="63"/>
        <v>1.2915195005520137</v>
      </c>
      <c r="AG98">
        <f t="shared" si="64"/>
        <v>30.335809779664462</v>
      </c>
      <c r="AH98">
        <f t="shared" si="51"/>
        <v>66.485805467049843</v>
      </c>
      <c r="AI98">
        <f t="shared" si="65"/>
        <v>96.821615246714302</v>
      </c>
      <c r="AJ98" s="24">
        <f t="shared" si="66"/>
        <v>2.1916608110991795</v>
      </c>
      <c r="AK98" s="24">
        <f t="shared" si="67"/>
        <v>1.8233478253735034</v>
      </c>
      <c r="AL98" s="23">
        <f>IF(AB98=1,AG98*(1+FixedParams!$C$25)+AH98*(1+FixedParams!$C$28)/$Z$12,IF(AC98=1,AG98*(1+FixedParams!$C$23)+AH98*(1+FixedParams!$C$26)/$Z$12,AG98*(1+FixedParams!$C$24)+AH98*(1+FixedParams!$C$27)/$Z$12))</f>
        <v>252.17496512864523</v>
      </c>
      <c r="AM98" s="24">
        <f t="shared" si="68"/>
        <v>46.192437434480318</v>
      </c>
      <c r="AN98" s="24">
        <f>AM98^((FixedParams!$B$47-1)/FixedParams!$B$47)*EXP($C98)</f>
        <v>0.36206273070814754</v>
      </c>
      <c r="AO98" s="24">
        <f t="shared" si="69"/>
        <v>-6.3100546822137588E-2</v>
      </c>
      <c r="AP98" s="24">
        <f t="shared" si="70"/>
        <v>-2.7398539721854298E-2</v>
      </c>
      <c r="AQ98" s="14">
        <f t="shared" si="71"/>
        <v>-1.6242860060305435</v>
      </c>
      <c r="AS98" s="24">
        <f>EXP(-$D$17)*(($B98*FixedParams!$B$30)^$B$10*(1+FixedParams!$D$24)^(1-$B$10)+(1-$B98)^$B$10*((1+FixedParams!$D$27)/$AT$12)^(1-$B$10))^(1/(1-$B$10))</f>
        <v>6.0192438198838341</v>
      </c>
      <c r="AT98" s="24">
        <f>EXP($D98-$D$17)*(($B98*FixedParams!$C$31)^$B$10*(1+FixedParams!$D$25)^(1-$B$10)+(1-$B98)^$B$10*((1+FixedParams!$D$28)/$AT$12)^(1-$B$10))^(1/(1-$B$10))</f>
        <v>5.3249851170228766</v>
      </c>
      <c r="AU98" s="24">
        <f>EXP($D98-$D$17)*(($B98*FixedParams!$C$30)^$B$10*(1+FixedParams!$D$23)^(1-$B$10)+(1-$B98)^$B$10*((1+FixedParams!$D$26)/$AT$12)^(1-$B$10))^(1/(1-$B$10))</f>
        <v>5.3560162156631135</v>
      </c>
      <c r="AV98">
        <f>IF(FixedParams!$I$6=1,IF(AT98&lt;=MIN(AS98:AU98),1,0),$H98)</f>
        <v>1</v>
      </c>
      <c r="AW98">
        <f>IF(FixedParams!$I$6=1,IF(AU98&lt;=MIN(AS98:AU98),1,0),IF(AU98&lt;=AS98,1,0)*(1-$H98))</f>
        <v>0</v>
      </c>
      <c r="AX98" s="24">
        <f>$AT$13*IF(AV98=1,1,IF(AW98=1,FixedParams!$D$52,FixedParams!$D$53))</f>
        <v>0.41089128090616783</v>
      </c>
      <c r="AY98">
        <f>EXP($C98*FixedParams!$B$47)*EXP(IF(AV98+AW98=1,(1-FixedParams!$B$47)*$D98,0))*($B98^((FixedParams!$B$47-1)*$B$10/($B$10-1)))*((1/$B98-1)^$B$10*(AX98)^($B$10-1)+1)^((FixedParams!$B$47-$B$10)/($B$10-1))/((1+IF(AV98=1,FixedParams!$D$25,IF(AW98=1,FixedParams!$D$23,FixedParams!$D$24)))^FixedParams!$B$47)</f>
        <v>4.7820039814122653E-2</v>
      </c>
      <c r="AZ98">
        <f t="shared" si="52"/>
        <v>1.287677990206161</v>
      </c>
      <c r="BA98">
        <f t="shared" si="72"/>
        <v>32.397806015822646</v>
      </c>
      <c r="BB98">
        <f t="shared" si="53"/>
        <v>65.894170047007236</v>
      </c>
      <c r="BC98">
        <f t="shared" si="73"/>
        <v>98.291976062829889</v>
      </c>
      <c r="BD98" s="24">
        <f t="shared" si="74"/>
        <v>2.0339084077120972</v>
      </c>
      <c r="BE98" s="24">
        <f t="shared" si="75"/>
        <v>1.8031877735852944</v>
      </c>
      <c r="BF98" s="23">
        <f>IF(AV98=1,BA98*(1+FixedParams!$C$25)+BB98*(1+FixedParams!$C$28)/$AT$12,IF(AW98=1,BA98*(1+FixedParams!$C$23)+BB98*(1+FixedParams!$C$26)/$AT$12,BA98*(1+FixedParams!$C$24)+BB98*(1+FixedParams!$C$27)/$AT$12))</f>
        <v>250.26482931172262</v>
      </c>
      <c r="BG98" s="24">
        <f t="shared" si="76"/>
        <v>46.998221368108183</v>
      </c>
      <c r="BH98" s="24">
        <f>BG98^((FixedParams!$B$47-1)/FixedParams!$B$47)*EXP($C98)</f>
        <v>0.36205646310317546</v>
      </c>
      <c r="BI98" s="7"/>
      <c r="BJ98" s="24">
        <f>EXP(-$D$17)*(($B98*FixedParams!$B$30)^$B$10*(1+FixedParams!$C$24)^(1-$B$10)+(1-$B98)^$B$10*((1+FixedParams!$C$27)/$BK$12)^(1-$B$10))^(1/(1-$B$10))</f>
        <v>6.6707071125989437</v>
      </c>
      <c r="BK98" s="24">
        <f>EXP($D98-$D$17)*(($B98*FixedParams!$C$31)^$B$10*(1+FixedParams!$C$25)^(1-$B$10)+(1-$B98)^$B$10*((1+FixedParams!$C$28)/$BK$12)^(1-$B$10))^(1/(1-$B$10))</f>
        <v>5.6930608985478193</v>
      </c>
      <c r="BL98" s="24">
        <f>EXP($D98-$D$17)*(($B98*FixedParams!$C$30)^$B$10*(1+FixedParams!$C$23)^(1-$B$10)+(1-$B98)^$B$10*((1+FixedParams!$C$26)/$BK$12)^(1-$B$10))^(1/(1-$B$10))</f>
        <v>5.756993277879177</v>
      </c>
      <c r="BM98">
        <f>IF(FixedParams!$I$6=1,IF(BK98&lt;=MIN(BJ98:BL98),1,0),$H98)</f>
        <v>1</v>
      </c>
      <c r="BN98">
        <f>IF(FixedParams!$I$6=1,IF(BL98&lt;=MIN(BJ98:BL98),1,0),IF(BL98&lt;=BJ98,1,0)*(1-$H98))</f>
        <v>0</v>
      </c>
      <c r="BO98" s="24">
        <f>$BK$13*IF(BM98=1,1,IF(BN98=1,FixedParams!$C$52,FixedParams!$C$53))</f>
        <v>0.41068174962109105</v>
      </c>
      <c r="BP98">
        <f>EXP($C98*FixedParams!$B$47)*EXP(IF(BM98+BN98=1,(1-FixedParams!$B$47)*$D98,0))*($B98^((FixedParams!$B$47-1)*$B$10/($B$10-1)))*((1/$B98-1)^$B$10*(BO98)^($B$10-1)+1)^((FixedParams!$B$47-$B$10)/($B$10-1))/((1+IF(BM98=1,FixedParams!$C$25,IF(BN98=1,FixedParams!$C$23,FixedParams!$C$24)))^FixedParams!$B$47)</f>
        <v>4.4759781811271347E-2</v>
      </c>
      <c r="BQ98">
        <f t="shared" si="77"/>
        <v>1.2876383134826501</v>
      </c>
      <c r="BR98">
        <f t="shared" si="78"/>
        <v>32.840132089073592</v>
      </c>
      <c r="BS98">
        <f t="shared" si="54"/>
        <v>66.742735681123406</v>
      </c>
      <c r="BT98">
        <f t="shared" si="79"/>
        <v>99.582867770196998</v>
      </c>
      <c r="BU98" s="24">
        <f t="shared" si="80"/>
        <v>2.032352838901331</v>
      </c>
      <c r="BV98" s="24">
        <f t="shared" si="81"/>
        <v>1.8081513235098405</v>
      </c>
      <c r="BW98" s="23">
        <f>IF(BM98=1,BR98*(1+FixedParams!$C$25)+BS98*(1+FixedParams!$C$28)/$BK$12,IF(BN98=1,BR98*(1+FixedParams!$C$23)+BS98*(1+FixedParams!$C$26)/$BK$12,BR98*(1+FixedParams!$C$24)+BS98*(1+FixedParams!$C$27)/$BK$12))</f>
        <v>267.3276635375986</v>
      </c>
      <c r="BX98" s="24">
        <f t="shared" si="82"/>
        <v>46.956754600286864</v>
      </c>
      <c r="BY98" s="24">
        <f>BX98^((FixedParams!$B$47-1)/FixedParams!$B$47)*EXP($C98)</f>
        <v>0.36205678300847255</v>
      </c>
      <c r="BZ98" s="24">
        <f t="shared" si="83"/>
        <v>-3.4980674724937558E-2</v>
      </c>
      <c r="CA98" s="24">
        <f t="shared" si="84"/>
        <v>-1.0987569259199022E-2</v>
      </c>
      <c r="CB98" s="24">
        <f t="shared" si="85"/>
        <v>6.3408866602082288E-3</v>
      </c>
      <c r="CC98" s="24"/>
      <c r="CD98" s="24">
        <f>EXP(-$D$17)*(($B98*FixedParams!$B$30)^$B$10*(1+FixedParams!$D$24)^(1-$B$10)+(1-$B98)^$B$10*((1+FixedParams!$D$27)/$CE$12)^(1-$B$10))^(1/(1-$B$10))</f>
        <v>6.2603320629409289</v>
      </c>
      <c r="CE98" s="24">
        <f>EXP($D98-$D$17)*(($B98*FixedParams!$D$31)^$B$10*(1+FixedParams!$D$25)^(1-$B$10)+(1-$B98)^$B$10*((1+FixedParams!$D$28)/$CE$12)^(1-$B$10))^(1/(1-$B$10))</f>
        <v>5.5370118322603199</v>
      </c>
      <c r="CF98" s="24">
        <f>EXP($D98-$D$17)*(($B98*FixedParams!$D$30)^$B$10*(1+FixedParams!$D$23)^(1-$B$10)+(1-$B98)^$B$10*((1+FixedParams!$D$26)/$CE$12)^(1-$B$10))^(1/(1-$B$10))</f>
        <v>5.5659712731160544</v>
      </c>
      <c r="CG98">
        <f>IF(FixedParams!$I$6=1,IF(CE98&lt;=MIN(CD98:CF98),1,0),$H98)</f>
        <v>1</v>
      </c>
      <c r="CH98">
        <f>IF(FixedParams!$I$6=1,IF(CF98&lt;=MIN(CD98:CF98),1,0),IF(CF98&lt;=CD98,1,0)*(1-$H98))</f>
        <v>0</v>
      </c>
      <c r="CI98" s="24">
        <f>$CE$13*IF(CG98=1,1,IF(CH98=1,FixedParams!$D$52,FixedParams!$D$53))</f>
        <v>0.39201585704839609</v>
      </c>
      <c r="CJ98">
        <f>EXP($C98*FixedParams!$B$47)*EXP(IF(CG98+CH98=1,(1-FixedParams!$B$47)*$D98,0))*($B98^((FixedParams!$B$47-1)*$B$10/($B$10-1)))*((1/$B98-1)^$B$10*(CI98)^($B$10-1)+1)^((FixedParams!$B$47-$B$10)/($B$10-1))/((1+IF(CG98=1,FixedParams!$D$25,IF(CH98=1,FixedParams!$D$23,FixedParams!$D$24)))^FixedParams!$B$47)</f>
        <v>4.8764684311299482E-2</v>
      </c>
      <c r="CK98">
        <f t="shared" si="86"/>
        <v>1.2839917025291012</v>
      </c>
      <c r="CL98">
        <f t="shared" si="88"/>
        <v>35.07901511455583</v>
      </c>
      <c r="CM98">
        <f t="shared" si="55"/>
        <v>66.488088371547562</v>
      </c>
      <c r="CN98">
        <f t="shared" si="89"/>
        <v>101.56710348610339</v>
      </c>
      <c r="CO98" s="24">
        <f t="shared" si="90"/>
        <v>1.8953807042307389</v>
      </c>
      <c r="CP98" s="24">
        <f t="shared" si="91"/>
        <v>1.788853257813884</v>
      </c>
      <c r="CQ98" s="23">
        <f>IF(CG98=1,CL98*(1+FixedParams!$D$25)+CM98*(1+FixedParams!$D$28)/$CE$12,IF(CH98=1,CL98*(1+FixedParams!$D$23)+CM98*(1+FixedParams!$D$26)/$CE$12,CL98*(1+FixedParams!$D$24)+CM98*(1+FixedParams!$D$27)/$CE$12))</f>
        <v>262.09387527865528</v>
      </c>
      <c r="CR98" s="24">
        <f t="shared" si="92"/>
        <v>47.334895286229369</v>
      </c>
      <c r="CS98" s="24">
        <f>CR98^((FixedParams!$B$47-1)/FixedParams!$B$47)*EXP($C98)</f>
        <v>0.36205387616294737</v>
      </c>
      <c r="CT98" s="24"/>
    </row>
    <row r="99" spans="1:98" x14ac:dyDescent="0.15">
      <c r="A99">
        <v>0.41000000000000003</v>
      </c>
      <c r="B99">
        <f t="shared" si="56"/>
        <v>0.20567114351283791</v>
      </c>
      <c r="C99">
        <f>(D99-$D$17)*FixedParams!$B$47+$A99*$B$9</f>
        <v>-1.0245962159792725</v>
      </c>
      <c r="D99">
        <f>(A99-$B$6)*FixedParams!$B$46/(FixedParams!$B$45*Sectors!$B$6)</f>
        <v>-4.8901628690352722E-2</v>
      </c>
      <c r="E99">
        <f t="shared" si="57"/>
        <v>0.35894137093867651</v>
      </c>
      <c r="F99" s="24">
        <f>EXP(-$D$17)*(($B99*FixedParams!$B$30)^$B$10*(1+FixedParams!$B$23)^(1-$B$10)+(1-$B99)^$B$10*((1+FixedParams!$B$26)/$B$11)^(1-$B$10))^(1/(1-$B$10))</f>
        <v>4.917386184787909</v>
      </c>
      <c r="G99" s="24">
        <f>EXP($D99-$D$17)*(($B99*FixedParams!$B$31)^$B$10*(1+FixedParams!$B$25)^(1-$B$10)+(1-$B99)^$B$10*((1+FixedParams!$B$28)/$B$11)^(1-$B$10))^(1/(1-$B$10))</f>
        <v>4.5144546855156067</v>
      </c>
      <c r="H99">
        <f t="shared" si="58"/>
        <v>1</v>
      </c>
      <c r="I99" s="24">
        <f>$B$12*IF(H99=1,1,FixedParams!$B$52)</f>
        <v>0.3745928365283252</v>
      </c>
      <c r="J99">
        <f>EXP($C99*FixedParams!$B$47)*EXP(IF(H99=1,(1-FixedParams!$B$47)*$D99,0))*($B99^((FixedParams!$B$47-1)*$B$10/($B$10-1)))*((1/$B99-1)^$B$10*(I99)^($B$10-1)+1)^((FixedParams!$B$47-$B$10)/($B$10-1))/((1+IF(H99=1,FixedParams!$B$25,FixedParams!$B$24))^FixedParams!$B$47)</f>
        <v>6.361394411168797E-2</v>
      </c>
      <c r="K99">
        <f t="shared" si="87"/>
        <v>1.2826213909880448</v>
      </c>
      <c r="L99">
        <f>K99*FixedParams!$B$8/K$15</f>
        <v>37.28981768226933</v>
      </c>
      <c r="M99">
        <f t="shared" si="47"/>
        <v>64.888827647418481</v>
      </c>
      <c r="N99">
        <f t="shared" si="59"/>
        <v>102.17864532968781</v>
      </c>
      <c r="O99" s="24">
        <f t="shared" si="60"/>
        <v>1.7401218799273457</v>
      </c>
      <c r="P99" s="24">
        <f t="shared" si="48"/>
        <v>1.7652197644230478</v>
      </c>
      <c r="Q99" s="23">
        <f>IF(H99=1,L99*(1+FixedParams!$B$25)+M99*FixedParams!$B$33*(1+FixedParams!$B$28)/FixedParams!$B$32,L99*(1+FixedParams!$B$23)+M99*FixedParams!$B$33*(1+FixedParams!$B$26)/FixedParams!$B$32)</f>
        <v>210.88371747391668</v>
      </c>
      <c r="R99" s="24">
        <f t="shared" si="49"/>
        <v>46.712999058452425</v>
      </c>
      <c r="S99" s="24">
        <f>R99^((FixedParams!$B$47-1)/FixedParams!$B$47)*EXP($C99)</f>
        <v>0.35756286493755468</v>
      </c>
      <c r="T99" s="7">
        <f>(L99*FixedParams!$B$32*(FixedParams!$C$25-FixedParams!$C$23)+FixedParams!$B$33*(FixedParams!$C$28-FixedParams!$C$26)*M99)/N99</f>
        <v>-317.55919171832812</v>
      </c>
      <c r="U99" s="7">
        <f>(L99*FixedParams!$B$32*(FixedParams!$C$25-FixedParams!$C$23)*$Z$12/$B$11+FixedParams!$B$33*(FixedParams!$C$28-FixedParams!$C$26)*M99)/N99</f>
        <v>-684.08795538079494</v>
      </c>
      <c r="V99" s="14">
        <f t="shared" si="50"/>
        <v>-1.5358707688525752</v>
      </c>
      <c r="W99" s="14">
        <f t="shared" si="61"/>
        <v>0.64497967542546097</v>
      </c>
      <c r="X99" s="73">
        <f t="shared" si="62"/>
        <v>0.97263517418621259</v>
      </c>
      <c r="Y99" s="24">
        <f>EXP(-$D$17)*(($B99*FixedParams!$B$30)^$B$10*(1+FixedParams!$C$24)^(1-$B$10)+(1-$B99)^$B$10*((1+FixedParams!$C$27)/$Z$12)^(1-$B$10))^(1/(1-$B$10))</f>
        <v>6.4046133238362319</v>
      </c>
      <c r="Z99" s="24">
        <f>EXP($D99-$D$17)*(($B99*FixedParams!$C$31)^$B$10*(1+FixedParams!$C$25)^(1-$B$10)+(1-$B99)^$B$10*((1+FixedParams!$C$28)/$Z$12)^(1-$B$10))^(1/(1-$B$10))</f>
        <v>5.4814429120840442</v>
      </c>
      <c r="AA99" s="24">
        <f>EXP($D99-$D$17)*(($B99*FixedParams!$C$30)^$B$10*(1+FixedParams!$C$23)^(1-$B$10)+(1-$B99)^$B$10*((1+FixedParams!$C$26)/$Z$12)^(1-$B$10))^(1/(1-$B$10))</f>
        <v>5.5443799736088692</v>
      </c>
      <c r="AB99">
        <f>IF(FixedParams!$I$6=1,IF(Z99&lt;=MIN(Y99:AA99),1,0),$H99)</f>
        <v>1</v>
      </c>
      <c r="AC99">
        <f>IF(FixedParams!$I$6=1,IF(AA99&lt;=MIN(Y99:AA99),1,0),IF(AA99&lt;=Y99,1,0)*(1-$H99))</f>
        <v>0</v>
      </c>
      <c r="AD99" s="24">
        <f>$Z$13*IF(AB99=1,1,IF(AC99=1,FixedParams!$C$52,FixedParams!$C$53))</f>
        <v>0.43187184563106507</v>
      </c>
      <c r="AE99">
        <f>EXP($C99*FixedParams!$B$47)*EXP(IF(AB99+AC99=1,(1-FixedParams!$B$47)*$D99,0))*($B99^((FixedParams!$B$47-1)*$B$10/($B$10-1)))*((1/$B99-1)^$B$10*(AD99)^($B$10-1)+1)^((FixedParams!$B$47-$B$10)/($B$10-1))/((1+IF(AB99=1,FixedParams!$C$25,IF(AC99=1,FixedParams!$C$23,FixedParams!$C$24)))^FixedParams!$B$47)</f>
        <v>4.3913689029219917E-2</v>
      </c>
      <c r="AF99">
        <f t="shared" si="63"/>
        <v>1.2940126252782564</v>
      </c>
      <c r="AG99">
        <f t="shared" si="64"/>
        <v>30.394369450981817</v>
      </c>
      <c r="AH99">
        <f t="shared" si="51"/>
        <v>65.473558111671977</v>
      </c>
      <c r="AI99">
        <f t="shared" si="65"/>
        <v>95.86792756265379</v>
      </c>
      <c r="AJ99" s="24">
        <f t="shared" si="66"/>
        <v>2.1541344431330853</v>
      </c>
      <c r="AK99" s="24">
        <f t="shared" si="67"/>
        <v>1.8307680667347257</v>
      </c>
      <c r="AL99" s="23">
        <f>IF(AB99=1,AG99*(1+FixedParams!$C$25)+AH99*(1+FixedParams!$C$28)/$Z$12,IF(AC99=1,AG99*(1+FixedParams!$C$23)+AH99*(1+FixedParams!$C$26)/$Z$12,AG99*(1+FixedParams!$C$24)+AH99*(1+FixedParams!$C$27)/$Z$12))</f>
        <v>249.04774703464861</v>
      </c>
      <c r="AM99" s="24">
        <f t="shared" si="68"/>
        <v>45.434705975978261</v>
      </c>
      <c r="AN99" s="24">
        <f>AM99^((FixedParams!$B$47-1)/FixedParams!$B$47)*EXP($C99)</f>
        <v>0.35757279602309766</v>
      </c>
      <c r="AO99" s="24">
        <f t="shared" si="69"/>
        <v>-6.3751216436204225E-2</v>
      </c>
      <c r="AP99" s="24">
        <f t="shared" si="70"/>
        <v>-2.774621655616049E-2</v>
      </c>
      <c r="AQ99" s="14">
        <f t="shared" si="71"/>
        <v>-1.60701538073446</v>
      </c>
      <c r="AS99" s="24">
        <f>EXP(-$D$17)*(($B99*FixedParams!$B$30)^$B$10*(1+FixedParams!$D$24)^(1-$B$10)+(1-$B99)^$B$10*((1+FixedParams!$D$27)/$AT$12)^(1-$B$10))^(1/(1-$B$10))</f>
        <v>6.0276202666982757</v>
      </c>
      <c r="AT99" s="24">
        <f>EXP($D99-$D$17)*(($B99*FixedParams!$C$31)^$B$10*(1+FixedParams!$D$25)^(1-$B$10)+(1-$B99)^$B$10*((1+FixedParams!$D$28)/$AT$12)^(1-$B$10))^(1/(1-$B$10))</f>
        <v>5.3460142040078109</v>
      </c>
      <c r="AU99" s="24">
        <f>EXP($D99-$D$17)*(($B99*FixedParams!$C$30)^$B$10*(1+FixedParams!$D$23)^(1-$B$10)+(1-$B99)^$B$10*((1+FixedParams!$D$26)/$AT$12)^(1-$B$10))^(1/(1-$B$10))</f>
        <v>5.3748270122045279</v>
      </c>
      <c r="AV99">
        <f>IF(FixedParams!$I$6=1,IF(AT99&lt;=MIN(AS99:AU99),1,0),$H99)</f>
        <v>1</v>
      </c>
      <c r="AW99">
        <f>IF(FixedParams!$I$6=1,IF(AU99&lt;=MIN(AS99:AU99),1,0),IF(AU99&lt;=AS99,1,0)*(1-$H99))</f>
        <v>0</v>
      </c>
      <c r="AX99" s="24">
        <f>$AT$13*IF(AV99=1,1,IF(AW99=1,FixedParams!$D$52,FixedParams!$D$53))</f>
        <v>0.41089128090616783</v>
      </c>
      <c r="AY99">
        <f>EXP($C99*FixedParams!$B$47)*EXP(IF(AV99+AW99=1,(1-FixedParams!$B$47)*$D99,0))*($B99^((FixedParams!$B$47-1)*$B$10/($B$10-1)))*((1/$B99-1)^$B$10*(AX99)^($B$10-1)+1)^((FixedParams!$B$47-$B$10)/($B$10-1))/((1+IF(AV99=1,FixedParams!$D$25,IF(AW99=1,FixedParams!$D$23,FixedParams!$D$24)))^FixedParams!$B$47)</f>
        <v>4.7909471421599993E-2</v>
      </c>
      <c r="AZ99">
        <f t="shared" si="52"/>
        <v>1.2900861670505333</v>
      </c>
      <c r="BA99">
        <f t="shared" si="72"/>
        <v>32.458395423150534</v>
      </c>
      <c r="BB99">
        <f t="shared" si="53"/>
        <v>64.887030733285869</v>
      </c>
      <c r="BC99">
        <f t="shared" si="73"/>
        <v>97.345426156436403</v>
      </c>
      <c r="BD99" s="24">
        <f t="shared" si="74"/>
        <v>1.9990831304928285</v>
      </c>
      <c r="BE99" s="24">
        <f t="shared" si="75"/>
        <v>1.8103088061717845</v>
      </c>
      <c r="BF99" s="23">
        <f>IF(AV99=1,BA99*(1+FixedParams!$C$25)+BB99*(1+FixedParams!$C$28)/$AT$12,IF(AW99=1,BA99*(1+FixedParams!$C$23)+BB99*(1+FixedParams!$C$26)/$AT$12,BA99*(1+FixedParams!$C$24)+BB99*(1+FixedParams!$C$27)/$AT$12))</f>
        <v>247.20024315656087</v>
      </c>
      <c r="BG99" s="24">
        <f t="shared" si="76"/>
        <v>46.240102200110002</v>
      </c>
      <c r="BH99" s="24">
        <f>BG99^((FixedParams!$B$47-1)/FixedParams!$B$47)*EXP($C99)</f>
        <v>0.3575665068157729</v>
      </c>
      <c r="BI99" s="7"/>
      <c r="BJ99" s="24">
        <f>EXP(-$D$17)*(($B99*FixedParams!$B$30)^$B$10*(1+FixedParams!$C$24)^(1-$B$10)+(1-$B99)^$B$10*((1+FixedParams!$C$27)/$BK$12)^(1-$B$10))^(1/(1-$B$10))</f>
        <v>6.6805087671910801</v>
      </c>
      <c r="BK99" s="24">
        <f>EXP($D99-$D$17)*(($B99*FixedParams!$C$31)^$B$10*(1+FixedParams!$C$25)^(1-$B$10)+(1-$B99)^$B$10*((1+FixedParams!$C$28)/$BK$12)^(1-$B$10))^(1/(1-$B$10))</f>
        <v>5.7155364856502446</v>
      </c>
      <c r="BL99" s="24">
        <f>EXP($D99-$D$17)*(($B99*FixedParams!$C$30)^$B$10*(1+FixedParams!$C$23)^(1-$B$10)+(1-$B99)^$B$10*((1+FixedParams!$C$26)/$BK$12)^(1-$B$10))^(1/(1-$B$10))</f>
        <v>5.7765422636395014</v>
      </c>
      <c r="BM99">
        <f>IF(FixedParams!$I$6=1,IF(BK99&lt;=MIN(BJ99:BL99),1,0),$H99)</f>
        <v>1</v>
      </c>
      <c r="BN99">
        <f>IF(FixedParams!$I$6=1,IF(BL99&lt;=MIN(BJ99:BL99),1,0),IF(BL99&lt;=BJ99,1,0)*(1-$H99))</f>
        <v>0</v>
      </c>
      <c r="BO99" s="24">
        <f>$BK$13*IF(BM99=1,1,IF(BN99=1,FixedParams!$C$52,FixedParams!$C$53))</f>
        <v>0.41068174962109105</v>
      </c>
      <c r="BP99">
        <f>EXP($C99*FixedParams!$B$47)*EXP(IF(BM99+BN99=1,(1-FixedParams!$B$47)*$D99,0))*($B99^((FixedParams!$B$47-1)*$B$10/($B$10-1)))*((1/$B99-1)^$B$10*(BO99)^($B$10-1)+1)^((FixedParams!$B$47-$B$10)/($B$10-1))/((1+IF(BM99=1,FixedParams!$C$25,IF(BN99=1,FixedParams!$C$23,FixedParams!$C$24)))^FixedParams!$B$47)</f>
        <v>4.484346238203183E-2</v>
      </c>
      <c r="BQ99">
        <f t="shared" si="77"/>
        <v>1.290045615409626</v>
      </c>
      <c r="BR99">
        <f t="shared" si="78"/>
        <v>32.901528299820342</v>
      </c>
      <c r="BS99">
        <f t="shared" si="54"/>
        <v>65.722585931987581</v>
      </c>
      <c r="BT99">
        <f t="shared" si="79"/>
        <v>98.624114231807923</v>
      </c>
      <c r="BU99" s="24">
        <f t="shared" si="80"/>
        <v>1.9975541966646715</v>
      </c>
      <c r="BV99" s="24">
        <f t="shared" si="81"/>
        <v>1.8152897088688094</v>
      </c>
      <c r="BW99" s="23">
        <f>IF(BM99=1,BR99*(1+FixedParams!$C$25)+BS99*(1+FixedParams!$C$28)/$BK$12,IF(BN99=1,BR99*(1+FixedParams!$C$23)+BS99*(1+FixedParams!$C$26)/$BK$12,BR99*(1+FixedParams!$C$24)+BS99*(1+FixedParams!$C$27)/$BK$12))</f>
        <v>264.01250505353801</v>
      </c>
      <c r="BX99" s="24">
        <f t="shared" si="82"/>
        <v>46.192077631974357</v>
      </c>
      <c r="BY99" s="24">
        <f>BX99^((FixedParams!$B$47-1)/FixedParams!$B$47)*EXP($C99)</f>
        <v>0.35756687874634413</v>
      </c>
      <c r="BZ99" s="24">
        <f t="shared" si="83"/>
        <v>-3.5406908176534593E-2</v>
      </c>
      <c r="CA99" s="24">
        <f t="shared" si="84"/>
        <v>-1.1214174815438014E-2</v>
      </c>
      <c r="CB99" s="24">
        <f t="shared" si="85"/>
        <v>6.1142811039692369E-3</v>
      </c>
      <c r="CC99" s="24"/>
      <c r="CD99" s="24">
        <f>EXP(-$D$17)*(($B99*FixedParams!$B$30)^$B$10*(1+FixedParams!$D$24)^(1-$B$10)+(1-$B99)^$B$10*((1+FixedParams!$D$27)/$CE$12)^(1-$B$10))^(1/(1-$B$10))</f>
        <v>6.2683388334594614</v>
      </c>
      <c r="CE99" s="24">
        <f>EXP($D99-$D$17)*(($B99*FixedParams!$D$31)^$B$10*(1+FixedParams!$D$25)^(1-$B$10)+(1-$B99)^$B$10*((1+FixedParams!$D$28)/$CE$12)^(1-$B$10))^(1/(1-$B$10))</f>
        <v>5.5582384482868736</v>
      </c>
      <c r="CF99" s="24">
        <f>EXP($D99-$D$17)*(($B99*FixedParams!$D$30)^$B$10*(1+FixedParams!$D$23)^(1-$B$10)+(1-$B99)^$B$10*((1+FixedParams!$D$26)/$CE$12)^(1-$B$10))^(1/(1-$B$10))</f>
        <v>5.5848394054666857</v>
      </c>
      <c r="CG99">
        <f>IF(FixedParams!$I$6=1,IF(CE99&lt;=MIN(CD99:CF99),1,0),$H99)</f>
        <v>1</v>
      </c>
      <c r="CH99">
        <f>IF(FixedParams!$I$6=1,IF(CF99&lt;=MIN(CD99:CF99),1,0),IF(CF99&lt;=CD99,1,0)*(1-$H99))</f>
        <v>0</v>
      </c>
      <c r="CI99" s="24">
        <f>$CE$13*IF(CG99=1,1,IF(CH99=1,FixedParams!$D$52,FixedParams!$D$53))</f>
        <v>0.39201585704839609</v>
      </c>
      <c r="CJ99">
        <f>EXP($C99*FixedParams!$B$47)*EXP(IF(CG99+CH99=1,(1-FixedParams!$B$47)*$D99,0))*($B99^((FixedParams!$B$47-1)*$B$10/($B$10-1)))*((1/$B99-1)^$B$10*(CI99)^($B$10-1)+1)^((FixedParams!$B$47-$B$10)/($B$10-1))/((1+IF(CG99=1,FixedParams!$D$25,IF(CH99=1,FixedParams!$D$23,FixedParams!$D$24)))^FixedParams!$B$47)</f>
        <v>4.8853065352912672E-2</v>
      </c>
      <c r="CK99">
        <f t="shared" si="86"/>
        <v>1.2863188071888545</v>
      </c>
      <c r="CL99">
        <f t="shared" si="88"/>
        <v>35.142592269588725</v>
      </c>
      <c r="CM99">
        <f t="shared" si="55"/>
        <v>65.468096143215149</v>
      </c>
      <c r="CN99">
        <f t="shared" si="89"/>
        <v>100.61068841280388</v>
      </c>
      <c r="CO99" s="24">
        <f t="shared" si="90"/>
        <v>1.8629273458540263</v>
      </c>
      <c r="CP99" s="24">
        <f t="shared" si="91"/>
        <v>1.7957109822294672</v>
      </c>
      <c r="CQ99" s="23">
        <f>IF(CG99=1,CL99*(1+FixedParams!$D$25)+CM99*(1+FixedParams!$D$28)/$CE$12,IF(CH99=1,CL99*(1+FixedParams!$D$23)+CM99*(1+FixedParams!$D$26)/$CE$12,CL99*(1+FixedParams!$D$24)+CM99*(1+FixedParams!$D$27)/$CE$12))</f>
        <v>258.84359208113648</v>
      </c>
      <c r="CR99" s="24">
        <f t="shared" si="92"/>
        <v>46.569357268383413</v>
      </c>
      <c r="CS99" s="24">
        <f>CR99^((FixedParams!$B$47-1)/FixedParams!$B$47)*EXP($C99)</f>
        <v>0.35756396723608724</v>
      </c>
      <c r="CT99" s="24"/>
    </row>
    <row r="100" spans="1:98" x14ac:dyDescent="0.15">
      <c r="A100">
        <v>0.41500000000000004</v>
      </c>
      <c r="B100">
        <f t="shared" si="56"/>
        <v>0.20755852608494965</v>
      </c>
      <c r="C100">
        <f>(D100-$D$17)*FixedParams!$B$47+$A100*$B$9</f>
        <v>-1.0370912917838977</v>
      </c>
      <c r="D100">
        <f>(A100-$B$6)*FixedParams!$B$46/(FixedParams!$B$45*Sectors!$B$6)</f>
        <v>-4.618487154088867E-2</v>
      </c>
      <c r="E100">
        <f t="shared" si="57"/>
        <v>0.35448427516340708</v>
      </c>
      <c r="F100" s="24">
        <f>EXP(-$D$17)*(($B100*FixedParams!$B$30)^$B$10*(1+FixedParams!$B$23)^(1-$B$10)+(1-$B100)^$B$10*((1+FixedParams!$B$26)/$B$11)^(1-$B$10))^(1/(1-$B$10))</f>
        <v>4.9227117154768756</v>
      </c>
      <c r="G100" s="24">
        <f>EXP($D100-$D$17)*(($B100*FixedParams!$B$31)^$B$10*(1+FixedParams!$B$25)^(1-$B$10)+(1-$B100)^$B$10*((1+FixedParams!$B$28)/$B$11)^(1-$B$10))^(1/(1-$B$10))</f>
        <v>4.5311497151431688</v>
      </c>
      <c r="H100">
        <f t="shared" si="58"/>
        <v>1</v>
      </c>
      <c r="I100" s="24">
        <f>$B$12*IF(H100=1,1,FixedParams!$B$52)</f>
        <v>0.3745928365283252</v>
      </c>
      <c r="J100">
        <f>EXP($C100*FixedParams!$B$47)*EXP(IF(H100=1,(1-FixedParams!$B$47)*$D100,0))*($B100^((FixedParams!$B$47-1)*$B$10/($B$10-1)))*((1/$B100-1)^$B$10*(I100)^($B$10-1)+1)^((FixedParams!$B$47-$B$10)/($B$10-1))/((1+IF(H100=1,FixedParams!$B$25,FixedParams!$B$24))^FixedParams!$B$47)</f>
        <v>6.3722859165034382E-2</v>
      </c>
      <c r="K100">
        <f t="shared" si="87"/>
        <v>1.2848173997275352</v>
      </c>
      <c r="L100">
        <f>K100*FixedParams!$B$8/K$15</f>
        <v>37.35366252853467</v>
      </c>
      <c r="M100">
        <f t="shared" si="47"/>
        <v>63.886974447976229</v>
      </c>
      <c r="N100">
        <f t="shared" si="59"/>
        <v>101.2406369765109</v>
      </c>
      <c r="O100" s="24">
        <f t="shared" si="60"/>
        <v>1.7103269163812951</v>
      </c>
      <c r="P100" s="24">
        <f t="shared" si="48"/>
        <v>1.7717477724149666</v>
      </c>
      <c r="Q100" s="23">
        <f>IF(H100=1,L100*(1+FixedParams!$B$25)+M100*FixedParams!$B$33*(1+FixedParams!$B$28)/FixedParams!$B$32,L100*(1+FixedParams!$B$23)+M100*FixedParams!$B$33*(1+FixedParams!$B$26)/FixedParams!$B$32)</f>
        <v>208.26847448423831</v>
      </c>
      <c r="R100" s="24">
        <f t="shared" si="49"/>
        <v>45.963715078361247</v>
      </c>
      <c r="S100" s="24">
        <f>R100^((FixedParams!$B$47-1)/FixedParams!$B$47)*EXP($C100)</f>
        <v>0.35312860236338067</v>
      </c>
      <c r="T100" s="7">
        <f>(L100*FixedParams!$B$32*(FixedParams!$C$25-FixedParams!$C$23)+FixedParams!$B$33*(FixedParams!$C$28-FixedParams!$C$26)*M100)/N100</f>
        <v>-272.04430917248089</v>
      </c>
      <c r="U100" s="7">
        <f>(L100*FixedParams!$B$32*(FixedParams!$C$25-FixedParams!$C$23)*$Z$12/$B$11+FixedParams!$B$33*(FixedParams!$C$28-FixedParams!$C$26)*M100)/N100</f>
        <v>-642.60236948027034</v>
      </c>
      <c r="V100" s="14">
        <f t="shared" si="50"/>
        <v>-1.5186001435564911</v>
      </c>
      <c r="W100" s="14">
        <f t="shared" si="61"/>
        <v>0.64994531321329263</v>
      </c>
      <c r="X100" s="73">
        <f t="shared" si="62"/>
        <v>0.9722932194638646</v>
      </c>
      <c r="Y100" s="24">
        <f>EXP(-$D$17)*(($B100*FixedParams!$B$30)^$B$10*(1+FixedParams!$C$24)^(1-$B$10)+(1-$B100)^$B$10*((1+FixedParams!$C$27)/$Z$12)^(1-$B$10))^(1/(1-$B$10))</f>
        <v>6.4146775310326678</v>
      </c>
      <c r="Z100" s="24">
        <f>EXP($D100-$D$17)*(($B100*FixedParams!$C$31)^$B$10*(1+FixedParams!$C$25)^(1-$B$10)+(1-$B100)^$B$10*((1+FixedParams!$C$28)/$Z$12)^(1-$B$10))^(1/(1-$B$10))</f>
        <v>5.5036508730866611</v>
      </c>
      <c r="AA100" s="24">
        <f>EXP($D100-$D$17)*(($B100*FixedParams!$C$30)^$B$10*(1+FixedParams!$C$23)^(1-$B$10)+(1-$B100)^$B$10*((1+FixedParams!$C$26)/$Z$12)^(1-$B$10))^(1/(1-$B$10))</f>
        <v>5.5637965778506979</v>
      </c>
      <c r="AB100">
        <f>IF(FixedParams!$I$6=1,IF(Z100&lt;=MIN(Y100:AA100),1,0),$H100)</f>
        <v>1</v>
      </c>
      <c r="AC100">
        <f>IF(FixedParams!$I$6=1,IF(AA100&lt;=MIN(Y100:AA100),1,0),IF(AA100&lt;=Y100,1,0)*(1-$H100))</f>
        <v>0</v>
      </c>
      <c r="AD100" s="24">
        <f>$Z$13*IF(AB100=1,1,IF(AC100=1,FixedParams!$C$52,FixedParams!$C$53))</f>
        <v>0.43187184563106507</v>
      </c>
      <c r="AE100">
        <f>EXP($C100*FixedParams!$B$47)*EXP(IF(AB100+AC100=1,(1-FixedParams!$B$47)*$D100,0))*($B100^((FixedParams!$B$47-1)*$B$10/($B$10-1)))*((1/$B100-1)^$B$10*(AD100)^($B$10-1)+1)^((FixedParams!$B$47-$B$10)/($B$10-1))/((1+IF(AB100=1,FixedParams!$C$25,IF(AC100=1,FixedParams!$C$23,FixedParams!$C$24)))^FixedParams!$B$47)</f>
        <v>4.3996632749225814E-2</v>
      </c>
      <c r="AF100">
        <f t="shared" si="63"/>
        <v>1.2964567428927833</v>
      </c>
      <c r="AG100">
        <f t="shared" si="64"/>
        <v>30.451778020501457</v>
      </c>
      <c r="AH100">
        <f t="shared" si="51"/>
        <v>64.47404572676021</v>
      </c>
      <c r="AI100">
        <f t="shared" si="65"/>
        <v>94.92582374726166</v>
      </c>
      <c r="AJ100" s="24">
        <f t="shared" si="66"/>
        <v>2.1172506145077468</v>
      </c>
      <c r="AK100" s="24">
        <f t="shared" si="67"/>
        <v>1.838185388502549</v>
      </c>
      <c r="AL100" s="23">
        <f>IF(AB100=1,AG100*(1+FixedParams!$C$25)+AH100*(1+FixedParams!$C$28)/$Z$12,IF(AC100=1,AG100*(1+FixedParams!$C$23)+AH100*(1+FixedParams!$C$26)/$Z$12,AG100*(1+FixedParams!$C$24)+AH100*(1+FixedParams!$C$27)/$Z$12))</f>
        <v>245.95930509582197</v>
      </c>
      <c r="AM100" s="24">
        <f t="shared" si="68"/>
        <v>44.690208512059634</v>
      </c>
      <c r="AN100" s="24">
        <f>AM100^((FixedParams!$B$47-1)/FixedParams!$B$47)*EXP($C100)</f>
        <v>0.35313853459102146</v>
      </c>
      <c r="AO100" s="24">
        <f t="shared" si="69"/>
        <v>-6.4404443449596852E-2</v>
      </c>
      <c r="AP100" s="24">
        <f t="shared" si="70"/>
        <v>-2.8097853898684719E-2</v>
      </c>
      <c r="AQ100" s="14">
        <f t="shared" si="71"/>
        <v>-1.5897447554383761</v>
      </c>
      <c r="AS100" s="24">
        <f>EXP(-$D$17)*(($B100*FixedParams!$B$30)^$B$10*(1+FixedParams!$D$24)^(1-$B$10)+(1-$B100)^$B$10*((1+FixedParams!$D$27)/$AT$12)^(1-$B$10))^(1/(1-$B$10))</f>
        <v>6.0359028521170277</v>
      </c>
      <c r="AT100" s="24">
        <f>EXP($D100-$D$17)*(($B100*FixedParams!$C$31)^$B$10*(1+FixedParams!$D$25)^(1-$B$10)+(1-$B100)^$B$10*((1+FixedParams!$D$28)/$AT$12)^(1-$B$10))^(1/(1-$B$10))</f>
        <v>5.3670222368339404</v>
      </c>
      <c r="AU100" s="24">
        <f>EXP($D100-$D$17)*(($B100*FixedParams!$C$30)^$B$10*(1+FixedParams!$D$23)^(1-$B$10)+(1-$B100)^$B$10*((1+FixedParams!$D$26)/$AT$12)^(1-$B$10))^(1/(1-$B$10))</f>
        <v>5.3935728958827225</v>
      </c>
      <c r="AV100">
        <f>IF(FixedParams!$I$6=1,IF(AT100&lt;=MIN(AS100:AU100),1,0),$H100)</f>
        <v>1</v>
      </c>
      <c r="AW100">
        <f>IF(FixedParams!$I$6=1,IF(AU100&lt;=MIN(AS100:AU100),1,0),IF(AU100&lt;=AS100,1,0)*(1-$H100))</f>
        <v>0</v>
      </c>
      <c r="AX100" s="24">
        <f>$AT$13*IF(AV100=1,1,IF(AW100=1,FixedParams!$D$52,FixedParams!$D$53))</f>
        <v>0.41089128090616783</v>
      </c>
      <c r="AY100">
        <f>EXP($C100*FixedParams!$B$47)*EXP(IF(AV100+AW100=1,(1-FixedParams!$B$47)*$D100,0))*($B100^((FixedParams!$B$47-1)*$B$10/($B$10-1)))*((1/$B100-1)^$B$10*(AX100)^($B$10-1)+1)^((FixedParams!$B$47-$B$10)/($B$10-1))/((1+IF(AV100=1,FixedParams!$D$25,IF(AW100=1,FixedParams!$D$23,FixedParams!$D$24)))^FixedParams!$B$47)</f>
        <v>4.7997044586758193E-2</v>
      </c>
      <c r="AZ100">
        <f t="shared" si="52"/>
        <v>1.2924443005390294</v>
      </c>
      <c r="BA100">
        <f t="shared" si="72"/>
        <v>32.51772574633754</v>
      </c>
      <c r="BB100">
        <f t="shared" si="53"/>
        <v>63.892588173539593</v>
      </c>
      <c r="BC100">
        <f t="shared" si="73"/>
        <v>96.410313919877126</v>
      </c>
      <c r="BD100" s="24">
        <f t="shared" si="74"/>
        <v>1.9648541436122973</v>
      </c>
      <c r="BE100" s="24">
        <f t="shared" si="75"/>
        <v>1.8174227092356741</v>
      </c>
      <c r="BF100" s="23">
        <f>IF(AV100=1,BA100*(1+FixedParams!$C$25)+BB100*(1+FixedParams!$C$28)/$AT$12,IF(AW100=1,BA100*(1+FixedParams!$C$23)+BB100*(1+FixedParams!$C$26)/$AT$12,BA100*(1+FixedParams!$C$24)+BB100*(1+FixedParams!$C$27)/$AT$12))</f>
        <v>244.17361377333583</v>
      </c>
      <c r="BG100" s="24">
        <f t="shared" si="76"/>
        <v>45.495174604936288</v>
      </c>
      <c r="BH100" s="24">
        <f>BG100^((FixedParams!$B$47-1)/FixedParams!$B$47)*EXP($C100)</f>
        <v>0.35313222416465151</v>
      </c>
      <c r="BI100" s="7"/>
      <c r="BJ100" s="24">
        <f>EXP(-$D$17)*(($B100*FixedParams!$B$30)^$B$10*(1+FixedParams!$C$24)^(1-$B$10)+(1-$B100)^$B$10*((1+FixedParams!$C$27)/$BK$12)^(1-$B$10))^(1/(1-$B$10))</f>
        <v>6.6902139208201046</v>
      </c>
      <c r="BK100" s="24">
        <f>EXP($D100-$D$17)*(($B100*FixedParams!$C$31)^$B$10*(1+FixedParams!$C$25)^(1-$B$10)+(1-$B100)^$B$10*((1+FixedParams!$C$28)/$BK$12)^(1-$B$10))^(1/(1-$B$10))</f>
        <v>5.7379894262720414</v>
      </c>
      <c r="BL100" s="24">
        <f>EXP($D100-$D$17)*(($B100*FixedParams!$C$30)^$B$10*(1+FixedParams!$C$23)^(1-$B$10)+(1-$B100)^$B$10*((1+FixedParams!$C$26)/$BK$12)^(1-$B$10))^(1/(1-$B$10))</f>
        <v>5.7960095227418247</v>
      </c>
      <c r="BM100">
        <f>IF(FixedParams!$I$6=1,IF(BK100&lt;=MIN(BJ100:BL100),1,0),$H100)</f>
        <v>1</v>
      </c>
      <c r="BN100">
        <f>IF(FixedParams!$I$6=1,IF(BL100&lt;=MIN(BJ100:BL100),1,0),IF(BL100&lt;=BJ100,1,0)*(1-$H100))</f>
        <v>0</v>
      </c>
      <c r="BO100" s="24">
        <f>$BK$13*IF(BM100=1,1,IF(BN100=1,FixedParams!$C$52,FixedParams!$C$53))</f>
        <v>0.41068174962109105</v>
      </c>
      <c r="BP100">
        <f>EXP($C100*FixedParams!$B$47)*EXP(IF(BM100+BN100=1,(1-FixedParams!$B$47)*$D100,0))*($B100^((FixedParams!$B$47-1)*$B$10/($B$10-1)))*((1/$B100-1)^$B$10*(BO100)^($B$10-1)+1)^((FixedParams!$B$47-$B$10)/($B$10-1))/((1+IF(BM100=1,FixedParams!$C$25,IF(BN100=1,FixedParams!$C$23,FixedParams!$C$24)))^FixedParams!$B$47)</f>
        <v>4.4925403021159195E-2</v>
      </c>
      <c r="BQ100">
        <f t="shared" si="77"/>
        <v>1.2924028634144651</v>
      </c>
      <c r="BR100">
        <f t="shared" si="78"/>
        <v>32.961647927385826</v>
      </c>
      <c r="BS100">
        <f t="shared" si="54"/>
        <v>64.715297232516562</v>
      </c>
      <c r="BT100">
        <f t="shared" si="79"/>
        <v>97.676945159902388</v>
      </c>
      <c r="BU100" s="24">
        <f t="shared" si="80"/>
        <v>1.9633513887134437</v>
      </c>
      <c r="BV100" s="24">
        <f t="shared" si="81"/>
        <v>1.822420901565579</v>
      </c>
      <c r="BW100" s="23">
        <f>IF(BM100=1,BR100*(1+FixedParams!$C$25)+BS100*(1+FixedParams!$C$28)/$BK$12,IF(BN100=1,BR100*(1+FixedParams!$C$23)+BS100*(1+FixedParams!$C$26)/$BK$12,BR100*(1+FixedParams!$C$24)+BS100*(1+FixedParams!$C$27)/$BK$12))</f>
        <v>260.73845313762922</v>
      </c>
      <c r="BX100" s="24">
        <f t="shared" si="82"/>
        <v>45.440734335237423</v>
      </c>
      <c r="BY100" s="24">
        <f>BX100^((FixedParams!$B$47-1)/FixedParams!$B$47)*EXP($C100)</f>
        <v>0.35313264740496297</v>
      </c>
      <c r="BZ100" s="24">
        <f t="shared" si="83"/>
        <v>-3.5834672047935473E-2</v>
      </c>
      <c r="CA100" s="24">
        <f t="shared" si="84"/>
        <v>-1.1443347747357491E-2</v>
      </c>
      <c r="CB100" s="24">
        <f t="shared" si="85"/>
        <v>5.8851081720497599E-3</v>
      </c>
      <c r="CC100" s="24"/>
      <c r="CD100" s="24">
        <f>EXP(-$D$17)*(($B100*FixedParams!$B$30)^$B$10*(1+FixedParams!$D$24)^(1-$B$10)+(1-$B100)^$B$10*((1+FixedParams!$D$27)/$CE$12)^(1-$B$10))^(1/(1-$B$10))</f>
        <v>6.276237964337418</v>
      </c>
      <c r="CE100" s="24">
        <f>EXP($D100-$D$17)*(($B100*FixedParams!$D$31)^$B$10*(1+FixedParams!$D$25)^(1-$B$10)+(1-$B100)^$B$10*((1+FixedParams!$D$28)/$CE$12)^(1-$B$10))^(1/(1-$B$10))</f>
        <v>5.5794309042231252</v>
      </c>
      <c r="CF100" s="24">
        <f>EXP($D100-$D$17)*(($B100*FixedParams!$D$30)^$B$10*(1+FixedParams!$D$23)^(1-$B$10)+(1-$B100)^$B$10*((1+FixedParams!$D$26)/$CE$12)^(1-$B$10))^(1/(1-$B$10))</f>
        <v>5.6036279544528513</v>
      </c>
      <c r="CG100">
        <f>IF(FixedParams!$I$6=1,IF(CE100&lt;=MIN(CD100:CF100),1,0),$H100)</f>
        <v>1</v>
      </c>
      <c r="CH100">
        <f>IF(FixedParams!$I$6=1,IF(CF100&lt;=MIN(CD100:CF100),1,0),IF(CF100&lt;=CD100,1,0)*(1-$H100))</f>
        <v>0</v>
      </c>
      <c r="CI100" s="24">
        <f>$CE$13*IF(CG100=1,1,IF(CH100=1,FixedParams!$D$52,FixedParams!$D$53))</f>
        <v>0.39201585704839609</v>
      </c>
      <c r="CJ100">
        <f>EXP($C100*FixedParams!$B$47)*EXP(IF(CG100+CH100=1,(1-FixedParams!$B$47)*$D100,0))*($B100^((FixedParams!$B$47-1)*$B$10/($B$10-1)))*((1/$B100-1)^$B$10*(CI100)^($B$10-1)+1)^((FixedParams!$B$47-$B$10)/($B$10-1))/((1+IF(CG100=1,FixedParams!$D$25,IF(CH100=1,FixedParams!$D$23,FixedParams!$D$24)))^FixedParams!$B$47)</f>
        <v>4.8939508966229346E-2</v>
      </c>
      <c r="CK100">
        <f t="shared" si="86"/>
        <v>1.2885948986637157</v>
      </c>
      <c r="CL100">
        <f t="shared" si="88"/>
        <v>35.204775730035934</v>
      </c>
      <c r="CM100">
        <f t="shared" si="55"/>
        <v>64.460988711658544</v>
      </c>
      <c r="CN100">
        <f t="shared" si="89"/>
        <v>99.665764441694478</v>
      </c>
      <c r="CO100" s="24">
        <f t="shared" si="90"/>
        <v>1.8310296650082578</v>
      </c>
      <c r="CP100" s="24">
        <f t="shared" si="91"/>
        <v>1.8025576704777684</v>
      </c>
      <c r="CQ100" s="23">
        <f>IF(CG100=1,CL100*(1+FixedParams!$D$25)+CM100*(1+FixedParams!$D$28)/$CE$12,IF(CH100=1,CL100*(1+FixedParams!$D$23)+CM100*(1+FixedParams!$D$26)/$CE$12,CL100*(1+FixedParams!$D$24)+CM100*(1+FixedParams!$D$27)/$CE$12))</f>
        <v>255.63361105965066</v>
      </c>
      <c r="CR100" s="24">
        <f t="shared" si="92"/>
        <v>45.817147922050452</v>
      </c>
      <c r="CS100" s="24">
        <f>CR100^((FixedParams!$B$47-1)/FixedParams!$B$47)*EXP($C100)</f>
        <v>0.35312973133491327</v>
      </c>
      <c r="CT100" s="24"/>
    </row>
    <row r="101" spans="1:98" x14ac:dyDescent="0.15">
      <c r="A101">
        <v>0.42</v>
      </c>
      <c r="B101">
        <f t="shared" si="56"/>
        <v>0.20945866146058106</v>
      </c>
      <c r="C101">
        <f>(D101-$D$17)*FixedParams!$B$47+$A101*$B$9</f>
        <v>-1.0495863675885231</v>
      </c>
      <c r="D101">
        <f>(A101-$B$6)*FixedParams!$B$46/(FixedParams!$B$45*Sectors!$B$6)</f>
        <v>-4.3468114391424659E-2</v>
      </c>
      <c r="E101">
        <f t="shared" si="57"/>
        <v>0.35008252464604966</v>
      </c>
      <c r="F101" s="24">
        <f>EXP(-$D$17)*(($B101*FixedParams!$B$30)^$B$10*(1+FixedParams!$B$23)^(1-$B$10)+(1-$B101)^$B$10*((1+FixedParams!$B$26)/$B$11)^(1-$B$10))^(1/(1-$B$10))</f>
        <v>4.9279380221036773</v>
      </c>
      <c r="G101" s="24">
        <f>EXP($D101-$D$17)*(($B101*FixedParams!$B$31)^$B$10*(1+FixedParams!$B$25)^(1-$B$10)+(1-$B101)^$B$10*((1+FixedParams!$B$28)/$B$11)^(1-$B$10))^(1/(1-$B$10))</f>
        <v>4.547804107559255</v>
      </c>
      <c r="H101">
        <f t="shared" si="58"/>
        <v>1</v>
      </c>
      <c r="I101" s="24">
        <f>$B$12*IF(H101=1,1,FixedParams!$B$52)</f>
        <v>0.3745928365283252</v>
      </c>
      <c r="J101">
        <f>EXP($C101*FixedParams!$B$47)*EXP(IF(H101=1,(1-FixedParams!$B$47)*$D101,0))*($B101^((FixedParams!$B$47-1)*$B$10/($B$10-1)))*((1/$B101-1)^$B$10*(I101)^($B$10-1)+1)^((FixedParams!$B$47-$B$10)/($B$10-1))/((1+IF(H101=1,FixedParams!$B$25,FixedParams!$B$24))^FixedParams!$B$47)</f>
        <v>6.3829153139800962E-2</v>
      </c>
      <c r="K101">
        <f t="shared" si="87"/>
        <v>1.2869605607541394</v>
      </c>
      <c r="L101">
        <f>K101*FixedParams!$B$8/K$15</f>
        <v>37.415970926404327</v>
      </c>
      <c r="M101">
        <f t="shared" si="47"/>
        <v>62.897822804304106</v>
      </c>
      <c r="N101">
        <f t="shared" si="59"/>
        <v>100.31379373070843</v>
      </c>
      <c r="O101" s="24">
        <f t="shared" si="60"/>
        <v>1.6810421124182915</v>
      </c>
      <c r="P101" s="24">
        <f t="shared" si="48"/>
        <v>1.7782598906452496</v>
      </c>
      <c r="Q101" s="23">
        <f>IF(H101=1,L101*(1+FixedParams!$B$25)+M101*FixedParams!$B$33*(1+FixedParams!$B$28)/FixedParams!$B$32,L101*(1+FixedParams!$B$23)+M101*FixedParams!$B$33*(1+FixedParams!$B$26)/FixedParams!$B$32)</f>
        <v>205.68565941046427</v>
      </c>
      <c r="R101" s="24">
        <f t="shared" si="49"/>
        <v>45.227466827029403</v>
      </c>
      <c r="S101" s="24">
        <f>R101^((FixedParams!$B$47-1)/FixedParams!$B$47)*EXP($C101)</f>
        <v>0.34874932278482906</v>
      </c>
      <c r="T101" s="7">
        <f>(L101*FixedParams!$B$32*(FixedParams!$C$25-FixedParams!$C$23)+FixedParams!$B$33*(FixedParams!$C$28-FixedParams!$C$26)*M101)/N101</f>
        <v>-226.32294983039586</v>
      </c>
      <c r="U101" s="7">
        <f>(L101*FixedParams!$B$32*(FixedParams!$C$25-FixedParams!$C$23)*$Z$12/$B$11+FixedParams!$B$33*(FixedParams!$C$28-FixedParams!$C$26)*M101)/N101</f>
        <v>-600.92858555774365</v>
      </c>
      <c r="V101" s="14">
        <f t="shared" si="50"/>
        <v>-1.5013295182604083</v>
      </c>
      <c r="W101" s="14">
        <f t="shared" si="61"/>
        <v>0.6548654913123847</v>
      </c>
      <c r="X101" s="73">
        <f t="shared" si="62"/>
        <v>0.97194752123743045</v>
      </c>
      <c r="Y101" s="24">
        <f>EXP(-$D$17)*(($B101*FixedParams!$B$30)^$B$10*(1+FixedParams!$C$24)^(1-$B$10)+(1-$B101)^$B$10*((1+FixedParams!$C$27)/$Z$12)^(1-$B$10))^(1/(1-$B$10))</f>
        <v>6.4246566597686039</v>
      </c>
      <c r="Z101" s="24">
        <f>EXP($D101-$D$17)*(($B101*FixedParams!$C$31)^$B$10*(1+FixedParams!$C$25)^(1-$B$10)+(1-$B101)^$B$10*((1+FixedParams!$C$28)/$Z$12)^(1-$B$10))^(1/(1-$B$10))</f>
        <v>5.525846403503067</v>
      </c>
      <c r="AA101" s="24">
        <f>EXP($D101-$D$17)*(($B101*FixedParams!$C$30)^$B$10*(1+FixedParams!$C$23)^(1-$B$10)+(1-$B101)^$B$10*((1+FixedParams!$C$26)/$Z$12)^(1-$B$10))^(1/(1-$B$10))</f>
        <v>5.5831434659869759</v>
      </c>
      <c r="AB101">
        <f>IF(FixedParams!$I$6=1,IF(Z101&lt;=MIN(Y101:AA101),1,0),$H101)</f>
        <v>1</v>
      </c>
      <c r="AC101">
        <f>IF(FixedParams!$I$6=1,IF(AA101&lt;=MIN(Y101:AA101),1,0),IF(AA101&lt;=Y101,1,0)*(1-$H101))</f>
        <v>0</v>
      </c>
      <c r="AD101" s="24">
        <f>$Z$13*IF(AB101=1,1,IF(AC101=1,FixedParams!$C$52,FixedParams!$C$53))</f>
        <v>0.43187184563106507</v>
      </c>
      <c r="AE101">
        <f>EXP($C101*FixedParams!$B$47)*EXP(IF(AB101+AC101=1,(1-FixedParams!$B$47)*$D101,0))*($B101^((FixedParams!$B$47-1)*$B$10/($B$10-1)))*((1/$B101-1)^$B$10*(AD101)^($B$10-1)+1)^((FixedParams!$B$47-$B$10)/($B$10-1))/((1+IF(AB101=1,FixedParams!$C$25,IF(AC101=1,FixedParams!$C$23,FixedParams!$C$24)))^FixedParams!$B$47)</f>
        <v>4.4077882223267299E-2</v>
      </c>
      <c r="AF101">
        <f t="shared" si="63"/>
        <v>1.2988509358547307</v>
      </c>
      <c r="AG101">
        <f t="shared" si="64"/>
        <v>30.508013936597504</v>
      </c>
      <c r="AH101">
        <f t="shared" si="51"/>
        <v>63.487125853672829</v>
      </c>
      <c r="AI101">
        <f t="shared" si="65"/>
        <v>93.995139790270329</v>
      </c>
      <c r="AJ101" s="24">
        <f t="shared" si="66"/>
        <v>2.0809983234442373</v>
      </c>
      <c r="AK101" s="24">
        <f t="shared" si="67"/>
        <v>1.8455985585313774</v>
      </c>
      <c r="AL101" s="23">
        <f>IF(AB101=1,AG101*(1+FixedParams!$C$25)+AH101*(1+FixedParams!$C$28)/$Z$12,IF(AC101=1,AG101*(1+FixedParams!$C$23)+AH101*(1+FixedParams!$C$26)/$Z$12,AG101*(1+FixedParams!$C$24)+AH101*(1+FixedParams!$C$27)/$Z$12))</f>
        <v>242.90915843416209</v>
      </c>
      <c r="AM101" s="24">
        <f t="shared" si="68"/>
        <v>43.958724274379342</v>
      </c>
      <c r="AN101" s="24">
        <f>AM101^((FixedParams!$B$47-1)/FixedParams!$B$47)*EXP($C101)</f>
        <v>0.34875925598651142</v>
      </c>
      <c r="AO101" s="24">
        <f t="shared" si="69"/>
        <v>-6.5060133670655121E-2</v>
      </c>
      <c r="AP101" s="24">
        <f t="shared" si="70"/>
        <v>-2.8453466475708029E-2</v>
      </c>
      <c r="AQ101" s="14">
        <f t="shared" si="71"/>
        <v>-1.5724741301422931</v>
      </c>
      <c r="AS101" s="24">
        <f>EXP(-$D$17)*(($B101*FixedParams!$B$30)^$B$10*(1+FixedParams!$D$24)^(1-$B$10)+(1-$B101)^$B$10*((1+FixedParams!$D$27)/$AT$12)^(1-$B$10))^(1/(1-$B$10))</f>
        <v>6.0440880517252902</v>
      </c>
      <c r="AT101" s="24">
        <f>EXP($D101-$D$17)*(($B101*FixedParams!$C$31)^$B$10*(1+FixedParams!$D$25)^(1-$B$10)+(1-$B101)^$B$10*((1+FixedParams!$D$28)/$AT$12)^(1-$B$10))^(1/(1-$B$10))</f>
        <v>5.3880055055188585</v>
      </c>
      <c r="AU101" s="24">
        <f>EXP($D101-$D$17)*(($B101*FixedParams!$C$30)^$B$10*(1+FixedParams!$D$23)^(1-$B$10)+(1-$B101)^$B$10*((1+FixedParams!$D$26)/$AT$12)^(1-$B$10))^(1/(1-$B$10))</f>
        <v>5.4122498183633247</v>
      </c>
      <c r="AV101">
        <f>IF(FixedParams!$I$6=1,IF(AT101&lt;=MIN(AS101:AU101),1,0),$H101)</f>
        <v>1</v>
      </c>
      <c r="AW101">
        <f>IF(FixedParams!$I$6=1,IF(AU101&lt;=MIN(AS101:AU101),1,0),IF(AU101&lt;=AS101,1,0)*(1-$H101))</f>
        <v>0</v>
      </c>
      <c r="AX101" s="24">
        <f>$AT$13*IF(AV101=1,1,IF(AW101=1,FixedParams!$D$52,FixedParams!$D$53))</f>
        <v>0.41089128090616783</v>
      </c>
      <c r="AY101">
        <f>EXP($C101*FixedParams!$B$47)*EXP(IF(AV101+AW101=1,(1-FixedParams!$B$47)*$D101,0))*($B101^((FixedParams!$B$47-1)*$B$10/($B$10-1)))*((1/$B101-1)^$B$10*(AX101)^($B$10-1)+1)^((FixedParams!$B$47-$B$10)/($B$10-1))/((1+IF(AV101=1,FixedParams!$D$25,IF(AW101=1,FixedParams!$D$23,FixedParams!$D$24)))^FixedParams!$B$47)</f>
        <v>4.8082725359104697E-2</v>
      </c>
      <c r="AZ101">
        <f t="shared" si="52"/>
        <v>1.2947514764670149</v>
      </c>
      <c r="BA101">
        <f t="shared" si="72"/>
        <v>32.575773984117291</v>
      </c>
      <c r="BB101">
        <f t="shared" si="53"/>
        <v>62.910700778056025</v>
      </c>
      <c r="BC101">
        <f t="shared" si="73"/>
        <v>95.486474762173316</v>
      </c>
      <c r="BD101" s="24">
        <f t="shared" si="74"/>
        <v>1.9312112371828491</v>
      </c>
      <c r="BE101" s="24">
        <f t="shared" si="75"/>
        <v>1.8245282264739369</v>
      </c>
      <c r="BF101" s="23">
        <f>IF(AV101=1,BA101*(1+FixedParams!$C$25)+BB101*(1+FixedParams!$C$28)/$AT$12,IF(AW101=1,BA101*(1+FixedParams!$C$23)+BB101*(1+FixedParams!$C$26)/$AT$12,BA101*(1+FixedParams!$C$24)+BB101*(1+FixedParams!$C$27)/$AT$12))</f>
        <v>241.18446719289412</v>
      </c>
      <c r="BG101" s="24">
        <f t="shared" si="76"/>
        <v>44.763218401661291</v>
      </c>
      <c r="BH101" s="24">
        <f>BG101^((FixedParams!$B$47-1)/FixedParams!$B$47)*EXP($C101)</f>
        <v>0.34875292472800001</v>
      </c>
      <c r="BI101" s="7"/>
      <c r="BJ101" s="24">
        <f>EXP(-$D$17)*(($B101*FixedParams!$B$30)^$B$10*(1+FixedParams!$C$24)^(1-$B$10)+(1-$B101)^$B$10*((1+FixedParams!$C$27)/$BK$12)^(1-$B$10))^(1/(1-$B$10))</f>
        <v>6.6998186954569086</v>
      </c>
      <c r="BK101" s="24">
        <f>EXP($D101-$D$17)*(($B101*FixedParams!$C$31)^$B$10*(1+FixedParams!$C$25)^(1-$B$10)+(1-$B101)^$B$10*((1+FixedParams!$C$28)/$BK$12)^(1-$B$10))^(1/(1-$B$10))</f>
        <v>5.7604157528169591</v>
      </c>
      <c r="BL101" s="24">
        <f>EXP($D101-$D$17)*(($B101*FixedParams!$C$30)^$B$10*(1+FixedParams!$C$23)^(1-$B$10)+(1-$B101)^$B$10*((1+FixedParams!$C$26)/$BK$12)^(1-$B$10))^(1/(1-$B$10))</f>
        <v>5.8153906380313662</v>
      </c>
      <c r="BM101">
        <f>IF(FixedParams!$I$6=1,IF(BK101&lt;=MIN(BJ101:BL101),1,0),$H101)</f>
        <v>1</v>
      </c>
      <c r="BN101">
        <f>IF(FixedParams!$I$6=1,IF(BL101&lt;=MIN(BJ101:BL101),1,0),IF(BL101&lt;=BJ101,1,0)*(1-$H101))</f>
        <v>0</v>
      </c>
      <c r="BO101" s="24">
        <f>$BK$13*IF(BM101=1,1,IF(BN101=1,FixedParams!$C$52,FixedParams!$C$53))</f>
        <v>0.41068174962109105</v>
      </c>
      <c r="BP101">
        <f>EXP($C101*FixedParams!$B$47)*EXP(IF(BM101+BN101=1,(1-FixedParams!$B$47)*$D101,0))*($B101^((FixedParams!$B$47-1)*$B$10/($B$10-1)))*((1/$B101-1)^$B$10*(BO101)^($B$10-1)+1)^((FixedParams!$B$47-$B$10)/($B$10-1))/((1+IF(BM101=1,FixedParams!$C$25,IF(BN101=1,FixedParams!$C$23,FixedParams!$C$24)))^FixedParams!$B$47)</f>
        <v>4.5005571951188088E-2</v>
      </c>
      <c r="BQ101">
        <f t="shared" si="77"/>
        <v>1.294709143330917</v>
      </c>
      <c r="BR101">
        <f t="shared" si="78"/>
        <v>33.020467656728769</v>
      </c>
      <c r="BS101">
        <f t="shared" si="54"/>
        <v>63.720726165415726</v>
      </c>
      <c r="BT101">
        <f t="shared" si="79"/>
        <v>96.741193822144496</v>
      </c>
      <c r="BU101" s="24">
        <f t="shared" si="80"/>
        <v>1.9297342129686945</v>
      </c>
      <c r="BV101" s="24">
        <f t="shared" si="81"/>
        <v>1.8295436414670616</v>
      </c>
      <c r="BW101" s="23">
        <f>IF(BM101=1,BR101*(1+FixedParams!$C$25)+BS101*(1+FixedParams!$C$28)/$BK$12,IF(BN101=1,BR101*(1+FixedParams!$C$23)+BS101*(1+FixedParams!$C$26)/$BK$12,BR101*(1+FixedParams!$C$24)+BS101*(1+FixedParams!$C$27)/$BK$12))</f>
        <v>257.50499801417692</v>
      </c>
      <c r="BX101" s="24">
        <f t="shared" si="82"/>
        <v>44.702502226206818</v>
      </c>
      <c r="BY101" s="24">
        <f>BX101^((FixedParams!$B$47-1)/FixedParams!$B$47)*EXP($C101)</f>
        <v>0.34875339856663706</v>
      </c>
      <c r="BZ101" s="24">
        <f t="shared" si="83"/>
        <v>-3.626390240394501E-2</v>
      </c>
      <c r="CA101" s="24">
        <f t="shared" si="84"/>
        <v>-1.167509717626029E-2</v>
      </c>
      <c r="CB101" s="24">
        <f t="shared" si="85"/>
        <v>5.6533587431469613E-3</v>
      </c>
      <c r="CC101" s="24"/>
      <c r="CD101" s="24">
        <f>EXP(-$D$17)*(($B101*FixedParams!$B$30)^$B$10*(1+FixedParams!$D$24)^(1-$B$10)+(1-$B101)^$B$10*((1+FixedParams!$D$27)/$CE$12)^(1-$B$10))^(1/(1-$B$10))</f>
        <v>6.2840257601043144</v>
      </c>
      <c r="CE101" s="24">
        <f>EXP($D101-$D$17)*(($B101*FixedParams!$D$31)^$B$10*(1+FixedParams!$D$25)^(1-$B$10)+(1-$B101)^$B$10*((1+FixedParams!$D$28)/$CE$12)^(1-$B$10))^(1/(1-$B$10))</f>
        <v>5.6005852416852493</v>
      </c>
      <c r="CF101" s="24">
        <f>EXP($D101-$D$17)*(($B101*FixedParams!$D$30)^$B$10*(1+FixedParams!$D$23)^(1-$B$10)+(1-$B101)^$B$10*((1+FixedParams!$D$26)/$CE$12)^(1-$B$10))^(1/(1-$B$10))</f>
        <v>5.6223326465828585</v>
      </c>
      <c r="CG101">
        <f>IF(FixedParams!$I$6=1,IF(CE101&lt;=MIN(CD101:CF101),1,0),$H101)</f>
        <v>1</v>
      </c>
      <c r="CH101">
        <f>IF(FixedParams!$I$6=1,IF(CF101&lt;=MIN(CD101:CF101),1,0),IF(CF101&lt;=CD101,1,0)*(1-$H101))</f>
        <v>0</v>
      </c>
      <c r="CI101" s="24">
        <f>$CE$13*IF(CG101=1,1,IF(CH101=1,FixedParams!$D$52,FixedParams!$D$53))</f>
        <v>0.39201585704839609</v>
      </c>
      <c r="CJ101">
        <f>EXP($C101*FixedParams!$B$47)*EXP(IF(CG101+CH101=1,(1-FixedParams!$B$47)*$D101,0))*($B101^((FixedParams!$B$47-1)*$B$10/($B$10-1)))*((1/$B101-1)^$B$10*(CI101)^($B$10-1)+1)^((FixedParams!$B$47-$B$10)/($B$10-1))/((1+IF(CG101=1,FixedParams!$D$25,IF(CH101=1,FixedParams!$D$23,FixedParams!$D$24)))^FixedParams!$B$47)</f>
        <v>4.9023980578955795E-2</v>
      </c>
      <c r="CK101">
        <f t="shared" si="86"/>
        <v>1.2908190666527388</v>
      </c>
      <c r="CL101">
        <f t="shared" si="88"/>
        <v>35.265540626219121</v>
      </c>
      <c r="CM101">
        <f t="shared" si="55"/>
        <v>63.466622813925284</v>
      </c>
      <c r="CN101">
        <f t="shared" si="89"/>
        <v>98.732163440144404</v>
      </c>
      <c r="CO101" s="24">
        <f t="shared" si="90"/>
        <v>1.7996781471922001</v>
      </c>
      <c r="CP101" s="24">
        <f t="shared" si="91"/>
        <v>1.8093920437159716</v>
      </c>
      <c r="CQ101" s="23">
        <f>IF(CG101=1,CL101*(1+FixedParams!$D$25)+CM101*(1+FixedParams!$D$28)/$CE$12,IF(CH101=1,CL101*(1+FixedParams!$D$23)+CM101*(1+FixedParams!$D$26)/$CE$12,CL101*(1+FixedParams!$D$24)+CM101*(1+FixedParams!$D$27)/$CE$12))</f>
        <v>252.46343241650294</v>
      </c>
      <c r="CR101" s="24">
        <f t="shared" si="92"/>
        <v>45.078044797428205</v>
      </c>
      <c r="CS101" s="24">
        <f>CR101^((FixedParams!$B$47-1)/FixedParams!$B$47)*EXP($C101)</f>
        <v>0.34875047804385351</v>
      </c>
      <c r="CT101" s="24"/>
    </row>
    <row r="102" spans="1:98" x14ac:dyDescent="0.15">
      <c r="A102">
        <v>0.42499999999999999</v>
      </c>
      <c r="B102">
        <f t="shared" si="56"/>
        <v>0.21137155210771685</v>
      </c>
      <c r="C102">
        <f>(D102-$D$17)*FixedParams!$B$47+$A102*$B$9</f>
        <v>-1.0620814433931483</v>
      </c>
      <c r="D102">
        <f>(A102-$B$6)*FixedParams!$B$46/(FixedParams!$B$45*Sectors!$B$6)</f>
        <v>-4.0751357241960613E-2</v>
      </c>
      <c r="E102">
        <f t="shared" si="57"/>
        <v>0.34573543214591501</v>
      </c>
      <c r="F102" s="24">
        <f>EXP(-$D$17)*(($B102*FixedParams!$B$30)^$B$10*(1+FixedParams!$B$23)^(1-$B$10)+(1-$B102)^$B$10*((1+FixedParams!$B$26)/$B$11)^(1-$B$10))^(1/(1-$B$10))</f>
        <v>4.9330621621758599</v>
      </c>
      <c r="G102" s="24">
        <f>EXP($D102-$D$17)*(($B102*FixedParams!$B$31)^$B$10*(1+FixedParams!$B$25)^(1-$B$10)+(1-$B102)^$B$10*((1+FixedParams!$B$28)/$B$11)^(1-$B$10))^(1/(1-$B$10))</f>
        <v>4.5644145258955682</v>
      </c>
      <c r="H102">
        <f t="shared" si="58"/>
        <v>1</v>
      </c>
      <c r="I102" s="24">
        <f>$B$12*IF(H102=1,1,FixedParams!$B$52)</f>
        <v>0.3745928365283252</v>
      </c>
      <c r="J102">
        <f>EXP($C102*FixedParams!$B$47)*EXP(IF(H102=1,(1-FixedParams!$B$47)*$D102,0))*($B102^((FixedParams!$B$47-1)*$B$10/($B$10-1)))*((1/$B102-1)^$B$10*(I102)^($B$10-1)+1)^((FixedParams!$B$47-$B$10)/($B$10-1))/((1+IF(H102=1,FixedParams!$B$25,FixedParams!$B$24))^FixedParams!$B$47)</f>
        <v>6.3932781126444668E-2</v>
      </c>
      <c r="K102">
        <f t="shared" si="87"/>
        <v>1.289049968575495</v>
      </c>
      <c r="L102">
        <f>K102*FixedParams!$B$8/K$15</f>
        <v>37.476716550381674</v>
      </c>
      <c r="M102">
        <f t="shared" si="47"/>
        <v>61.921232201198585</v>
      </c>
      <c r="N102">
        <f t="shared" si="59"/>
        <v>99.397948751580259</v>
      </c>
      <c r="O102" s="24">
        <f t="shared" si="60"/>
        <v>1.6522587329110068</v>
      </c>
      <c r="P102" s="24">
        <f t="shared" si="48"/>
        <v>1.7847548143481433</v>
      </c>
      <c r="Q102" s="23">
        <f>IF(H102=1,L102*(1+FixedParams!$B$25)+M102*FixedParams!$B$33*(1+FixedParams!$B$28)/FixedParams!$B$32,L102*(1+FixedParams!$B$23)+M102*FixedParams!$B$33*(1+FixedParams!$B$26)/FixedParams!$B$32)</f>
        <v>203.13487010904549</v>
      </c>
      <c r="R102" s="24">
        <f t="shared" si="49"/>
        <v>44.504036378945912</v>
      </c>
      <c r="S102" s="24">
        <f>R102^((FixedParams!$B$47-1)/FixedParams!$B$47)*EXP($C102)</f>
        <v>0.34442434434935471</v>
      </c>
      <c r="T102" s="7">
        <f>(L102*FixedParams!$B$32*(FixedParams!$C$25-FixedParams!$C$23)+FixedParams!$B$33*(FixedParams!$C$28-FixedParams!$C$26)*M102)/N102</f>
        <v>-180.40056996281535</v>
      </c>
      <c r="U102" s="7">
        <f>(L102*FixedParams!$B$32*(FixedParams!$C$25-FixedParams!$C$23)*$Z$12/$B$11+FixedParams!$B$33*(FixedParams!$C$28-FixedParams!$C$26)*M102)/N102</f>
        <v>-559.07157685660036</v>
      </c>
      <c r="V102" s="14">
        <f t="shared" si="50"/>
        <v>-1.4840588929643244</v>
      </c>
      <c r="W102" s="14">
        <f t="shared" si="61"/>
        <v>0.65974074916431147</v>
      </c>
      <c r="X102" s="73">
        <f t="shared" si="62"/>
        <v>0.97159807011727739</v>
      </c>
      <c r="Y102" s="24">
        <f>EXP(-$D$17)*(($B102*FixedParams!$B$30)^$B$10*(1+FixedParams!$C$24)^(1-$B$10)+(1-$B102)^$B$10*((1+FixedParams!$C$27)/$Z$12)^(1-$B$10))^(1/(1-$B$10))</f>
        <v>6.4345469968571312</v>
      </c>
      <c r="Z102" s="24">
        <f>EXP($D102-$D$17)*(($B102*FixedParams!$C$31)^$B$10*(1+FixedParams!$C$25)^(1-$B$10)+(1-$B102)^$B$10*((1+FixedParams!$C$28)/$Z$12)^(1-$B$10))^(1/(1-$B$10))</f>
        <v>5.5480257445524996</v>
      </c>
      <c r="AA102" s="24">
        <f>EXP($D102-$D$17)*(($B102*FixedParams!$C$30)^$B$10*(1+FixedParams!$C$23)^(1-$B$10)+(1-$B102)^$B$10*((1+FixedParams!$C$26)/$Z$12)^(1-$B$10))^(1/(1-$B$10))</f>
        <v>5.6024164162097385</v>
      </c>
      <c r="AB102">
        <f>IF(FixedParams!$I$6=1,IF(Z102&lt;=MIN(Y102:AA102),1,0),$H102)</f>
        <v>1</v>
      </c>
      <c r="AC102">
        <f>IF(FixedParams!$I$6=1,IF(AA102&lt;=MIN(Y102:AA102),1,0),IF(AA102&lt;=Y102,1,0)*(1-$H102))</f>
        <v>0</v>
      </c>
      <c r="AD102" s="24">
        <f>$Z$13*IF(AB102=1,1,IF(AC102=1,FixedParams!$C$52,FixedParams!$C$53))</f>
        <v>0.43187184563106507</v>
      </c>
      <c r="AE102">
        <f>EXP($C102*FixedParams!$B$47)*EXP(IF(AB102+AC102=1,(1-FixedParams!$B$47)*$D102,0))*($B102^((FixedParams!$B$47-1)*$B$10/($B$10-1)))*((1/$B102-1)^$B$10*(AD102)^($B$10-1)+1)^((FixedParams!$B$47-$B$10)/($B$10-1))/((1+IF(AB102=1,FixedParams!$C$25,IF(AC102=1,FixedParams!$C$23,FixedParams!$C$24)))^FixedParams!$B$47)</f>
        <v>4.4157406264859478E-2</v>
      </c>
      <c r="AF102">
        <f t="shared" si="63"/>
        <v>1.3011942851863014</v>
      </c>
      <c r="AG102">
        <f t="shared" si="64"/>
        <v>30.563055613892697</v>
      </c>
      <c r="AH102">
        <f t="shared" si="51"/>
        <v>62.512657930934893</v>
      </c>
      <c r="AI102">
        <f t="shared" si="65"/>
        <v>93.075713544827593</v>
      </c>
      <c r="AJ102" s="24">
        <f t="shared" si="66"/>
        <v>2.0453667565398543</v>
      </c>
      <c r="AK102" s="24">
        <f t="shared" si="67"/>
        <v>1.8530063214116592</v>
      </c>
      <c r="AL102" s="23">
        <f>IF(AB102=1,AG102*(1+FixedParams!$C$25)+AH102*(1+FixedParams!$C$28)/$Z$12,IF(AC102=1,AG102*(1+FixedParams!$C$23)+AH102*(1+FixedParams!$C$26)/$Z$12,AG102*(1+FixedParams!$C$24)+AH102*(1+FixedParams!$C$27)/$Z$12))</f>
        <v>239.89683213673874</v>
      </c>
      <c r="AM102" s="24">
        <f t="shared" si="68"/>
        <v>43.240035858212956</v>
      </c>
      <c r="AN102" s="24">
        <f>AM102^((FixedParams!$B$47-1)/FixedParams!$B$47)*EXP($C102)</f>
        <v>0.34443427834857387</v>
      </c>
      <c r="AO102" s="24">
        <f t="shared" si="69"/>
        <v>-6.5718191075699553E-2</v>
      </c>
      <c r="AP102" s="24">
        <f t="shared" si="70"/>
        <v>-2.8813068149549086E-2</v>
      </c>
      <c r="AQ102" s="14">
        <f t="shared" si="71"/>
        <v>-1.5552035048462094</v>
      </c>
      <c r="AS102" s="24">
        <f>EXP(-$D$17)*(($B102*FixedParams!$B$30)^$B$10*(1+FixedParams!$D$24)^(1-$B$10)+(1-$B102)^$B$10*((1+FixedParams!$D$27)/$AT$12)^(1-$B$10))^(1/(1-$B$10))</f>
        <v>6.0521723052975815</v>
      </c>
      <c r="AT102" s="24">
        <f>EXP($D102-$D$17)*(($B102*FixedParams!$C$31)^$B$10*(1+FixedParams!$D$25)^(1-$B$10)+(1-$B102)^$B$10*((1+FixedParams!$D$28)/$AT$12)^(1-$B$10))^(1/(1-$B$10))</f>
        <v>5.4089602352063295</v>
      </c>
      <c r="AU102" s="24">
        <f>EXP($D102-$D$17)*(($B102*FixedParams!$C$30)^$B$10*(1+FixedParams!$D$23)^(1-$B$10)+(1-$B102)^$B$10*((1+FixedParams!$D$26)/$AT$12)^(1-$B$10))^(1/(1-$B$10))</f>
        <v>5.4308536792680844</v>
      </c>
      <c r="AV102">
        <f>IF(FixedParams!$I$6=1,IF(AT102&lt;=MIN(AS102:AU102),1,0),$H102)</f>
        <v>1</v>
      </c>
      <c r="AW102">
        <f>IF(FixedParams!$I$6=1,IF(AU102&lt;=MIN(AS102:AU102),1,0),IF(AU102&lt;=AS102,1,0)*(1-$H102))</f>
        <v>0</v>
      </c>
      <c r="AX102" s="24">
        <f>$AT$13*IF(AV102=1,1,IF(AW102=1,FixedParams!$D$52,FixedParams!$D$53))</f>
        <v>0.41089128090616783</v>
      </c>
      <c r="AY102">
        <f>EXP($C102*FixedParams!$B$47)*EXP(IF(AV102+AW102=1,(1-FixedParams!$B$47)*$D102,0))*($B102^((FixedParams!$B$47-1)*$B$10/($B$10-1)))*((1/$B102-1)^$B$10*(AX102)^($B$10-1)+1)^((FixedParams!$B$47-$B$10)/($B$10-1))/((1+IF(AV102=1,FixedParams!$D$25,IF(AW102=1,FixedParams!$D$23,FixedParams!$D$24)))^FixedParams!$B$47)</f>
        <v>4.8166479757079488E-2</v>
      </c>
      <c r="AZ102">
        <f t="shared" si="52"/>
        <v>1.2970067797932838</v>
      </c>
      <c r="BA102">
        <f t="shared" si="72"/>
        <v>32.632517114175457</v>
      </c>
      <c r="BB102">
        <f t="shared" si="53"/>
        <v>61.941228839369288</v>
      </c>
      <c r="BC102">
        <f t="shared" si="73"/>
        <v>94.573745953544744</v>
      </c>
      <c r="BD102" s="24">
        <f t="shared" si="74"/>
        <v>1.8981443761340195</v>
      </c>
      <c r="BE102" s="24">
        <f t="shared" si="75"/>
        <v>1.8316240796154679</v>
      </c>
      <c r="BF102" s="23">
        <f>IF(AV102=1,BA102*(1+FixedParams!$C$25)+BB102*(1+FixedParams!$C$28)/$AT$12,IF(AW102=1,BA102*(1+FixedParams!$C$23)+BB102*(1+FixedParams!$C$26)/$AT$12,BA102*(1+FixedParams!$C$24)+BB102*(1+FixedParams!$C$27)/$AT$12))</f>
        <v>238.23233529964952</v>
      </c>
      <c r="BG102" s="24">
        <f t="shared" si="76"/>
        <v>44.044016768513359</v>
      </c>
      <c r="BH102" s="24">
        <f>BG102^((FixedParams!$B$47-1)/FixedParams!$B$47)*EXP($C102)</f>
        <v>0.34442792664844085</v>
      </c>
      <c r="BI102" s="7"/>
      <c r="BJ102" s="24">
        <f>EXP(-$D$17)*(($B102*FixedParams!$B$30)^$B$10*(1+FixedParams!$C$24)^(1-$B$10)+(1-$B102)^$B$10*((1+FixedParams!$C$27)/$BK$12)^(1-$B$10))^(1/(1-$B$10))</f>
        <v>6.7093191705090414</v>
      </c>
      <c r="BK102" s="24">
        <f>EXP($D102-$D$17)*(($B102*FixedParams!$C$31)^$B$10*(1+FixedParams!$C$25)^(1-$B$10)+(1-$B102)^$B$10*((1+FixedParams!$C$28)/$BK$12)^(1-$B$10))^(1/(1-$B$10))</f>
        <v>5.7828114283659762</v>
      </c>
      <c r="BL102" s="24">
        <f>EXP($D102-$D$17)*(($B102*FixedParams!$C$30)^$B$10*(1+FixedParams!$C$23)^(1-$B$10)+(1-$B102)^$B$10*((1+FixedParams!$C$26)/$BK$12)^(1-$B$10))^(1/(1-$B$10))</f>
        <v>5.8346811407012273</v>
      </c>
      <c r="BM102">
        <f>IF(FixedParams!$I$6=1,IF(BK102&lt;=MIN(BJ102:BL102),1,0),$H102)</f>
        <v>1</v>
      </c>
      <c r="BN102">
        <f>IF(FixedParams!$I$6=1,IF(BL102&lt;=MIN(BJ102:BL102),1,0),IF(BL102&lt;=BJ102,1,0)*(1-$H102))</f>
        <v>0</v>
      </c>
      <c r="BO102" s="24">
        <f>$BK$13*IF(BM102=1,1,IF(BN102=1,FixedParams!$C$52,FixedParams!$C$53))</f>
        <v>0.41068174962109105</v>
      </c>
      <c r="BP102">
        <f>EXP($C102*FixedParams!$B$47)*EXP(IF(BM102+BN102=1,(1-FixedParams!$B$47)*$D102,0))*($B102^((FixedParams!$B$47-1)*$B$10/($B$10-1)))*((1/$B102-1)^$B$10*(BO102)^($B$10-1)+1)^((FixedParams!$B$47-$B$10)/($B$10-1))/((1+IF(BM102=1,FixedParams!$C$25,IF(BN102=1,FixedParams!$C$23,FixedParams!$C$24)))^FixedParams!$B$47)</f>
        <v>4.5083937365789847E-2</v>
      </c>
      <c r="BQ102">
        <f t="shared" si="77"/>
        <v>1.2969635401623996</v>
      </c>
      <c r="BR102">
        <f t="shared" si="78"/>
        <v>33.077964151631008</v>
      </c>
      <c r="BS102">
        <f t="shared" si="54"/>
        <v>62.738731219894611</v>
      </c>
      <c r="BT102">
        <f t="shared" si="79"/>
        <v>95.816695371525611</v>
      </c>
      <c r="BU102" s="24">
        <f t="shared" si="80"/>
        <v>1.896692642034957</v>
      </c>
      <c r="BV102" s="24">
        <f t="shared" si="81"/>
        <v>1.8366566464228282</v>
      </c>
      <c r="BW102" s="23">
        <f>IF(BM102=1,BR102*(1+FixedParams!$C$25)+BS102*(1+FixedParams!$C$28)/$BK$12,IF(BN102=1,BR102*(1+FixedParams!$C$23)+BS102*(1+FixedParams!$C$26)/$BK$12,BR102*(1+FixedParams!$C$24)+BS102*(1+FixedParams!$C$27)/$BK$12))</f>
        <v>254.31163623104317</v>
      </c>
      <c r="BX102" s="24">
        <f t="shared" si="82"/>
        <v>43.977162212758323</v>
      </c>
      <c r="BY102" s="24">
        <f>BX102^((FixedParams!$B$47-1)/FixedParams!$B$47)*EXP($C102)</f>
        <v>0.34442845037802217</v>
      </c>
      <c r="BZ102" s="24">
        <f t="shared" si="83"/>
        <v>-3.6694534165378129E-2</v>
      </c>
      <c r="CA102" s="24">
        <f t="shared" si="84"/>
        <v>-1.1909431652662091E-2</v>
      </c>
      <c r="CB102" s="24">
        <f t="shared" si="85"/>
        <v>5.4190242667451604E-3</v>
      </c>
      <c r="CC102" s="24"/>
      <c r="CD102" s="24">
        <f>EXP(-$D$17)*(($B102*FixedParams!$B$30)^$B$10*(1+FixedParams!$D$24)^(1-$B$10)+(1-$B102)^$B$10*((1+FixedParams!$D$27)/$CE$12)^(1-$B$10))^(1/(1-$B$10))</f>
        <v>6.2916984920947856</v>
      </c>
      <c r="CE102" s="24">
        <f>EXP($D102-$D$17)*(($B102*FixedParams!$D$31)^$B$10*(1+FixedParams!$D$25)^(1-$B$10)+(1-$B102)^$B$10*((1+FixedParams!$D$28)/$CE$12)^(1-$B$10))^(1/(1-$B$10))</f>
        <v>5.6216974381380442</v>
      </c>
      <c r="CF102" s="24">
        <f>EXP($D102-$D$17)*(($B102*FixedParams!$D$30)^$B$10*(1+FixedParams!$D$23)^(1-$B$10)+(1-$B102)^$B$10*((1+FixedParams!$D$26)/$CE$12)^(1-$B$10))^(1/(1-$B$10))</f>
        <v>5.6409491586376355</v>
      </c>
      <c r="CG102">
        <f>IF(FixedParams!$I$6=1,IF(CE102&lt;=MIN(CD102:CF102),1,0),$H102)</f>
        <v>1</v>
      </c>
      <c r="CH102">
        <f>IF(FixedParams!$I$6=1,IF(CF102&lt;=MIN(CD102:CF102),1,0),IF(CF102&lt;=CD102,1,0)*(1-$H102))</f>
        <v>0</v>
      </c>
      <c r="CI102" s="24">
        <f>$CE$13*IF(CG102=1,1,IF(CH102=1,FixedParams!$D$52,FixedParams!$D$53))</f>
        <v>0.39201585704839609</v>
      </c>
      <c r="CJ102">
        <f>EXP($C102*FixedParams!$B$47)*EXP(IF(CG102+CH102=1,(1-FixedParams!$B$47)*$D102,0))*($B102^((FixedParams!$B$47-1)*$B$10/($B$10-1)))*((1/$B102-1)^$B$10*(CI102)^($B$10-1)+1)^((FixedParams!$B$47-$B$10)/($B$10-1))/((1+IF(CG102=1,FixedParams!$D$25,IF(CH102=1,FixedParams!$D$23,FixedParams!$D$24)))^FixedParams!$B$47)</f>
        <v>4.9106445609153886E-2</v>
      </c>
      <c r="CK102">
        <f t="shared" si="86"/>
        <v>1.2929904006010369</v>
      </c>
      <c r="CL102">
        <f t="shared" si="88"/>
        <v>35.324862081522191</v>
      </c>
      <c r="CM102">
        <f t="shared" si="55"/>
        <v>62.484857087842514</v>
      </c>
      <c r="CN102">
        <f t="shared" si="89"/>
        <v>97.809719169364712</v>
      </c>
      <c r="CO102" s="24">
        <f t="shared" si="90"/>
        <v>1.7688634408151656</v>
      </c>
      <c r="CP102" s="24">
        <f t="shared" si="91"/>
        <v>1.8162128023757509</v>
      </c>
      <c r="CQ102" s="23">
        <f>IF(CG102=1,CL102*(1+FixedParams!$D$25)+CM102*(1+FixedParams!$D$28)/$CE$12,IF(CH102=1,CL102*(1+FixedParams!$D$23)+CM102*(1+FixedParams!$D$26)/$CE$12,CL102*(1+FixedParams!$D$24)+CM102*(1+FixedParams!$D$27)/$CE$12))</f>
        <v>249.33256255380209</v>
      </c>
      <c r="CR102" s="24">
        <f t="shared" si="92"/>
        <v>44.351828837729705</v>
      </c>
      <c r="CS102" s="24">
        <f>CR102^((FixedParams!$B$47-1)/FixedParams!$B$47)*EXP($C102)</f>
        <v>0.34442552551168382</v>
      </c>
      <c r="CT102" s="24"/>
    </row>
    <row r="103" spans="1:98" x14ac:dyDescent="0.15">
      <c r="A103">
        <v>0.43</v>
      </c>
      <c r="B103">
        <f t="shared" si="56"/>
        <v>0.21329719882537049</v>
      </c>
      <c r="C103">
        <f>(D103-$D$17)*FixedParams!$B$47+$A103*$B$9</f>
        <v>-1.0745765191977734</v>
      </c>
      <c r="D103">
        <f>(A103-$B$6)*FixedParams!$B$46/(FixedParams!$B$45*Sectors!$B$6)</f>
        <v>-3.8034600092496575E-2</v>
      </c>
      <c r="E103">
        <f t="shared" si="57"/>
        <v>0.34144231895601251</v>
      </c>
      <c r="F103" s="24">
        <f>EXP(-$D$17)*(($B103*FixedParams!$B$30)^$B$10*(1+FixedParams!$B$23)^(1-$B$10)+(1-$B103)^$B$10*((1+FixedParams!$B$26)/$B$11)^(1-$B$10))^(1/(1-$B$10))</f>
        <v>4.9380811736122787</v>
      </c>
      <c r="G103" s="24">
        <f>EXP($D103-$D$17)*(($B103*FixedParams!$B$31)^$B$10*(1+FixedParams!$B$25)^(1-$B$10)+(1-$B103)^$B$10*((1+FixedParams!$B$28)/$B$11)^(1-$B$10))^(1/(1-$B$10))</f>
        <v>4.5809775848262726</v>
      </c>
      <c r="H103">
        <f t="shared" si="58"/>
        <v>1</v>
      </c>
      <c r="I103" s="24">
        <f>$B$12*IF(H103=1,1,FixedParams!$B$52)</f>
        <v>0.3745928365283252</v>
      </c>
      <c r="J103">
        <f>EXP($C103*FixedParams!$B$47)*EXP(IF(H103=1,(1-FixedParams!$B$47)*$D103,0))*($B103^((FixedParams!$B$47-1)*$B$10/($B$10-1)))*((1/$B103-1)^$B$10*(I103)^($B$10-1)+1)^((FixedParams!$B$47-$B$10)/($B$10-1))/((1+IF(H103=1,FixedParams!$B$25,FixedParams!$B$24))^FixedParams!$B$47)</f>
        <v>6.4033698253788254E-2</v>
      </c>
      <c r="K103">
        <f t="shared" si="87"/>
        <v>1.2910847184727927</v>
      </c>
      <c r="L103">
        <f>K103*FixedParams!$B$8/K$15</f>
        <v>37.535873097459685</v>
      </c>
      <c r="M103">
        <f t="shared" si="47"/>
        <v>60.957063980407455</v>
      </c>
      <c r="N103">
        <f t="shared" si="59"/>
        <v>98.49293707786714</v>
      </c>
      <c r="O103" s="24">
        <f t="shared" si="60"/>
        <v>1.6239681922979659</v>
      </c>
      <c r="P103" s="24">
        <f t="shared" si="48"/>
        <v>1.7912312198102671</v>
      </c>
      <c r="Q103" s="23">
        <f>IF(H103=1,L103*(1+FixedParams!$B$25)+M103*FixedParams!$B$33*(1+FixedParams!$B$28)/FixedParams!$B$32,L103*(1+FixedParams!$B$23)+M103*FixedParams!$B$33*(1+FixedParams!$B$26)/FixedParams!$B$32)</f>
        <v>200.61570942490249</v>
      </c>
      <c r="R103" s="24">
        <f t="shared" si="49"/>
        <v>43.793209137152012</v>
      </c>
      <c r="S103" s="24">
        <f>R103^((FixedParams!$B$47-1)/FixedParams!$B$47)*EXP($C103)</f>
        <v>0.34015299366258767</v>
      </c>
      <c r="T103" s="7">
        <f>(L103*FixedParams!$B$32*(FixedParams!$C$25-FixedParams!$C$23)+FixedParams!$B$33*(FixedParams!$C$28-FixedParams!$C$26)*M103)/N103</f>
        <v>-134.28273413714692</v>
      </c>
      <c r="U103" s="7">
        <f>(L103*FixedParams!$B$32*(FixedParams!$C$25-FixedParams!$C$23)*$Z$12/$B$11+FixedParams!$B$33*(FixedParams!$C$28-FixedParams!$C$26)*M103)/N103</f>
        <v>-517.0364153297113</v>
      </c>
      <c r="V103" s="14">
        <f t="shared" si="50"/>
        <v>-1.4667882676682409</v>
      </c>
      <c r="W103" s="14">
        <f t="shared" si="61"/>
        <v>0.6645716181196486</v>
      </c>
      <c r="X103" s="73">
        <f t="shared" si="62"/>
        <v>0.97124485764101587</v>
      </c>
      <c r="Y103" s="24">
        <f>EXP(-$D$17)*(($B103*FixedParams!$B$30)^$B$10*(1+FixedParams!$C$24)^(1-$B$10)+(1-$B103)^$B$10*((1+FixedParams!$C$27)/$Z$12)^(1-$B$10))^(1/(1-$B$10))</f>
        <v>6.4443447853716549</v>
      </c>
      <c r="Z103" s="24">
        <f>EXP($D103-$D$17)*(($B103*FixedParams!$C$31)^$B$10*(1+FixedParams!$C$25)^(1-$B$10)+(1-$B103)^$B$10*((1+FixedParams!$C$28)/$Z$12)^(1-$B$10))^(1/(1-$B$10))</f>
        <v>5.5701850683061256</v>
      </c>
      <c r="AA103" s="24">
        <f>EXP($D103-$D$17)*(($B103*FixedParams!$C$30)^$B$10*(1+FixedParams!$C$23)^(1-$B$10)+(1-$B103)^$B$10*((1+FixedParams!$C$26)/$Z$12)^(1-$B$10))^(1/(1-$B$10))</f>
        <v>5.6216111538468976</v>
      </c>
      <c r="AB103">
        <f>IF(FixedParams!$I$6=1,IF(Z103&lt;=MIN(Y103:AA103),1,0),$H103)</f>
        <v>1</v>
      </c>
      <c r="AC103">
        <f>IF(FixedParams!$I$6=1,IF(AA103&lt;=MIN(Y103:AA103),1,0),IF(AA103&lt;=Y103,1,0)*(1-$H103))</f>
        <v>0</v>
      </c>
      <c r="AD103" s="24">
        <f>$Z$13*IF(AB103=1,1,IF(AC103=1,FixedParams!$C$52,FixedParams!$C$53))</f>
        <v>0.43187184563106507</v>
      </c>
      <c r="AE103">
        <f>EXP($C103*FixedParams!$B$47)*EXP(IF(AB103+AC103=1,(1-FixedParams!$B$47)*$D103,0))*($B103^((FixedParams!$B$47-1)*$B$10/($B$10-1)))*((1/$B103-1)^$B$10*(AD103)^($B$10-1)+1)^((FixedParams!$B$47-$B$10)/($B$10-1))/((1+IF(AB103=1,FixedParams!$C$25,IF(AC103=1,FixedParams!$C$23,FixedParams!$C$24)))^FixedParams!$B$47)</f>
        <v>4.4235173652668339E-2</v>
      </c>
      <c r="AF103">
        <f t="shared" si="63"/>
        <v>1.3034858708827939</v>
      </c>
      <c r="AG103">
        <f t="shared" si="64"/>
        <v>30.61688144288938</v>
      </c>
      <c r="AH103">
        <f t="shared" si="51"/>
        <v>61.550503266732136</v>
      </c>
      <c r="AI103">
        <f t="shared" si="65"/>
        <v>92.167384709621516</v>
      </c>
      <c r="AJ103" s="24">
        <f t="shared" si="66"/>
        <v>2.01034528554269</v>
      </c>
      <c r="AK103" s="24">
        <f t="shared" si="67"/>
        <v>1.8604073986388141</v>
      </c>
      <c r="AL103" s="23">
        <f>IF(AB103=1,AG103*(1+FixedParams!$C$25)+AH103*(1+FixedParams!$C$28)/$Z$12,IF(AC103=1,AG103*(1+FixedParams!$C$23)+AH103*(1+FixedParams!$C$26)/$Z$12,AG103*(1+FixedParams!$C$24)+AH103*(1+FixedParams!$C$27)/$Z$12))</f>
        <v>236.9218571817195</v>
      </c>
      <c r="AM103" s="24">
        <f t="shared" si="68"/>
        <v>42.533929174056439</v>
      </c>
      <c r="AN103" s="24">
        <f>AM103^((FixedParams!$B$47-1)/FixedParams!$B$47)*EXP($C103)</f>
        <v>0.34016292827441746</v>
      </c>
      <c r="AO103" s="24">
        <f t="shared" si="69"/>
        <v>-6.6378517848834612E-2</v>
      </c>
      <c r="AP103" s="24">
        <f t="shared" si="70"/>
        <v>-2.9176671892400825E-2</v>
      </c>
      <c r="AQ103" s="14">
        <f t="shared" si="71"/>
        <v>-1.5379328795501259</v>
      </c>
      <c r="AS103" s="24">
        <f>EXP(-$D$17)*(($B103*FixedParams!$B$30)^$B$10*(1+FixedParams!$D$24)^(1-$B$10)+(1-$B103)^$B$10*((1+FixedParams!$D$27)/$AT$12)^(1-$B$10))^(1/(1-$B$10))</f>
        <v>6.0601520180339543</v>
      </c>
      <c r="AT103" s="24">
        <f>EXP($D103-$D$17)*(($B103*FixedParams!$C$31)^$B$10*(1+FixedParams!$D$25)^(1-$B$10)+(1-$B103)^$B$10*((1+FixedParams!$D$28)/$AT$12)^(1-$B$10))^(1/(1-$B$10))</f>
        <v>5.4298825868333722</v>
      </c>
      <c r="AU103" s="24">
        <f>EXP($D103-$D$17)*(($B103*FixedParams!$C$30)^$B$10*(1+FixedParams!$D$23)^(1-$B$10)+(1-$B103)^$B$10*((1+FixedParams!$D$26)/$AT$12)^(1-$B$10))^(1/(1-$B$10))</f>
        <v>5.4493803274627579</v>
      </c>
      <c r="AV103">
        <f>IF(FixedParams!$I$6=1,IF(AT103&lt;=MIN(AS103:AU103),1,0),$H103)</f>
        <v>1</v>
      </c>
      <c r="AW103">
        <f>IF(FixedParams!$I$6=1,IF(AU103&lt;=MIN(AS103:AU103),1,0),IF(AU103&lt;=AS103,1,0)*(1-$H103))</f>
        <v>0</v>
      </c>
      <c r="AX103" s="24">
        <f>$AT$13*IF(AV103=1,1,IF(AW103=1,FixedParams!$D$52,FixedParams!$D$53))</f>
        <v>0.41089128090616783</v>
      </c>
      <c r="AY103">
        <f>EXP($C103*FixedParams!$B$47)*EXP(IF(AV103+AW103=1,(1-FixedParams!$B$47)*$D103,0))*($B103^((FixedParams!$B$47-1)*$B$10/($B$10-1)))*((1/$B103-1)^$B$10*(AX103)^($B$10-1)+1)^((FixedParams!$B$47-$B$10)/($B$10-1))/((1+IF(AV103=1,FixedParams!$D$25,IF(AW103=1,FixedParams!$D$23,FixedParams!$D$24)))^FixedParams!$B$47)</f>
        <v>4.8248273783815805E-2</v>
      </c>
      <c r="AZ103">
        <f t="shared" si="52"/>
        <v>1.2992092950644565</v>
      </c>
      <c r="BA103">
        <f t="shared" si="72"/>
        <v>32.687932103827421</v>
      </c>
      <c r="BB103">
        <f t="shared" si="53"/>
        <v>60.984034504637016</v>
      </c>
      <c r="BC103">
        <f t="shared" si="73"/>
        <v>93.67196660846443</v>
      </c>
      <c r="BD103" s="24">
        <f t="shared" si="74"/>
        <v>1.8656436972192687</v>
      </c>
      <c r="BE103" s="24">
        <f t="shared" si="75"/>
        <v>1.8387089686469753</v>
      </c>
      <c r="BF103" s="23">
        <f>IF(AV103=1,BA103*(1+FixedParams!$C$25)+BB103*(1+FixedParams!$C$28)/$AT$12,IF(AW103=1,BA103*(1+FixedParams!$C$23)+BB103*(1+FixedParams!$C$26)/$AT$12,BA103*(1+FixedParams!$C$24)+BB103*(1+FixedParams!$C$27)/$AT$12))</f>
        <v>235.31675575986711</v>
      </c>
      <c r="BG103" s="24">
        <f t="shared" si="76"/>
        <v>43.337356194491939</v>
      </c>
      <c r="BH103" s="24">
        <f>BG103^((FixedParams!$B$47-1)/FixedParams!$B$47)*EXP($C103)</f>
        <v>0.3401565565268152</v>
      </c>
      <c r="BI103" s="7"/>
      <c r="BJ103" s="24">
        <f>EXP(-$D$17)*(($B103*FixedParams!$B$30)^$B$10*(1+FixedParams!$C$24)^(1-$B$10)+(1-$B103)^$B$10*((1+FixedParams!$C$27)/$BK$12)^(1-$B$10))^(1/(1-$B$10))</f>
        <v>6.7187113840862658</v>
      </c>
      <c r="BK103" s="24">
        <f>EXP($D103-$D$17)*(($B103*FixedParams!$C$31)^$B$10*(1+FixedParams!$C$25)^(1-$B$10)+(1-$B103)^$B$10*((1+FixedParams!$C$28)/$BK$12)^(1-$B$10))^(1/(1-$B$10))</f>
        <v>5.8051723473924115</v>
      </c>
      <c r="BL103" s="24">
        <f>EXP($D103-$D$17)*(($B103*FixedParams!$C$30)^$B$10*(1+FixedParams!$C$23)^(1-$B$10)+(1-$B103)^$B$10*((1+FixedParams!$C$26)/$BK$12)^(1-$B$10))^(1/(1-$B$10))</f>
        <v>5.853876511845753</v>
      </c>
      <c r="BM103">
        <f>IF(FixedParams!$I$6=1,IF(BK103&lt;=MIN(BJ103:BL103),1,0),$H103)</f>
        <v>1</v>
      </c>
      <c r="BN103">
        <f>IF(FixedParams!$I$6=1,IF(BL103&lt;=MIN(BJ103:BL103),1,0),IF(BL103&lt;=BJ103,1,0)*(1-$H103))</f>
        <v>0</v>
      </c>
      <c r="BO103" s="24">
        <f>$BK$13*IF(BM103=1,1,IF(BN103=1,FixedParams!$C$52,FixedParams!$C$53))</f>
        <v>0.41068174962109105</v>
      </c>
      <c r="BP103">
        <f>EXP($C103*FixedParams!$B$47)*EXP(IF(BM103+BN103=1,(1-FixedParams!$B$47)*$D103,0))*($B103^((FixedParams!$B$47-1)*$B$10/($B$10-1)))*((1/$B103-1)^$B$10*(BO103)^($B$10-1)+1)^((FixedParams!$B$47-$B$10)/($B$10-1))/((1+IF(BM103=1,FixedParams!$C$25,IF(BN103=1,FixedParams!$C$23,FixedParams!$C$24)))^FixedParams!$B$47)</f>
        <v>4.5160467444530096E-2</v>
      </c>
      <c r="BQ103">
        <f t="shared" si="77"/>
        <v>1.2991651385065401</v>
      </c>
      <c r="BR103">
        <f t="shared" si="78"/>
        <v>33.134114065525004</v>
      </c>
      <c r="BS103">
        <f t="shared" si="54"/>
        <v>61.769172763684431</v>
      </c>
      <c r="BT103">
        <f t="shared" si="79"/>
        <v>94.903286829209435</v>
      </c>
      <c r="BU103" s="24">
        <f t="shared" si="80"/>
        <v>1.8642168202092748</v>
      </c>
      <c r="BV103" s="24">
        <f t="shared" si="81"/>
        <v>1.8437586124922338</v>
      </c>
      <c r="BW103" s="23">
        <f>IF(BM103=1,BR103*(1+FixedParams!$C$25)+BS103*(1+FixedParams!$C$28)/$BK$12,IF(BN103=1,BR103*(1+FixedParams!$C$23)+BS103*(1+FixedParams!$C$26)/$BK$12,BR103*(1+FixedParams!$C$24)+BS103*(1+FixedParams!$C$27)/$BK$12))</f>
        <v>251.15787058122572</v>
      </c>
      <c r="BX103" s="24">
        <f t="shared" si="82"/>
        <v>43.264498545687751</v>
      </c>
      <c r="BY103" s="24">
        <f>BX103^((FixedParams!$B$47-1)/FixedParams!$B$47)*EXP($C103)</f>
        <v>0.34015712944390958</v>
      </c>
      <c r="BZ103" s="24">
        <f t="shared" si="83"/>
        <v>-3.712650113804726E-2</v>
      </c>
      <c r="CA103" s="24">
        <f t="shared" si="84"/>
        <v>-1.2146359139355953E-2</v>
      </c>
      <c r="CB103" s="24">
        <f t="shared" si="85"/>
        <v>5.1820967800512985E-3</v>
      </c>
      <c r="CC103" s="24"/>
      <c r="CD103" s="24">
        <f>EXP(-$D$17)*(($B103*FixedParams!$B$30)^$B$10*(1+FixedParams!$D$24)^(1-$B$10)+(1-$B103)^$B$10*((1+FixedParams!$D$27)/$CE$12)^(1-$B$10))^(1/(1-$B$10))</f>
        <v>6.2992523998731995</v>
      </c>
      <c r="CE103" s="24">
        <f>EXP($D103-$D$17)*(($B103*FixedParams!$D$31)^$B$10*(1+FixedParams!$D$25)^(1-$B$10)+(1-$B103)^$B$10*((1+FixedParams!$D$28)/$CE$12)^(1-$B$10))^(1/(1-$B$10))</f>
        <v>5.6427634077604436</v>
      </c>
      <c r="CF103" s="24">
        <f>EXP($D103-$D$17)*(($B103*FixedParams!$D$30)^$B$10*(1+FixedParams!$D$23)^(1-$B$10)+(1-$B103)^$B$10*((1+FixedParams!$D$26)/$CE$12)^(1-$B$10))^(1/(1-$B$10))</f>
        <v>5.6594731191806034</v>
      </c>
      <c r="CG103">
        <f>IF(FixedParams!$I$6=1,IF(CE103&lt;=MIN(CD103:CF103),1,0),$H103)</f>
        <v>1</v>
      </c>
      <c r="CH103">
        <f>IF(FixedParams!$I$6=1,IF(CF103&lt;=MIN(CD103:CF103),1,0),IF(CF103&lt;=CD103,1,0)*(1-$H103))</f>
        <v>0</v>
      </c>
      <c r="CI103" s="24">
        <f>$CE$13*IF(CG103=1,1,IF(CH103=1,FixedParams!$D$52,FixedParams!$D$53))</f>
        <v>0.39201585704839609</v>
      </c>
      <c r="CJ103">
        <f>EXP($C103*FixedParams!$B$47)*EXP(IF(CG103+CH103=1,(1-FixedParams!$B$47)*$D103,0))*($B103^((FixedParams!$B$47-1)*$B$10/($B$10-1)))*((1/$B103-1)^$B$10*(CI103)^($B$10-1)+1)^((FixedParams!$B$47-$B$10)/($B$10-1))/((1+IF(CG103=1,FixedParams!$D$25,IF(CH103=1,FixedParams!$D$23,FixedParams!$D$24)))^FixedParams!$B$47)</f>
        <v>4.9186869481863162E-2</v>
      </c>
      <c r="CK103">
        <f t="shared" si="86"/>
        <v>1.2951079901374472</v>
      </c>
      <c r="CL103">
        <f t="shared" si="88"/>
        <v>35.382715224348466</v>
      </c>
      <c r="CM103">
        <f t="shared" si="55"/>
        <v>61.515552043790592</v>
      </c>
      <c r="CN103">
        <f t="shared" si="89"/>
        <v>96.898267268139051</v>
      </c>
      <c r="CO103" s="24">
        <f t="shared" si="90"/>
        <v>1.7385763544076156</v>
      </c>
      <c r="CP103" s="24">
        <f t="shared" si="91"/>
        <v>1.8230186264428909</v>
      </c>
      <c r="CQ103" s="23">
        <f>IF(CG103=1,CL103*(1+FixedParams!$D$25)+CM103*(1+FixedParams!$D$28)/$CE$12,IF(CH103=1,CL103*(1+FixedParams!$D$23)+CM103*(1+FixedParams!$D$26)/$CE$12,CL103*(1+FixedParams!$D$24)+CM103*(1+FixedParams!$D$27)/$CE$12))</f>
        <v>246.24051399657299</v>
      </c>
      <c r="CR103" s="24">
        <f t="shared" si="92"/>
        <v>43.638284330319536</v>
      </c>
      <c r="CS103" s="24">
        <f>CR103^((FixedParams!$B$47-1)/FixedParams!$B$47)*EXP($C103)</f>
        <v>0.34015420034531507</v>
      </c>
      <c r="CT103" s="24"/>
    </row>
    <row r="104" spans="1:98" x14ac:dyDescent="0.15">
      <c r="A104">
        <v>0.435</v>
      </c>
      <c r="B104">
        <f t="shared" si="56"/>
        <v>0.21523560072100054</v>
      </c>
      <c r="C104">
        <f>(D104-$D$17)*FixedParams!$B$47+$A104*$B$9</f>
        <v>-1.0870715950023988</v>
      </c>
      <c r="D104">
        <f>(A104-$B$6)*FixedParams!$B$46/(FixedParams!$B$45*Sectors!$B$6)</f>
        <v>-3.5317842943032529E-2</v>
      </c>
      <c r="E104">
        <f t="shared" si="57"/>
        <v>0.33720251479708463</v>
      </c>
      <c r="F104" s="24">
        <f>EXP(-$D$17)*(($B104*FixedParams!$B$30)^$B$10*(1+FixedParams!$B$23)^(1-$B$10)+(1-$B104)^$B$10*((1+FixedParams!$B$26)/$B$11)^(1-$B$10))^(1/(1-$B$10))</f>
        <v>4.9429920760779726</v>
      </c>
      <c r="G104" s="24">
        <f>EXP($D104-$D$17)*(($B104*FixedParams!$B$31)^$B$10*(1+FixedParams!$B$25)^(1-$B$10)+(1-$B104)^$B$10*((1+FixedParams!$B$28)/$B$11)^(1-$B$10))^(1/(1-$B$10))</f>
        <v>4.5974898514741334</v>
      </c>
      <c r="H104">
        <f t="shared" si="58"/>
        <v>1</v>
      </c>
      <c r="I104" s="24">
        <f>$B$12*IF(H104=1,1,FixedParams!$B$52)</f>
        <v>0.3745928365283252</v>
      </c>
      <c r="J104">
        <f>EXP($C104*FixedParams!$B$47)*EXP(IF(H104=1,(1-FixedParams!$B$47)*$D104,0))*($B104^((FixedParams!$B$47-1)*$B$10/($B$10-1)))*((1/$B104-1)^$B$10*(I104)^($B$10-1)+1)^((FixedParams!$B$47-$B$10)/($B$10-1))/((1+IF(H104=1,FixedParams!$B$25,FixedParams!$B$24))^FixedParams!$B$47)</f>
        <v>6.4131859711897082E-2</v>
      </c>
      <c r="K104">
        <f t="shared" si="87"/>
        <v>1.2930639069620318</v>
      </c>
      <c r="L104">
        <f>K104*FixedParams!$B$8/K$15</f>
        <v>37.593414300531087</v>
      </c>
      <c r="M104">
        <f t="shared" si="47"/>
        <v>60.005181312472118</v>
      </c>
      <c r="N104">
        <f t="shared" si="59"/>
        <v>97.598595613003198</v>
      </c>
      <c r="O104" s="24">
        <f t="shared" si="60"/>
        <v>1.5961620520226176</v>
      </c>
      <c r="P104" s="24">
        <f t="shared" si="48"/>
        <v>1.7976877647249268</v>
      </c>
      <c r="Q104" s="23">
        <f>IF(H104=1,L104*(1+FixedParams!$B$25)+M104*FixedParams!$B$33*(1+FixedParams!$B$28)/FixedParams!$B$32,L104*(1+FixedParams!$B$23)+M104*FixedParams!$B$33*(1+FixedParams!$B$26)/FixedParams!$B$32)</f>
        <v>198.12778512955859</v>
      </c>
      <c r="R104" s="24">
        <f t="shared" si="49"/>
        <v>43.094773785314857</v>
      </c>
      <c r="S104" s="24">
        <f>R104^((FixedParams!$B$47-1)/FixedParams!$B$47)*EXP($C104)</f>
        <v>0.33593460568343542</v>
      </c>
      <c r="T104" s="7">
        <f>(L104*FixedParams!$B$32*(FixedParams!$C$25-FixedParams!$C$23)+FixedParams!$B$33*(FixedParams!$C$28-FixedParams!$C$26)*M104)/N104</f>
        <v>-87.975112927253377</v>
      </c>
      <c r="U104" s="7">
        <f>(L104*FixedParams!$B$32*(FixedParams!$C$25-FixedParams!$C$23)*$Z$12/$B$11+FixedParams!$B$33*(FixedParams!$C$28-FixedParams!$C$26)*M104)/N104</f>
        <v>-474.82826955196731</v>
      </c>
      <c r="V104" s="14">
        <f t="shared" si="50"/>
        <v>-1.4495176423721572</v>
      </c>
      <c r="W104" s="14">
        <f t="shared" si="61"/>
        <v>0.66935862152943226</v>
      </c>
      <c r="X104" s="73">
        <f t="shared" si="62"/>
        <v>0.9708878762977865</v>
      </c>
      <c r="Y104" s="24">
        <f>EXP(-$D$17)*(($B104*FixedParams!$B$30)^$B$10*(1+FixedParams!$C$24)^(1-$B$10)+(1-$B104)^$B$10*((1+FixedParams!$C$27)/$Z$12)^(1-$B$10))^(1/(1-$B$10))</f>
        <v>6.4540462257745421</v>
      </c>
      <c r="Z104" s="24">
        <f>EXP($D104-$D$17)*(($B104*FixedParams!$C$31)^$B$10*(1+FixedParams!$C$25)^(1-$B$10)+(1-$B104)^$B$10*((1+FixedParams!$C$28)/$Z$12)^(1-$B$10))^(1/(1-$B$10))</f>
        <v>5.5923204782687819</v>
      </c>
      <c r="AA104" s="24">
        <f>EXP($D104-$D$17)*(($B104*FixedParams!$C$30)^$B$10*(1+FixedParams!$C$23)^(1-$B$10)+(1-$B104)^$B$10*((1+FixedParams!$C$26)/$Z$12)^(1-$B$10))^(1/(1-$B$10))</f>
        <v>5.6407233527556562</v>
      </c>
      <c r="AB104">
        <f>IF(FixedParams!$I$6=1,IF(Z104&lt;=MIN(Y104:AA104),1,0),$H104)</f>
        <v>1</v>
      </c>
      <c r="AC104">
        <f>IF(FixedParams!$I$6=1,IF(AA104&lt;=MIN(Y104:AA104),1,0),IF(AA104&lt;=Y104,1,0)*(1-$H104))</f>
        <v>0</v>
      </c>
      <c r="AD104" s="24">
        <f>$Z$13*IF(AB104=1,1,IF(AC104=1,FixedParams!$C$52,FixedParams!$C$53))</f>
        <v>0.43187184563106507</v>
      </c>
      <c r="AE104">
        <f>EXP($C104*FixedParams!$B$47)*EXP(IF(AB104+AC104=1,(1-FixedParams!$B$47)*$D104,0))*($B104^((FixedParams!$B$47-1)*$B$10/($B$10-1)))*((1/$B104-1)^$B$10*(AD104)^($B$10-1)+1)^((FixedParams!$B$47-$B$10)/($B$10-1))/((1+IF(AB104=1,FixedParams!$C$25,IF(AC104=1,FixedParams!$C$23,FixedParams!$C$24)))^FixedParams!$B$47)</f>
        <v>4.4311153144821862E-2</v>
      </c>
      <c r="AF104">
        <f t="shared" si="63"/>
        <v>1.3057247723343086</v>
      </c>
      <c r="AG104">
        <f t="shared" si="64"/>
        <v>30.669469799874729</v>
      </c>
      <c r="AH104">
        <f t="shared" si="51"/>
        <v>60.600525011575535</v>
      </c>
      <c r="AI104">
        <f t="shared" si="65"/>
        <v>91.26999481145026</v>
      </c>
      <c r="AJ104" s="24">
        <f t="shared" si="66"/>
        <v>1.9759234641814074</v>
      </c>
      <c r="AK104" s="24">
        <f t="shared" si="67"/>
        <v>1.8678004888075312</v>
      </c>
      <c r="AL104" s="23">
        <f>IF(AB104=1,AG104*(1+FixedParams!$C$25)+AH104*(1+FixedParams!$C$28)/$Z$12,IF(AC104=1,AG104*(1+FixedParams!$C$23)+AH104*(1+FixedParams!$C$26)/$Z$12,AG104*(1+FixedParams!$C$24)+AH104*(1+FixedParams!$C$27)/$Z$12))</f>
        <v>233.9837703653107</v>
      </c>
      <c r="AM104" s="24">
        <f t="shared" si="68"/>
        <v>41.840193399957862</v>
      </c>
      <c r="AN104" s="24">
        <f>AM104^((FixedParams!$B$47-1)/FixedParams!$B$47)*EXP($C104)</f>
        <v>0.33594454071455832</v>
      </c>
      <c r="AO104" s="24">
        <f t="shared" si="69"/>
        <v>-6.7041014424063183E-2</v>
      </c>
      <c r="AP104" s="24">
        <f t="shared" si="70"/>
        <v>-2.9544289760130876E-2</v>
      </c>
      <c r="AQ104" s="14">
        <f t="shared" si="71"/>
        <v>-1.520662254254042</v>
      </c>
      <c r="AS104" s="24">
        <f>EXP(-$D$17)*(($B104*FixedParams!$B$30)^$B$10*(1+FixedParams!$D$24)^(1-$B$10)+(1-$B104)^$B$10*((1+FixedParams!$D$27)/$AT$12)^(1-$B$10))^(1/(1-$B$10))</f>
        <v>6.0680235618626952</v>
      </c>
      <c r="AT104" s="24">
        <f>EXP($D104-$D$17)*(($B104*FixedParams!$C$31)^$B$10*(1+FixedParams!$D$25)^(1-$B$10)+(1-$B104)^$B$10*((1+FixedParams!$D$28)/$AT$12)^(1-$B$10))^(1/(1-$B$10))</f>
        <v>5.450768657873911</v>
      </c>
      <c r="AU104" s="24">
        <f>EXP($D104-$D$17)*(($B104*FixedParams!$C$30)^$B$10*(1+FixedParams!$D$23)^(1-$B$10)+(1-$B104)^$B$10*((1+FixedParams!$D$26)/$AT$12)^(1-$B$10))^(1/(1-$B$10))</f>
        <v>5.467825562427385</v>
      </c>
      <c r="AV104">
        <f>IF(FixedParams!$I$6=1,IF(AT104&lt;=MIN(AS104:AU104),1,0),$H104)</f>
        <v>1</v>
      </c>
      <c r="AW104">
        <f>IF(FixedParams!$I$6=1,IF(AU104&lt;=MIN(AS104:AU104),1,0),IF(AU104&lt;=AS104,1,0)*(1-$H104))</f>
        <v>0</v>
      </c>
      <c r="AX104" s="24">
        <f>$AT$13*IF(AV104=1,1,IF(AW104=1,FixedParams!$D$52,FixedParams!$D$53))</f>
        <v>0.41089128090616783</v>
      </c>
      <c r="AY104">
        <f>EXP($C104*FixedParams!$B$47)*EXP(IF(AV104+AW104=1,(1-FixedParams!$B$47)*$D104,0))*($B104^((FixedParams!$B$47-1)*$B$10/($B$10-1)))*((1/$B104-1)^$B$10*(AX104)^($B$10-1)+1)^((FixedParams!$B$47-$B$10)/($B$10-1))/((1+IF(AV104=1,FixedParams!$D$25,IF(AW104=1,FixedParams!$D$23,FixedParams!$D$24)))^FixedParams!$B$47)</f>
        <v>4.83280734433282E-2</v>
      </c>
      <c r="AZ104">
        <f t="shared" si="52"/>
        <v>1.3013581068508848</v>
      </c>
      <c r="BA104">
        <f t="shared" si="72"/>
        <v>32.74199592098568</v>
      </c>
      <c r="BB104">
        <f t="shared" si="53"/>
        <v>60.03898174818643</v>
      </c>
      <c r="BC104">
        <f t="shared" si="73"/>
        <v>92.780977669172103</v>
      </c>
      <c r="BD104" s="24">
        <f t="shared" si="74"/>
        <v>1.8336995060739409</v>
      </c>
      <c r="BE104" s="24">
        <f t="shared" si="75"/>
        <v>1.8457815720648023</v>
      </c>
      <c r="BF104" s="23">
        <f>IF(AV104=1,BA104*(1+FixedParams!$C$25)+BB104*(1+FixedParams!$C$28)/$AT$12,IF(AW104=1,BA104*(1+FixedParams!$C$23)+BB104*(1+FixedParams!$C$26)/$AT$12,BA104*(1+FixedParams!$C$24)+BB104*(1+FixedParams!$C$27)/$AT$12))</f>
        <v>232.43727195087294</v>
      </c>
      <c r="BG104" s="24">
        <f t="shared" si="76"/>
        <v>42.643026431713544</v>
      </c>
      <c r="BH104" s="24">
        <f>BG104^((FixedParams!$B$47-1)/FixedParams!$B$47)*EXP($C104)</f>
        <v>0.33593814931728644</v>
      </c>
      <c r="BI104" s="7"/>
      <c r="BJ104" s="24">
        <f>EXP(-$D$17)*(($B104*FixedParams!$B$30)^$B$10*(1+FixedParams!$C$24)^(1-$B$10)+(1-$B104)^$B$10*((1+FixedParams!$C$27)/$BK$12)^(1-$B$10))^(1/(1-$B$10))</f>
        <v>6.7279913343394648</v>
      </c>
      <c r="BK104" s="24">
        <f>EXP($D104-$D$17)*(($B104*FixedParams!$C$31)^$B$10*(1+FixedParams!$C$25)^(1-$B$10)+(1-$B104)^$B$10*((1+FixedParams!$C$28)/$BK$12)^(1-$B$10))^(1/(1-$B$10))</f>
        <v>5.8274943365589014</v>
      </c>
      <c r="BL104" s="24">
        <f>EXP($D104-$D$17)*(($B104*FixedParams!$C$30)^$B$10*(1+FixedParams!$C$23)^(1-$B$10)+(1-$B104)^$B$10*((1+FixedParams!$C$26)/$BK$12)^(1-$B$10))^(1/(1-$B$10))</f>
        <v>5.872972184102994</v>
      </c>
      <c r="BM104">
        <f>IF(FixedParams!$I$6=1,IF(BK104&lt;=MIN(BJ104:BL104),1,0),$H104)</f>
        <v>1</v>
      </c>
      <c r="BN104">
        <f>IF(FixedParams!$I$6=1,IF(BL104&lt;=MIN(BJ104:BL104),1,0),IF(BL104&lt;=BJ104,1,0)*(1-$H104))</f>
        <v>0</v>
      </c>
      <c r="BO104" s="24">
        <f>$BK$13*IF(BM104=1,1,IF(BN104=1,FixedParams!$C$52,FixedParams!$C$53))</f>
        <v>0.41068174962109105</v>
      </c>
      <c r="BP104">
        <f>EXP($C104*FixedParams!$B$47)*EXP(IF(BM104+BN104=1,(1-FixedParams!$B$47)*$D104,0))*($B104^((FixedParams!$B$47-1)*$B$10/($B$10-1)))*((1/$B104-1)^$B$10*(BO104)^($B$10-1)+1)^((FixedParams!$B$47-$B$10)/($B$10-1))/((1+IF(BM104=1,FixedParams!$C$25,IF(BN104=1,FixedParams!$C$23,FixedParams!$C$24)))^FixedParams!$B$47)</f>
        <v>4.5235130368026268E-2</v>
      </c>
      <c r="BQ104">
        <f t="shared" si="77"/>
        <v>1.3013130229912246</v>
      </c>
      <c r="BR104">
        <f t="shared" si="78"/>
        <v>33.188894052614963</v>
      </c>
      <c r="BS104">
        <f t="shared" si="54"/>
        <v>60.811913015226772</v>
      </c>
      <c r="BT104">
        <f t="shared" si="79"/>
        <v>94.000807067841734</v>
      </c>
      <c r="BU104" s="24">
        <f t="shared" si="80"/>
        <v>1.8322970605414128</v>
      </c>
      <c r="BV104" s="24">
        <f t="shared" si="81"/>
        <v>1.8508482141975406</v>
      </c>
      <c r="BW104" s="23">
        <f>IF(BM104=1,BR104*(1+FixedParams!$C$25)+BS104*(1+FixedParams!$C$28)/$BK$12,IF(BN104=1,BR104*(1+FixedParams!$C$23)+BS104*(1+FixedParams!$C$26)/$BK$12,BR104*(1+FixedParams!$C$24)+BS104*(1+FixedParams!$C$27)/$BK$12))</f>
        <v>248.04321002540769</v>
      </c>
      <c r="BX104" s="24">
        <f t="shared" si="82"/>
        <v>42.564298770623196</v>
      </c>
      <c r="BY104" s="24">
        <f>BX104^((FixedParams!$B$47-1)/FixedParams!$B$47)*EXP($C104)</f>
        <v>0.33593877072233169</v>
      </c>
      <c r="BZ104" s="24">
        <f t="shared" si="83"/>
        <v>-3.7559736043238839E-2</v>
      </c>
      <c r="CA104" s="24">
        <f t="shared" si="84"/>
        <v>-1.2385886994459189E-2</v>
      </c>
      <c r="CB104" s="24">
        <f t="shared" si="85"/>
        <v>4.9425689249480622E-3</v>
      </c>
      <c r="CC104" s="24"/>
      <c r="CD104" s="24">
        <f>EXP(-$D$17)*(($B104*FixedParams!$B$30)^$B$10*(1+FixedParams!$D$24)^(1-$B$10)+(1-$B104)^$B$10*((1+FixedParams!$D$27)/$CE$12)^(1-$B$10))^(1/(1-$B$10))</f>
        <v>6.306683692727634</v>
      </c>
      <c r="CE104" s="24">
        <f>EXP($D104-$D$17)*(($B104*FixedParams!$D$31)^$B$10*(1+FixedParams!$D$25)^(1-$B$10)+(1-$B104)^$B$10*((1+FixedParams!$D$28)/$CE$12)^(1-$B$10))^(1/(1-$B$10))</f>
        <v>5.6637790023926842</v>
      </c>
      <c r="CF104" s="24">
        <f>EXP($D104-$D$17)*(($B104*FixedParams!$D$30)^$B$10*(1+FixedParams!$D$23)^(1-$B$10)+(1-$B104)^$B$10*((1+FixedParams!$D$26)/$CE$12)^(1-$B$10))^(1/(1-$B$10))</f>
        <v>5.6779001101536481</v>
      </c>
      <c r="CG104">
        <f>IF(FixedParams!$I$6=1,IF(CE104&lt;=MIN(CD104:CF104),1,0),$H104)</f>
        <v>1</v>
      </c>
      <c r="CH104">
        <f>IF(FixedParams!$I$6=1,IF(CF104&lt;=MIN(CD104:CF104),1,0),IF(CF104&lt;=CD104,1,0)*(1-$H104))</f>
        <v>0</v>
      </c>
      <c r="CI104" s="24">
        <f>$CE$13*IF(CG104=1,1,IF(CH104=1,FixedParams!$D$52,FixedParams!$D$53))</f>
        <v>0.39201585704839609</v>
      </c>
      <c r="CJ104">
        <f>EXP($C104*FixedParams!$B$47)*EXP(IF(CG104+CH104=1,(1-FixedParams!$B$47)*$D104,0))*($B104^((FixedParams!$B$47-1)*$B$10/($B$10-1)))*((1/$B104-1)^$B$10*(CI104)^($B$10-1)+1)^((FixedParams!$B$47-$B$10)/($B$10-1))/((1+IF(CG104=1,FixedParams!$D$25,IF(CH104=1,FixedParams!$D$23,FixedParams!$D$24)))^FixedParams!$B$47)</f>
        <v>4.9265217646152305E-2</v>
      </c>
      <c r="CK104">
        <f t="shared" si="86"/>
        <v>1.2971709255235035</v>
      </c>
      <c r="CL104">
        <f t="shared" si="88"/>
        <v>35.439075200386689</v>
      </c>
      <c r="CM104">
        <f t="shared" si="55"/>
        <v>60.558570036647062</v>
      </c>
      <c r="CN104">
        <f t="shared" si="89"/>
        <v>95.997645237033751</v>
      </c>
      <c r="CO104" s="24">
        <f t="shared" si="90"/>
        <v>1.708807853879502</v>
      </c>
      <c r="CP104" s="24">
        <f t="shared" si="91"/>
        <v>1.8298081757632927</v>
      </c>
      <c r="CQ104" s="23">
        <f>IF(CG104=1,CL104*(1+FixedParams!$D$25)+CM104*(1+FixedParams!$D$28)/$CE$12,IF(CH104=1,CL104*(1+FixedParams!$D$23)+CM104*(1+FixedParams!$D$26)/$CE$12,CL104*(1+FixedParams!$D$24)+CM104*(1+FixedParams!$D$27)/$CE$12))</f>
        <v>243.18680531682094</v>
      </c>
      <c r="CR104" s="24">
        <f t="shared" si="92"/>
        <v>42.937198858586427</v>
      </c>
      <c r="CS104" s="24">
        <f>CR104^((FixedParams!$B$47-1)/FixedParams!$B$47)*EXP($C104)</f>
        <v>0.33593583750489692</v>
      </c>
      <c r="CT104" s="24"/>
    </row>
    <row r="105" spans="1:98" x14ac:dyDescent="0.15">
      <c r="A105">
        <v>0.44</v>
      </c>
      <c r="B105">
        <f t="shared" si="56"/>
        <v>0.21718675518815073</v>
      </c>
      <c r="C105">
        <f>(D105-$D$17)*FixedParams!$B$47+$A105*$B$9</f>
        <v>-1.0995666708070242</v>
      </c>
      <c r="D105">
        <f>(A105-$B$6)*FixedParams!$B$46/(FixedParams!$B$45*Sectors!$B$6)</f>
        <v>-3.2601085793568484E-2</v>
      </c>
      <c r="E105">
        <f t="shared" si="57"/>
        <v>0.33301535771295704</v>
      </c>
      <c r="F105" s="24">
        <f>EXP(-$D$17)*(($B105*FixedParams!$B$30)^$B$10*(1+FixedParams!$B$23)^(1-$B$10)+(1-$B105)^$B$10*((1+FixedParams!$B$26)/$B$11)^(1-$B$10))^(1/(1-$B$10))</f>
        <v>4.9477918723733207</v>
      </c>
      <c r="G105" s="24">
        <f>EXP($D105-$D$17)*(($B105*FixedParams!$B$31)^$B$10*(1+FixedParams!$B$25)^(1-$B$10)+(1-$B105)^$B$10*((1+FixedParams!$B$28)/$B$11)^(1-$B$10))^(1/(1-$B$10))</f>
        <v>4.6139478463854244</v>
      </c>
      <c r="H105">
        <f t="shared" si="58"/>
        <v>1</v>
      </c>
      <c r="I105" s="24">
        <f>$B$12*IF(H105=1,1,FixedParams!$B$52)</f>
        <v>0.3745928365283252</v>
      </c>
      <c r="J105">
        <f>EXP($C105*FixedParams!$B$47)*EXP(IF(H105=1,(1-FixedParams!$B$47)*$D105,0))*($B105^((FixedParams!$B$47-1)*$B$10/($B$10-1)))*((1/$B105-1)^$B$10*(I105)^($B$10-1)+1)^((FixedParams!$B$47-$B$10)/($B$10-1))/((1+IF(H105=1,FixedParams!$B$25,FixedParams!$B$24))^FixedParams!$B$47)</f>
        <v>6.4227220775497598E-2</v>
      </c>
      <c r="K105">
        <f t="shared" si="87"/>
        <v>1.2949866322661987</v>
      </c>
      <c r="L105">
        <f>K105*FixedParams!$B$8/K$15</f>
        <v>37.649313942116081</v>
      </c>
      <c r="M105">
        <f t="shared" si="47"/>
        <v>59.065449168738127</v>
      </c>
      <c r="N105">
        <f t="shared" si="59"/>
        <v>96.714763110854207</v>
      </c>
      <c r="O105" s="24">
        <f t="shared" si="60"/>
        <v>1.5688320180162718</v>
      </c>
      <c r="P105" s="24">
        <f t="shared" si="48"/>
        <v>1.804123088573319</v>
      </c>
      <c r="Q105" s="23">
        <f>IF(H105=1,L105*(1+FixedParams!$B$25)+M105*FixedParams!$B$33*(1+FixedParams!$B$28)/FixedParams!$B$32,L105*(1+FixedParams!$B$23)+M105*FixedParams!$B$33*(1+FixedParams!$B$26)/FixedParams!$B$32)</f>
        <v>195.6707098600408</v>
      </c>
      <c r="R105" s="24">
        <f t="shared" si="49"/>
        <v>42.408522240521123</v>
      </c>
      <c r="S105" s="24">
        <f>R105^((FixedParams!$B$47-1)/FixedParams!$B$47)*EXP($C105)</f>
        <v>0.3317685236204867</v>
      </c>
      <c r="T105" s="7">
        <f>(L105*FixedParams!$B$32*(FixedParams!$C$25-FixedParams!$C$23)+FixedParams!$B$33*(FixedParams!$C$28-FixedParams!$C$26)*M105)/N105</f>
        <v>-41.483480505626851</v>
      </c>
      <c r="U105" s="7">
        <f>(L105*FixedParams!$B$32*(FixedParams!$C$25-FixedParams!$C$23)*$Z$12/$B$11+FixedParams!$B$33*(FixedParams!$C$28-FixedParams!$C$26)*M105)/N105</f>
        <v>-432.45240252561211</v>
      </c>
      <c r="V105" s="14">
        <f t="shared" si="50"/>
        <v>-1.4322470170760739</v>
      </c>
      <c r="W105" s="14">
        <f t="shared" si="61"/>
        <v>0.674102274835919</v>
      </c>
      <c r="X105" s="73">
        <f t="shared" si="62"/>
        <v>0.97052711955244764</v>
      </c>
      <c r="Y105" s="24">
        <f>EXP(-$D$17)*(($B105*FixedParams!$B$30)^$B$10*(1+FixedParams!$C$24)^(1-$B$10)+(1-$B105)^$B$10*((1+FixedParams!$C$27)/$Z$12)^(1-$B$10))^(1/(1-$B$10))</f>
        <v>6.46364747711627</v>
      </c>
      <c r="Z105" s="24">
        <f>EXP($D105-$D$17)*(($B105*FixedParams!$C$31)^$B$10*(1+FixedParams!$C$25)^(1-$B$10)+(1-$B105)^$B$10*((1+FixedParams!$C$28)/$Z$12)^(1-$B$10))^(1/(1-$B$10))</f>
        <v>5.614428010038595</v>
      </c>
      <c r="AA105" s="24">
        <f>EXP($D105-$D$17)*(($B105*FixedParams!$C$30)^$B$10*(1+FixedParams!$C$23)^(1-$B$10)+(1-$B105)^$B$10*((1+FixedParams!$C$26)/$Z$12)^(1-$B$10))^(1/(1-$B$10))</f>
        <v>5.6597486368019005</v>
      </c>
      <c r="AB105">
        <f>IF(FixedParams!$I$6=1,IF(Z105&lt;=MIN(Y105:AA105),1,0),$H105)</f>
        <v>1</v>
      </c>
      <c r="AC105">
        <f>IF(FixedParams!$I$6=1,IF(AA105&lt;=MIN(Y105:AA105),1,0),IF(AA105&lt;=Y105,1,0)*(1-$H105))</f>
        <v>0</v>
      </c>
      <c r="AD105" s="24">
        <f>$Z$13*IF(AB105=1,1,IF(AC105=1,FixedParams!$C$52,FixedParams!$C$53))</f>
        <v>0.43187184563106507</v>
      </c>
      <c r="AE105">
        <f>EXP($C105*FixedParams!$B$47)*EXP(IF(AB105+AC105=1,(1-FixedParams!$B$47)*$D105,0))*($B105^((FixedParams!$B$47-1)*$B$10/($B$10-1)))*((1/$B105-1)^$B$10*(AD105)^($B$10-1)+1)^((FixedParams!$B$47-$B$10)/($B$10-1))/((1+IF(AB105=1,FixedParams!$C$25,IF(AC105=1,FixedParams!$C$23,FixedParams!$C$24)))^FixedParams!$B$47)</f>
        <v>4.4385313493614707E-2</v>
      </c>
      <c r="AF105">
        <f t="shared" si="63"/>
        <v>1.307910068759055</v>
      </c>
      <c r="AG105">
        <f t="shared" si="64"/>
        <v>30.72079905709845</v>
      </c>
      <c r="AH105">
        <f t="shared" si="51"/>
        <v>59.662588131134299</v>
      </c>
      <c r="AI105">
        <f t="shared" si="65"/>
        <v>90.383387188232746</v>
      </c>
      <c r="AJ105" s="24">
        <f t="shared" si="66"/>
        <v>1.9420910250493131</v>
      </c>
      <c r="AK105" s="24">
        <f t="shared" si="67"/>
        <v>1.875184267832078</v>
      </c>
      <c r="AL105" s="23">
        <f>IF(AB105=1,AG105*(1+FixedParams!$C$25)+AH105*(1+FixedParams!$C$28)/$Z$12,IF(AC105=1,AG105*(1+FixedParams!$C$23)+AH105*(1+FixedParams!$C$26)/$Z$12,AG105*(1+FixedParams!$C$24)+AH105*(1+FixedParams!$C$27)/$Z$12))</f>
        <v>231.08211422960443</v>
      </c>
      <c r="AM105" s="24">
        <f t="shared" si="68"/>
        <v>41.15862093456888</v>
      </c>
      <c r="AN105" s="24">
        <f>AM105^((FixedParams!$B$47-1)/FixedParams!$B$47)*EXP($C105)</f>
        <v>0.33177845886922552</v>
      </c>
      <c r="AO105" s="24">
        <f t="shared" si="69"/>
        <v>-6.7705579529692889E-2</v>
      </c>
      <c r="AP105" s="24">
        <f t="shared" si="70"/>
        <v>-2.9915932866073962E-2</v>
      </c>
      <c r="AQ105" s="14">
        <f t="shared" si="71"/>
        <v>-1.503391628957959</v>
      </c>
      <c r="AS105" s="24">
        <f>EXP(-$D$17)*(($B105*FixedParams!$B$30)^$B$10*(1+FixedParams!$D$24)^(1-$B$10)+(1-$B105)^$B$10*((1+FixedParams!$D$27)/$AT$12)^(1-$B$10))^(1/(1-$B$10))</f>
        <v>6.0757832768103102</v>
      </c>
      <c r="AT105" s="24">
        <f>EXP($D105-$D$17)*(($B105*FixedParams!$C$31)^$B$10*(1+FixedParams!$D$25)^(1-$B$10)+(1-$B105)^$B$10*((1+FixedParams!$D$28)/$AT$12)^(1-$B$10))^(1/(1-$B$10))</f>
        <v>5.4716144831607023</v>
      </c>
      <c r="AU105" s="24">
        <f>EXP($D105-$D$17)*(($B105*FixedParams!$C$30)^$B$10*(1+FixedParams!$D$23)^(1-$B$10)+(1-$B105)^$B$10*((1+FixedParams!$D$26)/$AT$12)^(1-$B$10))^(1/(1-$B$10))</f>
        <v>5.4861851357099898</v>
      </c>
      <c r="AV105">
        <f>IF(FixedParams!$I$6=1,IF(AT105&lt;=MIN(AS105:AU105),1,0),$H105)</f>
        <v>1</v>
      </c>
      <c r="AW105">
        <f>IF(FixedParams!$I$6=1,IF(AU105&lt;=MIN(AS105:AU105),1,0),IF(AU105&lt;=AS105,1,0)*(1-$H105))</f>
        <v>0</v>
      </c>
      <c r="AX105" s="24">
        <f>$AT$13*IF(AV105=1,1,IF(AW105=1,FixedParams!$D$52,FixedParams!$D$53))</f>
        <v>0.41089128090616783</v>
      </c>
      <c r="AY105">
        <f>EXP($C105*FixedParams!$B$47)*EXP(IF(AV105+AW105=1,(1-FixedParams!$B$47)*$D105,0))*($B105^((FixedParams!$B$47-1)*$B$10/($B$10-1)))*((1/$B105-1)^$B$10*(AX105)^($B$10-1)+1)^((FixedParams!$B$47-$B$10)/($B$10-1))/((1+IF(AV105=1,FixedParams!$D$25,IF(AW105=1,FixedParams!$D$23,FixedParams!$D$24)))^FixedParams!$B$47)</f>
        <v>4.8405844757123583E-2</v>
      </c>
      <c r="AZ105">
        <f t="shared" si="52"/>
        <v>1.3034523001939475</v>
      </c>
      <c r="BA105">
        <f t="shared" si="72"/>
        <v>32.794685545413685</v>
      </c>
      <c r="BB105">
        <f t="shared" si="53"/>
        <v>59.105936344227061</v>
      </c>
      <c r="BC105">
        <f t="shared" si="73"/>
        <v>91.900621889640746</v>
      </c>
      <c r="BD105" s="24">
        <f t="shared" si="74"/>
        <v>1.802302274323621</v>
      </c>
      <c r="BE105" s="24">
        <f t="shared" si="75"/>
        <v>1.8528405471532534</v>
      </c>
      <c r="BF105" s="23">
        <f>IF(AV105=1,BA105*(1+FixedParams!$C$25)+BB105*(1+FixedParams!$C$28)/$AT$12,IF(AW105=1,BA105*(1+FixedParams!$C$23)+BB105*(1+FixedParams!$C$26)/$AT$12,BA105*(1+FixedParams!$C$24)+BB105*(1+FixedParams!$C$27)/$AT$12))</f>
        <v>229.59343289117555</v>
      </c>
      <c r="BG105" s="24">
        <f t="shared" si="76"/>
        <v>41.960820448473903</v>
      </c>
      <c r="BH105" s="24">
        <f>BG105^((FixedParams!$B$47-1)/FixedParams!$B$47)*EXP($C105)</f>
        <v>0.33177204822374262</v>
      </c>
      <c r="BI105" s="7"/>
      <c r="BJ105" s="24">
        <f>EXP(-$D$17)*(($B105*FixedParams!$B$30)^$B$10*(1+FixedParams!$C$24)^(1-$B$10)+(1-$B105)^$B$10*((1+FixedParams!$C$27)/$BK$12)^(1-$B$10))^(1/(1-$B$10))</f>
        <v>6.7371549808738607</v>
      </c>
      <c r="BK105" s="24">
        <f>EXP($D105-$D$17)*(($B105*FixedParams!$C$31)^$B$10*(1+FixedParams!$C$25)^(1-$B$10)+(1-$B105)^$B$10*((1+FixedParams!$C$28)/$BK$12)^(1-$B$10))^(1/(1-$B$10))</f>
        <v>5.8497731555981165</v>
      </c>
      <c r="BL105" s="24">
        <f>EXP($D105-$D$17)*(($B105*FixedParams!$C$30)^$B$10*(1+FixedParams!$C$23)^(1-$B$10)+(1-$B105)^$B$10*((1+FixedParams!$C$26)/$BK$12)^(1-$B$10))^(1/(1-$B$10))</f>
        <v>5.8919635433870159</v>
      </c>
      <c r="BM105">
        <f>IF(FixedParams!$I$6=1,IF(BK105&lt;=MIN(BJ105:BL105),1,0),$H105)</f>
        <v>1</v>
      </c>
      <c r="BN105">
        <f>IF(FixedParams!$I$6=1,IF(BL105&lt;=MIN(BJ105:BL105),1,0),IF(BL105&lt;=BJ105,1,0)*(1-$H105))</f>
        <v>0</v>
      </c>
      <c r="BO105" s="24">
        <f>$BK$13*IF(BM105=1,1,IF(BN105=1,FixedParams!$C$52,FixedParams!$C$53))</f>
        <v>0.41068174962109105</v>
      </c>
      <c r="BP105">
        <f>EXP($C105*FixedParams!$B$47)*EXP(IF(BM105+BN105=1,(1-FixedParams!$B$47)*$D105,0))*($B105^((FixedParams!$B$47-1)*$B$10/($B$10-1)))*((1/$B105-1)^$B$10*(BO105)^($B$10-1)+1)^((FixedParams!$B$47-$B$10)/($B$10-1))/((1+IF(BM105=1,FixedParams!$C$25,IF(BN105=1,FixedParams!$C$23,FixedParams!$C$24)))^FixedParams!$B$47)</f>
        <v>4.5307894333501061E-2</v>
      </c>
      <c r="BQ105">
        <f t="shared" si="77"/>
        <v>1.3034062787220353</v>
      </c>
      <c r="BR105">
        <f t="shared" si="78"/>
        <v>33.242280779288315</v>
      </c>
      <c r="BS105">
        <f t="shared" si="54"/>
        <v>59.866816016031194</v>
      </c>
      <c r="BT105">
        <f t="shared" si="79"/>
        <v>93.109096795319516</v>
      </c>
      <c r="BU105" s="24">
        <f t="shared" si="80"/>
        <v>1.800923841944424</v>
      </c>
      <c r="BV105" s="24">
        <f t="shared" si="81"/>
        <v>1.8579241048036412</v>
      </c>
      <c r="BW105" s="23">
        <f>IF(BM105=1,BR105*(1+FixedParams!$C$25)+BS105*(1+FixedParams!$C$28)/$BK$12,IF(BN105=1,BR105*(1+FixedParams!$C$23)+BS105*(1+FixedParams!$C$26)/$BK$12,BR105*(1+FixedParams!$C$24)+BS105*(1+FixedParams!$C$27)/$BK$12))</f>
        <v>244.96716961546781</v>
      </c>
      <c r="BX105" s="24">
        <f t="shared" si="82"/>
        <v>41.876353680661808</v>
      </c>
      <c r="BY105" s="24">
        <f>BX105^((FixedParams!$B$47-1)/FixedParams!$B$47)*EXP($C105)</f>
        <v>0.33177271742096692</v>
      </c>
      <c r="BZ105" s="24">
        <f t="shared" si="83"/>
        <v>-3.7994170549666077E-2</v>
      </c>
      <c r="CA105" s="24">
        <f t="shared" si="84"/>
        <v>-1.2628021954474678E-2</v>
      </c>
      <c r="CB105" s="24">
        <f t="shared" si="85"/>
        <v>4.7004339649325735E-3</v>
      </c>
      <c r="CC105" s="24"/>
      <c r="CD105" s="24">
        <f>EXP(-$D$17)*(($B105*FixedParams!$B$30)^$B$10*(1+FixedParams!$D$24)^(1-$B$10)+(1-$B105)^$B$10*((1+FixedParams!$D$27)/$CE$12)^(1-$B$10))^(1/(1-$B$10))</f>
        <v>6.3139885512338063</v>
      </c>
      <c r="CE105" s="24">
        <f>EXP($D105-$D$17)*(($B105*FixedParams!$D$31)^$B$10*(1+FixedParams!$D$25)^(1-$B$10)+(1-$B105)^$B$10*((1+FixedParams!$D$28)/$CE$12)^(1-$B$10))^(1/(1-$B$10))</f>
        <v>5.6847400125667642</v>
      </c>
      <c r="CF105" s="24">
        <f>EXP($D105-$D$17)*(($B105*FixedParams!$D$30)^$B$10*(1+FixedParams!$D$23)^(1-$B$10)+(1-$B105)^$B$10*((1+FixedParams!$D$26)/$CE$12)^(1-$B$10))^(1/(1-$B$10))</f>
        <v>5.6962256685599968</v>
      </c>
      <c r="CG105">
        <f>IF(FixedParams!$I$6=1,IF(CE105&lt;=MIN(CD105:CF105),1,0),$H105)</f>
        <v>1</v>
      </c>
      <c r="CH105">
        <f>IF(FixedParams!$I$6=1,IF(CF105&lt;=MIN(CD105:CF105),1,0),IF(CF105&lt;=CD105,1,0)*(1-$H105))</f>
        <v>0</v>
      </c>
      <c r="CI105" s="24">
        <f>$CE$13*IF(CG105=1,1,IF(CH105=1,FixedParams!$D$52,FixedParams!$D$53))</f>
        <v>0.39201585704839609</v>
      </c>
      <c r="CJ105">
        <f>EXP($C105*FixedParams!$B$47)*EXP(IF(CG105+CH105=1,(1-FixedParams!$B$47)*$D105,0))*($B105^((FixedParams!$B$47-1)*$B$10/($B$10-1)))*((1/$B105-1)^$B$10*(CI105)^($B$10-1)+1)^((FixedParams!$B$47-$B$10)/($B$10-1))/((1+IF(CG105=1,FixedParams!$D$25,IF(CH105=1,FixedParams!$D$23,FixedParams!$D$24)))^FixedParams!$B$47)</f>
        <v>4.9341455592594896E-2</v>
      </c>
      <c r="CK105">
        <f t="shared" si="86"/>
        <v>1.2991782981135782</v>
      </c>
      <c r="CL105">
        <f t="shared" si="88"/>
        <v>35.493917185182291</v>
      </c>
      <c r="CM105">
        <f t="shared" si="55"/>
        <v>59.613775237899418</v>
      </c>
      <c r="CN105">
        <f t="shared" si="89"/>
        <v>95.107692423081716</v>
      </c>
      <c r="CO105" s="24">
        <f t="shared" si="90"/>
        <v>1.679549059825566</v>
      </c>
      <c r="CP105" s="24">
        <f t="shared" si="91"/>
        <v>1.8365800903758838</v>
      </c>
      <c r="CQ105" s="23">
        <f>IF(CG105=1,CL105*(1+FixedParams!$D$25)+CM105*(1+FixedParams!$D$28)/$CE$12,IF(CH105=1,CL105*(1+FixedParams!$D$23)+CM105*(1+FixedParams!$D$26)/$CE$12,CL105*(1+FixedParams!$D$24)+CM105*(1+FixedParams!$D$27)/$CE$12))</f>
        <v>240.17096105853827</v>
      </c>
      <c r="CR105" s="24">
        <f t="shared" si="92"/>
        <v>42.248363254539882</v>
      </c>
      <c r="CS105" s="24">
        <f>CR105^((FixedParams!$B$47-1)/FixedParams!$B$47)*EXP($C105)</f>
        <v>0.33176978020022257</v>
      </c>
      <c r="CT105" s="24"/>
    </row>
    <row r="106" spans="1:98" x14ac:dyDescent="0.15">
      <c r="A106">
        <v>0.44500000000000001</v>
      </c>
      <c r="B106">
        <f t="shared" si="56"/>
        <v>0.21915065788433019</v>
      </c>
      <c r="C106">
        <f>(D106-$D$17)*FixedParams!$B$47+$A106*$B$9</f>
        <v>-1.1120617466116494</v>
      </c>
      <c r="D106">
        <f>(A106-$B$6)*FixedParams!$B$46/(FixedParams!$B$45*Sectors!$B$6)</f>
        <v>-2.9884328644104442E-2</v>
      </c>
      <c r="E106">
        <f t="shared" si="57"/>
        <v>0.32888019396718798</v>
      </c>
      <c r="F106" s="24">
        <f>EXP(-$D$17)*(($B106*FixedParams!$B$30)^$B$10*(1+FixedParams!$B$23)^(1-$B$10)+(1-$B106)^$B$10*((1+FixedParams!$B$26)/$B$11)^(1-$B$10))^(1/(1-$B$10))</f>
        <v>4.9524775498774405</v>
      </c>
      <c r="G106" s="24">
        <f>EXP($D106-$D$17)*(($B106*FixedParams!$B$31)^$B$10*(1+FixedParams!$B$25)^(1-$B$10)+(1-$B106)^$B$10*((1+FixedParams!$B$28)/$B$11)^(1-$B$10))^(1/(1-$B$10))</f>
        <v>4.6303480445746574</v>
      </c>
      <c r="H106">
        <f t="shared" si="58"/>
        <v>1</v>
      </c>
      <c r="I106" s="24">
        <f>$B$12*IF(H106=1,1,FixedParams!$B$52)</f>
        <v>0.3745928365283252</v>
      </c>
      <c r="J106">
        <f>EXP($C106*FixedParams!$B$47)*EXP(IF(H106=1,(1-FixedParams!$B$47)*$D106,0))*($B106^((FixedParams!$B$47-1)*$B$10/($B$10-1)))*((1/$B106-1)^$B$10*(I106)^($B$10-1)+1)^((FixedParams!$B$47-$B$10)/($B$10-1))/((1+IF(H106=1,FixedParams!$B$25,FixedParams!$B$24))^FixedParams!$B$47)</f>
        <v>6.4319736827929228E-2</v>
      </c>
      <c r="K106">
        <f t="shared" si="87"/>
        <v>1.2968519947981969</v>
      </c>
      <c r="L106">
        <f>K106*FixedParams!$B$8/K$15</f>
        <v>37.703545868402578</v>
      </c>
      <c r="M106">
        <f t="shared" si="47"/>
        <v>58.137734293531118</v>
      </c>
      <c r="N106">
        <f t="shared" si="59"/>
        <v>95.841280161933696</v>
      </c>
      <c r="O106" s="24">
        <f t="shared" si="60"/>
        <v>1.5419699382241232</v>
      </c>
      <c r="P106" s="24">
        <f t="shared" si="48"/>
        <v>1.8105358130330358</v>
      </c>
      <c r="Q106" s="23">
        <f>IF(H106=1,L106*(1+FixedParams!$B$25)+M106*FixedParams!$B$33*(1+FixedParams!$B$28)/FixedParams!$B$32,L106*(1+FixedParams!$B$23)+M106*FixedParams!$B$33*(1+FixedParams!$B$26)/FixedParams!$B$32)</f>
        <v>193.24410105853653</v>
      </c>
      <c r="R106" s="24">
        <f t="shared" si="49"/>
        <v>41.734249606778292</v>
      </c>
      <c r="S106" s="24">
        <f>R106^((FixedParams!$B$47-1)/FixedParams!$B$47)*EXP($C106)</f>
        <v>0.32765409882969715</v>
      </c>
      <c r="T106" s="7">
        <f>(L106*FixedParams!$B$32*(FixedParams!$C$25-FixedParams!$C$23)+FixedParams!$B$33*(FixedParams!$C$28-FixedParams!$C$26)*M106)/N106</f>
        <v>5.1862878804990409</v>
      </c>
      <c r="U106" s="7">
        <f>(L106*FixedParams!$B$32*(FixedParams!$C$25-FixedParams!$C$23)*$Z$12/$B$11+FixedParams!$B$33*(FixedParams!$C$28-FixedParams!$C$26)*M106)/N106</f>
        <v>-389.9141693797842</v>
      </c>
      <c r="V106" s="14">
        <f t="shared" si="50"/>
        <v>-1.4149763917799898</v>
      </c>
      <c r="W106" s="14">
        <f t="shared" si="61"/>
        <v>0.67880308566266911</v>
      </c>
      <c r="X106" s="73">
        <f t="shared" si="62"/>
        <v>0.97016258186963467</v>
      </c>
      <c r="Y106" s="24">
        <f>EXP(-$D$17)*(($B106*FixedParams!$B$30)^$B$10*(1+FixedParams!$C$24)^(1-$B$10)+(1-$B106)^$B$10*((1+FixedParams!$C$27)/$Z$12)^(1-$B$10))^(1/(1-$B$10))</f>
        <v>6.4731446583060537</v>
      </c>
      <c r="Z106" s="24">
        <f>EXP($D106-$D$17)*(($B106*FixedParams!$C$31)^$B$10*(1+FixedParams!$C$25)^(1-$B$10)+(1-$B106)^$B$10*((1+FixedParams!$C$28)/$Z$12)^(1-$B$10))^(1/(1-$B$10))</f>
        <v>5.636503632046324</v>
      </c>
      <c r="AA106" s="24">
        <f>EXP($D106-$D$17)*(($B106*FixedParams!$C$30)^$B$10*(1+FixedParams!$C$23)^(1-$B$10)+(1-$B106)^$B$10*((1+FixedParams!$C$26)/$Z$12)^(1-$B$10))^(1/(1-$B$10))</f>
        <v>5.6786825814264432</v>
      </c>
      <c r="AB106">
        <f>IF(FixedParams!$I$6=1,IF(Z106&lt;=MIN(Y106:AA106),1,0),$H106)</f>
        <v>1</v>
      </c>
      <c r="AC106">
        <f>IF(FixedParams!$I$6=1,IF(AA106&lt;=MIN(Y106:AA106),1,0),IF(AA106&lt;=Y106,1,0)*(1-$H106))</f>
        <v>0</v>
      </c>
      <c r="AD106" s="24">
        <f>$Z$13*IF(AB106=1,1,IF(AC106=1,FixedParams!$C$52,FixedParams!$C$53))</f>
        <v>0.43187184563106507</v>
      </c>
      <c r="AE106">
        <f>EXP($C106*FixedParams!$B$47)*EXP(IF(AB106+AC106=1,(1-FixedParams!$B$47)*$D106,0))*($B106^((FixedParams!$B$47-1)*$B$10/($B$10-1)))*((1/$B106-1)^$B$10*(AD106)^($B$10-1)+1)^((FixedParams!$B$47-$B$10)/($B$10-1))/((1+IF(AB106=1,FixedParams!$C$25,IF(AC106=1,FixedParams!$C$23,FixedParams!$C$24)))^FixedParams!$B$47)</f>
        <v>4.4457623460603571E-2</v>
      </c>
      <c r="AF106">
        <f t="shared" si="63"/>
        <v>1.3100408396481686</v>
      </c>
      <c r="AG106">
        <f t="shared" si="64"/>
        <v>30.770847593220875</v>
      </c>
      <c r="AH106">
        <f t="shared" si="51"/>
        <v>58.736559379234031</v>
      </c>
      <c r="AI106">
        <f t="shared" si="65"/>
        <v>89.507406972454902</v>
      </c>
      <c r="AJ106" s="24">
        <f t="shared" si="66"/>
        <v>1.9088378765417655</v>
      </c>
      <c r="AK106" s="24">
        <f t="shared" si="67"/>
        <v>1.8825573891932363</v>
      </c>
      <c r="AL106" s="23">
        <f>IF(AB106=1,AG106*(1+FixedParams!$C$25)+AH106*(1+FixedParams!$C$28)/$Z$12,IF(AC106=1,AG106*(1+FixedParams!$C$23)+AH106*(1+FixedParams!$C$26)/$Z$12,AG106*(1+FixedParams!$C$24)+AH106*(1+FixedParams!$C$27)/$Z$12))</f>
        <v>228.21643699131963</v>
      </c>
      <c r="AM106" s="24">
        <f t="shared" si="68"/>
        <v>40.489007350903812</v>
      </c>
      <c r="AN106" s="24">
        <f>AM106^((FixedParams!$B$47-1)/FixedParams!$B$47)*EXP($C106)</f>
        <v>0.32766403408605083</v>
      </c>
      <c r="AO106" s="24">
        <f t="shared" si="69"/>
        <v>-6.8372110235007666E-2</v>
      </c>
      <c r="AP106" s="24">
        <f t="shared" si="70"/>
        <v>-3.0291611354843439E-2</v>
      </c>
      <c r="AQ106" s="14">
        <f t="shared" si="71"/>
        <v>-1.4861210036618748</v>
      </c>
      <c r="AS106" s="24">
        <f>EXP(-$D$17)*(($B106*FixedParams!$B$30)^$B$10*(1+FixedParams!$D$24)^(1-$B$10)+(1-$B106)^$B$10*((1+FixedParams!$D$27)/$AT$12)^(1-$B$10))^(1/(1-$B$10))</f>
        <v>6.0834274724393032</v>
      </c>
      <c r="AT106" s="24">
        <f>EXP($D106-$D$17)*(($B106*FixedParams!$C$31)^$B$10*(1+FixedParams!$D$25)^(1-$B$10)+(1-$B106)^$B$10*((1+FixedParams!$D$28)/$AT$12)^(1-$B$10))^(1/(1-$B$10))</f>
        <v>5.4924160357871523</v>
      </c>
      <c r="AU106" s="24">
        <f>EXP($D106-$D$17)*(($B106*FixedParams!$C$30)^$B$10*(1+FixedParams!$D$23)^(1-$B$10)+(1-$B106)^$B$10*((1+FixedParams!$D$26)/$AT$12)^(1-$B$10))^(1/(1-$B$10))</f>
        <v>5.5044547524644782</v>
      </c>
      <c r="AV106">
        <f>IF(FixedParams!$I$6=1,IF(AT106&lt;=MIN(AS106:AU106),1,0),$H106)</f>
        <v>1</v>
      </c>
      <c r="AW106">
        <f>IF(FixedParams!$I$6=1,IF(AU106&lt;=MIN(AS106:AU106),1,0),IF(AU106&lt;=AS106,1,0)*(1-$H106))</f>
        <v>0</v>
      </c>
      <c r="AX106" s="24">
        <f>$AT$13*IF(AV106=1,1,IF(AW106=1,FixedParams!$D$52,FixedParams!$D$53))</f>
        <v>0.41089128090616783</v>
      </c>
      <c r="AY106">
        <f>EXP($C106*FixedParams!$B$47)*EXP(IF(AV106+AW106=1,(1-FixedParams!$B$47)*$D106,0))*($B106^((FixedParams!$B$47-1)*$B$10/($B$10-1)))*((1/$B106-1)^$B$10*(AX106)^($B$10-1)+1)^((FixedParams!$B$47-$B$10)/($B$10-1))/((1+IF(AV106=1,FixedParams!$D$25,IF(AW106=1,FixedParams!$D$23,FixedParams!$D$24)))^FixedParams!$B$47)</f>
        <v>4.8481553781231528E-2</v>
      </c>
      <c r="AZ106">
        <f t="shared" si="52"/>
        <v>1.3054909610646355</v>
      </c>
      <c r="BA106">
        <f t="shared" si="72"/>
        <v>32.845977980263811</v>
      </c>
      <c r="BB106">
        <f t="shared" si="53"/>
        <v>58.184765839727625</v>
      </c>
      <c r="BC106">
        <f t="shared" si="73"/>
        <v>91.030743819991443</v>
      </c>
      <c r="BD106" s="24">
        <f t="shared" si="74"/>
        <v>1.7714426367419827</v>
      </c>
      <c r="BE106" s="24">
        <f t="shared" si="75"/>
        <v>1.8598845302899756</v>
      </c>
      <c r="BF106" s="23">
        <f>IF(AV106=1,BA106*(1+FixedParams!$C$25)+BB106*(1+FixedParams!$C$28)/$AT$12,IF(AW106=1,BA106*(1+FixedParams!$C$23)+BB106*(1+FixedParams!$C$26)/$AT$12,BA106*(1+FixedParams!$C$24)+BB106*(1+FixedParams!$C$27)/$AT$12))</f>
        <v>226.78479317149026</v>
      </c>
      <c r="BG106" s="24">
        <f t="shared" si="76"/>
        <v>41.290534383014617</v>
      </c>
      <c r="BH106" s="24">
        <f>BG106^((FixedParams!$B$47-1)/FixedParams!$B$47)*EXP($C106)</f>
        <v>0.32765760459748317</v>
      </c>
      <c r="BI106" s="7"/>
      <c r="BJ106" s="24">
        <f>EXP(-$D$17)*(($B106*FixedParams!$B$30)^$B$10*(1+FixedParams!$C$24)^(1-$B$10)+(1-$B106)^$B$10*((1+FixedParams!$C$27)/$BK$12)^(1-$B$10))^(1/(1-$B$10))</f>
        <v>6.7461982462372942</v>
      </c>
      <c r="BK106" s="24">
        <f>EXP($D106-$D$17)*(($B106*FixedParams!$C$31)^$B$10*(1+FixedParams!$C$25)^(1-$B$10)+(1-$B106)^$B$10*((1+FixedParams!$C$28)/$BK$12)^(1-$B$10))^(1/(1-$B$10))</f>
        <v>5.8720044982788817</v>
      </c>
      <c r="BL106" s="24">
        <f>EXP($D106-$D$17)*(($B106*FixedParams!$C$30)^$B$10*(1+FixedParams!$C$23)^(1-$B$10)+(1-$B106)^$B$10*((1+FixedParams!$C$26)/$BK$12)^(1-$B$10))^(1/(1-$B$10))</f>
        <v>5.9108459307107877</v>
      </c>
      <c r="BM106">
        <f>IF(FixedParams!$I$6=1,IF(BK106&lt;=MIN(BJ106:BL106),1,0),$H106)</f>
        <v>1</v>
      </c>
      <c r="BN106">
        <f>IF(FixedParams!$I$6=1,IF(BL106&lt;=MIN(BJ106:BL106),1,0),IF(BL106&lt;=BJ106,1,0)*(1-$H106))</f>
        <v>0</v>
      </c>
      <c r="BO106" s="24">
        <f>$BK$13*IF(BM106=1,1,IF(BN106=1,FixedParams!$C$52,FixedParams!$C$53))</f>
        <v>0.41068174962109105</v>
      </c>
      <c r="BP106">
        <f>EXP($C106*FixedParams!$B$47)*EXP(IF(BM106+BN106=1,(1-FixedParams!$B$47)*$D106,0))*($B106^((FixedParams!$B$47-1)*$B$10/($B$10-1)))*((1/$B106-1)^$B$10*(BO106)^($B$10-1)+1)^((FixedParams!$B$47-$B$10)/($B$10-1))/((1+IF(BM106=1,FixedParams!$C$25,IF(BN106=1,FixedParams!$C$23,FixedParams!$C$24)))^FixedParams!$B$47)</f>
        <v>4.537872757072825E-2</v>
      </c>
      <c r="BQ106">
        <f t="shared" si="77"/>
        <v>1.305443991740975</v>
      </c>
      <c r="BR106">
        <f t="shared" si="78"/>
        <v>33.294250935815114</v>
      </c>
      <c r="BS106">
        <f t="shared" si="54"/>
        <v>58.933747603198931</v>
      </c>
      <c r="BT106">
        <f t="shared" si="79"/>
        <v>92.227998539014038</v>
      </c>
      <c r="BU106" s="24">
        <f t="shared" si="80"/>
        <v>1.770087806354671</v>
      </c>
      <c r="BV106" s="24">
        <f t="shared" si="81"/>
        <v>1.8649849166249024</v>
      </c>
      <c r="BW106" s="23">
        <f>IF(BM106=1,BR106*(1+FixedParams!$C$25)+BS106*(1+FixedParams!$C$28)/$BK$12,IF(BN106=1,BR106*(1+FixedParams!$C$23)+BS106*(1+FixedParams!$C$26)/$BK$12,BR106*(1+FixedParams!$C$24)+BS106*(1+FixedParams!$C$27)/$BK$12))</f>
        <v>241.92927041893796</v>
      </c>
      <c r="BX106" s="24">
        <f t="shared" si="82"/>
        <v>41.200457269719195</v>
      </c>
      <c r="BY106" s="24">
        <f>BX106^((FixedParams!$B$47-1)/FixedParams!$B$47)*EXP($C106)</f>
        <v>0.32765832089482938</v>
      </c>
      <c r="BZ106" s="24">
        <f t="shared" si="83"/>
        <v>-3.8429735306868565E-2</v>
      </c>
      <c r="CA106" s="24">
        <f t="shared" si="84"/>
        <v>-1.2872770117374257E-2</v>
      </c>
      <c r="CB106" s="24">
        <f t="shared" si="85"/>
        <v>4.4556858020329947E-3</v>
      </c>
      <c r="CC106" s="24"/>
      <c r="CD106" s="24">
        <f>EXP(-$D$17)*(($B106*FixedParams!$B$30)^$B$10*(1+FixedParams!$D$24)^(1-$B$10)+(1-$B106)^$B$10*((1+FixedParams!$D$27)/$CE$12)^(1-$B$10))^(1/(1-$B$10))</f>
        <v>6.3211631288893164</v>
      </c>
      <c r="CE106" s="24">
        <f>EXP($D106-$D$17)*(($B106*FixedParams!$D$31)^$B$10*(1+FixedParams!$D$25)^(1-$B$10)+(1-$B106)^$B$10*((1+FixedParams!$D$28)/$CE$12)^(1-$B$10))^(1/(1-$B$10))</f>
        <v>5.7056421686216208</v>
      </c>
      <c r="CF106" s="24">
        <f>EXP($D106-$D$17)*(($B106*FixedParams!$D$30)^$B$10*(1+FixedParams!$D$23)^(1-$B$10)+(1-$B106)^$B$10*((1+FixedParams!$D$26)/$CE$12)^(1-$B$10))^(1/(1-$B$10))</f>
        <v>5.7144452882346553</v>
      </c>
      <c r="CG106">
        <f>IF(FixedParams!$I$6=1,IF(CE106&lt;=MIN(CD106:CF106),1,0),$H106)</f>
        <v>1</v>
      </c>
      <c r="CH106">
        <f>IF(FixedParams!$I$6=1,IF(CF106&lt;=MIN(CD106:CF106),1,0),IF(CF106&lt;=CD106,1,0)*(1-$H106))</f>
        <v>0</v>
      </c>
      <c r="CI106" s="24">
        <f>$CE$13*IF(CG106=1,1,IF(CH106=1,FixedParams!$D$52,FixedParams!$D$53))</f>
        <v>0.39201585704839609</v>
      </c>
      <c r="CJ106">
        <f>EXP($C106*FixedParams!$B$47)*EXP(IF(CG106+CH106=1,(1-FixedParams!$B$47)*$D106,0))*($B106^((FixedParams!$B$47-1)*$B$10/($B$10-1)))*((1/$B106-1)^$B$10*(CI106)^($B$10-1)+1)^((FixedParams!$B$47-$B$10)/($B$10-1))/((1+IF(CG106=1,FixedParams!$D$25,IF(CH106=1,FixedParams!$D$23,FixedParams!$D$24)))^FixedParams!$B$47)</f>
        <v>4.9415548871164158E-2</v>
      </c>
      <c r="CK106">
        <f t="shared" si="86"/>
        <v>1.3011292008260575</v>
      </c>
      <c r="CL106">
        <f t="shared" si="88"/>
        <v>35.547216397009976</v>
      </c>
      <c r="CM106">
        <f t="shared" si="55"/>
        <v>58.681033607923922</v>
      </c>
      <c r="CN106">
        <f t="shared" si="89"/>
        <v>94.228250004933898</v>
      </c>
      <c r="CO106" s="24">
        <f t="shared" si="90"/>
        <v>1.650791244876767</v>
      </c>
      <c r="CP106" s="24">
        <f t="shared" si="91"/>
        <v>1.8433329908729017</v>
      </c>
      <c r="CQ106" s="23">
        <f>IF(CG106=1,CL106*(1+FixedParams!$D$25)+CM106*(1+FixedParams!$D$28)/$CE$12,IF(CH106=1,CL106*(1+FixedParams!$D$23)+CM106*(1+FixedParams!$D$26)/$CE$12,CL106*(1+FixedParams!$D$24)+CM106*(1+FixedParams!$D$27)/$CE$12))</f>
        <v>237.19251166363932</v>
      </c>
      <c r="CR106" s="24">
        <f t="shared" si="92"/>
        <v>41.571571552118684</v>
      </c>
      <c r="CS106" s="24">
        <f>CR106^((FixedParams!$B$47-1)/FixedParams!$B$47)*EXP($C106)</f>
        <v>0.3276553797884168</v>
      </c>
      <c r="CT106" s="24"/>
    </row>
    <row r="107" spans="1:98" x14ac:dyDescent="0.15">
      <c r="A107">
        <v>0.45</v>
      </c>
      <c r="B107">
        <f t="shared" si="56"/>
        <v>0.22112730270914766</v>
      </c>
      <c r="C107">
        <f>(D107-$D$17)*FixedParams!$B$47+$A107*$B$9</f>
        <v>-1.1245568224162747</v>
      </c>
      <c r="D107">
        <f>(A107-$B$6)*FixedParams!$B$46/(FixedParams!$B$45*Sectors!$B$6)</f>
        <v>-2.71675714946404E-2</v>
      </c>
      <c r="E107">
        <f t="shared" si="57"/>
        <v>0.3247963779410008</v>
      </c>
      <c r="F107" s="24">
        <f>EXP(-$D$17)*(($B107*FixedParams!$B$30)^$B$10*(1+FixedParams!$B$23)^(1-$B$10)+(1-$B107)^$B$10*((1+FixedParams!$B$26)/$B$11)^(1-$B$10))^(1/(1-$B$10))</f>
        <v>4.957046082045931</v>
      </c>
      <c r="G107" s="24">
        <f>EXP($D107-$D$17)*(($B107*FixedParams!$B$31)^$B$10*(1+FixedParams!$B$25)^(1-$B$10)+(1-$B107)^$B$10*((1+FixedParams!$B$28)/$B$11)^(1-$B$10))^(1/(1-$B$10))</f>
        <v>4.6466868766401452</v>
      </c>
      <c r="H107">
        <f t="shared" si="58"/>
        <v>1</v>
      </c>
      <c r="I107" s="24">
        <f>$B$12*IF(H107=1,1,FixedParams!$B$52)</f>
        <v>0.3745928365283252</v>
      </c>
      <c r="J107">
        <f>EXP($C107*FixedParams!$B$47)*EXP(IF(H107=1,(1-FixedParams!$B$47)*$D107,0))*($B107^((FixedParams!$B$47-1)*$B$10/($B$10-1)))*((1/$B107-1)^$B$10*(I107)^($B$10-1)+1)^((FixedParams!$B$47-$B$10)/($B$10-1))/((1+IF(H107=1,FixedParams!$B$25,FixedParams!$B$24))^FixedParams!$B$47)</f>
        <v>6.44093633856202E-2</v>
      </c>
      <c r="K107">
        <f t="shared" si="87"/>
        <v>1.2986590976543448</v>
      </c>
      <c r="L107">
        <f>K107*FixedParams!$B$8/K$15</f>
        <v>37.756084003593784</v>
      </c>
      <c r="M107">
        <f t="shared" si="47"/>
        <v>57.221905176498147</v>
      </c>
      <c r="N107">
        <f t="shared" si="59"/>
        <v>94.977989180091924</v>
      </c>
      <c r="O107" s="24">
        <f t="shared" si="60"/>
        <v>1.5155678001736494</v>
      </c>
      <c r="P107" s="24">
        <f t="shared" si="48"/>
        <v>1.8169245424142666</v>
      </c>
      <c r="Q107" s="23">
        <f>IF(H107=1,L107*(1+FixedParams!$B$25)+M107*FixedParams!$B$33*(1+FixedParams!$B$28)/FixedParams!$B$32,L107*(1+FixedParams!$B$23)+M107*FixedParams!$B$33*(1+FixedParams!$B$26)/FixedParams!$B$32)</f>
        <v>190.84758091280017</v>
      </c>
      <c r="R107" s="24">
        <f t="shared" si="49"/>
        <v>41.071754129212017</v>
      </c>
      <c r="S107" s="24">
        <f>R107^((FixedParams!$B$47-1)/FixedParams!$B$47)*EXP($C107)</f>
        <v>0.32359069071334495</v>
      </c>
      <c r="T107" s="7">
        <f>(L107*FixedParams!$B$32*(FixedParams!$C$25-FixedParams!$C$23)+FixedParams!$B$33*(FixedParams!$C$28-FixedParams!$C$26)*M107)/N107</f>
        <v>52.028218547243632</v>
      </c>
      <c r="U107" s="7">
        <f>(L107*FixedParams!$B$32*(FixedParams!$C$25-FixedParams!$C$23)*$Z$12/$B$11+FixedParams!$B$33*(FixedParams!$C$28-FixedParams!$C$26)*M107)/N107</f>
        <v>-347.21901496596797</v>
      </c>
      <c r="V107" s="14">
        <f t="shared" si="50"/>
        <v>-1.3977057664839063</v>
      </c>
      <c r="W107" s="14">
        <f t="shared" si="61"/>
        <v>0.68346155390397778</v>
      </c>
      <c r="X107" s="73">
        <f t="shared" si="62"/>
        <v>0.96979425873766412</v>
      </c>
      <c r="Y107" s="24">
        <f>EXP(-$D$17)*(($B107*FixedParams!$B$30)^$B$10*(1+FixedParams!$C$24)^(1-$B$10)+(1-$B107)^$B$10*((1+FixedParams!$C$27)/$Z$12)^(1-$B$10))^(1/(1-$B$10))</f>
        <v>6.4825338494548665</v>
      </c>
      <c r="Z107" s="24">
        <f>EXP($D107-$D$17)*(($B107*FixedParams!$C$31)^$B$10*(1+FixedParams!$C$25)^(1-$B$10)+(1-$B107)^$B$10*((1+FixedParams!$C$28)/$Z$12)^(1-$B$10))^(1/(1-$B$10))</f>
        <v>5.6585432463761869</v>
      </c>
      <c r="AA107" s="24">
        <f>EXP($D107-$D$17)*(($B107*FixedParams!$C$30)^$B$10*(1+FixedParams!$C$23)^(1-$B$10)+(1-$B107)^$B$10*((1+FixedParams!$C$26)/$Z$12)^(1-$B$10))^(1/(1-$B$10))</f>
        <v>5.6975207152989489</v>
      </c>
      <c r="AB107">
        <f>IF(FixedParams!$I$6=1,IF(Z107&lt;=MIN(Y107:AA107),1,0),$H107)</f>
        <v>1</v>
      </c>
      <c r="AC107">
        <f>IF(FixedParams!$I$6=1,IF(AA107&lt;=MIN(Y107:AA107),1,0),IF(AA107&lt;=Y107,1,0)*(1-$H107))</f>
        <v>0</v>
      </c>
      <c r="AD107" s="24">
        <f>$Z$13*IF(AB107=1,1,IF(AC107=1,FixedParams!$C$52,FixedParams!$C$53))</f>
        <v>0.43187184563106507</v>
      </c>
      <c r="AE107">
        <f>EXP($C107*FixedParams!$B$47)*EXP(IF(AB107+AC107=1,(1-FixedParams!$B$47)*$D107,0))*($B107^((FixedParams!$B$47-1)*$B$10/($B$10-1)))*((1/$B107-1)^$B$10*(AD107)^($B$10-1)+1)^((FixedParams!$B$47-$B$10)/($B$10-1))/((1+IF(AB107=1,FixedParams!$C$25,IF(AC107=1,FixedParams!$C$23,FixedParams!$C$24)))^FixedParams!$B$47)</f>
        <v>4.4528051832089514E-2</v>
      </c>
      <c r="AF107">
        <f t="shared" si="63"/>
        <v>1.3121161652219311</v>
      </c>
      <c r="AG107">
        <f t="shared" si="64"/>
        <v>30.819593804028862</v>
      </c>
      <c r="AH107">
        <f t="shared" si="51"/>
        <v>57.822307271018566</v>
      </c>
      <c r="AI107">
        <f t="shared" si="65"/>
        <v>88.641901075047429</v>
      </c>
      <c r="AJ107" s="24">
        <f t="shared" si="66"/>
        <v>1.8761540998460466</v>
      </c>
      <c r="AK107" s="24">
        <f t="shared" si="67"/>
        <v>1.889918484212453</v>
      </c>
      <c r="AL107" s="23">
        <f>IF(AB107=1,AG107*(1+FixedParams!$C$25)+AH107*(1+FixedParams!$C$28)/$Z$12,IF(AC107=1,AG107*(1+FixedParams!$C$23)+AH107*(1+FixedParams!$C$26)/$Z$12,AG107*(1+FixedParams!$C$24)+AH107*(1+FixedParams!$C$27)/$Z$12))</f>
        <v>225.38629247142745</v>
      </c>
      <c r="AM107" s="24">
        <f t="shared" si="68"/>
        <v>39.831151350794762</v>
      </c>
      <c r="AN107" s="24">
        <f>AM107^((FixedParams!$B$47-1)/FixedParams!$B$47)*EXP($C107)</f>
        <v>0.32360062575902626</v>
      </c>
      <c r="AO107" s="24">
        <f t="shared" si="69"/>
        <v>-6.9040501999190221E-2</v>
      </c>
      <c r="AP107" s="24">
        <f t="shared" si="70"/>
        <v>-3.0671334376187506E-2</v>
      </c>
      <c r="AQ107" s="14">
        <f t="shared" si="71"/>
        <v>-1.4688503783657914</v>
      </c>
      <c r="AS107" s="24">
        <f>EXP(-$D$17)*(($B107*FixedParams!$B$30)^$B$10*(1+FixedParams!$D$24)^(1-$B$10)+(1-$B107)^$B$10*((1+FixedParams!$D$27)/$AT$12)^(1-$B$10))^(1/(1-$B$10))</f>
        <v>6.0909524293543615</v>
      </c>
      <c r="AT107" s="24">
        <f>EXP($D107-$D$17)*(($B107*FixedParams!$C$31)^$B$10*(1+FixedParams!$D$25)^(1-$B$10)+(1-$B107)^$B$10*((1+FixedParams!$D$28)/$AT$12)^(1-$B$10))^(1/(1-$B$10))</f>
        <v>5.5131692280905673</v>
      </c>
      <c r="AU107" s="24">
        <f>EXP($D107-$D$17)*(($B107*FixedParams!$C$30)^$B$10*(1+FixedParams!$D$23)^(1-$B$10)+(1-$B107)^$B$10*((1+FixedParams!$D$26)/$AT$12)^(1-$B$10))^(1/(1-$B$10))</f>
        <v>5.5226300730735831</v>
      </c>
      <c r="AV107">
        <f>IF(FixedParams!$I$6=1,IF(AT107&lt;=MIN(AS107:AU107),1,0),$H107)</f>
        <v>1</v>
      </c>
      <c r="AW107">
        <f>IF(FixedParams!$I$6=1,IF(AU107&lt;=MIN(AS107:AU107),1,0),IF(AU107&lt;=AS107,1,0)*(1-$H107))</f>
        <v>0</v>
      </c>
      <c r="AX107" s="24">
        <f>$AT$13*IF(AV107=1,1,IF(AW107=1,FixedParams!$D$52,FixedParams!$D$53))</f>
        <v>0.41089128090616783</v>
      </c>
      <c r="AY107">
        <f>EXP($C107*FixedParams!$B$47)*EXP(IF(AV107+AW107=1,(1-FixedParams!$B$47)*$D107,0))*($B107^((FixedParams!$B$47-1)*$B$10/($B$10-1)))*((1/$B107-1)^$B$10*(AX107)^($B$10-1)+1)^((FixedParams!$B$47-$B$10)/($B$10-1))/((1+IF(AV107=1,FixedParams!$D$25,IF(AW107=1,FixedParams!$D$23,FixedParams!$D$24)))^FixedParams!$B$47)</f>
        <v>4.8555166623648401E-2</v>
      </c>
      <c r="AZ107">
        <f t="shared" si="52"/>
        <v>1.3074731768332792</v>
      </c>
      <c r="BA107">
        <f t="shared" si="72"/>
        <v>32.895850263895646</v>
      </c>
      <c r="BB107">
        <f t="shared" si="53"/>
        <v>57.27533952745555</v>
      </c>
      <c r="BC107">
        <f t="shared" si="73"/>
        <v>90.171189791351196</v>
      </c>
      <c r="BD107" s="24">
        <f t="shared" si="74"/>
        <v>1.7411113884573233</v>
      </c>
      <c r="BE107" s="24">
        <f t="shared" si="75"/>
        <v>1.8669121372789139</v>
      </c>
      <c r="BF107" s="23">
        <f>IF(AV107=1,BA107*(1+FixedParams!$C$25)+BB107*(1+FixedParams!$C$28)/$AT$12,IF(AW107=1,BA107*(1+FixedParams!$C$23)+BB107*(1+FixedParams!$C$26)/$AT$12,BA107*(1+FixedParams!$C$24)+BB107*(1+FixedParams!$C$27)/$AT$12))</f>
        <v>224.01091288665452</v>
      </c>
      <c r="BG107" s="24">
        <f t="shared" si="76"/>
        <v>40.631967497982743</v>
      </c>
      <c r="BH107" s="24">
        <f>BG107^((FixedParams!$B$47-1)/FixedParams!$B$47)*EXP($C107)</f>
        <v>0.32359417783617417</v>
      </c>
      <c r="BI107" s="7"/>
      <c r="BJ107" s="24">
        <f>EXP(-$D$17)*(($B107*FixedParams!$B$30)^$B$10*(1+FixedParams!$C$24)^(1-$B$10)+(1-$B107)^$B$10*((1+FixedParams!$C$27)/$BK$12)^(1-$B$10))^(1/(1-$B$10))</f>
        <v>6.7551170174843547</v>
      </c>
      <c r="BK107" s="24">
        <f>EXP($D107-$D$17)*(($B107*FixedParams!$C$31)^$B$10*(1+FixedParams!$C$25)^(1-$B$10)+(1-$B107)^$B$10*((1+FixedParams!$C$28)/$BK$12)^(1-$B$10))^(1/(1-$B$10))</f>
        <v>5.8941839934593876</v>
      </c>
      <c r="BL107" s="24">
        <f>EXP($D107-$D$17)*(($B107*FixedParams!$C$30)^$B$10*(1+FixedParams!$C$23)^(1-$B$10)+(1-$B107)^$B$10*((1+FixedParams!$C$26)/$BK$12)^(1-$B$10))^(1/(1-$B$10))</f>
        <v>5.929614644100158</v>
      </c>
      <c r="BM107">
        <f>IF(FixedParams!$I$6=1,IF(BK107&lt;=MIN(BJ107:BL107),1,0),$H107)</f>
        <v>1</v>
      </c>
      <c r="BN107">
        <f>IF(FixedParams!$I$6=1,IF(BL107&lt;=MIN(BJ107:BL107),1,0),IF(BL107&lt;=BJ107,1,0)*(1-$H107))</f>
        <v>0</v>
      </c>
      <c r="BO107" s="24">
        <f>$BK$13*IF(BM107=1,1,IF(BN107=1,FixedParams!$C$52,FixedParams!$C$53))</f>
        <v>0.41068174962109105</v>
      </c>
      <c r="BP107">
        <f>EXP($C107*FixedParams!$B$47)*EXP(IF(BM107+BN107=1,(1-FixedParams!$B$47)*$D107,0))*($B107^((FixedParams!$B$47-1)*$B$10/($B$10-1)))*((1/$B107-1)^$B$10*(BO107)^($B$10-1)+1)^((FixedParams!$B$47-$B$10)/($B$10-1))/((1+IF(BM107=1,FixedParams!$C$25,IF(BN107=1,FixedParams!$C$23,FixedParams!$C$24)))^FixedParams!$B$47)</f>
        <v>4.5447598358365537E-2</v>
      </c>
      <c r="BQ107">
        <f t="shared" si="77"/>
        <v>1.3074252494963283</v>
      </c>
      <c r="BR107">
        <f t="shared" si="78"/>
        <v>33.344781248331465</v>
      </c>
      <c r="BS107">
        <f t="shared" si="54"/>
        <v>58.0125753821114</v>
      </c>
      <c r="BT107">
        <f t="shared" si="79"/>
        <v>91.357356630442865</v>
      </c>
      <c r="BU107" s="24">
        <f t="shared" si="80"/>
        <v>1.7397797559404977</v>
      </c>
      <c r="BV107" s="24">
        <f t="shared" si="81"/>
        <v>1.8720292613596727</v>
      </c>
      <c r="BW107" s="23">
        <f>IF(BM107=1,BR107*(1+FixedParams!$C$25)+BS107*(1+FixedParams!$C$28)/$BK$12,IF(BN107=1,BR107*(1+FixedParams!$C$23)+BS107*(1+FixedParams!$C$26)/$BK$12,BR107*(1+FixedParams!$C$24)+BS107*(1+FixedParams!$C$27)/$BK$12))</f>
        <v>238.92903944439865</v>
      </c>
      <c r="BX107" s="24">
        <f t="shared" si="82"/>
        <v>40.536406686579788</v>
      </c>
      <c r="BY107" s="24">
        <f>BX107^((FixedParams!$B$47-1)/FixedParams!$B$47)*EXP($C107)</f>
        <v>0.32359494054522597</v>
      </c>
      <c r="BZ107" s="24">
        <f t="shared" si="83"/>
        <v>-3.886635998005069E-2</v>
      </c>
      <c r="CA107" s="24">
        <f t="shared" si="84"/>
        <v>-1.3120136925721018E-2</v>
      </c>
      <c r="CB107" s="24">
        <f t="shared" si="85"/>
        <v>4.2083189936862331E-3</v>
      </c>
      <c r="CC107" s="24"/>
      <c r="CD107" s="24">
        <f>EXP(-$D$17)*(($B107*FixedParams!$B$30)^$B$10*(1+FixedParams!$D$24)^(1-$B$10)+(1-$B107)^$B$10*((1+FixedParams!$D$27)/$CE$12)^(1-$B$10))^(1/(1-$B$10))</f>
        <v>6.3282035538185717</v>
      </c>
      <c r="CE107" s="24">
        <f>EXP($D107-$D$17)*(($B107*FixedParams!$D$31)^$B$10*(1+FixedParams!$D$25)^(1-$B$10)+(1-$B107)^$B$10*((1+FixedParams!$D$28)/$CE$12)^(1-$B$10))^(1/(1-$B$10))</f>
        <v>5.7264811419044825</v>
      </c>
      <c r="CF107" s="24">
        <f>EXP($D107-$D$17)*(($B107*FixedParams!$D$30)^$B$10*(1+FixedParams!$D$23)^(1-$B$10)+(1-$B107)^$B$10*((1+FixedParams!$D$26)/$CE$12)^(1-$B$10))^(1/(1-$B$10))</f>
        <v>5.7325544217028632</v>
      </c>
      <c r="CG107">
        <f>IF(FixedParams!$I$6=1,IF(CE107&lt;=MIN(CD107:CF107),1,0),$H107)</f>
        <v>1</v>
      </c>
      <c r="CH107">
        <f>IF(FixedParams!$I$6=1,IF(CF107&lt;=MIN(CD107:CF107),1,0),IF(CF107&lt;=CD107,1,0)*(1-$H107))</f>
        <v>0</v>
      </c>
      <c r="CI107" s="24">
        <f>$CE$13*IF(CG107=1,1,IF(CH107=1,FixedParams!$D$52,FixedParams!$D$53))</f>
        <v>0.39201585704839609</v>
      </c>
      <c r="CJ107">
        <f>EXP($C107*FixedParams!$B$47)*EXP(IF(CG107+CH107=1,(1-FixedParams!$B$47)*$D107,0))*($B107^((FixedParams!$B$47-1)*$B$10/($B$10-1)))*((1/$B107-1)^$B$10*(CI107)^($B$10-1)+1)^((FixedParams!$B$47-$B$10)/($B$10-1))/((1+IF(CG107=1,FixedParams!$D$25,IF(CH107=1,FixedParams!$D$23,FixedParams!$D$24)))^FixedParams!$B$47)</f>
        <v>4.9487463109540511E-2</v>
      </c>
      <c r="CK107">
        <f t="shared" si="86"/>
        <v>1.3030227286253862</v>
      </c>
      <c r="CL107">
        <f t="shared" si="88"/>
        <v>35.598948110043359</v>
      </c>
      <c r="CM107">
        <f t="shared" si="55"/>
        <v>57.760212868429797</v>
      </c>
      <c r="CN107">
        <f t="shared" si="89"/>
        <v>93.359160978473156</v>
      </c>
      <c r="CO107" s="24">
        <f t="shared" si="90"/>
        <v>1.6225258310970763</v>
      </c>
      <c r="CP107" s="24">
        <f t="shared" si="91"/>
        <v>1.8500654787880171</v>
      </c>
      <c r="CQ107" s="23">
        <f>IF(CG107=1,CL107*(1+FixedParams!$D$25)+CM107*(1+FixedParams!$D$28)/$CE$12,IF(CH107=1,CL107*(1+FixedParams!$D$23)+CM107*(1+FixedParams!$D$26)/$CE$12,CL107*(1+FixedParams!$D$24)+CM107*(1+FixedParams!$D$27)/$CE$12))</f>
        <v>234.25099339881581</v>
      </c>
      <c r="CR107" s="24">
        <f t="shared" si="92"/>
        <v>40.906620941199826</v>
      </c>
      <c r="CS107" s="24">
        <f>CR107^((FixedParams!$B$47-1)/FixedParams!$B$47)*EXP($C107)</f>
        <v>0.32359199567289243</v>
      </c>
      <c r="CT107" s="24"/>
    </row>
    <row r="108" spans="1:98" x14ac:dyDescent="0.15">
      <c r="A108">
        <v>0.45500000000000002</v>
      </c>
      <c r="B108">
        <f t="shared" si="56"/>
        <v>0.22311668178271668</v>
      </c>
      <c r="C108">
        <f>(D108-$D$17)*FixedParams!$B$47+$A108*$B$9</f>
        <v>-1.1370518982208999</v>
      </c>
      <c r="D108">
        <f>(A108-$B$6)*FixedParams!$B$46/(FixedParams!$B$45*Sectors!$B$6)</f>
        <v>-2.4450814345176361E-2</v>
      </c>
      <c r="E108">
        <f t="shared" si="57"/>
        <v>0.32076327203248467</v>
      </c>
      <c r="F108" s="24">
        <f>EXP(-$D$17)*(($B108*FixedParams!$B$30)^$B$10*(1+FixedParams!$B$23)^(1-$B$10)+(1-$B108)^$B$10*((1+FixedParams!$B$26)/$B$11)^(1-$B$10))^(1/(1-$B$10))</f>
        <v>4.9614944299627535</v>
      </c>
      <c r="G108" s="24">
        <f>EXP($D108-$D$17)*(($B108*FixedParams!$B$31)^$B$10*(1+FixedParams!$B$25)^(1-$B$10)+(1-$B108)^$B$10*((1+FixedParams!$B$28)/$B$11)^(1-$B$10))^(1/(1-$B$10))</f>
        <v>4.6629607299512603</v>
      </c>
      <c r="H108">
        <f t="shared" si="58"/>
        <v>1</v>
      </c>
      <c r="I108" s="24">
        <f>$B$12*IF(H108=1,1,FixedParams!$B$52)</f>
        <v>0.3745928365283252</v>
      </c>
      <c r="J108">
        <f>EXP($C108*FixedParams!$B$47)*EXP(IF(H108=1,(1-FixedParams!$B$47)*$D108,0))*($B108^((FixedParams!$B$47-1)*$B$10/($B$10-1)))*((1/$B108-1)^$B$10*(I108)^($B$10-1)+1)^((FixedParams!$B$47-$B$10)/($B$10-1))/((1+IF(H108=1,FixedParams!$B$25,FixedParams!$B$24))^FixedParams!$B$47)</f>
        <v>6.4496056123077142E-2</v>
      </c>
      <c r="K108">
        <f t="shared" si="87"/>
        <v>1.300407047118229</v>
      </c>
      <c r="L108">
        <f>K108*FixedParams!$B$8/K$15</f>
        <v>37.806902364556755</v>
      </c>
      <c r="M108">
        <f t="shared" si="47"/>
        <v>56.317832025111763</v>
      </c>
      <c r="N108">
        <f t="shared" si="59"/>
        <v>94.124734389668518</v>
      </c>
      <c r="O108" s="24">
        <f t="shared" si="60"/>
        <v>1.4896177285846262</v>
      </c>
      <c r="P108" s="24">
        <f t="shared" si="48"/>
        <v>1.8232878641240338</v>
      </c>
      <c r="Q108" s="23">
        <f>IF(H108=1,L108*(1+FixedParams!$B$25)+M108*FixedParams!$B$33*(1+FixedParams!$B$28)/FixedParams!$B$32,L108*(1+FixedParams!$B$23)+M108*FixedParams!$B$33*(1+FixedParams!$B$26)/FixedParams!$B$32)</f>
        <v>188.48077629729667</v>
      </c>
      <c r="R108" s="24">
        <f t="shared" si="49"/>
        <v>40.420837148947378</v>
      </c>
      <c r="S108" s="24">
        <f>R108^((FixedParams!$B$47-1)/FixedParams!$B$47)*EXP($C108)</f>
        <v>0.31957766662023773</v>
      </c>
      <c r="T108" s="7">
        <f>(L108*FixedParams!$B$32*(FixedParams!$C$25-FixedParams!$C$23)+FixedParams!$B$33*(FixedParams!$C$28-FixedParams!$C$26)*M108)/N108</f>
        <v>99.036242124413931</v>
      </c>
      <c r="U108" s="7">
        <f>(L108*FixedParams!$B$32*(FixedParams!$C$25-FixedParams!$C$23)*$Z$12/$B$11+FixedParams!$B$33*(FixedParams!$C$28-FixedParams!$C$26)*M108)/N108</f>
        <v>-304.37247135113631</v>
      </c>
      <c r="V108" s="14">
        <f t="shared" si="50"/>
        <v>-1.3804351411878231</v>
      </c>
      <c r="W108" s="14">
        <f t="shared" si="61"/>
        <v>0.68807817181367548</v>
      </c>
      <c r="X108" s="73">
        <f t="shared" si="62"/>
        <v>0.96942214669224791</v>
      </c>
      <c r="Y108" s="24">
        <f>EXP(-$D$17)*(($B108*FixedParams!$B$30)^$B$10*(1+FixedParams!$C$24)^(1-$B$10)+(1-$B108)^$B$10*((1+FixedParams!$C$27)/$Z$12)^(1-$B$10))^(1/(1-$B$10))</f>
        <v>6.4918110932917044</v>
      </c>
      <c r="Z108" s="24">
        <f>EXP($D108-$D$17)*(($B108*FixedParams!$C$31)^$B$10*(1+FixedParams!$C$25)^(1-$B$10)+(1-$B108)^$B$10*((1+FixedParams!$C$28)/$Z$12)^(1-$B$10))^(1/(1-$B$10))</f>
        <v>5.6805426896699487</v>
      </c>
      <c r="AA108" s="24">
        <f>EXP($D108-$D$17)*(($B108*FixedParams!$C$30)^$B$10*(1+FixedParams!$C$23)^(1-$B$10)+(1-$B108)^$B$10*((1+FixedParams!$C$26)/$Z$12)^(1-$B$10))^(1/(1-$B$10))</f>
        <v>5.7162585220602598</v>
      </c>
      <c r="AB108">
        <f>IF(FixedParams!$I$6=1,IF(Z108&lt;=MIN(Y108:AA108),1,0),$H108)</f>
        <v>1</v>
      </c>
      <c r="AC108">
        <f>IF(FixedParams!$I$6=1,IF(AA108&lt;=MIN(Y108:AA108),1,0),IF(AA108&lt;=Y108,1,0)*(1-$H108))</f>
        <v>0</v>
      </c>
      <c r="AD108" s="24">
        <f>$Z$13*IF(AB108=1,1,IF(AC108=1,FixedParams!$C$52,FixedParams!$C$53))</f>
        <v>0.43187184563106507</v>
      </c>
      <c r="AE108">
        <f>EXP($C108*FixedParams!$B$47)*EXP(IF(AB108+AC108=1,(1-FixedParams!$B$47)*$D108,0))*($B108^((FixedParams!$B$47-1)*$B$10/($B$10-1)))*((1/$B108-1)^$B$10*(AD108)^($B$10-1)+1)^((FixedParams!$B$47-$B$10)/($B$10-1))/((1+IF(AB108=1,FixedParams!$C$25,IF(AC108=1,FixedParams!$C$23,FixedParams!$C$24)))^FixedParams!$B$47)</f>
        <v>4.4596567434982866E-2</v>
      </c>
      <c r="AF108">
        <f t="shared" si="63"/>
        <v>1.3141351268972656</v>
      </c>
      <c r="AG108">
        <f t="shared" si="64"/>
        <v>30.867016113416529</v>
      </c>
      <c r="AH108">
        <f t="shared" si="51"/>
        <v>56.91970205627198</v>
      </c>
      <c r="AI108">
        <f t="shared" si="65"/>
        <v>87.786718169688513</v>
      </c>
      <c r="AJ108" s="24">
        <f t="shared" si="66"/>
        <v>1.8440299459827443</v>
      </c>
      <c r="AK108" s="24">
        <f t="shared" si="67"/>
        <v>1.8972661623537999</v>
      </c>
      <c r="AL108" s="23">
        <f>IF(AB108=1,AG108*(1+FixedParams!$C$25)+AH108*(1+FixedParams!$C$28)/$Z$12,IF(AC108=1,AG108*(1+FixedParams!$C$23)+AH108*(1+FixedParams!$C$26)/$Z$12,AG108*(1+FixedParams!$C$24)+AH108*(1+FixedParams!$C$27)/$Z$12))</f>
        <v>222.59124002564729</v>
      </c>
      <c r="AM108" s="24">
        <f t="shared" si="68"/>
        <v>39.18485472003033</v>
      </c>
      <c r="AN108" s="24">
        <f>AM108^((FixedParams!$B$47-1)/FixedParams!$B$47)*EXP($C108)</f>
        <v>0.31958760122871482</v>
      </c>
      <c r="AO108" s="24">
        <f t="shared" si="69"/>
        <v>-6.9710648722465199E-2</v>
      </c>
      <c r="AP108" s="24">
        <f t="shared" si="70"/>
        <v>-3.1055110058923526E-2</v>
      </c>
      <c r="AQ108" s="14">
        <f t="shared" si="71"/>
        <v>-1.4515797530697077</v>
      </c>
      <c r="AS108" s="24">
        <f>EXP(-$D$17)*(($B108*FixedParams!$B$30)^$B$10*(1+FixedParams!$D$24)^(1-$B$10)+(1-$B108)^$B$10*((1+FixedParams!$D$27)/$AT$12)^(1-$B$10))^(1/(1-$B$10))</f>
        <v>6.098354400777346</v>
      </c>
      <c r="AT108" s="24">
        <f>EXP($D108-$D$17)*(($B108*FixedParams!$C$31)^$B$10*(1+FixedParams!$D$25)^(1-$B$10)+(1-$B108)^$B$10*((1+FixedParams!$D$28)/$AT$12)^(1-$B$10))^(1/(1-$B$10))</f>
        <v>5.5338699127183517</v>
      </c>
      <c r="AU108" s="24">
        <f>EXP($D108-$D$17)*(($B108*FixedParams!$C$30)^$B$10*(1+FixedParams!$D$23)^(1-$B$10)+(1-$B108)^$B$10*((1+FixedParams!$D$26)/$AT$12)^(1-$B$10))^(1/(1-$B$10))</f>
        <v>5.5407067148574249</v>
      </c>
      <c r="AV108">
        <f>IF(FixedParams!$I$6=1,IF(AT108&lt;=MIN(AS108:AU108),1,0),$H108)</f>
        <v>1</v>
      </c>
      <c r="AW108">
        <f>IF(FixedParams!$I$6=1,IF(AU108&lt;=MIN(AS108:AU108),1,0),IF(AU108&lt;=AS108,1,0)*(1-$H108))</f>
        <v>0</v>
      </c>
      <c r="AX108" s="24">
        <f>$AT$13*IF(AV108=1,1,IF(AW108=1,FixedParams!$D$52,FixedParams!$D$53))</f>
        <v>0.41089128090616783</v>
      </c>
      <c r="AY108">
        <f>EXP($C108*FixedParams!$B$47)*EXP(IF(AV108+AW108=1,(1-FixedParams!$B$47)*$D108,0))*($B108^((FixedParams!$B$47-1)*$B$10/($B$10-1)))*((1/$B108-1)^$B$10*(AX108)^($B$10-1)+1)^((FixedParams!$B$47-$B$10)/($B$10-1))/((1+IF(AV108=1,FixedParams!$D$25,IF(AW108=1,FixedParams!$D$23,FixedParams!$D$24)))^FixedParams!$B$47)</f>
        <v>4.8626649462189614E-2</v>
      </c>
      <c r="AZ108">
        <f t="shared" si="52"/>
        <v>1.3093980367502673</v>
      </c>
      <c r="BA108">
        <f t="shared" si="72"/>
        <v>32.94427948197076</v>
      </c>
      <c r="BB108">
        <f t="shared" si="53"/>
        <v>56.377528419176073</v>
      </c>
      <c r="BC108">
        <f t="shared" si="73"/>
        <v>89.321807901146826</v>
      </c>
      <c r="BD108" s="24">
        <f t="shared" si="74"/>
        <v>1.7112994822069034</v>
      </c>
      <c r="BE108" s="24">
        <f t="shared" si="75"/>
        <v>1.8739219637113556</v>
      </c>
      <c r="BF108" s="23">
        <f>IF(AV108=1,BA108*(1+FixedParams!$C$25)+BB108*(1+FixedParams!$C$28)/$AT$12,IF(AW108=1,BA108*(1+FixedParams!$C$23)+BB108*(1+FixedParams!$C$26)/$AT$12,BA108*(1+FixedParams!$C$24)+BB108*(1+FixedParams!$C$27)/$AT$12))</f>
        <v>221.27135756842094</v>
      </c>
      <c r="BG108" s="24">
        <f t="shared" si="76"/>
        <v>39.984922135570741</v>
      </c>
      <c r="BH108" s="24">
        <f>BG108^((FixedParams!$B$47-1)/FixedParams!$B$47)*EXP($C108)</f>
        <v>0.3195811352840558</v>
      </c>
      <c r="BI108" s="7"/>
      <c r="BJ108" s="24">
        <f>EXP(-$D$17)*(($B108*FixedParams!$B$30)^$B$10*(1+FixedParams!$C$24)^(1-$B$10)+(1-$B108)^$B$10*((1+FixedParams!$C$27)/$BK$12)^(1-$B$10))^(1/(1-$B$10))</f>
        <v>6.7639071478169841</v>
      </c>
      <c r="BK108" s="24">
        <f>EXP($D108-$D$17)*(($B108*FixedParams!$C$31)^$B$10*(1+FixedParams!$C$25)^(1-$B$10)+(1-$B108)^$B$10*((1+FixedParams!$C$28)/$BK$12)^(1-$B$10))^(1/(1-$B$10))</f>
        <v>5.9163072062291189</v>
      </c>
      <c r="BL108" s="24">
        <f>EXP($D108-$D$17)*(($B108*FixedParams!$C$30)^$B$10*(1+FixedParams!$C$23)^(1-$B$10)+(1-$B108)^$B$10*((1+FixedParams!$C$26)/$BK$12)^(1-$B$10))^(1/(1-$B$10))</f>
        <v>5.9482649405993691</v>
      </c>
      <c r="BM108">
        <f>IF(FixedParams!$I$6=1,IF(BK108&lt;=MIN(BJ108:BL108),1,0),$H108)</f>
        <v>1</v>
      </c>
      <c r="BN108">
        <f>IF(FixedParams!$I$6=1,IF(BL108&lt;=MIN(BJ108:BL108),1,0),IF(BL108&lt;=BJ108,1,0)*(1-$H108))</f>
        <v>0</v>
      </c>
      <c r="BO108" s="24">
        <f>$BK$13*IF(BM108=1,1,IF(BN108=1,FixedParams!$C$52,FixedParams!$C$53))</f>
        <v>0.41068174962109105</v>
      </c>
      <c r="BP108">
        <f>EXP($C108*FixedParams!$B$47)*EXP(IF(BM108+BN108=1,(1-FixedParams!$B$47)*$D108,0))*($B108^((FixedParams!$B$47-1)*$B$10/($B$10-1)))*((1/$B108-1)^$B$10*(BO108)^($B$10-1)+1)^((FixedParams!$B$47-$B$10)/($B$10-1))/((1+IF(BM108=1,FixedParams!$C$25,IF(BN108=1,FixedParams!$C$23,FixedParams!$C$24)))^FixedParams!$B$47)</f>
        <v>4.5514475040669675E-2</v>
      </c>
      <c r="BQ108">
        <f t="shared" si="77"/>
        <v>1.3093491413235161</v>
      </c>
      <c r="BR108">
        <f t="shared" si="78"/>
        <v>33.39384849110327</v>
      </c>
      <c r="BS108">
        <f t="shared" si="54"/>
        <v>57.103168699280609</v>
      </c>
      <c r="BT108">
        <f t="shared" si="79"/>
        <v>90.497017190383872</v>
      </c>
      <c r="BU108" s="24">
        <f t="shared" si="80"/>
        <v>1.709990650358671</v>
      </c>
      <c r="BV108" s="24">
        <f t="shared" si="81"/>
        <v>1.8790557304529654</v>
      </c>
      <c r="BW108" s="23">
        <f>IF(BM108=1,BR108*(1+FixedParams!$C$25)+BS108*(1+FixedParams!$C$28)/$BK$12,IF(BN108=1,BR108*(1+FixedParams!$C$23)+BS108*(1+FixedParams!$C$26)/$BK$12,BR108*(1+FixedParams!$C$24)+BS108*(1+FixedParams!$C$27)/$BK$12))</f>
        <v>235.9660095677973</v>
      </c>
      <c r="BX108" s="24">
        <f t="shared" si="82"/>
        <v>39.884002189635304</v>
      </c>
      <c r="BY108" s="24">
        <f>BX108^((FixedParams!$B$47-1)/FixedParams!$B$47)*EXP($C108)</f>
        <v>0.31958194371996701</v>
      </c>
      <c r="BZ108" s="24">
        <f t="shared" si="83"/>
        <v>-3.9303973286328578E-2</v>
      </c>
      <c r="CA108" s="24">
        <f t="shared" si="84"/>
        <v>-1.3370127149863733E-2</v>
      </c>
      <c r="CB108" s="24">
        <f t="shared" si="85"/>
        <v>3.958328769543518E-3</v>
      </c>
      <c r="CC108" s="24"/>
      <c r="CD108" s="24">
        <f>EXP(-$D$17)*(($B108*FixedParams!$B$30)^$B$10*(1+FixedParams!$D$24)^(1-$B$10)+(1-$B108)^$B$10*((1+FixedParams!$D$27)/$CE$12)^(1-$B$10))^(1/(1-$B$10))</f>
        <v>6.3351059305486377</v>
      </c>
      <c r="CE108" s="24">
        <f>EXP($D108-$D$17)*(($B108*FixedParams!$D$31)^$B$10*(1+FixedParams!$D$25)^(1-$B$10)+(1-$B108)^$B$10*((1+FixedParams!$D$28)/$CE$12)^(1-$B$10))^(1/(1-$B$10))</f>
        <v>5.7472525460597383</v>
      </c>
      <c r="CF108" s="24">
        <f>EXP($D108-$D$17)*(($B108*FixedParams!$D$30)^$B$10*(1+FixedParams!$D$23)^(1-$B$10)+(1-$B108)^$B$10*((1+FixedParams!$D$26)/$CE$12)^(1-$B$10))^(1/(1-$B$10))</f>
        <v>5.7505484821270345</v>
      </c>
      <c r="CG108">
        <f>IF(FixedParams!$I$6=1,IF(CE108&lt;=MIN(CD108:CF108),1,0),$H108)</f>
        <v>1</v>
      </c>
      <c r="CH108">
        <f>IF(FixedParams!$I$6=1,IF(CF108&lt;=MIN(CD108:CF108),1,0),IF(CF108&lt;=CD108,1,0)*(1-$H108))</f>
        <v>0</v>
      </c>
      <c r="CI108" s="24">
        <f>$CE$13*IF(CG108=1,1,IF(CH108=1,FixedParams!$D$52,FixedParams!$D$53))</f>
        <v>0.39201585704839609</v>
      </c>
      <c r="CJ108">
        <f>EXP($C108*FixedParams!$B$47)*EXP(IF(CG108+CH108=1,(1-FixedParams!$B$47)*$D108,0))*($B108^((FixedParams!$B$47-1)*$B$10/($B$10-1)))*((1/$B108-1)^$B$10*(CI108)^($B$10-1)+1)^((FixedParams!$B$47-$B$10)/($B$10-1))/((1+IF(CG108=1,FixedParams!$D$25,IF(CH108=1,FixedParams!$D$23,FixedParams!$D$24)))^FixedParams!$B$47)</f>
        <v>4.9557164031824801E-2</v>
      </c>
      <c r="CK108">
        <f t="shared" si="86"/>
        <v>1.3048579790147938</v>
      </c>
      <c r="CL108">
        <f t="shared" si="88"/>
        <v>35.649087667816374</v>
      </c>
      <c r="CM108">
        <f t="shared" si="55"/>
        <v>56.851182475065528</v>
      </c>
      <c r="CN108">
        <f t="shared" si="89"/>
        <v>92.500270142881902</v>
      </c>
      <c r="CO108" s="24">
        <f t="shared" si="90"/>
        <v>1.5947443874248199</v>
      </c>
      <c r="CP108" s="24">
        <f t="shared" si="91"/>
        <v>1.8567761370127314</v>
      </c>
      <c r="CQ108" s="23">
        <f>IF(CG108=1,CL108*(1+FixedParams!$D$25)+CM108*(1+FixedParams!$D$28)/$CE$12,IF(CH108=1,CL108*(1+FixedParams!$D$23)+CM108*(1+FixedParams!$D$26)/$CE$12,CL108*(1+FixedParams!$D$24)+CM108*(1+FixedParams!$D$27)/$CE$12))</f>
        <v>231.34594828329514</v>
      </c>
      <c r="CR108" s="24">
        <f t="shared" si="92"/>
        <v>40.253311722294811</v>
      </c>
      <c r="CS108" s="24">
        <f>CR108^((FixedParams!$B$47-1)/FixedParams!$B$47)*EXP($C108)</f>
        <v>0.31957899520355965</v>
      </c>
      <c r="CT108" s="24"/>
    </row>
    <row r="109" spans="1:98" x14ac:dyDescent="0.15">
      <c r="A109">
        <v>0.46</v>
      </c>
      <c r="B109">
        <f t="shared" si="56"/>
        <v>0.2251187854243453</v>
      </c>
      <c r="C109">
        <f>(D109-$D$17)*FixedParams!$B$47+$A109*$B$9</f>
        <v>-1.1495469740255253</v>
      </c>
      <c r="D109">
        <f>(A109-$B$6)*FixedParams!$B$46/(FixedParams!$B$45*Sectors!$B$6)</f>
        <v>-2.1734057195712315E-2</v>
      </c>
      <c r="E109">
        <f t="shared" si="57"/>
        <v>0.31678024655704601</v>
      </c>
      <c r="F109" s="24">
        <f>EXP(-$D$17)*(($B109*FixedParams!$B$30)^$B$10*(1+FixedParams!$B$23)^(1-$B$10)+(1-$B109)^$B$10*((1+FixedParams!$B$26)/$B$11)^(1-$B$10))^(1/(1-$B$10))</f>
        <v>4.9658195439461172</v>
      </c>
      <c r="G109" s="24">
        <f>EXP($D109-$D$17)*(($B109*FixedParams!$B$31)^$B$10*(1+FixedParams!$B$25)^(1-$B$10)+(1-$B109)^$B$10*((1+FixedParams!$B$28)/$B$11)^(1-$B$10))^(1/(1-$B$10))</f>
        <v>4.6791659499081977</v>
      </c>
      <c r="H109">
        <f t="shared" si="58"/>
        <v>1</v>
      </c>
      <c r="I109" s="24">
        <f>$B$12*IF(H109=1,1,FixedParams!$B$52)</f>
        <v>0.3745928365283252</v>
      </c>
      <c r="J109">
        <f>EXP($C109*FixedParams!$B$47)*EXP(IF(H109=1,(1-FixedParams!$B$47)*$D109,0))*($B109^((FixedParams!$B$47-1)*$B$10/($B$10-1)))*((1/$B109-1)^$B$10*(I109)^($B$10-1)+1)^((FixedParams!$B$47-$B$10)/($B$10-1))/((1+IF(H109=1,FixedParams!$B$25,FixedParams!$B$24))^FixedParams!$B$47)</f>
        <v>6.4579770898376271E-2</v>
      </c>
      <c r="K109">
        <f t="shared" si="87"/>
        <v>1.3020949531746733</v>
      </c>
      <c r="L109">
        <f>K109*FixedParams!$B$8/K$15</f>
        <v>37.855975075765102</v>
      </c>
      <c r="M109">
        <f t="shared" si="47"/>
        <v>55.425386737337121</v>
      </c>
      <c r="N109">
        <f t="shared" si="59"/>
        <v>93.281361813102222</v>
      </c>
      <c r="O109" s="24">
        <f t="shared" si="60"/>
        <v>1.4641119830200788</v>
      </c>
      <c r="P109" s="24">
        <f t="shared" si="48"/>
        <v>1.8296243491587798</v>
      </c>
      <c r="Q109" s="23">
        <f>IF(H109=1,L109*(1+FixedParams!$B$25)+M109*FixedParams!$B$33*(1+FixedParams!$B$28)/FixedParams!$B$32,L109*(1+FixedParams!$B$23)+M109*FixedParams!$B$33*(1+FixedParams!$B$26)/FixedParams!$B$32)</f>
        <v>186.14331871507545</v>
      </c>
      <c r="R109" s="24">
        <f t="shared" si="49"/>
        <v>39.781303058663148</v>
      </c>
      <c r="S109" s="24">
        <f>R109^((FixedParams!$B$47-1)/FixedParams!$B$47)*EXP($C109)</f>
        <v>0.31561440174715699</v>
      </c>
      <c r="T109" s="7">
        <f>(L109*FixedParams!$B$32*(FixedParams!$C$25-FixedParams!$C$23)+FixedParams!$B$33*(FixedParams!$C$28-FixedParams!$C$26)*M109)/N109</f>
        <v>146.20419641577766</v>
      </c>
      <c r="U109" s="7">
        <f>(L109*FixedParams!$B$32*(FixedParams!$C$25-FixedParams!$C$23)*$Z$12/$B$11+FixedParams!$B$33*(FixedParams!$C$28-FixedParams!$C$26)*M109)/N109</f>
        <v>-261.38015521068888</v>
      </c>
      <c r="V109" s="14">
        <f t="shared" si="50"/>
        <v>-1.3631645158917391</v>
      </c>
      <c r="W109" s="14">
        <f t="shared" si="61"/>
        <v>0.69265342409332098</v>
      </c>
      <c r="X109" s="73">
        <f t="shared" si="62"/>
        <v>0.96904624333999201</v>
      </c>
      <c r="Y109" s="24">
        <f>EXP(-$D$17)*(($B109*FixedParams!$B$30)^$B$10*(1+FixedParams!$C$24)^(1-$B$10)+(1-$B109)^$B$10*((1+FixedParams!$C$27)/$Z$12)^(1-$B$10))^(1/(1-$B$10))</f>
        <v>6.5009723966538067</v>
      </c>
      <c r="Z109" s="24">
        <f>EXP($D109-$D$17)*(($B109*FixedParams!$C$31)^$B$10*(1+FixedParams!$C$25)^(1-$B$10)+(1-$B109)^$B$10*((1+FixedParams!$C$28)/$Z$12)^(1-$B$10))^(1/(1-$B$10))</f>
        <v>5.7024977341158367</v>
      </c>
      <c r="AA109" s="24">
        <f>EXP($D109-$D$17)*(($B109*FixedParams!$C$30)^$B$10*(1+FixedParams!$C$23)^(1-$B$10)+(1-$B109)^$B$10*((1+FixedParams!$C$26)/$Z$12)^(1-$B$10))^(1/(1-$B$10))</f>
        <v>5.7348914421536117</v>
      </c>
      <c r="AB109">
        <f>IF(FixedParams!$I$6=1,IF(Z109&lt;=MIN(Y109:AA109),1,0),$H109)</f>
        <v>1</v>
      </c>
      <c r="AC109">
        <f>IF(FixedParams!$I$6=1,IF(AA109&lt;=MIN(Y109:AA109),1,0),IF(AA109&lt;=Y109,1,0)*(1-$H109))</f>
        <v>0</v>
      </c>
      <c r="AD109" s="24">
        <f>$Z$13*IF(AB109=1,1,IF(AC109=1,FixedParams!$C$52,FixedParams!$C$53))</f>
        <v>0.43187184563106507</v>
      </c>
      <c r="AE109">
        <f>EXP($C109*FixedParams!$B$47)*EXP(IF(AB109+AC109=1,(1-FixedParams!$B$47)*$D109,0))*($B109^((FixedParams!$B$47-1)*$B$10/($B$10-1)))*((1/$B109-1)^$B$10*(AD109)^($B$10-1)+1)^((FixedParams!$B$47-$B$10)/($B$10-1))/((1+IF(AB109=1,FixedParams!$C$25,IF(AC109=1,FixedParams!$C$23,FixedParams!$C$24)))^FixedParams!$B$47)</f>
        <v>4.4663139153045602E-2</v>
      </c>
      <c r="AF109">
        <f t="shared" si="63"/>
        <v>1.3160968077663524</v>
      </c>
      <c r="AG109">
        <f t="shared" si="64"/>
        <v>30.913092984627212</v>
      </c>
      <c r="AH109">
        <f t="shared" si="51"/>
        <v>56.028615692900217</v>
      </c>
      <c r="AI109">
        <f t="shared" si="65"/>
        <v>86.94170867752743</v>
      </c>
      <c r="AJ109" s="24">
        <f t="shared" si="66"/>
        <v>1.8124558328978182</v>
      </c>
      <c r="AK109" s="24">
        <f t="shared" si="67"/>
        <v>1.9045990115542655</v>
      </c>
      <c r="AL109" s="23">
        <f>IF(AB109=1,AG109*(1+FixedParams!$C$25)+AH109*(1+FixedParams!$C$28)/$Z$12,IF(AC109=1,AG109*(1+FixedParams!$C$23)+AH109*(1+FixedParams!$C$26)/$Z$12,AG109*(1+FixedParams!$C$24)+AH109*(1+FixedParams!$C$27)/$Z$12))</f>
        <v>219.83084447580541</v>
      </c>
      <c r="AM109" s="24">
        <f t="shared" si="68"/>
        <v>38.549922284167259</v>
      </c>
      <c r="AN109" s="24">
        <f>AM109^((FixedParams!$B$47-1)/FixedParams!$B$47)*EXP($C109)</f>
        <v>0.31562433568369724</v>
      </c>
      <c r="AO109" s="24">
        <f t="shared" si="69"/>
        <v>-7.0382442799426709E-2</v>
      </c>
      <c r="AP109" s="24">
        <f t="shared" si="70"/>
        <v>-3.1442945484974998E-2</v>
      </c>
      <c r="AQ109" s="14">
        <f t="shared" si="71"/>
        <v>-1.434309127773624</v>
      </c>
      <c r="AS109" s="24">
        <f>EXP(-$D$17)*(($B109*FixedParams!$B$30)^$B$10*(1+FixedParams!$D$24)^(1-$B$10)+(1-$B109)^$B$10*((1+FixedParams!$D$27)/$AT$12)^(1-$B$10))^(1/(1-$B$10))</f>
        <v>6.1056296141914093</v>
      </c>
      <c r="AT109" s="24">
        <f>EXP($D109-$D$17)*(($B109*FixedParams!$C$31)^$B$10*(1+FixedParams!$D$25)^(1-$B$10)+(1-$B109)^$B$10*((1+FixedParams!$D$28)/$AT$12)^(1-$B$10))^(1/(1-$B$10))</f>
        <v>5.5545138837785144</v>
      </c>
      <c r="AU109" s="24">
        <f>EXP($D109-$D$17)*(($B109*FixedParams!$C$30)^$B$10*(1+FixedParams!$D$23)^(1-$B$10)+(1-$B109)^$B$10*((1+FixedParams!$D$26)/$AT$12)^(1-$B$10))^(1/(1-$B$10))</f>
        <v>5.5586802538682312</v>
      </c>
      <c r="AV109">
        <f>IF(FixedParams!$I$6=1,IF(AT109&lt;=MIN(AS109:AU109),1,0),$H109)</f>
        <v>1</v>
      </c>
      <c r="AW109">
        <f>IF(FixedParams!$I$6=1,IF(AU109&lt;=MIN(AS109:AU109),1,0),IF(AU109&lt;=AS109,1,0)*(1-$H109))</f>
        <v>0</v>
      </c>
      <c r="AX109" s="24">
        <f>$AT$13*IF(AV109=1,1,IF(AW109=1,FixedParams!$D$52,FixedParams!$D$53))</f>
        <v>0.41089128090616783</v>
      </c>
      <c r="AY109">
        <f>EXP($C109*FixedParams!$B$47)*EXP(IF(AV109+AW109=1,(1-FixedParams!$B$47)*$D109,0))*($B109^((FixedParams!$B$47-1)*$B$10/($B$10-1)))*((1/$B109-1)^$B$10*(AX109)^($B$10-1)+1)^((FixedParams!$B$47-$B$10)/($B$10-1))/((1+IF(AV109=1,FixedParams!$D$25,IF(AW109=1,FixedParams!$D$23,FixedParams!$D$24)))^FixedParams!$B$47)</f>
        <v>4.8695968562743309E-2</v>
      </c>
      <c r="AZ109">
        <f t="shared" si="52"/>
        <v>1.3112646324375741</v>
      </c>
      <c r="BA109">
        <f t="shared" si="72"/>
        <v>32.991242779819508</v>
      </c>
      <c r="BB109">
        <f t="shared" si="53"/>
        <v>55.491205219010986</v>
      </c>
      <c r="BC109">
        <f t="shared" si="73"/>
        <v>88.482447998830494</v>
      </c>
      <c r="BD109" s="24">
        <f t="shared" si="74"/>
        <v>1.6819980256383229</v>
      </c>
      <c r="BE109" s="24">
        <f t="shared" si="75"/>
        <v>1.880912585355524</v>
      </c>
      <c r="BF109" s="23">
        <f>IF(AV109=1,BA109*(1+FixedParams!$C$25)+BB109*(1+FixedParams!$C$28)/$AT$12,IF(AW109=1,BA109*(1+FixedParams!$C$23)+BB109*(1+FixedParams!$C$26)/$AT$12,BA109*(1+FixedParams!$C$24)+BB109*(1+FixedParams!$C$27)/$AT$12))</f>
        <v>218.56569811912112</v>
      </c>
      <c r="BG109" s="24">
        <f t="shared" si="76"/>
        <v>39.349203673326599</v>
      </c>
      <c r="BH109" s="24">
        <f>BG109^((FixedParams!$B$47-1)/FixedParams!$B$47)*EXP($C109)</f>
        <v>0.31561785213338661</v>
      </c>
      <c r="BI109" s="7"/>
      <c r="BJ109" s="24">
        <f>EXP(-$D$17)*(($B109*FixedParams!$B$30)^$B$10*(1+FixedParams!$C$24)^(1-$B$10)+(1-$B109)^$B$10*((1+FixedParams!$C$27)/$BK$12)^(1-$B$10))^(1/(1-$B$10))</f>
        <v>6.772564458302087</v>
      </c>
      <c r="BK109" s="24">
        <f>EXP($D109-$D$17)*(($B109*FixedParams!$C$31)^$B$10*(1+FixedParams!$C$25)^(1-$B$10)+(1-$B109)^$B$10*((1+FixedParams!$C$28)/$BK$12)^(1-$B$10))^(1/(1-$B$10))</f>
        <v>5.9383696391408938</v>
      </c>
      <c r="BL109" s="24">
        <f>EXP($D109-$D$17)*(($B109*FixedParams!$C$30)^$B$10*(1+FixedParams!$C$23)^(1-$B$10)+(1-$B109)^$B$10*((1+FixedParams!$C$26)/$BK$12)^(1-$B$10))^(1/(1-$B$10))</f>
        <v>5.9667920383683493</v>
      </c>
      <c r="BM109">
        <f>IF(FixedParams!$I$6=1,IF(BK109&lt;=MIN(BJ109:BL109),1,0),$H109)</f>
        <v>1</v>
      </c>
      <c r="BN109">
        <f>IF(FixedParams!$I$6=1,IF(BL109&lt;=MIN(BJ109:BL109),1,0),IF(BL109&lt;=BJ109,1,0)*(1-$H109))</f>
        <v>0</v>
      </c>
      <c r="BO109" s="24">
        <f>$BK$13*IF(BM109=1,1,IF(BN109=1,FixedParams!$C$52,FixedParams!$C$53))</f>
        <v>0.41068174962109105</v>
      </c>
      <c r="BP109">
        <f>EXP($C109*FixedParams!$B$47)*EXP(IF(BM109+BN109=1,(1-FixedParams!$B$47)*$D109,0))*($B109^((FixedParams!$B$47-1)*$B$10/($B$10-1)))*((1/$B109-1)^$B$10*(BO109)^($B$10-1)+1)^((FixedParams!$B$47-$B$10)/($B$10-1))/((1+IF(BM109=1,FixedParams!$C$25,IF(BN109=1,FixedParams!$C$23,FixedParams!$C$24)))^FixedParams!$B$47)</f>
        <v>4.5579326044586886E-2</v>
      </c>
      <c r="BQ109">
        <f t="shared" si="77"/>
        <v>1.31121475893675</v>
      </c>
      <c r="BR109">
        <f t="shared" si="78"/>
        <v>33.441429499065514</v>
      </c>
      <c r="BS109">
        <f t="shared" si="54"/>
        <v>56.205398615360785</v>
      </c>
      <c r="BT109">
        <f t="shared" si="79"/>
        <v>89.646828114426299</v>
      </c>
      <c r="BU109" s="24">
        <f t="shared" si="80"/>
        <v>1.6807116040578165</v>
      </c>
      <c r="BV109" s="24">
        <f t="shared" si="81"/>
        <v>1.8860628954877623</v>
      </c>
      <c r="BW109" s="23">
        <f>IF(BM109=1,BR109*(1+FixedParams!$C$25)+BS109*(1+FixedParams!$C$28)/$BK$12,IF(BN109=1,BR109*(1+FixedParams!$C$23)+BS109*(1+FixedParams!$C$26)/$BK$12,BR109*(1+FixedParams!$C$24)+BS109*(1+FixedParams!$C$27)/$BK$12))</f>
        <v>233.03971945968095</v>
      </c>
      <c r="BX109" s="24">
        <f t="shared" si="82"/>
        <v>39.243047102301112</v>
      </c>
      <c r="BY109" s="24">
        <f>BX109^((FixedParams!$B$47-1)/FixedParams!$B$47)*EXP($C109)</f>
        <v>0.31561870561481248</v>
      </c>
      <c r="BZ109" s="24">
        <f t="shared" si="83"/>
        <v>-3.9742503032356734E-2</v>
      </c>
      <c r="CA109" s="24">
        <f t="shared" si="84"/>
        <v>-1.3622744871204615E-2</v>
      </c>
      <c r="CB109" s="24">
        <f t="shared" si="85"/>
        <v>3.7057110482026367E-3</v>
      </c>
      <c r="CC109" s="24"/>
      <c r="CD109" s="24">
        <f>EXP(-$D$17)*(($B109*FixedParams!$B$30)^$B$10*(1+FixedParams!$D$24)^(1-$B$10)+(1-$B109)^$B$10*((1+FixedParams!$D$27)/$CE$12)^(1-$B$10))^(1/(1-$B$10))</f>
        <v>6.341866341856095</v>
      </c>
      <c r="CE109" s="24">
        <f>EXP($D109-$D$17)*(($B109*FixedParams!$D$31)^$B$10*(1+FixedParams!$D$25)^(1-$B$10)+(1-$B109)^$B$10*((1+FixedParams!$D$28)/$CE$12)^(1-$B$10))^(1/(1-$B$10))</f>
        <v>5.7679519384064823</v>
      </c>
      <c r="CF109" s="24">
        <f>EXP($D109-$D$17)*(($B109*FixedParams!$D$30)^$B$10*(1+FixedParams!$D$23)^(1-$B$10)+(1-$B109)^$B$10*((1+FixedParams!$D$26)/$CE$12)^(1-$B$10))^(1/(1-$B$10))</f>
        <v>5.7684228453423687</v>
      </c>
      <c r="CG109">
        <f>IF(FixedParams!$I$6=1,IF(CE109&lt;=MIN(CD109:CF109),1,0),$H109)</f>
        <v>1</v>
      </c>
      <c r="CH109">
        <f>IF(FixedParams!$I$6=1,IF(CF109&lt;=MIN(CD109:CF109),1,0),IF(CF109&lt;=CD109,1,0)*(1-$H109))</f>
        <v>0</v>
      </c>
      <c r="CI109" s="24">
        <f>$CE$13*IF(CG109=1,1,IF(CH109=1,FixedParams!$D$52,FixedParams!$D$53))</f>
        <v>0.39201585704839609</v>
      </c>
      <c r="CJ109">
        <f>EXP($C109*FixedParams!$B$47)*EXP(IF(CG109+CH109=1,(1-FixedParams!$B$47)*$D109,0))*($B109^((FixedParams!$B$47-1)*$B$10/($B$10-1)))*((1/$B109-1)^$B$10*(CI109)^($B$10-1)+1)^((FixedParams!$B$47-$B$10)/($B$10-1))/((1+IF(CG109=1,FixedParams!$D$25,IF(CH109=1,FixedParams!$D$23,FixedParams!$D$24)))^FixedParams!$B$47)</f>
        <v>4.962461747764943E-2</v>
      </c>
      <c r="CK109">
        <f t="shared" si="86"/>
        <v>1.3066340525394973</v>
      </c>
      <c r="CL109">
        <f t="shared" si="88"/>
        <v>35.697610496970889</v>
      </c>
      <c r="CM109">
        <f t="shared" si="55"/>
        <v>55.95381359018802</v>
      </c>
      <c r="CN109">
        <f t="shared" si="89"/>
        <v>91.651424087158915</v>
      </c>
      <c r="CO109" s="24">
        <f t="shared" si="90"/>
        <v>1.5674386271578589</v>
      </c>
      <c r="CP109" s="24">
        <f t="shared" si="91"/>
        <v>1.8634635302414226</v>
      </c>
      <c r="CQ109" s="23">
        <f>IF(CG109=1,CL109*(1+FixedParams!$D$25)+CM109*(1+FixedParams!$D$28)/$CE$12,IF(CH109=1,CL109*(1+FixedParams!$D$23)+CM109*(1+FixedParams!$D$26)/$CE$12,CL109*(1+FixedParams!$D$24)+CM109*(1+FixedParams!$D$27)/$CE$12))</f>
        <v>228.47692401749779</v>
      </c>
      <c r="CR109" s="24">
        <f t="shared" si="92"/>
        <v>39.611447261923502</v>
      </c>
      <c r="CS109" s="24">
        <f>CR109^((FixedParams!$B$47-1)/FixedParams!$B$47)*EXP($C109)</f>
        <v>0.31561575357827126</v>
      </c>
      <c r="CT109" s="24"/>
    </row>
    <row r="110" spans="1:98" x14ac:dyDescent="0.15">
      <c r="A110">
        <v>0.46500000000000002</v>
      </c>
      <c r="B110">
        <f t="shared" si="56"/>
        <v>0.22713360213152742</v>
      </c>
      <c r="C110">
        <f>(D110-$D$17)*FixedParams!$B$47+$A110*$B$9</f>
        <v>-1.1620420498301505</v>
      </c>
      <c r="D110">
        <f>(A110-$B$6)*FixedParams!$B$46/(FixedParams!$B$45*Sectors!$B$6)</f>
        <v>-1.901730004624827E-2</v>
      </c>
      <c r="E110">
        <f t="shared" si="57"/>
        <v>0.31284667964909701</v>
      </c>
      <c r="F110" s="24">
        <f>EXP(-$D$17)*(($B110*FixedParams!$B$30)^$B$10*(1+FixedParams!$B$23)^(1-$B$10)+(1-$B110)^$B$10*((1+FixedParams!$B$26)/$B$11)^(1-$B$10))^(1/(1-$B$10))</f>
        <v>4.9700183652080892</v>
      </c>
      <c r="G110" s="24">
        <f>EXP($D110-$D$17)*(($B110*FixedParams!$B$31)^$B$10*(1+FixedParams!$B$25)^(1-$B$10)+(1-$B110)^$B$10*((1+FixedParams!$B$28)/$B$11)^(1-$B$10))^(1/(1-$B$10))</f>
        <v>4.6952988412749956</v>
      </c>
      <c r="H110">
        <f t="shared" si="58"/>
        <v>1</v>
      </c>
      <c r="I110" s="24">
        <f>$B$12*IF(H110=1,1,FixedParams!$B$52)</f>
        <v>0.3745928365283252</v>
      </c>
      <c r="J110">
        <f>EXP($C110*FixedParams!$B$47)*EXP(IF(H110=1,(1-FixedParams!$B$47)*$D110,0))*($B110^((FixedParams!$B$47-1)*$B$10/($B$10-1)))*((1/$B110-1)^$B$10*(I110)^($B$10-1)+1)^((FixedParams!$B$47-$B$10)/($B$10-1))/((1+IF(H110=1,FixedParams!$B$25,FixedParams!$B$24))^FixedParams!$B$47)</f>
        <v>6.4660463779143862E-2</v>
      </c>
      <c r="K110">
        <f t="shared" si="87"/>
        <v>1.3037219300335714</v>
      </c>
      <c r="L110">
        <f>K110*FixedParams!$B$8/K$15</f>
        <v>37.903276384528439</v>
      </c>
      <c r="M110">
        <f t="shared" si="47"/>
        <v>54.544442874460771</v>
      </c>
      <c r="N110">
        <f t="shared" si="59"/>
        <v>92.44771925898921</v>
      </c>
      <c r="O110" s="24">
        <f t="shared" si="60"/>
        <v>1.43904295557745</v>
      </c>
      <c r="P110" s="24">
        <f t="shared" si="48"/>
        <v>1.8359325526255976</v>
      </c>
      <c r="Q110" s="23">
        <f>IF(H110=1,L110*(1+FixedParams!$B$25)+M110*FixedParams!$B$33*(1+FixedParams!$B$28)/FixedParams!$B$32,L110*(1+FixedParams!$B$23)+M110*FixedParams!$B$33*(1+FixedParams!$B$26)/FixedParams!$B$32)</f>
        <v>183.83484424036425</v>
      </c>
      <c r="R110" s="24">
        <f t="shared" si="49"/>
        <v>39.15295925880713</v>
      </c>
      <c r="S110" s="24">
        <f>R110^((FixedParams!$B$47-1)/FixedParams!$B$47)*EXP($C110)</f>
        <v>0.31170027904152409</v>
      </c>
      <c r="T110" s="7">
        <f>(L110*FixedParams!$B$32*(FixedParams!$C$25-FixedParams!$C$23)+FixedParams!$B$33*(FixedParams!$C$28-FixedParams!$C$26)*M110)/N110</f>
        <v>193.52582936687924</v>
      </c>
      <c r="U110" s="7">
        <f>(L110*FixedParams!$B$32*(FixedParams!$C$25-FixedParams!$C$23)*$Z$12/$B$11+FixedParams!$B$33*(FixedParams!$C$28-FixedParams!$C$26)*M110)/N110</f>
        <v>-218.24776512336879</v>
      </c>
      <c r="V110" s="14">
        <f t="shared" si="50"/>
        <v>-1.3458938905956557</v>
      </c>
      <c r="W110" s="14">
        <f t="shared" si="61"/>
        <v>0.69718778797980863</v>
      </c>
      <c r="X110" s="73">
        <f t="shared" si="62"/>
        <v>0.96866654738164482</v>
      </c>
      <c r="Y110" s="24">
        <f>EXP(-$D$17)*(($B110*FixedParams!$B$30)^$B$10*(1+FixedParams!$C$24)^(1-$B$10)+(1-$B110)^$B$10*((1+FixedParams!$C$27)/$Z$12)^(1-$B$10))^(1/(1-$B$10))</f>
        <v>6.5100137320515659</v>
      </c>
      <c r="Z110" s="24">
        <f>EXP($D110-$D$17)*(($B110*FixedParams!$C$31)^$B$10*(1+FixedParams!$C$25)^(1-$B$10)+(1-$B110)^$B$10*((1+FixedParams!$C$28)/$Z$12)^(1-$B$10))^(1/(1-$B$10))</f>
        <v>5.72440408852398</v>
      </c>
      <c r="AA110" s="24">
        <f>EXP($D110-$D$17)*(($B110*FixedParams!$C$30)^$B$10*(1+FixedParams!$C$23)^(1-$B$10)+(1-$B110)^$B$10*((1+FixedParams!$C$26)/$Z$12)^(1-$B$10))^(1/(1-$B$10))</f>
        <v>5.7534148747452925</v>
      </c>
      <c r="AB110">
        <f>IF(FixedParams!$I$6=1,IF(Z110&lt;=MIN(Y110:AA110),1,0),$H110)</f>
        <v>1</v>
      </c>
      <c r="AC110">
        <f>IF(FixedParams!$I$6=1,IF(AA110&lt;=MIN(Y110:AA110),1,0),IF(AA110&lt;=Y110,1,0)*(1-$H110))</f>
        <v>0</v>
      </c>
      <c r="AD110" s="24">
        <f>$Z$13*IF(AB110=1,1,IF(AC110=1,FixedParams!$C$52,FixedParams!$C$53))</f>
        <v>0.43187184563106507</v>
      </c>
      <c r="AE110">
        <f>EXP($C110*FixedParams!$B$47)*EXP(IF(AB110+AC110=1,(1-FixedParams!$B$47)*$D110,0))*($B110^((FixedParams!$B$47-1)*$B$10/($B$10-1)))*((1/$B110-1)^$B$10*(AD110)^($B$10-1)+1)^((FixedParams!$B$47-$B$10)/($B$10-1))/((1+IF(AB110=1,FixedParams!$C$25,IF(AC110=1,FixedParams!$C$23,FixedParams!$C$24)))^FixedParams!$B$47)</f>
        <v>4.4727735943505736E-2</v>
      </c>
      <c r="AF110">
        <f t="shared" si="63"/>
        <v>1.3180002930862089</v>
      </c>
      <c r="AG110">
        <f t="shared" si="64"/>
        <v>30.957802931752955</v>
      </c>
      <c r="AH110">
        <f t="shared" si="51"/>
        <v>55.148921820570045</v>
      </c>
      <c r="AI110">
        <f t="shared" si="65"/>
        <v>86.106724752323004</v>
      </c>
      <c r="AJ110" s="24">
        <f t="shared" si="66"/>
        <v>1.7814223426044431</v>
      </c>
      <c r="AK110" s="24">
        <f t="shared" si="67"/>
        <v>1.911915598582945</v>
      </c>
      <c r="AL110" s="23">
        <f>IF(AB110=1,AG110*(1+FixedParams!$C$25)+AH110*(1+FixedParams!$C$28)/$Z$12,IF(AC110=1,AG110*(1+FixedParams!$C$23)+AH110*(1+FixedParams!$C$26)/$Z$12,AG110*(1+FixedParams!$C$24)+AH110*(1+FixedParams!$C$27)/$Z$12))</f>
        <v>217.10467604204487</v>
      </c>
      <c r="AM110" s="24">
        <f t="shared" si="68"/>
        <v>37.926161865002904</v>
      </c>
      <c r="AN110" s="24">
        <f>AM110^((FixedParams!$B$47-1)/FixedParams!$B$47)*EXP($C110)</f>
        <v>0.31171021206324134</v>
      </c>
      <c r="AO110" s="24">
        <f t="shared" si="69"/>
        <v>-7.1055775174510782E-2</v>
      </c>
      <c r="AP110" s="24">
        <f t="shared" si="70"/>
        <v>-3.1834846663544886E-2</v>
      </c>
      <c r="AQ110" s="14">
        <f t="shared" si="71"/>
        <v>-1.4170385024775407</v>
      </c>
      <c r="AS110" s="24">
        <f>EXP(-$D$17)*(($B110*FixedParams!$B$30)^$B$10*(1+FixedParams!$D$24)^(1-$B$10)+(1-$B110)^$B$10*((1+FixedParams!$D$27)/$AT$12)^(1-$B$10))^(1/(1-$B$10))</f>
        <v>6.1127742730545567</v>
      </c>
      <c r="AT110" s="24">
        <f>EXP($D110-$D$17)*(($B110*FixedParams!$C$31)^$B$10*(1+FixedParams!$D$25)^(1-$B$10)+(1-$B110)^$B$10*((1+FixedParams!$D$28)/$AT$12)^(1-$B$10))^(1/(1-$B$10))</f>
        <v>5.5750968780758354</v>
      </c>
      <c r="AU110" s="24">
        <f>EXP($D110-$D$17)*(($B110*FixedParams!$C$30)^$B$10*(1+FixedParams!$D$23)^(1-$B$10)+(1-$B110)^$B$10*((1+FixedParams!$D$26)/$AT$12)^(1-$B$10))^(1/(1-$B$10))</f>
        <v>5.5765462267716455</v>
      </c>
      <c r="AV110">
        <f>IF(FixedParams!$I$6=1,IF(AT110&lt;=MIN(AS110:AU110),1,0),$H110)</f>
        <v>1</v>
      </c>
      <c r="AW110">
        <f>IF(FixedParams!$I$6=1,IF(AU110&lt;=MIN(AS110:AU110),1,0),IF(AU110&lt;=AS110,1,0)*(1-$H110))</f>
        <v>0</v>
      </c>
      <c r="AX110" s="24">
        <f>$AT$13*IF(AV110=1,1,IF(AW110=1,FixedParams!$D$52,FixedParams!$D$53))</f>
        <v>0.41089128090616783</v>
      </c>
      <c r="AY110">
        <f>EXP($C110*FixedParams!$B$47)*EXP(IF(AV110+AW110=1,(1-FixedParams!$B$47)*$D110,0))*($B110^((FixedParams!$B$47-1)*$B$10/($B$10-1)))*((1/$B110-1)^$B$10*(AX110)^($B$10-1)+1)^((FixedParams!$B$47-$B$10)/($B$10-1))/((1+IF(AV110=1,FixedParams!$D$25,IF(AW110=1,FixedParams!$D$23,FixedParams!$D$24)))^FixedParams!$B$47)</f>
        <v>4.8763090297918275E-2</v>
      </c>
      <c r="AZ110">
        <f t="shared" si="52"/>
        <v>1.3130720583909026</v>
      </c>
      <c r="BA110">
        <f t="shared" si="72"/>
        <v>33.0367173750749</v>
      </c>
      <c r="BB110">
        <f t="shared" si="53"/>
        <v>54.61624429695447</v>
      </c>
      <c r="BC110">
        <f t="shared" si="73"/>
        <v>87.652961672029363</v>
      </c>
      <c r="BD110" s="24">
        <f t="shared" si="74"/>
        <v>1.653198278657086</v>
      </c>
      <c r="BE110" s="24">
        <f t="shared" si="75"/>
        <v>1.8878825585751777</v>
      </c>
      <c r="BF110" s="23">
        <f>IF(AV110=1,BA110*(1+FixedParams!$C$25)+BB110*(1+FixedParams!$C$28)/$AT$12,IF(AW110=1,BA110*(1+FixedParams!$C$23)+BB110*(1+FixedParams!$C$26)/$AT$12,BA110*(1+FixedParams!$C$24)+BB110*(1+FixedParams!$C$27)/$AT$12))</f>
        <v>215.89351074618594</v>
      </c>
      <c r="BG110" s="24">
        <f t="shared" si="76"/>
        <v>38.724620480621766</v>
      </c>
      <c r="BH110" s="24">
        <f>BG110^((FixedParams!$B$47-1)/FixedParams!$B$47)*EXP($C110)</f>
        <v>0.31170371132710967</v>
      </c>
      <c r="BI110" s="7"/>
      <c r="BJ110" s="24">
        <f>EXP(-$D$17)*(($B110*FixedParams!$B$30)^$B$10*(1+FixedParams!$C$24)^(1-$B$10)+(1-$B110)^$B$10*((1+FixedParams!$C$27)/$BK$12)^(1-$B$10))^(1/(1-$B$10))</f>
        <v>6.7810847396666318</v>
      </c>
      <c r="BK110" s="24">
        <f>EXP($D110-$D$17)*(($B110*FixedParams!$C$31)^$B$10*(1+FixedParams!$C$25)^(1-$B$10)+(1-$B110)^$B$10*((1+FixedParams!$C$28)/$BK$12)^(1-$B$10))^(1/(1-$B$10))</f>
        <v>5.960366733534542</v>
      </c>
      <c r="BL110" s="24">
        <f>EXP($D110-$D$17)*(($B110*FixedParams!$C$30)^$B$10*(1+FixedParams!$C$23)^(1-$B$10)+(1-$B110)^$B$10*((1+FixedParams!$C$26)/$BK$12)^(1-$B$10))^(1/(1-$B$10))</f>
        <v>5.9851911188719562</v>
      </c>
      <c r="BM110">
        <f>IF(FixedParams!$I$6=1,IF(BK110&lt;=MIN(BJ110:BL110),1,0),$H110)</f>
        <v>1</v>
      </c>
      <c r="BN110">
        <f>IF(FixedParams!$I$6=1,IF(BL110&lt;=MIN(BJ110:BL110),1,0),IF(BL110&lt;=BJ110,1,0)*(1-$H110))</f>
        <v>0</v>
      </c>
      <c r="BO110" s="24">
        <f>$BK$13*IF(BM110=1,1,IF(BN110=1,FixedParams!$C$52,FixedParams!$C$53))</f>
        <v>0.41068174962109105</v>
      </c>
      <c r="BP110">
        <f>EXP($C110*FixedParams!$B$47)*EXP(IF(BM110+BN110=1,(1-FixedParams!$B$47)*$D110,0))*($B110^((FixedParams!$B$47-1)*$B$10/($B$10-1)))*((1/$B110-1)^$B$10*(BO110)^($B$10-1)+1)^((FixedParams!$B$47-$B$10)/($B$10-1))/((1+IF(BM110=1,FixedParams!$C$25,IF(BN110=1,FixedParams!$C$23,FixedParams!$C$24)))^FixedParams!$B$47)</f>
        <v>4.5642119897212362E-2</v>
      </c>
      <c r="BQ110">
        <f t="shared" si="77"/>
        <v>1.3130211969313021</v>
      </c>
      <c r="BR110">
        <f t="shared" si="78"/>
        <v>33.487501180632179</v>
      </c>
      <c r="BS110">
        <f t="shared" si="54"/>
        <v>55.319137878319545</v>
      </c>
      <c r="BT110">
        <f t="shared" si="79"/>
        <v>88.806639058951731</v>
      </c>
      <c r="BU110" s="24">
        <f t="shared" si="80"/>
        <v>1.6519338836280177</v>
      </c>
      <c r="BV110" s="24">
        <f t="shared" si="81"/>
        <v>1.8930493086054212</v>
      </c>
      <c r="BW110" s="23">
        <f>IF(BM110=1,BR110*(1+FixedParams!$C$25)+BS110*(1+FixedParams!$C$28)/$BK$12,IF(BN110=1,BR110*(1+FixedParams!$C$23)+BS110*(1+FixedParams!$C$26)/$BK$12,BR110*(1+FixedParams!$C$24)+BS110*(1+FixedParams!$C$27)/$BK$12))</f>
        <v>230.14971351333088</v>
      </c>
      <c r="BX110" s="24">
        <f t="shared" si="82"/>
        <v>38.613347769097828</v>
      </c>
      <c r="BY110" s="24">
        <f>BX110^((FixedParams!$B$47-1)/FixedParams!$B$47)*EXP($C110)</f>
        <v>0.31170460917614118</v>
      </c>
      <c r="BZ110" s="24">
        <f t="shared" si="83"/>
        <v>-4.0181876153309225E-2</v>
      </c>
      <c r="CA110" s="24">
        <f t="shared" si="84"/>
        <v>-1.3877993465574756E-2</v>
      </c>
      <c r="CB110" s="24">
        <f t="shared" si="85"/>
        <v>3.4504624538324955E-3</v>
      </c>
      <c r="CC110" s="24"/>
      <c r="CD110" s="24">
        <f>EXP(-$D$17)*(($B110*FixedParams!$B$30)^$B$10*(1+FixedParams!$D$24)^(1-$B$10)+(1-$B110)^$B$10*((1+FixedParams!$D$27)/$CE$12)^(1-$B$10))^(1/(1-$B$10))</f>
        <v>6.3484808506849904</v>
      </c>
      <c r="CE110" s="24">
        <f>EXP($D110-$D$17)*(($B110*FixedParams!$D$31)^$B$10*(1+FixedParams!$D$25)^(1-$B$10)+(1-$B110)^$B$10*((1+FixedParams!$D$28)/$CE$12)^(1-$B$10))^(1/(1-$B$10))</f>
        <v>5.7885748214059731</v>
      </c>
      <c r="CF110" s="24">
        <f>EXP($D110-$D$17)*(($B110*FixedParams!$D$30)^$B$10*(1+FixedParams!$D$23)^(1-$B$10)+(1-$B110)^$B$10*((1+FixedParams!$D$26)/$CE$12)^(1-$B$10))^(1/(1-$B$10))</f>
        <v>5.7861728519813029</v>
      </c>
      <c r="CG110">
        <f>IF(FixedParams!$I$6=1,IF(CE110&lt;=MIN(CD110:CF110),1,0),$H110)</f>
        <v>0</v>
      </c>
      <c r="CH110">
        <f>IF(FixedParams!$I$6=1,IF(CF110&lt;=MIN(CD110:CF110),1,0),IF(CF110&lt;=CD110,1,0)*(1-$H110))</f>
        <v>1</v>
      </c>
      <c r="CI110" s="24">
        <f>$CE$13*IF(CG110=1,1,IF(CH110=1,FixedParams!$D$52,FixedParams!$D$53))</f>
        <v>0.32933267593211629</v>
      </c>
      <c r="CJ110">
        <f>EXP($C110*FixedParams!$B$47)*EXP(IF(CG110+CH110=1,(1-FixedParams!$B$47)*$D110,0))*($B110^((FixedParams!$B$47-1)*$B$10/($B$10-1)))*((1/$B110-1)^$B$10*(CI110)^($B$10-1)+1)^((FixedParams!$B$47-$B$10)/($B$10-1))/((1+IF(CG110=1,FixedParams!$D$25,IF(CH110=1,FixedParams!$D$23,FixedParams!$D$24)))^FixedParams!$B$47)</f>
        <v>6.1110237753801505E-2</v>
      </c>
      <c r="CK110">
        <f t="shared" si="86"/>
        <v>1.6090545714305029</v>
      </c>
      <c r="CL110">
        <f t="shared" si="88"/>
        <v>43.959824288721585</v>
      </c>
      <c r="CM110">
        <f t="shared" si="55"/>
        <v>52.148610147154628</v>
      </c>
      <c r="CN110">
        <f t="shared" si="89"/>
        <v>96.108434435876205</v>
      </c>
      <c r="CO110" s="24">
        <f t="shared" si="90"/>
        <v>1.1862788578191377</v>
      </c>
      <c r="CP110" s="24">
        <f t="shared" si="91"/>
        <v>1.8693501964787524</v>
      </c>
      <c r="CQ110" s="23">
        <f>IF(CG110=1,CL110*(1+FixedParams!$D$25)+CM110*(1+FixedParams!$D$28)/$CE$12,IF(CH110=1,CL110*(1+FixedParams!$D$23)+CM110*(1+FixedParams!$D$26)/$CE$12,CL110*(1+FixedParams!$D$24)+CM110*(1+FixedParams!$D$27)/$CE$12))</f>
        <v>225.64338026239324</v>
      </c>
      <c r="CR110" s="24">
        <f t="shared" si="92"/>
        <v>38.996999577212485</v>
      </c>
      <c r="CS110" s="24">
        <f>CR110^((FixedParams!$B$47-1)/FixedParams!$B$47)*EXP($C110)</f>
        <v>0.31170152437805765</v>
      </c>
      <c r="CT110" s="24"/>
    </row>
    <row r="111" spans="1:98" x14ac:dyDescent="0.15">
      <c r="A111">
        <v>0.47000000000000003</v>
      </c>
      <c r="B111">
        <f t="shared" si="56"/>
        <v>0.22916111855925059</v>
      </c>
      <c r="C111">
        <f>(D111-$D$17)*FixedParams!$B$47+$A111*$B$9</f>
        <v>-1.1745371256347759</v>
      </c>
      <c r="D111">
        <f>(A111-$B$6)*FixedParams!$B$46/(FixedParams!$B$45*Sectors!$B$6)</f>
        <v>-1.6300542896784228E-2</v>
      </c>
      <c r="E111">
        <f t="shared" si="57"/>
        <v>0.30896195716496377</v>
      </c>
      <c r="F111" s="24">
        <f>EXP(-$D$17)*(($B111*FixedParams!$B$30)^$B$10*(1+FixedParams!$B$23)^(1-$B$10)+(1-$B111)^$B$10*((1+FixedParams!$B$26)/$B$11)^(1-$B$10))^(1/(1-$B$10))</f>
        <v>4.9740878275674696</v>
      </c>
      <c r="G111" s="24">
        <f>EXP($D111-$D$17)*(($B111*FixedParams!$B$31)^$B$10*(1+FixedParams!$B$25)^(1-$B$10)+(1-$B111)^$B$10*((1+FixedParams!$B$28)/$B$11)^(1-$B$10))^(1/(1-$B$10))</f>
        <v>4.711355669586399</v>
      </c>
      <c r="H111">
        <f t="shared" si="58"/>
        <v>1</v>
      </c>
      <c r="I111" s="24">
        <f>$B$12*IF(H111=1,1,FixedParams!$B$52)</f>
        <v>0.3745928365283252</v>
      </c>
      <c r="J111">
        <f>EXP($C111*FixedParams!$B$47)*EXP(IF(H111=1,(1-FixedParams!$B$47)*$D111,0))*($B111^((FixedParams!$B$47-1)*$B$10/($B$10-1)))*((1/$B111-1)^$B$10*(I111)^($B$10-1)+1)^((FixedParams!$B$47-$B$10)/($B$10-1))/((1+IF(H111=1,FixedParams!$B$25,FixedParams!$B$24))^FixedParams!$B$47)</f>
        <v>6.4738091069012377E-2</v>
      </c>
      <c r="K111">
        <f t="shared" si="87"/>
        <v>1.3052870966633119</v>
      </c>
      <c r="L111">
        <f>K111*FixedParams!$B$8/K$15</f>
        <v>37.948780676500704</v>
      </c>
      <c r="M111">
        <f t="shared" si="47"/>
        <v>53.674875634081381</v>
      </c>
      <c r="N111">
        <f t="shared" si="59"/>
        <v>91.623656310582078</v>
      </c>
      <c r="O111" s="24">
        <f t="shared" si="60"/>
        <v>1.4144031686192979</v>
      </c>
      <c r="P111" s="24">
        <f t="shared" si="48"/>
        <v>1.8422110142923358</v>
      </c>
      <c r="Q111" s="23">
        <f>IF(H111=1,L111*(1+FixedParams!$B$25)+M111*FixedParams!$B$33*(1+FixedParams!$B$28)/FixedParams!$B$32,L111*(1+FixedParams!$B$23)+M111*FixedParams!$B$33*(1+FixedParams!$B$26)/FixedParams!$B$32)</f>
        <v>181.55499346187514</v>
      </c>
      <c r="R111" s="24">
        <f t="shared" si="49"/>
        <v>38.535616114461916</v>
      </c>
      <c r="S111" s="24">
        <f>R111^((FixedParams!$B$47-1)/FixedParams!$B$47)*EXP($C111)</f>
        <v>0.30783468910527151</v>
      </c>
      <c r="T111" s="7">
        <f>(L111*FixedParams!$B$32*(FixedParams!$C$25-FixedParams!$C$23)+FixedParams!$B$33*(FixedParams!$C$28-FixedParams!$C$26)*M111)/N111</f>
        <v>240.99480213771488</v>
      </c>
      <c r="U111" s="7">
        <f>(L111*FixedParams!$B$32*(FixedParams!$C$25-FixedParams!$C$23)*$Z$12/$B$11+FixedParams!$B$33*(FixedParams!$C$28-FixedParams!$C$26)*M111)/N111</f>
        <v>-174.98107877060232</v>
      </c>
      <c r="V111" s="14">
        <f t="shared" si="50"/>
        <v>-1.3286232652995724</v>
      </c>
      <c r="W111" s="14">
        <f t="shared" si="61"/>
        <v>0.70168173333241135</v>
      </c>
      <c r="X111" s="73">
        <f t="shared" si="62"/>
        <v>0.96828305863506126</v>
      </c>
      <c r="Y111" s="24">
        <f>EXP(-$D$17)*(($B111*FixedParams!$B$30)^$B$10*(1+FixedParams!$C$24)^(1-$B$10)+(1-$B111)^$B$10*((1+FixedParams!$C$27)/$Z$12)^(1-$B$10))^(1/(1-$B$10))</f>
        <v>6.518931039308594</v>
      </c>
      <c r="Z111" s="24">
        <f>EXP($D111-$D$17)*(($B111*FixedParams!$C$31)^$B$10*(1+FixedParams!$C$25)^(1-$B$10)+(1-$B111)^$B$10*((1+FixedParams!$C$28)/$Z$12)^(1-$B$10))^(1/(1-$B$10))</f>
        <v>5.7462573994897426</v>
      </c>
      <c r="AA111" s="24">
        <f>EXP($D111-$D$17)*(($B111*FixedParams!$C$30)^$B$10*(1+FixedParams!$C$23)^(1-$B$10)+(1-$B111)^$B$10*((1+FixedParams!$C$26)/$Z$12)^(1-$B$10))^(1/(1-$B$10))</f>
        <v>5.7718241797349368</v>
      </c>
      <c r="AB111">
        <f>IF(FixedParams!$I$6=1,IF(Z111&lt;=MIN(Y111:AA111),1,0),$H111)</f>
        <v>1</v>
      </c>
      <c r="AC111">
        <f>IF(FixedParams!$I$6=1,IF(AA111&lt;=MIN(Y111:AA111),1,0),IF(AA111&lt;=Y111,1,0)*(1-$H111))</f>
        <v>0</v>
      </c>
      <c r="AD111" s="24">
        <f>$Z$13*IF(AB111=1,1,IF(AC111=1,FixedParams!$C$52,FixedParams!$C$53))</f>
        <v>0.43187184563106507</v>
      </c>
      <c r="AE111">
        <f>EXP($C111*FixedParams!$B$47)*EXP(IF(AB111+AC111=1,(1-FixedParams!$B$47)*$D111,0))*($B111^((FixedParams!$B$47-1)*$B$10/($B$10-1)))*((1/$B111-1)^$B$10*(AD111)^($B$10-1)+1)^((FixedParams!$B$47-$B$10)/($B$10-1))/((1+IF(AB111=1,FixedParams!$C$25,IF(AC111=1,FixedParams!$C$23,FixedParams!$C$24)))^FixedParams!$B$47)</f>
        <v>4.4790326854036784E-2</v>
      </c>
      <c r="AF111">
        <f t="shared" si="63"/>
        <v>1.3198446707790268</v>
      </c>
      <c r="AG111">
        <f t="shared" si="64"/>
        <v>31.001124531486656</v>
      </c>
      <c r="AH111">
        <f t="shared" si="51"/>
        <v>54.280495734503752</v>
      </c>
      <c r="AI111">
        <f t="shared" si="65"/>
        <v>85.281620265990412</v>
      </c>
      <c r="AJ111" s="24">
        <f t="shared" si="66"/>
        <v>1.7509202183737924</v>
      </c>
      <c r="AK111" s="24">
        <f t="shared" si="67"/>
        <v>1.919214469429587</v>
      </c>
      <c r="AL111" s="23">
        <f>IF(AB111=1,AG111*(1+FixedParams!$C$25)+AH111*(1+FixedParams!$C$28)/$Z$12,IF(AC111=1,AG111*(1+FixedParams!$C$23)+AH111*(1+FixedParams!$C$26)/$Z$12,AG111*(1+FixedParams!$C$24)+AH111*(1+FixedParams!$C$27)/$Z$12))</f>
        <v>214.4123102758746</v>
      </c>
      <c r="AM111" s="24">
        <f t="shared" si="68"/>
        <v>37.31338423769774</v>
      </c>
      <c r="AN111" s="24">
        <f>AM111^((FixedParams!$B$47-1)/FixedParams!$B$47)*EXP($C111)</f>
        <v>0.30784462096117671</v>
      </c>
      <c r="AO111" s="24">
        <f t="shared" si="69"/>
        <v>-7.1730535399587583E-2</v>
      </c>
      <c r="AP111" s="24">
        <f t="shared" si="70"/>
        <v>-3.2230818505458642E-2</v>
      </c>
      <c r="AQ111" s="14">
        <f t="shared" si="71"/>
        <v>-1.3997678771814572</v>
      </c>
      <c r="AS111" s="24">
        <f>EXP(-$D$17)*(($B111*FixedParams!$B$30)^$B$10*(1+FixedParams!$D$24)^(1-$B$10)+(1-$B111)^$B$10*((1+FixedParams!$D$27)/$AT$12)^(1-$B$10))^(1/(1-$B$10))</f>
        <v>6.1197845585826922</v>
      </c>
      <c r="AT111" s="24">
        <f>EXP($D111-$D$17)*(($B111*FixedParams!$C$31)^$B$10*(1+FixedParams!$D$25)^(1-$B$10)+(1-$B111)^$B$10*((1+FixedParams!$D$28)/$AT$12)^(1-$B$10))^(1/(1-$B$10))</f>
        <v>5.5956145764348921</v>
      </c>
      <c r="AU111" s="24">
        <f>EXP($D111-$D$17)*(($B111*FixedParams!$C$30)^$B$10*(1+FixedParams!$D$23)^(1-$B$10)+(1-$B111)^$B$10*((1+FixedParams!$D$26)/$AT$12)^(1-$B$10))^(1/(1-$B$10))</f>
        <v>5.594300132814805</v>
      </c>
      <c r="AV111">
        <f>IF(FixedParams!$I$6=1,IF(AT111&lt;=MIN(AS111:AU111),1,0),$H111)</f>
        <v>0</v>
      </c>
      <c r="AW111">
        <f>IF(FixedParams!$I$6=1,IF(AU111&lt;=MIN(AS111:AU111),1,0),IF(AU111&lt;=AS111,1,0)*(1-$H111))</f>
        <v>1</v>
      </c>
      <c r="AX111" s="24">
        <f>$AT$13*IF(AV111=1,1,IF(AW111=1,FixedParams!$D$52,FixedParams!$D$53))</f>
        <v>0.3451899269505756</v>
      </c>
      <c r="AY111">
        <f>EXP($C111*FixedParams!$B$47)*EXP(IF(AV111+AW111=1,(1-FixedParams!$B$47)*$D111,0))*($B111^((FixedParams!$B$47-1)*$B$10/($B$10-1)))*((1/$B111-1)^$B$10*(AX111)^($B$10-1)+1)^((FixedParams!$B$47-$B$10)/($B$10-1))/((1+IF(AV111=1,FixedParams!$D$25,IF(AW111=1,FixedParams!$D$23,FixedParams!$D$24)))^FixedParams!$B$47)</f>
        <v>6.00557745449379E-2</v>
      </c>
      <c r="AZ111">
        <f t="shared" si="52"/>
        <v>1.6171567269055558</v>
      </c>
      <c r="BA111">
        <f t="shared" si="72"/>
        <v>40.687446965743902</v>
      </c>
      <c r="BB111">
        <f t="shared" si="53"/>
        <v>50.907483539209139</v>
      </c>
      <c r="BC111">
        <f t="shared" si="73"/>
        <v>91.594930504953041</v>
      </c>
      <c r="BD111" s="24">
        <f t="shared" si="74"/>
        <v>1.2511840219925772</v>
      </c>
      <c r="BE111" s="24">
        <f t="shared" si="75"/>
        <v>1.8943853136810387</v>
      </c>
      <c r="BF111" s="23">
        <f>IF(AV111=1,BA111*(1+FixedParams!$C$25)+BB111*(1+FixedParams!$C$28)/$AT$12,IF(AW111=1,BA111*(1+FixedParams!$C$23)+BB111*(1+FixedParams!$C$26)/$AT$12,BA111*(1+FixedParams!$C$24)+BB111*(1+FixedParams!$C$27)/$AT$12))</f>
        <v>214.21110549953403</v>
      </c>
      <c r="BG111" s="24">
        <f t="shared" si="76"/>
        <v>38.290956940801891</v>
      </c>
      <c r="BH111" s="24">
        <f>BG111^((FixedParams!$B$47-1)/FixedParams!$B$47)*EXP($C111)</f>
        <v>0.30783665171958102</v>
      </c>
      <c r="BI111" s="7"/>
      <c r="BJ111" s="24">
        <f>EXP(-$D$17)*(($B111*FixedParams!$B$30)^$B$10*(1+FixedParams!$C$24)^(1-$B$10)+(1-$B111)^$B$10*((1+FixedParams!$C$27)/$BK$12)^(1-$B$10))^(1/(1-$B$10))</f>
        <v>6.7894637541705185</v>
      </c>
      <c r="BK111" s="24">
        <f>EXP($D111-$D$17)*(($B111*FixedParams!$C$31)^$B$10*(1+FixedParams!$C$25)^(1-$B$10)+(1-$B111)^$B$10*((1+FixedParams!$C$28)/$BK$12)^(1-$B$10))^(1/(1-$B$10))</f>
        <v>5.9822938709534128</v>
      </c>
      <c r="BL111" s="24">
        <f>EXP($D111-$D$17)*(($B111*FixedParams!$C$30)^$B$10*(1+FixedParams!$C$23)^(1-$B$10)+(1-$B111)^$B$10*((1+FixedParams!$C$26)/$BK$12)^(1-$B$10))^(1/(1-$B$10))</f>
        <v>6.0034573291611268</v>
      </c>
      <c r="BM111">
        <f>IF(FixedParams!$I$6=1,IF(BK111&lt;=MIN(BJ111:BL111),1,0),$H111)</f>
        <v>1</v>
      </c>
      <c r="BN111">
        <f>IF(FixedParams!$I$6=1,IF(BL111&lt;=MIN(BJ111:BL111),1,0),IF(BL111&lt;=BJ111,1,0)*(1-$H111))</f>
        <v>0</v>
      </c>
      <c r="BO111" s="24">
        <f>$BK$13*IF(BM111=1,1,IF(BN111=1,FixedParams!$C$52,FixedParams!$C$53))</f>
        <v>0.41068174962109105</v>
      </c>
      <c r="BP111">
        <f>EXP($C111*FixedParams!$B$47)*EXP(IF(BM111+BN111=1,(1-FixedParams!$B$47)*$D111,0))*($B111^((FixedParams!$B$47-1)*$B$10/($B$10-1)))*((1/$B111-1)^$B$10*(BO111)^($B$10-1)+1)^((FixedParams!$B$47-$B$10)/($B$10-1))/((1+IF(BM111=1,FixedParams!$C$25,IF(BN111=1,FixedParams!$C$23,FixedParams!$C$24)))^FixedParams!$B$47)</f>
        <v>4.5702825243610641E-2</v>
      </c>
      <c r="BQ111">
        <f t="shared" si="77"/>
        <v>1.3147675532961578</v>
      </c>
      <c r="BR111">
        <f t="shared" si="78"/>
        <v>33.53204053077107</v>
      </c>
      <c r="BS111">
        <f t="shared" si="54"/>
        <v>54.444260896767545</v>
      </c>
      <c r="BT111">
        <f t="shared" si="79"/>
        <v>87.976301427538615</v>
      </c>
      <c r="BU111" s="24">
        <f t="shared" si="80"/>
        <v>1.6236489051957972</v>
      </c>
      <c r="BV111" s="24">
        <f t="shared" si="81"/>
        <v>1.9000135029555689</v>
      </c>
      <c r="BW111" s="23">
        <f>IF(BM111=1,BR111*(1+FixedParams!$C$25)+BS111*(1+FixedParams!$C$28)/$BK$12,IF(BN111=1,BR111*(1+FixedParams!$C$23)+BS111*(1+FixedParams!$C$26)/$BK$12,BR111*(1+FixedParams!$C$24)+BS111*(1+FixedParams!$C$27)/$BK$12))</f>
        <v>227.29554177378776</v>
      </c>
      <c r="BX111" s="24">
        <f t="shared" si="82"/>
        <v>37.994713512387698</v>
      </c>
      <c r="BY111" s="24">
        <f>BX111^((FixedParams!$B$47-1)/FixedParams!$B$47)*EXP($C111)</f>
        <v>0.30783904500482467</v>
      </c>
      <c r="BZ111" s="24">
        <f t="shared" si="83"/>
        <v>-4.0622018753181957E-2</v>
      </c>
      <c r="CA111" s="24">
        <f t="shared" si="84"/>
        <v>-1.4135875586730495E-2</v>
      </c>
      <c r="CB111" s="24">
        <f t="shared" si="85"/>
        <v>3.1925803326767564E-3</v>
      </c>
      <c r="CC111" s="24"/>
      <c r="CD111" s="24">
        <f>EXP(-$D$17)*(($B111*FixedParams!$B$30)^$B$10*(1+FixedParams!$D$24)^(1-$B$10)+(1-$B111)^$B$10*((1+FixedParams!$D$27)/$CE$12)^(1-$B$10))^(1/(1-$B$10))</f>
        <v>6.3549455021356929</v>
      </c>
      <c r="CE111" s="24">
        <f>EXP($D111-$D$17)*(($B111*FixedParams!$D$31)^$B$10*(1+FixedParams!$D$25)^(1-$B$10)+(1-$B111)^$B$10*((1+FixedParams!$D$28)/$CE$12)^(1-$B$10))^(1/(1-$B$10))</f>
        <v>5.8091166442199222</v>
      </c>
      <c r="CF111" s="24">
        <f>EXP($D111-$D$17)*(($B111*FixedParams!$D$30)^$B$10*(1+FixedParams!$D$23)^(1-$B$10)+(1-$B111)^$B$10*((1+FixedParams!$D$26)/$CE$12)^(1-$B$10))^(1/(1-$B$10))</f>
        <v>5.8037938096867254</v>
      </c>
      <c r="CG111">
        <f>IF(FixedParams!$I$6=1,IF(CE111&lt;=MIN(CD111:CF111),1,0),$H111)</f>
        <v>0</v>
      </c>
      <c r="CH111">
        <f>IF(FixedParams!$I$6=1,IF(CF111&lt;=MIN(CD111:CF111),1,0),IF(CF111&lt;=CD111,1,0)*(1-$H111))</f>
        <v>1</v>
      </c>
      <c r="CI111" s="24">
        <f>$CE$13*IF(CG111=1,1,IF(CH111=1,FixedParams!$D$52,FixedParams!$D$53))</f>
        <v>0.32933267593211629</v>
      </c>
      <c r="CJ111">
        <f>EXP($C111*FixedParams!$B$47)*EXP(IF(CG111+CH111=1,(1-FixedParams!$B$47)*$D111,0))*($B111^((FixedParams!$B$47-1)*$B$10/($B$10-1)))*((1/$B111-1)^$B$10*(CI111)^($B$10-1)+1)^((FixedParams!$B$47-$B$10)/($B$10-1))/((1+IF(CG111=1,FixedParams!$D$25,IF(CH111=1,FixedParams!$D$23,FixedParams!$D$24)))^FixedParams!$B$47)</f>
        <v>6.117216410593012E-2</v>
      </c>
      <c r="CK111">
        <f t="shared" si="86"/>
        <v>1.6106851145873795</v>
      </c>
      <c r="CL111">
        <f t="shared" si="88"/>
        <v>44.004371187219718</v>
      </c>
      <c r="CM111">
        <f t="shared" si="55"/>
        <v>51.307643974460497</v>
      </c>
      <c r="CN111">
        <f t="shared" si="89"/>
        <v>95.312015161680222</v>
      </c>
      <c r="CO111" s="24">
        <f t="shared" si="90"/>
        <v>1.1659669844199907</v>
      </c>
      <c r="CP111" s="24">
        <f t="shared" si="91"/>
        <v>1.8750430337982418</v>
      </c>
      <c r="CQ111" s="23">
        <f>IF(CG111=1,CL111*(1+FixedParams!$D$25)+CM111*(1+FixedParams!$D$28)/$CE$12,IF(CH111=1,CL111*(1+FixedParams!$D$23)+CM111*(1+FixedParams!$D$26)/$CE$12,CL111*(1+FixedParams!$D$24)+CM111*(1+FixedParams!$D$27)/$CE$12))</f>
        <v>222.84495253656584</v>
      </c>
      <c r="CR111" s="24">
        <f t="shared" si="92"/>
        <v>38.396428240546761</v>
      </c>
      <c r="CS111" s="24">
        <f>CR111^((FixedParams!$B$47-1)/FixedParams!$B$47)*EXP($C111)</f>
        <v>0.30783580411191075</v>
      </c>
      <c r="CT111" s="24"/>
    </row>
    <row r="112" spans="1:98" x14ac:dyDescent="0.15">
      <c r="A112">
        <v>0.47500000000000003</v>
      </c>
      <c r="B112">
        <f t="shared" si="56"/>
        <v>0.23120131949963652</v>
      </c>
      <c r="C112">
        <f>(D112-$D$17)*FixedParams!$B$47+$A112*$B$9</f>
        <v>-1.187032201439401</v>
      </c>
      <c r="D112">
        <f>(A112-$B$6)*FixedParams!$B$46/(FixedParams!$B$45*Sectors!$B$6)</f>
        <v>-1.3583785747320184E-2</v>
      </c>
      <c r="E112">
        <f t="shared" si="57"/>
        <v>0.30512547258700129</v>
      </c>
      <c r="F112" s="24">
        <f>EXP(-$D$17)*(($B112*FixedParams!$B$30)^$B$10*(1+FixedParams!$B$23)^(1-$B$10)+(1-$B112)^$B$10*((1+FixedParams!$B$26)/$B$11)^(1-$B$10))^(1/(1-$B$10))</f>
        <v>4.9780248592155525</v>
      </c>
      <c r="G112" s="24">
        <f>EXP($D112-$D$17)*(($B112*FixedParams!$B$31)^$B$10*(1+FixedParams!$B$25)^(1-$B$10)+(1-$B112)^$B$10*((1+FixedParams!$B$28)/$B$11)^(1-$B$10))^(1/(1-$B$10))</f>
        <v>4.7273326626291325</v>
      </c>
      <c r="H112">
        <f t="shared" si="58"/>
        <v>1</v>
      </c>
      <c r="I112" s="24">
        <f>$B$12*IF(H112=1,1,FixedParams!$B$52)</f>
        <v>0.3745928365283252</v>
      </c>
      <c r="J112">
        <f>EXP($C112*FixedParams!$B$47)*EXP(IF(H112=1,(1-FixedParams!$B$47)*$D112,0))*($B112^((FixedParams!$B$47-1)*$B$10/($B$10-1)))*((1/$B112-1)^$B$10*(I112)^($B$10-1)+1)^((FixedParams!$B$47-$B$10)/($B$10-1))/((1+IF(H112=1,FixedParams!$B$25,FixedParams!$B$24))^FixedParams!$B$47)</f>
        <v>6.4812609334536586E-2</v>
      </c>
      <c r="K112">
        <f t="shared" si="87"/>
        <v>1.3067895773334754</v>
      </c>
      <c r="L112">
        <f>K112*FixedParams!$B$8/K$15</f>
        <v>37.992462491458099</v>
      </c>
      <c r="M112">
        <f t="shared" si="47"/>
        <v>52.816561823261743</v>
      </c>
      <c r="N112">
        <f t="shared" si="59"/>
        <v>90.809024314719835</v>
      </c>
      <c r="O112" s="24">
        <f t="shared" si="60"/>
        <v>1.3901852725428516</v>
      </c>
      <c r="P112" s="24">
        <f t="shared" si="48"/>
        <v>1.8484582591667988</v>
      </c>
      <c r="Q112" s="23">
        <f>IF(H112=1,L112*(1+FixedParams!$B$25)+M112*FixedParams!$B$33*(1+FixedParams!$B$28)/FixedParams!$B$32,L112*(1+FixedParams!$B$23)+M112*FixedParams!$B$33*(1+FixedParams!$B$26)/FixedParams!$B$32)</f>
        <v>179.303411426812</v>
      </c>
      <c r="R112" s="24">
        <f t="shared" si="49"/>
        <v>37.929086912849371</v>
      </c>
      <c r="S112" s="24">
        <f>R112^((FixedParams!$B$47-1)/FixedParams!$B$47)*EXP($C112)</f>
        <v>0.30401703009990666</v>
      </c>
      <c r="T112" s="7">
        <f>(L112*FixedParams!$B$32*(FixedParams!$C$25-FixedParams!$C$23)+FixedParams!$B$33*(FixedParams!$C$28-FixedParams!$C$26)*M112)/N112</f>
        <v>288.60469227741788</v>
      </c>
      <c r="U112" s="7">
        <f>(L112*FixedParams!$B$32*(FixedParams!$C$25-FixedParams!$C$23)*$Z$12/$B$11+FixedParams!$B$33*(FixedParams!$C$28-FixedParams!$C$26)*M112)/N112</f>
        <v>-131.5859500428582</v>
      </c>
      <c r="V112" s="14">
        <f t="shared" si="50"/>
        <v>-1.3113526400034881</v>
      </c>
      <c r="W112" s="14">
        <f t="shared" si="61"/>
        <v>0.70613572271928093</v>
      </c>
      <c r="X112" s="73">
        <f t="shared" si="62"/>
        <v>0.96789577805785709</v>
      </c>
      <c r="Y112" s="24">
        <f>EXP(-$D$17)*(($B112*FixedParams!$B$30)^$B$10*(1+FixedParams!$C$24)^(1-$B$10)+(1-$B112)^$B$10*((1+FixedParams!$C$27)/$Z$12)^(1-$B$10))^(1/(1-$B$10))</f>
        <v>6.5277202272775092</v>
      </c>
      <c r="Z112" s="24">
        <f>EXP($D112-$D$17)*(($B112*FixedParams!$C$31)^$B$10*(1+FixedParams!$C$25)^(1-$B$10)+(1-$B112)^$B$10*((1+FixedParams!$C$28)/$Z$12)^(1-$B$10))^(1/(1-$B$10))</f>
        <v>5.7680532526464789</v>
      </c>
      <c r="AA112" s="24">
        <f>EXP($D112-$D$17)*(($B112*FixedParams!$C$30)^$B$10*(1+FixedParams!$C$23)^(1-$B$10)+(1-$B112)^$B$10*((1+FixedParams!$C$26)/$Z$12)^(1-$B$10))^(1/(1-$B$10))</f>
        <v>5.7901146798557255</v>
      </c>
      <c r="AB112">
        <f>IF(FixedParams!$I$6=1,IF(Z112&lt;=MIN(Y112:AA112),1,0),$H112)</f>
        <v>1</v>
      </c>
      <c r="AC112">
        <f>IF(FixedParams!$I$6=1,IF(AA112&lt;=MIN(Y112:AA112),1,0),IF(AA112&lt;=Y112,1,0)*(1-$H112))</f>
        <v>0</v>
      </c>
      <c r="AD112" s="24">
        <f>$Z$13*IF(AB112=1,1,IF(AC112=1,FixedParams!$C$52,FixedParams!$C$53))</f>
        <v>0.43187184563106507</v>
      </c>
      <c r="AE112">
        <f>EXP($C112*FixedParams!$B$47)*EXP(IF(AB112+AC112=1,(1-FixedParams!$B$47)*$D112,0))*($B112^((FixedParams!$B$47-1)*$B$10/($B$10-1)))*((1/$B112-1)^$B$10*(AD112)^($B$10-1)+1)^((FixedParams!$B$47-$B$10)/($B$10-1))/((1+IF(AB112=1,FixedParams!$C$25,IF(AC112=1,FixedParams!$C$23,FixedParams!$C$24)))^FixedParams!$B$47)</f>
        <v>4.4850881040095471E-2</v>
      </c>
      <c r="AF112">
        <f t="shared" si="63"/>
        <v>1.321629031943065</v>
      </c>
      <c r="AG112">
        <f t="shared" si="64"/>
        <v>31.04303643512214</v>
      </c>
      <c r="AH112">
        <f t="shared" si="51"/>
        <v>53.423214359428819</v>
      </c>
      <c r="AI112">
        <f t="shared" si="65"/>
        <v>84.466250794550959</v>
      </c>
      <c r="AJ112" s="24">
        <f t="shared" si="66"/>
        <v>1.7209403619739243</v>
      </c>
      <c r="AK112" s="24">
        <f t="shared" si="67"/>
        <v>1.9264941497230046</v>
      </c>
      <c r="AL112" s="23">
        <f>IF(AB112=1,AG112*(1+FixedParams!$C$25)+AH112*(1+FixedParams!$C$28)/$Z$12,IF(AC112=1,AG112*(1+FixedParams!$C$23)+AH112*(1+FixedParams!$C$26)/$Z$12,AG112*(1+FixedParams!$C$24)+AH112*(1+FixedParams!$C$27)/$Z$12))</f>
        <v>211.75332799404856</v>
      </c>
      <c r="AM112" s="24">
        <f t="shared" si="68"/>
        <v>36.711403088536429</v>
      </c>
      <c r="AN112" s="24">
        <f>AM112^((FixedParams!$B$47-1)/FixedParams!$B$47)*EXP($C112)</f>
        <v>0.30402696053096157</v>
      </c>
      <c r="AO112" s="24">
        <f t="shared" si="69"/>
        <v>-7.2406611693605891E-2</v>
      </c>
      <c r="AP112" s="24">
        <f t="shared" si="70"/>
        <v>-3.2630864797701553E-2</v>
      </c>
      <c r="AQ112" s="14">
        <f t="shared" si="71"/>
        <v>-1.3824972518853731</v>
      </c>
      <c r="AS112" s="24">
        <f>EXP(-$D$17)*(($B112*FixedParams!$B$30)^$B$10*(1+FixedParams!$D$24)^(1-$B$10)+(1-$B112)^$B$10*((1+FixedParams!$D$27)/$AT$12)^(1-$B$10))^(1/(1-$B$10))</f>
        <v>6.1266566316022795</v>
      </c>
      <c r="AT112" s="24">
        <f>EXP($D112-$D$17)*(($B112*FixedParams!$C$31)^$B$10*(1+FixedParams!$D$25)^(1-$B$10)+(1-$B112)^$B$10*((1+FixedParams!$D$28)/$AT$12)^(1-$B$10))^(1/(1-$B$10))</f>
        <v>5.6160626051111029</v>
      </c>
      <c r="AU112" s="24">
        <f>EXP($D112-$D$17)*(($B112*FixedParams!$C$30)^$B$10*(1+FixedParams!$D$23)^(1-$B$10)+(1-$B112)^$B$10*((1+FixedParams!$D$26)/$AT$12)^(1-$B$10))^(1/(1-$B$10))</f>
        <v>5.6119374358814369</v>
      </c>
      <c r="AV112">
        <f>IF(FixedParams!$I$6=1,IF(AT112&lt;=MIN(AS112:AU112),1,0),$H112)</f>
        <v>0</v>
      </c>
      <c r="AW112">
        <f>IF(FixedParams!$I$6=1,IF(AU112&lt;=MIN(AS112:AU112),1,0),IF(AU112&lt;=AS112,1,0)*(1-$H112))</f>
        <v>1</v>
      </c>
      <c r="AX112" s="24">
        <f>$AT$13*IF(AV112=1,1,IF(AW112=1,FixedParams!$D$52,FixedParams!$D$53))</f>
        <v>0.3451899269505756</v>
      </c>
      <c r="AY112">
        <f>EXP($C112*FixedParams!$B$47)*EXP(IF(AV112+AW112=1,(1-FixedParams!$B$47)*$D112,0))*($B112^((FixedParams!$B$47-1)*$B$10/($B$10-1)))*((1/$B112-1)^$B$10*(AX112)^($B$10-1)+1)^((FixedParams!$B$47-$B$10)/($B$10-1))/((1+IF(AV112=1,FixedParams!$D$25,IF(AW112=1,FixedParams!$D$23,FixedParams!$D$24)))^FixedParams!$B$47)</f>
        <v>6.0117744561440284E-2</v>
      </c>
      <c r="AZ112">
        <f t="shared" si="52"/>
        <v>1.6188254295376114</v>
      </c>
      <c r="BA112">
        <f t="shared" si="72"/>
        <v>40.729431300789322</v>
      </c>
      <c r="BB112">
        <f t="shared" si="53"/>
        <v>50.087458839290314</v>
      </c>
      <c r="BC112">
        <f t="shared" si="73"/>
        <v>90.816890140079636</v>
      </c>
      <c r="BD112" s="24">
        <f t="shared" si="74"/>
        <v>1.2297608201153458</v>
      </c>
      <c r="BE112" s="24">
        <f t="shared" si="75"/>
        <v>1.9003577940823642</v>
      </c>
      <c r="BF112" s="23">
        <f>IF(AV112=1,BA112*(1+FixedParams!$C$25)+BB112*(1+FixedParams!$C$28)/$AT$12,IF(AW112=1,BA112*(1+FixedParams!$C$23)+BB112*(1+FixedParams!$C$26)/$AT$12,BA112*(1+FixedParams!$C$24)+BB112*(1+FixedParams!$C$27)/$AT$12))</f>
        <v>211.56654226287634</v>
      </c>
      <c r="BG112" s="24">
        <f t="shared" si="76"/>
        <v>37.699376495213322</v>
      </c>
      <c r="BH112" s="24">
        <f>BG112^((FixedParams!$B$47-1)/FixedParams!$B$47)*EXP($C112)</f>
        <v>0.30401887877457501</v>
      </c>
      <c r="BI112" s="7"/>
      <c r="BJ112" s="24">
        <f>EXP(-$D$17)*(($B112*FixedParams!$B$30)^$B$10*(1+FixedParams!$C$24)^(1-$B$10)+(1-$B112)^$B$10*((1+FixedParams!$C$27)/$BK$12)^(1-$B$10))^(1/(1-$B$10))</f>
        <v>6.7976972375574682</v>
      </c>
      <c r="BK112" s="24">
        <f>EXP($D112-$D$17)*(($B112*FixedParams!$C$31)^$B$10*(1+FixedParams!$C$25)^(1-$B$10)+(1-$B112)^$B$10*((1+FixedParams!$C$28)/$BK$12)^(1-$B$10))^(1/(1-$B$10))</f>
        <v>6.0041463746550194</v>
      </c>
      <c r="BL112" s="24">
        <f>EXP($D112-$D$17)*(($B112*FixedParams!$C$30)^$B$10*(1+FixedParams!$C$23)^(1-$B$10)+(1-$B112)^$B$10*((1+FixedParams!$C$26)/$BK$12)^(1-$B$10))^(1/(1-$B$10))</f>
        <v>6.0215857842457874</v>
      </c>
      <c r="BM112">
        <f>IF(FixedParams!$I$6=1,IF(BK112&lt;=MIN(BJ112:BL112),1,0),$H112)</f>
        <v>1</v>
      </c>
      <c r="BN112">
        <f>IF(FixedParams!$I$6=1,IF(BL112&lt;=MIN(BJ112:BL112),1,0),IF(BL112&lt;=BJ112,1,0)*(1-$H112))</f>
        <v>0</v>
      </c>
      <c r="BO112" s="24">
        <f>$BK$13*IF(BM112=1,1,IF(BN112=1,FixedParams!$C$52,FixedParams!$C$53))</f>
        <v>0.41068174962109105</v>
      </c>
      <c r="BP112">
        <f>EXP($C112*FixedParams!$B$47)*EXP(IF(BM112+BN112=1,(1-FixedParams!$B$47)*$D112,0))*($B112^((FixedParams!$B$47-1)*$B$10/($B$10-1)))*((1/$B112-1)^$B$10*(BO112)^($B$10-1)+1)^((FixedParams!$B$47-$B$10)/($B$10-1))/((1+IF(BM112=1,FixedParams!$C$25,IF(BN112=1,FixedParams!$C$23,FixedParams!$C$24)))^FixedParams!$B$47)</f>
        <v>4.5761410864988646E-2</v>
      </c>
      <c r="BQ112">
        <f t="shared" si="77"/>
        <v>1.3164529299368122</v>
      </c>
      <c r="BR112">
        <f t="shared" si="78"/>
        <v>33.575024644337276</v>
      </c>
      <c r="BS112">
        <f t="shared" si="54"/>
        <v>53.580643713445816</v>
      </c>
      <c r="BT112">
        <f t="shared" si="79"/>
        <v>87.1556683577831</v>
      </c>
      <c r="BU112" s="24">
        <f t="shared" si="80"/>
        <v>1.5958482318637006</v>
      </c>
      <c r="BV112" s="24">
        <f t="shared" si="81"/>
        <v>1.9069539931758901</v>
      </c>
      <c r="BW112" s="23">
        <f>IF(BM112=1,BR112*(1+FixedParams!$C$25)+BS112*(1+FixedParams!$C$28)/$BK$12,IF(BN112=1,BR112*(1+FixedParams!$C$23)+BS112*(1+FixedParams!$C$26)/$BK$12,BR112*(1+FixedParams!$C$24)+BS112*(1+FixedParams!$C$27)/$BK$12))</f>
        <v>224.47675986775613</v>
      </c>
      <c r="BX112" s="24">
        <f t="shared" si="82"/>
        <v>37.386956589754007</v>
      </c>
      <c r="BY112" s="24">
        <f>BX112^((FixedParams!$B$47-1)/FixedParams!$B$47)*EXP($C112)</f>
        <v>0.30402141126129406</v>
      </c>
      <c r="BZ112" s="24">
        <f t="shared" si="83"/>
        <v>-4.1062856146377114E-2</v>
      </c>
      <c r="CA112" s="24">
        <f t="shared" si="84"/>
        <v>-1.4396393149991586E-2</v>
      </c>
      <c r="CB112" s="24">
        <f t="shared" si="85"/>
        <v>2.9320627694156658E-3</v>
      </c>
      <c r="CC112" s="24"/>
      <c r="CD112" s="24">
        <f>EXP(-$D$17)*(($B112*FixedParams!$B$30)^$B$10*(1+FixedParams!$D$24)^(1-$B$10)+(1-$B112)^$B$10*((1+FixedParams!$D$27)/$CE$12)^(1-$B$10))^(1/(1-$B$10))</f>
        <v>6.3612563255245123</v>
      </c>
      <c r="CE112" s="24">
        <f>EXP($D112-$D$17)*(($B112*FixedParams!$D$31)^$B$10*(1+FixedParams!$D$25)^(1-$B$10)+(1-$B112)^$B$10*((1+FixedParams!$D$28)/$CE$12)^(1-$B$10))^(1/(1-$B$10))</f>
        <v>5.8295728043606223</v>
      </c>
      <c r="CF112" s="24">
        <f>EXP($D112-$D$17)*(($B112*FixedParams!$D$30)^$B$10*(1+FixedParams!$D$23)^(1-$B$10)+(1-$B112)^$B$10*((1+FixedParams!$D$26)/$CE$12)^(1-$B$10))^(1/(1-$B$10))</f>
        <v>5.8212809954138347</v>
      </c>
      <c r="CG112">
        <f>IF(FixedParams!$I$6=1,IF(CE112&lt;=MIN(CD112:CF112),1,0),$H112)</f>
        <v>0</v>
      </c>
      <c r="CH112">
        <f>IF(FixedParams!$I$6=1,IF(CF112&lt;=MIN(CD112:CF112),1,0),IF(CF112&lt;=CD112,1,0)*(1-$H112))</f>
        <v>1</v>
      </c>
      <c r="CI112" s="24">
        <f>$CE$13*IF(CG112=1,1,IF(CH112=1,FixedParams!$D$52,FixedParams!$D$53))</f>
        <v>0.32933267593211629</v>
      </c>
      <c r="CJ112">
        <f>EXP($C112*FixedParams!$B$47)*EXP(IF(CG112+CH112=1,(1-FixedParams!$B$47)*$D112,0))*($B112^((FixedParams!$B$47-1)*$B$10/($B$10-1)))*((1/$B112-1)^$B$10*(CI112)^($B$10-1)+1)^((FixedParams!$B$47-$B$10)/($B$10-1))/((1+IF(CG112=1,FixedParams!$D$25,IF(CH112=1,FixedParams!$D$23,FixedParams!$D$24)))^FixedParams!$B$47)</f>
        <v>6.123101461207886E-2</v>
      </c>
      <c r="CK112">
        <f t="shared" si="86"/>
        <v>1.6122346696117134</v>
      </c>
      <c r="CL112">
        <f t="shared" si="88"/>
        <v>44.046705467116055</v>
      </c>
      <c r="CM112">
        <f t="shared" si="55"/>
        <v>50.47765210749089</v>
      </c>
      <c r="CN112">
        <f t="shared" si="89"/>
        <v>94.524357574606938</v>
      </c>
      <c r="CO112" s="24">
        <f t="shared" si="90"/>
        <v>1.1460028978824759</v>
      </c>
      <c r="CP112" s="24">
        <f t="shared" si="91"/>
        <v>1.8806926531426826</v>
      </c>
      <c r="CQ112" s="23">
        <f>IF(CG112=1,CL112*(1+FixedParams!$D$25)+CM112*(1+FixedParams!$D$28)/$CE$12,IF(CH112=1,CL112*(1+FixedParams!$D$23)+CM112*(1+FixedParams!$D$26)/$CE$12,CL112*(1+FixedParams!$D$24)+CM112*(1+FixedParams!$D$27)/$CE$12))</f>
        <v>220.08122380700763</v>
      </c>
      <c r="CR112" s="24">
        <f t="shared" si="92"/>
        <v>37.806322007199732</v>
      </c>
      <c r="CS112" s="24">
        <f>CR112^((FixedParams!$B$47-1)/FixedParams!$B$47)*EXP($C112)</f>
        <v>0.30401801669457551</v>
      </c>
      <c r="CT112" s="24"/>
    </row>
    <row r="113" spans="1:98" x14ac:dyDescent="0.15">
      <c r="A113">
        <v>0.48</v>
      </c>
      <c r="B113">
        <f t="shared" si="56"/>
        <v>0.23325418786192925</v>
      </c>
      <c r="C113">
        <f>(D113-$D$17)*FixedParams!$B$47+$A113*$B$9</f>
        <v>-1.1995272772440262</v>
      </c>
      <c r="D113">
        <f>(A113-$B$6)*FixedParams!$B$46/(FixedParams!$B$45*Sectors!$B$6)</f>
        <v>-1.0867028597856172E-2</v>
      </c>
      <c r="E113">
        <f t="shared" si="57"/>
        <v>0.30133662692889812</v>
      </c>
      <c r="F113" s="24">
        <f>EXP(-$D$17)*(($B113*FixedParams!$B$30)^$B$10*(1+FixedParams!$B$23)^(1-$B$10)+(1-$B113)^$B$10*((1+FixedParams!$B$26)/$B$11)^(1-$B$10))^(1/(1-$B$10))</f>
        <v>4.9818263845340489</v>
      </c>
      <c r="G113" s="24">
        <f>EXP($D113-$D$17)*(($B113*FixedParams!$B$31)^$B$10*(1+FixedParams!$B$25)^(1-$B$10)+(1-$B113)^$B$10*((1+FixedParams!$B$28)/$B$11)^(1-$B$10))^(1/(1-$B$10))</f>
        <v>4.7432260119979226</v>
      </c>
      <c r="H113">
        <f t="shared" si="58"/>
        <v>1</v>
      </c>
      <c r="I113" s="24">
        <f>$B$12*IF(H113=1,1,FixedParams!$B$52)</f>
        <v>0.3745928365283252</v>
      </c>
      <c r="J113">
        <f>EXP($C113*FixedParams!$B$47)*EXP(IF(H113=1,(1-FixedParams!$B$47)*$D113,0))*($B113^((FixedParams!$B$47-1)*$B$10/($B$10-1)))*((1/$B113-1)^$B$10*(I113)^($B$10-1)+1)^((FixedParams!$B$47-$B$10)/($B$10-1))/((1+IF(H113=1,FixedParams!$B$25,FixedParams!$B$24))^FixedParams!$B$47)</f>
        <v>6.4883975432554183E-2</v>
      </c>
      <c r="K113">
        <f t="shared" si="87"/>
        <v>1.3082285021664966</v>
      </c>
      <c r="L113">
        <f>K113*FixedParams!$B$8/K$15</f>
        <v>38.034296539337582</v>
      </c>
      <c r="M113">
        <f t="shared" si="47"/>
        <v>51.969379831843106</v>
      </c>
      <c r="N113">
        <f t="shared" si="59"/>
        <v>90.003676371180688</v>
      </c>
      <c r="O113" s="24">
        <f t="shared" si="60"/>
        <v>1.3663820435877641</v>
      </c>
      <c r="P113" s="24">
        <f t="shared" si="48"/>
        <v>1.8546727981051745</v>
      </c>
      <c r="Q113" s="23">
        <f>IF(H113=1,L113*(1+FixedParams!$B$25)+M113*FixedParams!$B$33*(1+FixedParams!$B$28)/FixedParams!$B$32,L113*(1+FixedParams!$B$23)+M113*FixedParams!$B$33*(1+FixedParams!$B$26)/FixedParams!$B$32)</f>
        <v>177.07974758557327</v>
      </c>
      <c r="R113" s="24">
        <f t="shared" si="49"/>
        <v>37.33318782146425</v>
      </c>
      <c r="S113" s="24">
        <f>R113^((FixedParams!$B$47-1)/FixedParams!$B$47)*EXP($C113)</f>
        <v>0.30024670765275174</v>
      </c>
      <c r="T113" s="7">
        <f>(L113*FixedParams!$B$32*(FixedParams!$C$25-FixedParams!$C$23)+FixedParams!$B$33*(FixedParams!$C$28-FixedParams!$C$26)*M113)/N113</f>
        <v>336.34899699787098</v>
      </c>
      <c r="U113" s="7">
        <f>(L113*FixedParams!$B$32*(FixedParams!$C$25-FixedParams!$C$23)*$Z$12/$B$11+FixedParams!$B$33*(FixedParams!$C$28-FixedParams!$C$26)*M113)/N113</f>
        <v>-88.068306055838562</v>
      </c>
      <c r="V113" s="14">
        <f t="shared" si="50"/>
        <v>-1.294082014707405</v>
      </c>
      <c r="W113" s="14">
        <f t="shared" si="61"/>
        <v>0.71055021150342601</v>
      </c>
      <c r="X113" s="73">
        <f t="shared" si="62"/>
        <v>0.96750470776970521</v>
      </c>
      <c r="Y113" s="24">
        <f>EXP(-$D$17)*(($B113*FixedParams!$B$30)^$B$10*(1+FixedParams!$C$24)^(1-$B$10)+(1-$B113)^$B$10*((1+FixedParams!$C$27)/$Z$12)^(1-$B$10))^(1/(1-$B$10))</f>
        <v>6.5363771756317055</v>
      </c>
      <c r="Z113" s="24">
        <f>EXP($D113-$D$17)*(($B113*FixedParams!$C$31)^$B$10*(1+FixedParams!$C$25)^(1-$B$10)+(1-$B113)^$B$10*((1+FixedParams!$C$28)/$Z$12)^(1-$B$10))^(1/(1-$B$10))</f>
        <v>5.7897871740088869</v>
      </c>
      <c r="AA113" s="24">
        <f>EXP($D113-$D$17)*(($B113*FixedParams!$C$30)^$B$10*(1+FixedParams!$C$23)^(1-$B$10)+(1-$B113)^$B$10*((1+FixedParams!$C$26)/$Z$12)^(1-$B$10))^(1/(1-$B$10))</f>
        <v>5.8082816628644052</v>
      </c>
      <c r="AB113">
        <f>IF(FixedParams!$I$6=1,IF(Z113&lt;=MIN(Y113:AA113),1,0),$H113)</f>
        <v>1</v>
      </c>
      <c r="AC113">
        <f>IF(FixedParams!$I$6=1,IF(AA113&lt;=MIN(Y113:AA113),1,0),IF(AA113&lt;=Y113,1,0)*(1-$H113))</f>
        <v>0</v>
      </c>
      <c r="AD113" s="24">
        <f>$Z$13*IF(AB113=1,1,IF(AC113=1,FixedParams!$C$52,FixedParams!$C$53))</f>
        <v>0.43187184563106507</v>
      </c>
      <c r="AE113">
        <f>EXP($C113*FixedParams!$B$47)*EXP(IF(AB113+AC113=1,(1-FixedParams!$B$47)*$D113,0))*($B113^((FixedParams!$B$47-1)*$B$10/($B$10-1)))*((1/$B113-1)^$B$10*(AD113)^($B$10-1)+1)^((FixedParams!$B$47-$B$10)/($B$10-1))/((1+IF(AB113=1,FixedParams!$C$25,IF(AC113=1,FixedParams!$C$23,FixedParams!$C$24)))^FixedParams!$B$47)</f>
        <v>4.4909367782609365E-2</v>
      </c>
      <c r="AF113">
        <f t="shared" si="63"/>
        <v>1.3233524713738545</v>
      </c>
      <c r="AG113">
        <f t="shared" si="64"/>
        <v>31.083517380796483</v>
      </c>
      <c r="AH113">
        <f t="shared" si="51"/>
        <v>52.576956223681655</v>
      </c>
      <c r="AI113">
        <f t="shared" si="65"/>
        <v>83.660473604478142</v>
      </c>
      <c r="AJ113" s="24">
        <f t="shared" si="66"/>
        <v>1.6914738309559492</v>
      </c>
      <c r="AK113" s="24">
        <f t="shared" si="67"/>
        <v>1.9337531451797487</v>
      </c>
      <c r="AL113" s="23">
        <f>IF(AB113=1,AG113*(1+FixedParams!$C$25)+AH113*(1+FixedParams!$C$28)/$Z$12,IF(AC113=1,AG113*(1+FixedParams!$C$23)+AH113*(1+FixedParams!$C$26)/$Z$12,AG113*(1+FixedParams!$C$24)+AH113*(1+FixedParams!$C$27)/$Z$12))</f>
        <v>209.12731521326486</v>
      </c>
      <c r="AM113" s="24">
        <f t="shared" si="68"/>
        <v>36.120034973317289</v>
      </c>
      <c r="AN113" s="24">
        <f>AM113^((FixedParams!$B$47-1)/FixedParams!$B$47)*EXP($C113)</f>
        <v>0.30025663639192579</v>
      </c>
      <c r="AO113" s="24">
        <f t="shared" si="69"/>
        <v>-7.3083891004257509E-2</v>
      </c>
      <c r="AP113" s="24">
        <f t="shared" si="70"/>
        <v>-3.3034988178198686E-2</v>
      </c>
      <c r="AQ113" s="14">
        <f t="shared" si="71"/>
        <v>-1.3652266265892903</v>
      </c>
      <c r="AS113" s="24">
        <f>EXP(-$D$17)*(($B113*FixedParams!$B$30)^$B$10*(1+FixedParams!$D$24)^(1-$B$10)+(1-$B113)^$B$10*((1+FixedParams!$D$27)/$AT$12)^(1-$B$10))^(1/(1-$B$10))</f>
        <v>6.133386634472445</v>
      </c>
      <c r="AT113" s="24">
        <f>EXP($D113-$D$17)*(($B113*FixedParams!$C$31)^$B$10*(1+FixedParams!$D$25)^(1-$B$10)+(1-$B113)^$B$10*((1+FixedParams!$D$28)/$AT$12)^(1-$B$10))^(1/(1-$B$10))</f>
        <v>5.6364365372907397</v>
      </c>
      <c r="AU113" s="24">
        <f>EXP($D113-$D$17)*(($B113*FixedParams!$C$30)^$B$10*(1+FixedParams!$D$23)^(1-$B$10)+(1-$B113)^$B$10*((1+FixedParams!$D$26)/$AT$12)^(1-$B$10))^(1/(1-$B$10))</f>
        <v>5.6294535666338099</v>
      </c>
      <c r="AV113">
        <f>IF(FixedParams!$I$6=1,IF(AT113&lt;=MIN(AS113:AU113),1,0),$H113)</f>
        <v>0</v>
      </c>
      <c r="AW113">
        <f>IF(FixedParams!$I$6=1,IF(AU113&lt;=MIN(AS113:AU113),1,0),IF(AU113&lt;=AS113,1,0)*(1-$H113))</f>
        <v>1</v>
      </c>
      <c r="AX113" s="24">
        <f>$AT$13*IF(AV113=1,1,IF(AW113=1,FixedParams!$D$52,FixedParams!$D$53))</f>
        <v>0.3451899269505756</v>
      </c>
      <c r="AY113">
        <f>EXP($C113*FixedParams!$B$47)*EXP(IF(AV113+AW113=1,(1-FixedParams!$B$47)*$D113,0))*($B113^((FixedParams!$B$47-1)*$B$10/($B$10-1)))*((1/$B113-1)^$B$10*(AX113)^($B$10-1)+1)^((FixedParams!$B$47-$B$10)/($B$10-1))/((1+IF(AV113=1,FixedParams!$D$25,IF(AW113=1,FixedParams!$D$23,FixedParams!$D$24)))^FixedParams!$B$47)</f>
        <v>6.0176704782550133E-2</v>
      </c>
      <c r="AZ113">
        <f t="shared" si="52"/>
        <v>1.6204130856607755</v>
      </c>
      <c r="BA113">
        <f t="shared" si="72"/>
        <v>40.769376516510427</v>
      </c>
      <c r="BB113">
        <f t="shared" si="53"/>
        <v>49.278126152531904</v>
      </c>
      <c r="BC113">
        <f t="shared" si="73"/>
        <v>90.047502669042331</v>
      </c>
      <c r="BD113" s="24">
        <f t="shared" si="74"/>
        <v>1.2087044336470458</v>
      </c>
      <c r="BE113" s="24">
        <f t="shared" si="75"/>
        <v>1.9062892421745343</v>
      </c>
      <c r="BF113" s="23">
        <f>IF(AV113=1,BA113*(1+FixedParams!$C$25)+BB113*(1+FixedParams!$C$28)/$AT$12,IF(AW113=1,BA113*(1+FixedParams!$C$23)+BB113*(1+FixedParams!$C$26)/$AT$12,BA113*(1+FixedParams!$C$24)+BB113*(1+FixedParams!$C$27)/$AT$12))</f>
        <v>208.95473656938404</v>
      </c>
      <c r="BG113" s="24">
        <f t="shared" si="76"/>
        <v>37.118120630370647</v>
      </c>
      <c r="BH113" s="24">
        <f>BG113^((FixedParams!$B$47-1)/FixedParams!$B$47)*EXP($C113)</f>
        <v>0.30024844404186157</v>
      </c>
      <c r="BI113" s="7"/>
      <c r="BJ113" s="24">
        <f>EXP(-$D$17)*(($B113*FixedParams!$B$30)^$B$10*(1+FixedParams!$C$24)^(1-$B$10)+(1-$B113)^$B$10*((1+FixedParams!$C$27)/$BK$12)^(1-$B$10))^(1/(1-$B$10))</f>
        <v>6.805780901084006</v>
      </c>
      <c r="BK113" s="24">
        <f>EXP($D113-$D$17)*(($B113*FixedParams!$C$31)^$B$10*(1+FixedParams!$C$25)^(1-$B$10)+(1-$B113)^$B$10*((1+FixedParams!$C$28)/$BK$12)^(1-$B$10))^(1/(1-$B$10))</f>
        <v>6.0259195112167996</v>
      </c>
      <c r="BL113" s="24">
        <f>EXP($D113-$D$17)*(($B113*FixedParams!$C$30)^$B$10*(1+FixedParams!$C$23)^(1-$B$10)+(1-$B113)^$B$10*((1+FixedParams!$C$26)/$BK$12)^(1-$B$10))^(1/(1-$B$10))</f>
        <v>6.0395715695591408</v>
      </c>
      <c r="BM113">
        <f>IF(FixedParams!$I$6=1,IF(BK113&lt;=MIN(BJ113:BL113),1,0),$H113)</f>
        <v>1</v>
      </c>
      <c r="BN113">
        <f>IF(FixedParams!$I$6=1,IF(BL113&lt;=MIN(BJ113:BL113),1,0),IF(BL113&lt;=BJ113,1,0)*(1-$H113))</f>
        <v>0</v>
      </c>
      <c r="BO113" s="24">
        <f>$BK$13*IF(BM113=1,1,IF(BN113=1,FixedParams!$C$52,FixedParams!$C$53))</f>
        <v>0.41068174962109105</v>
      </c>
      <c r="BP113">
        <f>EXP($C113*FixedParams!$B$47)*EXP(IF(BM113+BN113=1,(1-FixedParams!$B$47)*$D113,0))*($B113^((FixedParams!$B$47-1)*$B$10/($B$10-1)))*((1/$B113-1)^$B$10*(BO113)^($B$10-1)+1)^((FixedParams!$B$47-$B$10)/($B$10-1))/((1+IF(BM113=1,FixedParams!$C$25,IF(BN113=1,FixedParams!$C$23,FixedParams!$C$24)))^FixedParams!$B$47)</f>
        <v>4.5817845697211861E-2</v>
      </c>
      <c r="BQ113">
        <f t="shared" si="77"/>
        <v>1.3180764332079402</v>
      </c>
      <c r="BR113">
        <f t="shared" si="78"/>
        <v>33.616430729658454</v>
      </c>
      <c r="BS113">
        <f t="shared" si="54"/>
        <v>52.728163978870541</v>
      </c>
      <c r="BT113">
        <f t="shared" si="79"/>
        <v>86.344594708529002</v>
      </c>
      <c r="BU113" s="24">
        <f t="shared" si="80"/>
        <v>1.5685235711937304</v>
      </c>
      <c r="BV113" s="24">
        <f t="shared" si="81"/>
        <v>1.913869275902127</v>
      </c>
      <c r="BW113" s="23">
        <f>IF(BM113=1,BR113*(1+FixedParams!$C$25)+BS113*(1+FixedParams!$C$28)/$BK$12,IF(BN113=1,BR113*(1+FixedParams!$C$23)+BS113*(1+FixedParams!$C$26)/$BK$12,BR113*(1+FixedParams!$C$24)+BS113*(1+FixedParams!$C$27)/$BK$12))</f>
        <v>221.69292893437796</v>
      </c>
      <c r="BX113" s="24">
        <f t="shared" si="82"/>
        <v>36.789892152013167</v>
      </c>
      <c r="BY113" s="24">
        <f>BX113^((FixedParams!$B$47-1)/FixedParams!$B$47)*EXP($C113)</f>
        <v>0.30025111357178241</v>
      </c>
      <c r="BZ113" s="24">
        <f t="shared" si="83"/>
        <v>-4.1504312900539651E-2</v>
      </c>
      <c r="CA113" s="24">
        <f t="shared" si="84"/>
        <v>-1.4659547316057613E-2</v>
      </c>
      <c r="CB113" s="24">
        <f t="shared" si="85"/>
        <v>2.6689086033496387E-3</v>
      </c>
      <c r="CC113" s="24"/>
      <c r="CD113" s="24">
        <f>EXP(-$D$17)*(($B113*FixedParams!$B$30)^$B$10*(1+FixedParams!$D$24)^(1-$B$10)+(1-$B113)^$B$10*((1+FixedParams!$D$27)/$CE$12)^(1-$B$10))^(1/(1-$B$10))</f>
        <v>6.3674093365136795</v>
      </c>
      <c r="CE113" s="24">
        <f>EXP($D113-$D$17)*(($B113*FixedParams!$D$31)^$B$10*(1+FixedParams!$D$25)^(1-$B$10)+(1-$B113)^$B$10*((1+FixedParams!$D$28)/$CE$12)^(1-$B$10))^(1/(1-$B$10))</f>
        <v>5.8499386494335868</v>
      </c>
      <c r="CF113" s="24">
        <f>EXP($D113-$D$17)*(($B113*FixedParams!$D$30)^$B$10*(1+FixedParams!$D$23)^(1-$B$10)+(1-$B113)^$B$10*((1+FixedParams!$D$26)/$CE$12)^(1-$B$10))^(1/(1-$B$10))</f>
        <v>5.8386296578202082</v>
      </c>
      <c r="CG113">
        <f>IF(FixedParams!$I$6=1,IF(CE113&lt;=MIN(CD113:CF113),1,0),$H113)</f>
        <v>0</v>
      </c>
      <c r="CH113">
        <f>IF(FixedParams!$I$6=1,IF(CF113&lt;=MIN(CD113:CF113),1,0),IF(CF113&lt;=CD113,1,0)*(1-$H113))</f>
        <v>1</v>
      </c>
      <c r="CI113" s="24">
        <f>$CE$13*IF(CG113=1,1,IF(CH113=1,FixedParams!$D$52,FixedParams!$D$53))</f>
        <v>0.32933267593211629</v>
      </c>
      <c r="CJ113">
        <f>EXP($C113*FixedParams!$B$47)*EXP(IF(CG113+CH113=1,(1-FixedParams!$B$47)*$D113,0))*($B113^((FixedParams!$B$47-1)*$B$10/($B$10-1)))*((1/$B113-1)^$B$10*(CI113)^($B$10-1)+1)^((FixedParams!$B$47-$B$10)/($B$10-1))/((1+IF(CG113=1,FixedParams!$D$25,IF(CH113=1,FixedParams!$D$23,FixedParams!$D$24)))^FixedParams!$B$47)</f>
        <v>6.128674992392049E-2</v>
      </c>
      <c r="CK113">
        <f t="shared" si="86"/>
        <v>1.6137022004478749</v>
      </c>
      <c r="CL113">
        <f t="shared" si="88"/>
        <v>44.086798823078865</v>
      </c>
      <c r="CM113">
        <f t="shared" si="55"/>
        <v>49.658516818525896</v>
      </c>
      <c r="CN113">
        <f t="shared" si="89"/>
        <v>93.745315641604762</v>
      </c>
      <c r="CO113" s="24">
        <f t="shared" si="90"/>
        <v>1.1263806432806891</v>
      </c>
      <c r="CP113" s="24">
        <f t="shared" si="91"/>
        <v>1.8862975194865723</v>
      </c>
      <c r="CQ113" s="23">
        <f>IF(CG113=1,CL113*(1+FixedParams!$D$25)+CM113*(1+FixedParams!$D$28)/$CE$12,IF(CH113=1,CL113*(1+FixedParams!$D$23)+CM113*(1+FixedParams!$D$26)/$CE$12,CL113*(1+FixedParams!$D$24)+CM113*(1+FixedParams!$D$27)/$CE$12))</f>
        <v>217.35176379286906</v>
      </c>
      <c r="CR113" s="24">
        <f t="shared" si="92"/>
        <v>37.226502883557629</v>
      </c>
      <c r="CS113" s="24">
        <f>CR113^((FixedParams!$B$47-1)/FixedParams!$B$47)*EXP($C113)</f>
        <v>0.30024756774036027</v>
      </c>
      <c r="CT113" s="24"/>
    </row>
    <row r="114" spans="1:98" x14ac:dyDescent="0.15">
      <c r="A114">
        <v>0.48499999999999999</v>
      </c>
      <c r="B114">
        <f t="shared" si="56"/>
        <v>0.23531970465284938</v>
      </c>
      <c r="C114">
        <f>(D114-$D$17)*FixedParams!$B$47+$A114*$B$9</f>
        <v>-1.2120223530486516</v>
      </c>
      <c r="D114">
        <f>(A114-$B$6)*FixedParams!$B$46/(FixedParams!$B$45*Sectors!$B$6)</f>
        <v>-8.1502714483921296E-3</v>
      </c>
      <c r="E114">
        <f t="shared" si="57"/>
        <v>0.29759482864215725</v>
      </c>
      <c r="F114" s="24">
        <f>EXP(-$D$17)*(($B114*FixedParams!$B$30)^$B$10*(1+FixedParams!$B$23)^(1-$B$10)+(1-$B114)^$B$10*((1+FixedParams!$B$26)/$B$11)^(1-$B$10))^(1/(1-$B$10))</f>
        <v>4.9854893259645632</v>
      </c>
      <c r="G114" s="24">
        <f>EXP($D114-$D$17)*(($B114*FixedParams!$B$31)^$B$10*(1+FixedParams!$B$25)^(1-$B$10)+(1-$B114)^$B$10*((1+FixedParams!$B$28)/$B$11)^(1-$B$10))^(1/(1-$B$10))</f>
        <v>4.7590318747266682</v>
      </c>
      <c r="H114">
        <f t="shared" si="58"/>
        <v>1</v>
      </c>
      <c r="I114" s="24">
        <f>$B$12*IF(H114=1,1,FixedParams!$B$52)</f>
        <v>0.3745928365283252</v>
      </c>
      <c r="J114">
        <f>EXP($C114*FixedParams!$B$47)*EXP(IF(H114=1,(1-FixedParams!$B$47)*$D114,0))*($B114^((FixedParams!$B$47-1)*$B$10/($B$10-1)))*((1/$B114-1)^$B$10*(I114)^($B$10-1)+1)^((FixedParams!$B$47-$B$10)/($B$10-1))/((1+IF(H114=1,FixedParams!$B$25,FixedParams!$B$24))^FixedParams!$B$47)</f>
        <v>6.4952146537973626E-2</v>
      </c>
      <c r="K114">
        <f t="shared" si="87"/>
        <v>1.3096030076979372</v>
      </c>
      <c r="L114">
        <f>K114*FixedParams!$B$8/K$15</f>
        <v>38.074257716525814</v>
      </c>
      <c r="M114">
        <f t="shared" si="47"/>
        <v>51.133209605921522</v>
      </c>
      <c r="N114">
        <f t="shared" si="59"/>
        <v>89.207467322447343</v>
      </c>
      <c r="O114" s="24">
        <f t="shared" si="60"/>
        <v>1.3429863816813841</v>
      </c>
      <c r="P114" s="24">
        <f t="shared" si="48"/>
        <v>1.8608531284498466</v>
      </c>
      <c r="Q114" s="23">
        <f>IF(H114=1,L114*(1+FixedParams!$B$25)+M114*FixedParams!$B$33*(1+FixedParams!$B$28)/FixedParams!$B$32,L114*(1+FixedParams!$B$23)+M114*FixedParams!$B$33*(1+FixedParams!$B$26)/FixedParams!$B$32)</f>
        <v>174.88365573713853</v>
      </c>
      <c r="R114" s="24">
        <f t="shared" si="49"/>
        <v>36.747737846824748</v>
      </c>
      <c r="S114" s="24">
        <f>R114^((FixedParams!$B$47-1)/FixedParams!$B$47)*EXP($C114)</f>
        <v>0.29652313476434505</v>
      </c>
      <c r="T114" s="7">
        <f>(L114*FixedParams!$B$32*(FixedParams!$C$25-FixedParams!$C$23)+FixedParams!$B$33*(FixedParams!$C$28-FixedParams!$C$26)*M114)/N114</f>
        <v>384.22113654304621</v>
      </c>
      <c r="U114" s="7">
        <f>(L114*FixedParams!$B$32*(FixedParams!$C$25-FixedParams!$C$23)*$Z$12/$B$11+FixedParams!$B$33*(FixedParams!$C$28-FixedParams!$C$26)*M114)/N114</f>
        <v>-44.434144079417663</v>
      </c>
      <c r="V114" s="14">
        <f t="shared" si="50"/>
        <v>-1.2768113894113216</v>
      </c>
      <c r="W114" s="14">
        <f t="shared" ref="W114:W145" si="93">N114/(N$15*COUNT($N$17:$N$217))+W113</f>
        <v>0.71492564792818769</v>
      </c>
      <c r="X114" s="73">
        <f t="shared" si="62"/>
        <v>0.96710985107425795</v>
      </c>
      <c r="Y114" s="24">
        <f>EXP(-$D$17)*(($B114*FixedParams!$B$30)^$B$10*(1+FixedParams!$C$24)^(1-$B$10)+(1-$B114)^$B$10*((1+FixedParams!$C$27)/$Z$12)^(1-$B$10))^(1/(1-$B$10))</f>
        <v>6.5448977367334695</v>
      </c>
      <c r="Z114" s="24">
        <f>EXP($D114-$D$17)*(($B114*FixedParams!$C$31)^$B$10*(1+FixedParams!$C$25)^(1-$B$10)+(1-$B114)^$B$10*((1+FixedParams!$C$28)/$Z$12)^(1-$B$10))^(1/(1-$B$10))</f>
        <v>5.8114546314083135</v>
      </c>
      <c r="AA114" s="24">
        <f>EXP($D114-$D$17)*(($B114*FixedParams!$C$30)^$B$10*(1+FixedParams!$C$23)^(1-$B$10)+(1-$B114)^$B$10*((1+FixedParams!$C$26)/$Z$12)^(1-$B$10))^(1/(1-$B$10))</f>
        <v>5.8263203838210904</v>
      </c>
      <c r="AB114">
        <f>IF(FixedParams!$I$6=1,IF(Z114&lt;=MIN(Y114:AA114),1,0),$H114)</f>
        <v>1</v>
      </c>
      <c r="AC114">
        <f>IF(FixedParams!$I$6=1,IF(AA114&lt;=MIN(Y114:AA114),1,0),IF(AA114&lt;=Y114,1,0)*(1-$H114))</f>
        <v>0</v>
      </c>
      <c r="AD114" s="24">
        <f>$Z$13*IF(AB114=1,1,IF(AC114=1,FixedParams!$C$52,FixedParams!$C$53))</f>
        <v>0.43187184563106507</v>
      </c>
      <c r="AE114">
        <f>EXP($C114*FixedParams!$B$47)*EXP(IF(AB114+AC114=1,(1-FixedParams!$B$47)*$D114,0))*($B114^((FixedParams!$B$47-1)*$B$10/($B$10-1)))*((1/$B114-1)^$B$10*(AD114)^($B$10-1)+1)^((FixedParams!$B$47-$B$10)/($B$10-1))/((1+IF(AB114=1,FixedParams!$C$25,IF(AC114=1,FixedParams!$C$23,FixedParams!$C$24)))^FixedParams!$B$47)</f>
        <v>4.4965756506006309E-2</v>
      </c>
      <c r="AF114">
        <f t="shared" si="63"/>
        <v>1.3250140880954744</v>
      </c>
      <c r="AG114">
        <f t="shared" si="64"/>
        <v>31.122546205968867</v>
      </c>
      <c r="AH114">
        <f t="shared" si="51"/>
        <v>51.741601433464531</v>
      </c>
      <c r="AI114">
        <f t="shared" si="65"/>
        <v>82.864147639433398</v>
      </c>
      <c r="AJ114" s="24">
        <f t="shared" si="66"/>
        <v>1.6625118359866462</v>
      </c>
      <c r="AK114" s="24">
        <f t="shared" si="67"/>
        <v>1.9409899420834902</v>
      </c>
      <c r="AL114" s="23">
        <f>IF(AB114=1,AG114*(1+FixedParams!$C$25)+AH114*(1+FixedParams!$C$28)/$Z$12,IF(AC114=1,AG114*(1+FixedParams!$C$23)+AH114*(1+FixedParams!$C$26)/$Z$12,AG114*(1+FixedParams!$C$24)+AH114*(1+FixedParams!$C$27)/$Z$12))</f>
        <v>206.53386308567377</v>
      </c>
      <c r="AM114" s="24">
        <f t="shared" si="68"/>
        <v>35.539099276358556</v>
      </c>
      <c r="AN114" s="24">
        <f>AM114^((FixedParams!$B$47-1)/FixedParams!$B$47)*EXP($C114)</f>
        <v>0.29653306153667608</v>
      </c>
      <c r="AO114" s="24">
        <f t="shared" si="69"/>
        <v>-7.3762259071595726E-2</v>
      </c>
      <c r="AP114" s="24">
        <f t="shared" si="70"/>
        <v>-3.3443190110852471E-2</v>
      </c>
      <c r="AQ114" s="14">
        <f t="shared" si="71"/>
        <v>-1.3479560012932066</v>
      </c>
      <c r="AS114" s="24">
        <f>EXP(-$D$17)*(($B114*FixedParams!$B$30)^$B$10*(1+FixedParams!$D$24)^(1-$B$10)+(1-$B114)^$B$10*((1+FixedParams!$D$27)/$AT$12)^(1-$B$10))^(1/(1-$B$10))</f>
        <v>6.1399706930764095</v>
      </c>
      <c r="AT114" s="24">
        <f>EXP($D114-$D$17)*(($B114*FixedParams!$C$31)^$B$10*(1+FixedParams!$D$25)^(1-$B$10)+(1-$B114)^$B$10*((1+FixedParams!$D$28)/$AT$12)^(1-$B$10))^(1/(1-$B$10))</f>
        <v>5.6567318946809051</v>
      </c>
      <c r="AU114" s="24">
        <f>EXP($D114-$D$17)*(($B114*FixedParams!$C$30)^$B$10*(1+FixedParams!$D$23)^(1-$B$10)+(1-$B114)^$B$10*((1+FixedParams!$D$26)/$AT$12)^(1-$B$10))^(1/(1-$B$10))</f>
        <v>5.646843924741499</v>
      </c>
      <c r="AV114">
        <f>IF(FixedParams!$I$6=1,IF(AT114&lt;=MIN(AS114:AU114),1,0),$H114)</f>
        <v>0</v>
      </c>
      <c r="AW114">
        <f>IF(FixedParams!$I$6=1,IF(AU114&lt;=MIN(AS114:AU114),1,0),IF(AU114&lt;=AS114,1,0)*(1-$H114))</f>
        <v>1</v>
      </c>
      <c r="AX114" s="24">
        <f>$AT$13*IF(AV114=1,1,IF(AW114=1,FixedParams!$D$52,FixedParams!$D$53))</f>
        <v>0.3451899269505756</v>
      </c>
      <c r="AY114">
        <f>EXP($C114*FixedParams!$B$47)*EXP(IF(AV114+AW114=1,(1-FixedParams!$B$47)*$D114,0))*($B114^((FixedParams!$B$47-1)*$B$10/($B$10-1)))*((1/$B114-1)^$B$10*(AX114)^($B$10-1)+1)^((FixedParams!$B$47-$B$10)/($B$10-1))/((1+IF(AV114=1,FixedParams!$D$25,IF(AW114=1,FixedParams!$D$23,FixedParams!$D$24)))^FixedParams!$B$47)</f>
        <v>6.0232616387900575E-2</v>
      </c>
      <c r="AZ114">
        <f t="shared" si="52"/>
        <v>1.6219186499364791</v>
      </c>
      <c r="BA114">
        <f t="shared" si="72"/>
        <v>40.807256312328619</v>
      </c>
      <c r="BB114">
        <f t="shared" si="53"/>
        <v>48.479370700735906</v>
      </c>
      <c r="BC114">
        <f t="shared" si="73"/>
        <v>89.286627013064532</v>
      </c>
      <c r="BD114" s="24">
        <f t="shared" si="74"/>
        <v>1.1880085818484543</v>
      </c>
      <c r="BE114" s="24">
        <f t="shared" si="75"/>
        <v>1.9121781001579699</v>
      </c>
      <c r="BF114" s="23">
        <f>IF(AV114=1,BA114*(1+FixedParams!$C$25)+BB114*(1+FixedParams!$C$28)/$AT$12,IF(AW114=1,BA114*(1+FixedParams!$C$23)+BB114*(1+FixedParams!$C$26)/$AT$12,BA114*(1+FixedParams!$C$24)+BB114*(1+FixedParams!$C$27)/$AT$12))</f>
        <v>206.37528107401783</v>
      </c>
      <c r="BG114" s="24">
        <f t="shared" si="76"/>
        <v>36.547013486558377</v>
      </c>
      <c r="BH114" s="24">
        <f>BG114^((FixedParams!$B$47-1)/FixedParams!$B$47)*EXP($C114)</f>
        <v>0.29652476050989202</v>
      </c>
      <c r="BI114" s="7"/>
      <c r="BJ114" s="24">
        <f>EXP(-$D$17)*(($B114*FixedParams!$B$30)^$B$10*(1+FixedParams!$C$24)^(1-$B$10)+(1-$B114)^$B$10*((1+FixedParams!$C$27)/$BK$12)^(1-$B$10))^(1/(1-$B$10))</f>
        <v>6.8137104336265626</v>
      </c>
      <c r="BK114" s="24">
        <f>EXP($D114-$D$17)*(($B114*FixedParams!$C$31)^$B$10*(1+FixedParams!$C$25)^(1-$B$10)+(1-$B114)^$B$10*((1+FixedParams!$C$28)/$BK$12)^(1-$B$10))^(1/(1-$B$10))</f>
        <v>6.04760849223804</v>
      </c>
      <c r="BL114" s="24">
        <f>EXP($D114-$D$17)*(($B114*FixedParams!$C$30)^$B$10*(1+FixedParams!$C$23)^(1-$B$10)+(1-$B114)^$B$10*((1+FixedParams!$C$26)/$BK$12)^(1-$B$10))^(1/(1-$B$10))</f>
        <v>6.0574097435128733</v>
      </c>
      <c r="BM114">
        <f>IF(FixedParams!$I$6=1,IF(BK114&lt;=MIN(BJ114:BL114),1,0),$H114)</f>
        <v>1</v>
      </c>
      <c r="BN114">
        <f>IF(FixedParams!$I$6=1,IF(BL114&lt;=MIN(BJ114:BL114),1,0),IF(BL114&lt;=BJ114,1,0)*(1-$H114))</f>
        <v>0</v>
      </c>
      <c r="BO114" s="24">
        <f>$BK$13*IF(BM114=1,1,IF(BN114=1,FixedParams!$C$52,FixedParams!$C$53))</f>
        <v>0.41068174962109105</v>
      </c>
      <c r="BP114">
        <f>EXP($C114*FixedParams!$B$47)*EXP(IF(BM114+BN114=1,(1-FixedParams!$B$47)*$D114,0))*($B114^((FixedParams!$B$47-1)*$B$10/($B$10-1)))*((1/$B114-1)^$B$10*(BO114)^($B$10-1)+1)^((FixedParams!$B$47-$B$10)/($B$10-1))/((1+IF(BM114=1,FixedParams!$C$25,IF(BN114=1,FixedParams!$C$23,FixedParams!$C$24)))^FixedParams!$B$47)</f>
        <v>4.5872098849654139E-2</v>
      </c>
      <c r="BQ114">
        <f t="shared" si="77"/>
        <v>1.3196371744556623</v>
      </c>
      <c r="BR114">
        <f t="shared" si="78"/>
        <v>33.656236122364916</v>
      </c>
      <c r="BS114">
        <f t="shared" si="54"/>
        <v>51.88670092513474</v>
      </c>
      <c r="BT114">
        <f t="shared" si="79"/>
        <v>85.542937047499663</v>
      </c>
      <c r="BU114" s="24">
        <f t="shared" si="80"/>
        <v>1.5416667727338498</v>
      </c>
      <c r="BV114" s="24">
        <f t="shared" si="81"/>
        <v>1.9207578303086219</v>
      </c>
      <c r="BW114" s="23">
        <f>IF(BM114=1,BR114*(1+FixedParams!$C$25)+BS114*(1+FixedParams!$C$28)/$BK$12,IF(BN114=1,BR114*(1+FixedParams!$C$23)+BS114*(1+FixedParams!$C$26)/$BK$12,BR114*(1+FixedParams!$C$24)+BS114*(1+FixedParams!$C$27)/$BK$12))</f>
        <v>218.94361555686444</v>
      </c>
      <c r="BX114" s="24">
        <f t="shared" si="82"/>
        <v>36.203338201848432</v>
      </c>
      <c r="BY114" s="24">
        <f>BX114^((FixedParams!$B$47-1)/FixedParams!$B$47)*EXP($C114)</f>
        <v>0.29652756493572929</v>
      </c>
      <c r="BZ114" s="24">
        <f t="shared" si="83"/>
        <v>-4.1946312880591932E-2</v>
      </c>
      <c r="CA114" s="24">
        <f t="shared" si="84"/>
        <v>-1.4925338474994535E-2</v>
      </c>
      <c r="CB114" s="24">
        <f t="shared" si="85"/>
        <v>2.4031174444127164E-3</v>
      </c>
      <c r="CC114" s="24"/>
      <c r="CD114" s="24">
        <f>EXP(-$D$17)*(($B114*FixedParams!$B$30)^$B$10*(1+FixedParams!$D$24)^(1-$B$10)+(1-$B114)^$B$10*((1+FixedParams!$D$27)/$CE$12)^(1-$B$10))^(1/(1-$B$10))</f>
        <v>6.3734005393112492</v>
      </c>
      <c r="CE114" s="24">
        <f>EXP($D114-$D$17)*(($B114*FixedParams!$D$31)^$B$10*(1+FixedParams!$D$25)^(1-$B$10)+(1-$B114)^$B$10*((1+FixedParams!$D$28)/$CE$12)^(1-$B$10))^(1/(1-$B$10))</f>
        <v>5.8702094789735053</v>
      </c>
      <c r="CF114" s="24">
        <f>EXP($D114-$D$17)*(($B114*FixedParams!$D$30)^$B$10*(1+FixedParams!$D$23)^(1-$B$10)+(1-$B114)^$B$10*((1+FixedParams!$D$26)/$CE$12)^(1-$B$10))^(1/(1-$B$10))</f>
        <v>5.8558350197436653</v>
      </c>
      <c r="CG114">
        <f>IF(FixedParams!$I$6=1,IF(CE114&lt;=MIN(CD114:CF114),1,0),$H114)</f>
        <v>0</v>
      </c>
      <c r="CH114">
        <f>IF(FixedParams!$I$6=1,IF(CF114&lt;=MIN(CD114:CF114),1,0),IF(CF114&lt;=CD114,1,0)*(1-$H114))</f>
        <v>1</v>
      </c>
      <c r="CI114" s="24">
        <f>$CE$13*IF(CG114=1,1,IF(CH114=1,FixedParams!$D$52,FixedParams!$D$53))</f>
        <v>0.32933267593211629</v>
      </c>
      <c r="CJ114">
        <f>EXP($C114*FixedParams!$B$47)*EXP(IF(CG114+CH114=1,(1-FixedParams!$B$47)*$D114,0))*($B114^((FixedParams!$B$47-1)*$B$10/($B$10-1)))*((1/$B114-1)^$B$10*(CI114)^($B$10-1)+1)^((FixedParams!$B$47-$B$10)/($B$10-1))/((1+IF(CG114=1,FixedParams!$D$25,IF(CH114=1,FixedParams!$D$23,FixedParams!$D$24)))^FixedParams!$B$47)</f>
        <v>6.1339331093286806E-2</v>
      </c>
      <c r="CK114">
        <f t="shared" si="86"/>
        <v>1.6150866815765672</v>
      </c>
      <c r="CL114">
        <f t="shared" si="88"/>
        <v>44.124623237631972</v>
      </c>
      <c r="CM114">
        <f t="shared" si="55"/>
        <v>48.850121861104959</v>
      </c>
      <c r="CN114">
        <f t="shared" si="89"/>
        <v>92.974745098736932</v>
      </c>
      <c r="CO114" s="24">
        <f t="shared" si="90"/>
        <v>1.1070943676510039</v>
      </c>
      <c r="CP114" s="24">
        <f t="shared" si="91"/>
        <v>1.8918560894627681</v>
      </c>
      <c r="CQ114" s="23">
        <f>IF(CG114=1,CL114*(1+FixedParams!$D$25)+CM114*(1+FixedParams!$D$28)/$CE$12,IF(CH114=1,CL114*(1+FixedParams!$D$23)+CM114*(1+FixedParams!$D$26)/$CE$12,CL114*(1+FixedParams!$D$24)+CM114*(1+FixedParams!$D$27)/$CE$12))</f>
        <v>214.65614755096649</v>
      </c>
      <c r="CR114" s="24">
        <f t="shared" si="92"/>
        <v>36.656795628160118</v>
      </c>
      <c r="CS114" s="24">
        <f>CR114^((FixedParams!$B$47-1)/FixedParams!$B$47)*EXP($C114)</f>
        <v>0.29652387023697147</v>
      </c>
      <c r="CT114" s="24"/>
    </row>
    <row r="115" spans="1:98" x14ac:dyDescent="0.15">
      <c r="A115">
        <v>0.49</v>
      </c>
      <c r="B115">
        <f t="shared" si="56"/>
        <v>0.23739784895732674</v>
      </c>
      <c r="C115">
        <f>(D115-$D$17)*FixedParams!$B$47+$A115*$B$9</f>
        <v>-1.224517428853277</v>
      </c>
      <c r="D115">
        <f>(A115-$B$6)*FixedParams!$B$46/(FixedParams!$B$45*Sectors!$B$6)</f>
        <v>-5.4335142989280858E-3</v>
      </c>
      <c r="E115">
        <f t="shared" si="57"/>
        <v>0.29389949352373862</v>
      </c>
      <c r="F115" s="24">
        <f>EXP(-$D$17)*(($B115*FixedParams!$B$30)^$B$10*(1+FixedParams!$B$23)^(1-$B$10)+(1-$B115)^$B$10*((1+FixedParams!$B$26)/$B$11)^(1-$B$10))^(1/(1-$B$10))</f>
        <v>4.9890106059287493</v>
      </c>
      <c r="G115" s="24">
        <f>EXP($D115-$D$17)*(($B115*FixedParams!$B$31)^$B$10*(1+FixedParams!$B$25)^(1-$B$10)+(1-$B115)^$B$10*((1+FixedParams!$B$28)/$B$11)^(1-$B$10))^(1/(1-$B$10))</f>
        <v>4.7747463749948702</v>
      </c>
      <c r="H115">
        <f t="shared" si="58"/>
        <v>1</v>
      </c>
      <c r="I115" s="24">
        <f>$B$12*IF(H115=1,1,FixedParams!$B$52)</f>
        <v>0.3745928365283252</v>
      </c>
      <c r="J115">
        <f>EXP($C115*FixedParams!$B$47)*EXP(IF(H115=1,(1-FixedParams!$B$47)*$D115,0))*($B115^((FixedParams!$B$47-1)*$B$10/($B$10-1)))*((1/$B115-1)^$B$10*(I115)^($B$10-1)+1)^((FixedParams!$B$47-$B$10)/($B$10-1))/((1+IF(H115=1,FixedParams!$B$25,FixedParams!$B$24))^FixedParams!$B$47)</f>
        <v>6.501708017197029E-2</v>
      </c>
      <c r="K115">
        <f t="shared" si="87"/>
        <v>1.3109122374449953</v>
      </c>
      <c r="L115">
        <f>K115*FixedParams!$B$8/K$15</f>
        <v>38.112321122387456</v>
      </c>
      <c r="M115">
        <f t="shared" si="47"/>
        <v>50.307932621488106</v>
      </c>
      <c r="N115">
        <f t="shared" si="59"/>
        <v>88.420253743875563</v>
      </c>
      <c r="O115" s="24">
        <f t="shared" si="60"/>
        <v>1.3199913083209425</v>
      </c>
      <c r="P115" s="24">
        <f t="shared" si="48"/>
        <v>1.8669977346966349</v>
      </c>
      <c r="Q115" s="23">
        <f>IF(H115=1,L115*(1+FixedParams!$B$25)+M115*FixedParams!$B$33*(1+FixedParams!$B$28)/FixedParams!$B$32,L115*(1+FixedParams!$B$23)+M115*FixedParams!$B$33*(1+FixedParams!$B$26)/FixedParams!$B$32)</f>
        <v>172.71479397513372</v>
      </c>
      <c r="R115" s="24">
        <f t="shared" si="49"/>
        <v>36.172558793831065</v>
      </c>
      <c r="S115" s="24">
        <f>R115^((FixedParams!$B$47-1)/FixedParams!$B$47)*EXP($C115)</f>
        <v>0.29284573171699096</v>
      </c>
      <c r="T115" s="7">
        <f>(L115*FixedParams!$B$32*(FixedParams!$C$25-FixedParams!$C$23)+FixedParams!$B$33*(FixedParams!$C$28-FixedParams!$C$26)*M115)/N115</f>
        <v>432.21445765053016</v>
      </c>
      <c r="U115" s="7">
        <f>(L115*FixedParams!$B$32*(FixedParams!$C$25-FixedParams!$C$23)*$Z$12/$B$11+FixedParams!$B$33*(FixedParams!$C$28-FixedParams!$C$26)*M115)/N115</f>
        <v>-0.68952838255333448</v>
      </c>
      <c r="V115" s="14">
        <f t="shared" si="50"/>
        <v>-1.2595407641152376</v>
      </c>
      <c r="W115" s="14">
        <f t="shared" si="93"/>
        <v>0.7192624732022338</v>
      </c>
      <c r="X115" s="73">
        <f t="shared" si="62"/>
        <v>0.9667112124806454</v>
      </c>
      <c r="Y115" s="24">
        <f>EXP(-$D$17)*(($B115*FixedParams!$B$30)^$B$10*(1+FixedParams!$C$24)^(1-$B$10)+(1-$B115)^$B$10*((1+FixedParams!$C$27)/$Z$12)^(1-$B$10))^(1/(1-$B$10))</f>
        <v>6.5532777375784264</v>
      </c>
      <c r="Z115" s="24">
        <f>EXP($D115-$D$17)*(($B115*FixedParams!$C$31)^$B$10*(1+FixedParams!$C$25)^(1-$B$10)+(1-$B115)^$B$10*((1+FixedParams!$C$28)/$Z$12)^(1-$B$10))^(1/(1-$B$10))</f>
        <v>5.8330510360209642</v>
      </c>
      <c r="AA115" s="24">
        <f>EXP($D115-$D$17)*(($B115*FixedParams!$C$30)^$B$10*(1+FixedParams!$C$23)^(1-$B$10)+(1-$B115)^$B$10*((1+FixedParams!$C$26)/$Z$12)^(1-$B$10))^(1/(1-$B$10))</f>
        <v>5.8442260674584858</v>
      </c>
      <c r="AB115">
        <f>IF(FixedParams!$I$6=1,IF(Z115&lt;=MIN(Y115:AA115),1,0),$H115)</f>
        <v>1</v>
      </c>
      <c r="AC115">
        <f>IF(FixedParams!$I$6=1,IF(AA115&lt;=MIN(Y115:AA115),1,0),IF(AA115&lt;=Y115,1,0)*(1-$H115))</f>
        <v>0</v>
      </c>
      <c r="AD115" s="24">
        <f>$Z$13*IF(AB115=1,1,IF(AC115=1,FixedParams!$C$52,FixedParams!$C$53))</f>
        <v>0.43187184563106507</v>
      </c>
      <c r="AE115">
        <f>EXP($C115*FixedParams!$B$47)*EXP(IF(AB115+AC115=1,(1-FixedParams!$B$47)*$D115,0))*($B115^((FixedParams!$B$47-1)*$B$10/($B$10-1)))*((1/$B115-1)^$B$10*(AD115)^($B$10-1)+1)^((FixedParams!$B$47-$B$10)/($B$10-1))/((1+IF(AB115=1,FixedParams!$C$25,IF(AC115=1,FixedParams!$C$23,FixedParams!$C$24)))^FixedParams!$B$47)</f>
        <v>4.5020016796575232E-2</v>
      </c>
      <c r="AF115">
        <f t="shared" si="63"/>
        <v>1.3266129859015943</v>
      </c>
      <c r="AG115">
        <f t="shared" si="64"/>
        <v>31.16010186012883</v>
      </c>
      <c r="AH115">
        <f t="shared" si="51"/>
        <v>50.917031647255776</v>
      </c>
      <c r="AI115">
        <f t="shared" si="65"/>
        <v>82.077133507384602</v>
      </c>
      <c r="AJ115" s="24">
        <f t="shared" si="66"/>
        <v>1.6340457382267768</v>
      </c>
      <c r="AK115" s="24">
        <f t="shared" si="67"/>
        <v>1.9482030077954327</v>
      </c>
      <c r="AL115" s="23">
        <f>IF(AB115=1,AG115*(1+FixedParams!$C$25)+AH115*(1+FixedParams!$C$28)/$Z$12,IF(AC115=1,AG115*(1+FixedParams!$C$23)+AH115*(1+FixedParams!$C$26)/$Z$12,AG115*(1+FixedParams!$C$24)+AH115*(1+FixedParams!$C$27)/$Z$12))</f>
        <v>203.97256783518532</v>
      </c>
      <c r="AM115" s="24">
        <f t="shared" si="68"/>
        <v>34.96841817011186</v>
      </c>
      <c r="AN115" s="24">
        <f>AM115^((FixedParams!$B$47-1)/FixedParams!$B$47)*EXP($C115)</f>
        <v>0.29285565623964926</v>
      </c>
      <c r="AO115" s="24">
        <f t="shared" si="69"/>
        <v>-7.4441600493559287E-2</v>
      </c>
      <c r="AP115" s="24">
        <f t="shared" si="70"/>
        <v>-3.3855470860888678E-2</v>
      </c>
      <c r="AQ115" s="14">
        <f t="shared" si="71"/>
        <v>-1.3306853759971224</v>
      </c>
      <c r="AS115" s="24">
        <f>EXP(-$D$17)*(($B115*FixedParams!$B$30)^$B$10*(1+FixedParams!$D$24)^(1-$B$10)+(1-$B115)^$B$10*((1+FixedParams!$D$27)/$AT$12)^(1-$B$10))^(1/(1-$B$10))</f>
        <v>6.1464049188818359</v>
      </c>
      <c r="AT115" s="24">
        <f>EXP($D115-$D$17)*(($B115*FixedParams!$C$31)^$B$10*(1+FixedParams!$D$25)^(1-$B$10)+(1-$B115)^$B$10*((1+FixedParams!$D$28)/$AT$12)^(1-$B$10))^(1/(1-$B$10))</f>
        <v>5.6769441491901826</v>
      </c>
      <c r="AU115" s="24">
        <f>EXP($D115-$D$17)*(($B115*FixedParams!$C$30)^$B$10*(1+FixedParams!$D$23)^(1-$B$10)+(1-$B115)^$B$10*((1+FixedParams!$D$26)/$AT$12)^(1-$B$10))^(1/(1-$B$10))</f>
        <v>5.6641038811965636</v>
      </c>
      <c r="AV115">
        <f>IF(FixedParams!$I$6=1,IF(AT115&lt;=MIN(AS115:AU115),1,0),$H115)</f>
        <v>0</v>
      </c>
      <c r="AW115">
        <f>IF(FixedParams!$I$6=1,IF(AU115&lt;=MIN(AS115:AU115),1,0),IF(AU115&lt;=AS115,1,0)*(1-$H115))</f>
        <v>1</v>
      </c>
      <c r="AX115" s="24">
        <f>$AT$13*IF(AV115=1,1,IF(AW115=1,FixedParams!$D$52,FixedParams!$D$53))</f>
        <v>0.3451899269505756</v>
      </c>
      <c r="AY115">
        <f>EXP($C115*FixedParams!$B$47)*EXP(IF(AV115+AW115=1,(1-FixedParams!$B$47)*$D115,0))*($B115^((FixedParams!$B$47-1)*$B$10/($B$10-1)))*((1/$B115-1)^$B$10*(AX115)^($B$10-1)+1)^((FixedParams!$B$47-$B$10)/($B$10-1))/((1+IF(AV115=1,FixedParams!$D$25,IF(AW115=1,FixedParams!$D$23,FixedParams!$D$24)))^FixedParams!$B$47)</f>
        <v>6.0285440940692228E-2</v>
      </c>
      <c r="AZ115">
        <f t="shared" si="52"/>
        <v>1.6233410873546972</v>
      </c>
      <c r="BA115">
        <f t="shared" si="72"/>
        <v>40.843044647530114</v>
      </c>
      <c r="BB115">
        <f t="shared" si="53"/>
        <v>47.691079152457071</v>
      </c>
      <c r="BC115">
        <f t="shared" si="73"/>
        <v>88.534123799987185</v>
      </c>
      <c r="BD115" s="24">
        <f t="shared" si="74"/>
        <v>1.1676670915213241</v>
      </c>
      <c r="BE115" s="24">
        <f t="shared" si="75"/>
        <v>1.9180228005220878</v>
      </c>
      <c r="BF115" s="23">
        <f>IF(AV115=1,BA115*(1+FixedParams!$C$25)+BB115*(1+FixedParams!$C$28)/$AT$12,IF(AW115=1,BA115*(1+FixedParams!$C$23)+BB115*(1+FixedParams!$C$26)/$AT$12,BA115*(1+FixedParams!$C$24)+BB115*(1+FixedParams!$C$27)/$AT$12))</f>
        <v>203.82777348342404</v>
      </c>
      <c r="BG115" s="24">
        <f t="shared" si="76"/>
        <v>35.985881925662113</v>
      </c>
      <c r="BH115" s="24">
        <f>BG115^((FixedParams!$B$47-1)/FixedParams!$B$47)*EXP($C115)</f>
        <v>0.29284724844904741</v>
      </c>
      <c r="BI115" s="7"/>
      <c r="BJ115" s="24">
        <f>EXP(-$D$17)*(($B115*FixedParams!$B$30)^$B$10*(1+FixedParams!$C$24)^(1-$B$10)+(1-$B115)^$B$10*((1+FixedParams!$C$27)/$BK$12)^(1-$B$10))^(1/(1-$B$10))</f>
        <v>6.8214815038664316</v>
      </c>
      <c r="BK115" s="24">
        <f>EXP($D115-$D$17)*(($B115*FixedParams!$C$31)^$B$10*(1+FixedParams!$C$25)^(1-$B$10)+(1-$B115)^$B$10*((1+FixedParams!$C$28)/$BK$12)^(1-$B$10))^(1/(1-$B$10))</f>
        <v>6.0692084761387646</v>
      </c>
      <c r="BL115" s="24">
        <f>EXP($D115-$D$17)*(($B115*FixedParams!$C$30)^$B$10*(1+FixedParams!$C$23)^(1-$B$10)+(1-$B115)^$B$10*((1+FixedParams!$C$26)/$BK$12)^(1-$B$10))^(1/(1-$B$10))</f>
        <v>6.0750953401425791</v>
      </c>
      <c r="BM115">
        <f>IF(FixedParams!$I$6=1,IF(BK115&lt;=MIN(BJ115:BL115),1,0),$H115)</f>
        <v>1</v>
      </c>
      <c r="BN115">
        <f>IF(FixedParams!$I$6=1,IF(BL115&lt;=MIN(BJ115:BL115),1,0),IF(BL115&lt;=BJ115,1,0)*(1-$H115))</f>
        <v>0</v>
      </c>
      <c r="BO115" s="24">
        <f>$BK$13*IF(BM115=1,1,IF(BN115=1,FixedParams!$C$52,FixedParams!$C$53))</f>
        <v>0.41068174962109105</v>
      </c>
      <c r="BP115">
        <f>EXP($C115*FixedParams!$B$47)*EXP(IF(BM115+BN115=1,(1-FixedParams!$B$47)*$D115,0))*($B115^((FixedParams!$B$47-1)*$B$10/($B$10-1)))*((1/$B115-1)^$B$10*(BO115)^($B$10-1)+1)^((FixedParams!$B$47-$B$10)/($B$10-1))/((1+IF(BM115=1,FixedParams!$C$25,IF(BN115=1,FixedParams!$C$23,FixedParams!$C$24)))^FixedParams!$B$47)</f>
        <v>4.5924139624369524E-2</v>
      </c>
      <c r="BQ115">
        <f t="shared" si="77"/>
        <v>1.321134270569075</v>
      </c>
      <c r="BR115">
        <f t="shared" si="78"/>
        <v>33.694418299455883</v>
      </c>
      <c r="BS115">
        <f t="shared" si="54"/>
        <v>51.056135339867232</v>
      </c>
      <c r="BT115">
        <f t="shared" si="79"/>
        <v>84.750553639323115</v>
      </c>
      <c r="BU115" s="24">
        <f t="shared" si="80"/>
        <v>1.5152698255868604</v>
      </c>
      <c r="BV115" s="24">
        <f t="shared" si="81"/>
        <v>1.9276181186796544</v>
      </c>
      <c r="BW115" s="23">
        <f>IF(BM115=1,BR115*(1+FixedParams!$C$25)+BS115*(1+FixedParams!$C$28)/$BK$12,IF(BN115=1,BR115*(1+FixedParams!$C$23)+BS115*(1+FixedParams!$C$26)/$BK$12,BR115*(1+FixedParams!$C$24)+BS115*(1+FixedParams!$C$27)/$BK$12))</f>
        <v>216.22839169497445</v>
      </c>
      <c r="BX115" s="24">
        <f t="shared" si="82"/>
        <v>35.627115553054644</v>
      </c>
      <c r="BY115" s="24">
        <f>BX115^((FixedParams!$B$47-1)/FixedParams!$B$47)*EXP($C115)</f>
        <v>0.2928501856343334</v>
      </c>
      <c r="BZ115" s="24">
        <f t="shared" si="83"/>
        <v>-4.2388779293941289E-2</v>
      </c>
      <c r="CA115" s="24">
        <f t="shared" si="84"/>
        <v>-1.5193766230452162E-2</v>
      </c>
      <c r="CB115" s="24">
        <f t="shared" si="85"/>
        <v>2.1346896889550895E-3</v>
      </c>
      <c r="CC115" s="24"/>
      <c r="CD115" s="24">
        <f>EXP(-$D$17)*(($B115*FixedParams!$B$30)^$B$10*(1+FixedParams!$D$24)^(1-$B$10)+(1-$B115)^$B$10*((1+FixedParams!$D$27)/$CE$12)^(1-$B$10))^(1/(1-$B$10))</f>
        <v>6.3792259289402669</v>
      </c>
      <c r="CE115" s="24">
        <f>EXP($D115-$D$17)*(($B115*FixedParams!$D$31)^$B$10*(1+FixedParams!$D$25)^(1-$B$10)+(1-$B115)^$B$10*((1+FixedParams!$D$28)/$CE$12)^(1-$B$10))^(1/(1-$B$10))</f>
        <v>5.8903805463738861</v>
      </c>
      <c r="CF115" s="24">
        <f>EXP($D115-$D$17)*(($B115*FixedParams!$D$30)^$B$10*(1+FixedParams!$D$23)^(1-$B$10)+(1-$B115)^$B$10*((1+FixedParams!$D$26)/$CE$12)^(1-$B$10))^(1/(1-$B$10))</f>
        <v>5.8728922807671893</v>
      </c>
      <c r="CG115">
        <f>IF(FixedParams!$I$6=1,IF(CE115&lt;=MIN(CD115:CF115),1,0),$H115)</f>
        <v>0</v>
      </c>
      <c r="CH115">
        <f>IF(FixedParams!$I$6=1,IF(CF115&lt;=MIN(CD115:CF115),1,0),IF(CF115&lt;=CD115,1,0)*(1-$H115))</f>
        <v>1</v>
      </c>
      <c r="CI115" s="24">
        <f>$CE$13*IF(CG115=1,1,IF(CH115=1,FixedParams!$D$52,FixedParams!$D$53))</f>
        <v>0.32933267593211629</v>
      </c>
      <c r="CJ115">
        <f>EXP($C115*FixedParams!$B$47)*EXP(IF(CG115+CH115=1,(1-FixedParams!$B$47)*$D115,0))*($B115^((FixedParams!$B$47-1)*$B$10/($B$10-1)))*((1/$B115-1)^$B$10*(CI115)^($B$10-1)+1)^((FixedParams!$B$47-$B$10)/($B$10-1))/((1+IF(CG115=1,FixedParams!$D$25,IF(CH115=1,FixedParams!$D$23,FixedParams!$D$24)))^FixedParams!$B$47)</f>
        <v>6.1388719599965801E-2</v>
      </c>
      <c r="CK115">
        <f t="shared" si="86"/>
        <v>1.616387098746733</v>
      </c>
      <c r="CL115">
        <f t="shared" si="88"/>
        <v>44.160151001150709</v>
      </c>
      <c r="CM115">
        <f t="shared" si="55"/>
        <v>48.052352443892502</v>
      </c>
      <c r="CN115">
        <f t="shared" si="89"/>
        <v>92.212503445043211</v>
      </c>
      <c r="CO115" s="24">
        <f t="shared" si="90"/>
        <v>1.0881383182462481</v>
      </c>
      <c r="CP115" s="24">
        <f t="shared" si="91"/>
        <v>1.8973668121911422</v>
      </c>
      <c r="CQ115" s="23">
        <f>IF(CG115=1,CL115*(1+FixedParams!$D$25)+CM115*(1+FixedParams!$D$28)/$CE$12,IF(CH115=1,CL115*(1+FixedParams!$D$23)+CM115*(1+FixedParams!$D$26)/$CE$12,CL115*(1+FixedParams!$D$24)+CM115*(1+FixedParams!$D$27)/$CE$12))</f>
        <v>211.99395540957491</v>
      </c>
      <c r="CR115" s="24">
        <f t="shared" si="92"/>
        <v>36.097027712192549</v>
      </c>
      <c r="CS115" s="24">
        <f>CR115^((FixedParams!$B$47-1)/FixedParams!$B$47)*EXP($C115)</f>
        <v>0.29284634445405672</v>
      </c>
      <c r="CT115" s="24"/>
    </row>
    <row r="116" spans="1:98" x14ac:dyDescent="0.15">
      <c r="A116">
        <v>0.495</v>
      </c>
      <c r="B116">
        <f t="shared" si="56"/>
        <v>0.23948859791963109</v>
      </c>
      <c r="C116">
        <f>(D116-$D$17)*FixedParams!$B$47+$A116*$B$9</f>
        <v>-1.2370125046579021</v>
      </c>
      <c r="D116">
        <f>(A116-$B$6)*FixedParams!$B$46/(FixedParams!$B$45*Sectors!$B$6)</f>
        <v>-2.7167571494640429E-3</v>
      </c>
      <c r="E116">
        <f t="shared" si="57"/>
        <v>0.29025004462484788</v>
      </c>
      <c r="F116" s="24">
        <f>EXP(-$D$17)*(($B116*FixedParams!$B$30)^$B$10*(1+FixedParams!$B$23)^(1-$B$10)+(1-$B116)^$B$10*((1+FixedParams!$B$26)/$B$11)^(1-$B$10))^(1/(1-$B$10))</f>
        <v>4.9923871487982652</v>
      </c>
      <c r="G116" s="24">
        <f>EXP($D116-$D$17)*(($B116*FixedParams!$B$31)^$B$10*(1+FixedParams!$B$25)^(1-$B$10)+(1-$B116)^$B$10*((1+FixedParams!$B$28)/$B$11)^(1-$B$10))^(1/(1-$B$10))</f>
        <v>4.7903656059094279</v>
      </c>
      <c r="H116">
        <f t="shared" si="58"/>
        <v>1</v>
      </c>
      <c r="I116" s="24">
        <f>$B$12*IF(H116=1,1,FixedParams!$B$52)</f>
        <v>0.3745928365283252</v>
      </c>
      <c r="J116">
        <f>EXP($C116*FixedParams!$B$47)*EXP(IF(H116=1,(1-FixedParams!$B$47)*$D116,0))*($B116^((FixedParams!$B$47-1)*$B$10/($B$10-1)))*((1/$B116-1)^$B$10*(I116)^($B$10-1)+1)^((FixedParams!$B$47-$B$10)/($B$10-1))/((1+IF(H116=1,FixedParams!$B$25,FixedParams!$B$24))^FixedParams!$B$47)</f>
        <v>6.5078734230571561E-2</v>
      </c>
      <c r="K116">
        <f t="shared" si="87"/>
        <v>1.3121553424828527</v>
      </c>
      <c r="L116">
        <f>K116*FixedParams!$B$8/K$15</f>
        <v>38.14846207602141</v>
      </c>
      <c r="M116">
        <f t="shared" si="47"/>
        <v>49.493431858233372</v>
      </c>
      <c r="N116">
        <f t="shared" si="59"/>
        <v>87.641893934254782</v>
      </c>
      <c r="O116" s="24">
        <f t="shared" si="60"/>
        <v>1.2973899644919882</v>
      </c>
      <c r="P116" s="24">
        <f t="shared" si="48"/>
        <v>1.8731050891915035</v>
      </c>
      <c r="Q116" s="23">
        <f>IF(H116=1,L116*(1+FixedParams!$B$25)+M116*FixedParams!$B$33*(1+FixedParams!$B$28)/FixedParams!$B$32,L116*(1+FixedParams!$B$23)+M116*FixedParams!$B$33*(1+FixedParams!$B$26)/FixedParams!$B$32)</f>
        <v>170.57282463456278</v>
      </c>
      <c r="R116" s="24">
        <f t="shared" si="49"/>
        <v>35.607475225720343</v>
      </c>
      <c r="S116" s="24">
        <f>R116^((FixedParams!$B$47-1)/FixedParams!$B$47)*EXP($C116)</f>
        <v>0.28921392598444207</v>
      </c>
      <c r="T116" s="7">
        <f>(L116*FixedParams!$B$32*(FixedParams!$C$25-FixedParams!$C$23)+FixedParams!$B$33*(FixedParams!$C$28-FixedParams!$C$26)*M116)/N116</f>
        <v>480.32223710168284</v>
      </c>
      <c r="U116" s="7">
        <f>(L116*FixedParams!$B$32*(FixedParams!$C$25-FixedParams!$C$23)*$Z$12/$B$11+FixedParams!$B$33*(FixedParams!$C$28-FixedParams!$C$26)*M116)/N116</f>
        <v>43.159413002584273</v>
      </c>
      <c r="V116" s="14">
        <f t="shared" si="50"/>
        <v>-1.2422701388191542</v>
      </c>
      <c r="W116" s="14">
        <f>N116/(N$15*COUNT($N$17:$N$217))+W115</f>
        <v>0.72356112158408903</v>
      </c>
      <c r="X116" s="73">
        <f t="shared" si="62"/>
        <v>0.96630879772452583</v>
      </c>
      <c r="Y116" s="24">
        <f>EXP(-$D$17)*(($B116*FixedParams!$B$30)^$B$10*(1+FixedParams!$C$24)^(1-$B$10)+(1-$B116)^$B$10*((1+FixedParams!$C$27)/$Z$12)^(1-$B$10))^(1/(1-$B$10))</f>
        <v>6.5615129818164766</v>
      </c>
      <c r="Z116" s="24">
        <f>EXP($D116-$D$17)*(($B116*FixedParams!$C$31)^$B$10*(1+FixedParams!$C$25)^(1-$B$10)+(1-$B116)^$B$10*((1+FixedParams!$C$28)/$Z$12)^(1-$B$10))^(1/(1-$B$10))</f>
        <v>5.854571743990129</v>
      </c>
      <c r="AA116" s="24">
        <f>EXP($D116-$D$17)*(($B116*FixedParams!$C$30)^$B$10*(1+FixedParams!$C$23)^(1-$B$10)+(1-$B116)^$B$10*((1+FixedParams!$C$26)/$Z$12)^(1-$B$10))^(1/(1-$B$10))</f>
        <v>5.8619939106400993</v>
      </c>
      <c r="AB116">
        <f>IF(FixedParams!$I$6=1,IF(Z116&lt;=MIN(Y116:AA116),1,0),$H116)</f>
        <v>1</v>
      </c>
      <c r="AC116">
        <f>IF(FixedParams!$I$6=1,IF(AA116&lt;=MIN(Y116:AA116),1,0),IF(AA116&lt;=Y116,1,0)*(1-$H116))</f>
        <v>0</v>
      </c>
      <c r="AD116" s="24">
        <f>$Z$13*IF(AB116=1,1,IF(AC116=1,FixedParams!$C$52,FixedParams!$C$53))</f>
        <v>0.43187184563106507</v>
      </c>
      <c r="AE116">
        <f>EXP($C116*FixedParams!$B$47)*EXP(IF(AB116+AC116=1,(1-FixedParams!$B$47)*$D116,0))*($B116^((FixedParams!$B$47-1)*$B$10/($B$10-1)))*((1/$B116-1)^$B$10*(AD116)^($B$10-1)+1)^((FixedParams!$B$47-$B$10)/($B$10-1))/((1+IF(AB116=1,FixedParams!$C$25,IF(AC116=1,FixedParams!$C$23,FixedParams!$C$24)))^FixedParams!$B$47)</f>
        <v>4.5072118421148867E-2</v>
      </c>
      <c r="AF116">
        <f t="shared" si="63"/>
        <v>1.3281482739060007</v>
      </c>
      <c r="AG116">
        <f t="shared" si="64"/>
        <v>31.196163417727277</v>
      </c>
      <c r="AH116">
        <f t="shared" si="51"/>
        <v>50.103130050372883</v>
      </c>
      <c r="AI116">
        <f t="shared" si="65"/>
        <v>81.29929346810016</v>
      </c>
      <c r="AJ116" s="24">
        <f t="shared" si="66"/>
        <v>1.6060670467542713</v>
      </c>
      <c r="AK116" s="24">
        <f t="shared" si="67"/>
        <v>1.9553907912961259</v>
      </c>
      <c r="AL116" s="23">
        <f>IF(AB116=1,AG116*(1+FixedParams!$C$25)+AH116*(1+FixedParams!$C$28)/$Z$12,IF(AC116=1,AG116*(1+FixedParams!$C$23)+AH116*(1+FixedParams!$C$26)/$Z$12,AG116*(1+FixedParams!$C$24)+AH116*(1+FixedParams!$C$27)/$Z$12))</f>
        <v>201.44303069456612</v>
      </c>
      <c r="AM116" s="24">
        <f t="shared" si="68"/>
        <v>34.407816575371662</v>
      </c>
      <c r="AN116" s="24">
        <f>AM116^((FixedParams!$B$47-1)/FixedParams!$B$47)*EXP($C116)</f>
        <v>0.28922384796679756</v>
      </c>
      <c r="AO116" s="24">
        <f t="shared" si="69"/>
        <v>-7.5121798793327879E-2</v>
      </c>
      <c r="AP116" s="24">
        <f t="shared" si="70"/>
        <v>-3.4271829470534143E-2</v>
      </c>
      <c r="AQ116" s="14">
        <f t="shared" si="71"/>
        <v>-1.3134147507010394</v>
      </c>
      <c r="AS116" s="24">
        <f>EXP(-$D$17)*(($B116*FixedParams!$B$30)^$B$10*(1+FixedParams!$D$24)^(1-$B$10)+(1-$B116)^$B$10*((1+FixedParams!$D$27)/$AT$12)^(1-$B$10))^(1/(1-$B$10))</f>
        <v>6.1526854110697382</v>
      </c>
      <c r="AT116" s="24">
        <f>EXP($D116-$D$17)*(($B116*FixedParams!$C$31)^$B$10*(1+FixedParams!$D$25)^(1-$B$10)+(1-$B116)^$B$10*((1+FixedParams!$D$28)/$AT$12)^(1-$B$10))^(1/(1-$B$10))</f>
        <v>5.6970687247006779</v>
      </c>
      <c r="AU116" s="24">
        <f>EXP($D116-$D$17)*(($B116*FixedParams!$C$30)^$B$10*(1+FixedParams!$D$23)^(1-$B$10)+(1-$B116)^$B$10*((1+FixedParams!$D$26)/$AT$12)^(1-$B$10))^(1/(1-$B$10))</f>
        <v>5.6812287807146982</v>
      </c>
      <c r="AV116">
        <f>IF(FixedParams!$I$6=1,IF(AT116&lt;=MIN(AS116:AU116),1,0),$H116)</f>
        <v>0</v>
      </c>
      <c r="AW116">
        <f>IF(FixedParams!$I$6=1,IF(AU116&lt;=MIN(AS116:AU116),1,0),IF(AU116&lt;=AS116,1,0)*(1-$H116))</f>
        <v>1</v>
      </c>
      <c r="AX116" s="24">
        <f>$AT$13*IF(AV116=1,1,IF(AW116=1,FixedParams!$D$52,FixedParams!$D$53))</f>
        <v>0.3451899269505756</v>
      </c>
      <c r="AY116">
        <f>EXP($C116*FixedParams!$B$47)*EXP(IF(AV116+AW116=1,(1-FixedParams!$B$47)*$D116,0))*($B116^((FixedParams!$B$47-1)*$B$10/($B$10-1)))*((1/$B116-1)^$B$10*(AX116)^($B$10-1)+1)^((FixedParams!$B$47-$B$10)/($B$10-1))/((1+IF(AV116=1,FixedParams!$D$25,IF(AW116=1,FixedParams!$D$23,FixedParams!$D$24)))^FixedParams!$B$47)</f>
        <v>6.0335140414913807E-2</v>
      </c>
      <c r="AZ116">
        <f t="shared" si="52"/>
        <v>1.6246793739669356</v>
      </c>
      <c r="BA116">
        <f t="shared" si="72"/>
        <v>40.876715759707729</v>
      </c>
      <c r="BB116">
        <f t="shared" si="53"/>
        <v>46.913139597579111</v>
      </c>
      <c r="BC116">
        <f t="shared" si="73"/>
        <v>87.789855357286839</v>
      </c>
      <c r="BD116" s="24">
        <f t="shared" si="74"/>
        <v>1.1476738951670256</v>
      </c>
      <c r="BE116" s="24">
        <f t="shared" si="75"/>
        <v>1.9238217668583997</v>
      </c>
      <c r="BF116" s="23">
        <f>IF(AV116=1,BA116*(1+FixedParams!$C$25)+BB116*(1+FixedParams!$C$28)/$AT$12,IF(AW116=1,BA116*(1+FixedParams!$C$23)+BB116*(1+FixedParams!$C$26)/$AT$12,BA116*(1+FixedParams!$C$24)+BB116*(1+FixedParams!$C$27)/$AT$12))</f>
        <v>201.31181649375253</v>
      </c>
      <c r="BG116" s="24">
        <f t="shared" si="76"/>
        <v>35.434555492135544</v>
      </c>
      <c r="BH116" s="24">
        <f>BG116^((FixedParams!$B$47-1)/FixedParams!$B$47)*EXP($C116)</f>
        <v>0.28921533532131544</v>
      </c>
      <c r="BI116" s="7"/>
      <c r="BJ116" s="24">
        <f>EXP(-$D$17)*(($B116*FixedParams!$B$30)^$B$10*(1+FixedParams!$C$24)^(1-$B$10)+(1-$B116)^$B$10*((1+FixedParams!$C$27)/$BK$12)^(1-$B$10))^(1/(1-$B$10))</f>
        <v>6.8290897625524156</v>
      </c>
      <c r="BK116" s="24">
        <f>EXP($D116-$D$17)*(($B116*FixedParams!$C$31)^$B$10*(1+FixedParams!$C$25)^(1-$B$10)+(1-$B116)^$B$10*((1+FixedParams!$C$28)/$BK$12)^(1-$B$10))^(1/(1-$B$10))</f>
        <v>6.0907145700563143</v>
      </c>
      <c r="BL116" s="24">
        <f>EXP($D116-$D$17)*(($B116*FixedParams!$C$30)^$B$10*(1+FixedParams!$C$23)^(1-$B$10)+(1-$B116)^$B$10*((1+FixedParams!$C$26)/$BK$12)^(1-$B$10))^(1/(1-$B$10))</f>
        <v>6.0926233718425484</v>
      </c>
      <c r="BM116">
        <f>IF(FixedParams!$I$6=1,IF(BK116&lt;=MIN(BJ116:BL116),1,0),$H116)</f>
        <v>1</v>
      </c>
      <c r="BN116">
        <f>IF(FixedParams!$I$6=1,IF(BL116&lt;=MIN(BJ116:BL116),1,0),IF(BL116&lt;=BJ116,1,0)*(1-$H116))</f>
        <v>0</v>
      </c>
      <c r="BO116" s="24">
        <f>$BK$13*IF(BM116=1,1,IF(BN116=1,FixedParams!$C$52,FixedParams!$C$53))</f>
        <v>0.41068174962109105</v>
      </c>
      <c r="BP116">
        <f>EXP($C116*FixedParams!$B$47)*EXP(IF(BM116+BN116=1,(1-FixedParams!$B$47)*$D116,0))*($B116^((FixedParams!$B$47-1)*$B$10/($B$10-1)))*((1/$B116-1)^$B$10*(BO116)^($B$10-1)+1)^((FixedParams!$B$47-$B$10)/($B$10-1))/((1+IF(BM116=1,FixedParams!$C$25,IF(BN116=1,FixedParams!$C$23,FixedParams!$C$24)))^FixedParams!$B$47)</f>
        <v>4.5973937535575035E-2</v>
      </c>
      <c r="BQ116">
        <f t="shared" si="77"/>
        <v>1.3225668445407264</v>
      </c>
      <c r="BR116">
        <f t="shared" si="78"/>
        <v>33.730954893594003</v>
      </c>
      <c r="BS116">
        <f t="shared" si="54"/>
        <v>50.236349540349131</v>
      </c>
      <c r="BT116">
        <f t="shared" si="79"/>
        <v>83.967304433943127</v>
      </c>
      <c r="BU116" s="24">
        <f t="shared" si="80"/>
        <v>1.4893248560208932</v>
      </c>
      <c r="BV116" s="24">
        <f t="shared" si="81"/>
        <v>1.9344485870118064</v>
      </c>
      <c r="BW116" s="23">
        <f>IF(BM116=1,BR116*(1+FixedParams!$C$25)+BS116*(1+FixedParams!$C$28)/$BK$12,IF(BN116=1,BR116*(1+FixedParams!$C$23)+BS116*(1+FixedParams!$C$26)/$BK$12,BR116*(1+FixedParams!$C$24)+BS116*(1+FixedParams!$C$27)/$BK$12))</f>
        <v>213.54683461833059</v>
      </c>
      <c r="BX116" s="24">
        <f t="shared" si="82"/>
        <v>35.061047790383675</v>
      </c>
      <c r="BY116" s="24">
        <f>BX116^((FixedParams!$B$47-1)/FixedParams!$B$47)*EXP($C116)</f>
        <v>0.28921840314023789</v>
      </c>
      <c r="BZ116" s="24">
        <f t="shared" si="83"/>
        <v>-4.2831634736792232E-2</v>
      </c>
      <c r="CA116" s="24">
        <f t="shared" si="84"/>
        <v>-1.5464829384100338E-2</v>
      </c>
      <c r="CB116" s="24">
        <f t="shared" si="85"/>
        <v>1.8636265353069136E-3</v>
      </c>
      <c r="CC116" s="24"/>
      <c r="CD116" s="24">
        <f>EXP(-$D$17)*(($B116*FixedParams!$B$30)^$B$10*(1+FixedParams!$D$24)^(1-$B$10)+(1-$B116)^$B$10*((1+FixedParams!$D$27)/$CE$12)^(1-$B$10))^(1/(1-$B$10))</f>
        <v>6.3848814935765246</v>
      </c>
      <c r="CE116" s="24">
        <f>EXP($D116-$D$17)*(($B116*FixedParams!$D$31)^$B$10*(1+FixedParams!$D$25)^(1-$B$10)+(1-$B116)^$B$10*((1+FixedParams!$D$28)/$CE$12)^(1-$B$10))^(1/(1-$B$10))</f>
        <v>5.9104470609109123</v>
      </c>
      <c r="CF116" s="24">
        <f>EXP($D116-$D$17)*(($B116*FixedParams!$D$30)^$B$10*(1+FixedParams!$D$23)^(1-$B$10)+(1-$B116)^$B$10*((1+FixedParams!$D$26)/$CE$12)^(1-$B$10))^(1/(1-$B$10))</f>
        <v>5.8897966198701255</v>
      </c>
      <c r="CG116">
        <f>IF(FixedParams!$I$6=1,IF(CE116&lt;=MIN(CD116:CF116),1,0),$H116)</f>
        <v>0</v>
      </c>
      <c r="CH116">
        <f>IF(FixedParams!$I$6=1,IF(CF116&lt;=MIN(CD116:CF116),1,0),IF(CF116&lt;=CD116,1,0)*(1-$H116))</f>
        <v>1</v>
      </c>
      <c r="CI116" s="24">
        <f>$CE$13*IF(CG116=1,1,IF(CH116=1,FixedParams!$D$52,FixedParams!$D$53))</f>
        <v>0.32933267593211629</v>
      </c>
      <c r="CJ116">
        <f>EXP($C116*FixedParams!$B$47)*EXP(IF(CG116+CH116=1,(1-FixedParams!$B$47)*$D116,0))*($B116^((FixedParams!$B$47-1)*$B$10/($B$10-1)))*((1/$B116-1)^$B$10*(CI116)^($B$10-1)+1)^((FixedParams!$B$47-$B$10)/($B$10-1))/((1+IF(CG116=1,FixedParams!$D$25,IF(CH116=1,FixedParams!$D$23,FixedParams!$D$24)))^FixedParams!$B$47)</f>
        <v>6.1434877379786826E-2</v>
      </c>
      <c r="CK116">
        <f t="shared" si="86"/>
        <v>1.617602449715049</v>
      </c>
      <c r="CL116">
        <f t="shared" si="88"/>
        <v>44.193354732065067</v>
      </c>
      <c r="CM116">
        <f t="shared" si="55"/>
        <v>47.265095204717859</v>
      </c>
      <c r="CN116">
        <f t="shared" si="89"/>
        <v>91.458449936782927</v>
      </c>
      <c r="CO116" s="24">
        <f t="shared" si="90"/>
        <v>1.069506840819759</v>
      </c>
      <c r="CP116" s="24">
        <f t="shared" si="91"/>
        <v>1.9028281301351087</v>
      </c>
      <c r="CQ116" s="23">
        <f>IF(CG116=1,CL116*(1+FixedParams!$D$25)+CM116*(1+FixedParams!$D$28)/$CE$12,IF(CH116=1,CL116*(1+FixedParams!$D$23)+CM116*(1+FixedParams!$D$26)/$CE$12,CL116*(1+FixedParams!$D$24)+CM116*(1+FixedParams!$D$27)/$CE$12))</f>
        <v>209.36477290304259</v>
      </c>
      <c r="CR116" s="24">
        <f t="shared" si="92"/>
        <v>35.547029280555911</v>
      </c>
      <c r="CS116" s="24">
        <f>CR116^((FixedParams!$B$47-1)/FixedParams!$B$47)*EXP($C116)</f>
        <v>0.28921441785288055</v>
      </c>
      <c r="CT116" s="24"/>
    </row>
    <row r="117" spans="1:98" x14ac:dyDescent="0.15">
      <c r="A117">
        <v>0.5</v>
      </c>
      <c r="B117">
        <f t="shared" si="56"/>
        <v>0.24159192672491539</v>
      </c>
      <c r="C117">
        <f>(D117-$D$17)*FixedParams!$B$47+$A117*$B$9</f>
        <v>-1.2495075804625275</v>
      </c>
      <c r="D117">
        <f>(A117-$B$6)*FixedParams!$B$46/(FixedParams!$B$45*Sectors!$B$6)</f>
        <v>0</v>
      </c>
      <c r="E117">
        <f t="shared" si="57"/>
        <v>0.28664591216085777</v>
      </c>
      <c r="F117" s="24">
        <f>EXP(-$D$17)*(($B117*FixedParams!$B$30)^$B$10*(1+FixedParams!$B$23)^(1-$B$10)+(1-$B117)^$B$10*((1+FixedParams!$B$26)/$B$11)^(1-$B$10))^(1/(1-$B$10))</f>
        <v>4.9956158829134187</v>
      </c>
      <c r="G117" s="24">
        <f>EXP($D117-$D$17)*(($B117*FixedParams!$B$31)^$B$10*(1+FixedParams!$B$25)^(1-$B$10)+(1-$B117)^$B$10*((1+FixedParams!$B$28)/$B$11)^(1-$B$10))^(1/(1-$B$10))</f>
        <v>4.8058856313617078</v>
      </c>
      <c r="H117">
        <f t="shared" si="58"/>
        <v>1</v>
      </c>
      <c r="I117" s="24">
        <f>$B$12*IF(H117=1,1,FixedParams!$B$52)</f>
        <v>0.3745928365283252</v>
      </c>
      <c r="J117">
        <f>EXP($C117*FixedParams!$B$47)*EXP(IF(H117=1,(1-FixedParams!$B$47)*$D117,0))*($B117^((FixedParams!$B$47-1)*$B$10/($B$10-1)))*((1/$B117-1)^$B$10*(I117)^($B$10-1)+1)^((FixedParams!$B$47-$B$10)/($B$10-1))/((1+IF(H117=1,FixedParams!$B$25,FixedParams!$B$24))^FixedParams!$B$47)</f>
        <v>6.5137067013610037E-2</v>
      </c>
      <c r="K117">
        <f t="shared" si="87"/>
        <v>1.3133314820284476</v>
      </c>
      <c r="L117">
        <f>K117*FixedParams!$B$8/K$15</f>
        <v>38.182656133232911</v>
      </c>
      <c r="M117">
        <f t="shared" si="47"/>
        <v>48.689591773517591</v>
      </c>
      <c r="N117">
        <f t="shared" si="59"/>
        <v>86.872247906750502</v>
      </c>
      <c r="O117" s="24">
        <f t="shared" si="60"/>
        <v>1.2751756086224655</v>
      </c>
      <c r="P117" s="24">
        <f t="shared" si="48"/>
        <v>1.8791736528567038</v>
      </c>
      <c r="Q117" s="23">
        <f>IF(H117=1,L117*(1+FixedParams!$B$25)+M117*FixedParams!$B$33*(1+FixedParams!$B$28)/FixedParams!$B$32,L117*(1+FixedParams!$B$23)+M117*FixedParams!$B$33*(1+FixedParams!$B$26)/FixedParams!$B$32)</f>
        <v>168.45741423920012</v>
      </c>
      <c r="R117" s="24">
        <f t="shared" si="49"/>
        <v>35.052314424608795</v>
      </c>
      <c r="S117" s="24">
        <f>R117^((FixedParams!$B$47-1)/FixedParams!$B$47)*EXP($C117)</f>
        <v>0.28562715214270101</v>
      </c>
      <c r="T117" s="7">
        <f>(L117*FixedParams!$B$32*(FixedParams!$C$25-FixedParams!$C$23)+FixedParams!$B$33*(FixedParams!$C$28-FixedParams!$C$26)*M117)/N117</f>
        <v>528.5376853565698</v>
      </c>
      <c r="U117" s="7">
        <f>(L117*FixedParams!$B$32*(FixedParams!$C$25-FixedParams!$C$23)*$Z$12/$B$11+FixedParams!$B$33*(FixedParams!$C$28-FixedParams!$C$26)*M117)/N117</f>
        <v>87.106491593758534</v>
      </c>
      <c r="V117" s="14">
        <f t="shared" si="50"/>
        <v>-1.2249995135230709</v>
      </c>
      <c r="W117" s="14">
        <f t="shared" si="93"/>
        <v>0.72782202046622202</v>
      </c>
      <c r="X117" s="73">
        <f t="shared" si="62"/>
        <v>0.96590261378864117</v>
      </c>
      <c r="Y117" s="24">
        <f>EXP(-$D$17)*(($B117*FixedParams!$B$30)^$B$10*(1+FixedParams!$C$24)^(1-$B$10)+(1-$B117)^$B$10*((1+FixedParams!$C$27)/$Z$12)^(1-$B$10))^(1/(1-$B$10))</f>
        <v>6.5695992518490041</v>
      </c>
      <c r="Z117" s="24">
        <f>EXP($D117-$D$17)*(($B117*FixedParams!$C$31)^$B$10*(1+FixedParams!$C$25)^(1-$B$10)+(1-$B117)^$B$10*((1+FixedParams!$C$28)/$Z$12)^(1-$B$10))^(1/(1-$B$10))</f>
        <v>5.8760120581431856</v>
      </c>
      <c r="AA117" s="24">
        <f>EXP($D117-$D$17)*(($B117*FixedParams!$C$30)^$B$10*(1+FixedParams!$C$23)^(1-$B$10)+(1-$B117)^$B$10*((1+FixedParams!$C$26)/$Z$12)^(1-$B$10))^(1/(1-$B$10))</f>
        <v>5.8796190849068379</v>
      </c>
      <c r="AB117">
        <f>IF(FixedParams!$I$6=1,IF(Z117&lt;=MIN(Y117:AA117),1,0),$H117)</f>
        <v>1</v>
      </c>
      <c r="AC117">
        <f>IF(FixedParams!$I$6=1,IF(AA117&lt;=MIN(Y117:AA117),1,0),IF(AA117&lt;=Y117,1,0)*(1-$H117))</f>
        <v>0</v>
      </c>
      <c r="AD117" s="24">
        <f>$Z$13*IF(AB117=1,1,IF(AC117=1,FixedParams!$C$52,FixedParams!$C$53))</f>
        <v>0.43187184563106507</v>
      </c>
      <c r="AE117">
        <f>EXP($C117*FixedParams!$B$47)*EXP(IF(AB117+AC117=1,(1-FixedParams!$B$47)*$D117,0))*($B117^((FixedParams!$B$47-1)*$B$10/($B$10-1)))*((1/$B117-1)^$B$10*(AD117)^($B$10-1)+1)^((FixedParams!$B$47-$B$10)/($B$10-1))/((1+IF(AB117=1,FixedParams!$C$25,IF(AC117=1,FixedParams!$C$23,FixedParams!$C$24)))^FixedParams!$B$47)</f>
        <v>4.5122031346096728E-2</v>
      </c>
      <c r="AF117">
        <f t="shared" si="63"/>
        <v>1.3296190671022661</v>
      </c>
      <c r="AG117">
        <f t="shared" si="64"/>
        <v>31.230710091322262</v>
      </c>
      <c r="AH117">
        <f t="shared" si="51"/>
        <v>49.299781329688592</v>
      </c>
      <c r="AI117">
        <f t="shared" si="65"/>
        <v>80.530491421010851</v>
      </c>
      <c r="AJ117" s="24">
        <f t="shared" si="66"/>
        <v>1.5785674160315357</v>
      </c>
      <c r="AK117" s="24">
        <f t="shared" si="67"/>
        <v>1.9625517237589349</v>
      </c>
      <c r="AL117" s="23">
        <f>IF(AB117=1,AG117*(1+FixedParams!$C$25)+AH117*(1+FixedParams!$C$28)/$Z$12,IF(AC117=1,AG117*(1+FixedParams!$C$23)+AH117*(1+FixedParams!$C$26)/$Z$12,AG117*(1+FixedParams!$C$24)+AH117*(1+FixedParams!$C$27)/$Z$12))</f>
        <v>198.94485784331516</v>
      </c>
      <c r="AM117" s="24">
        <f t="shared" si="68"/>
        <v>33.857122122070926</v>
      </c>
      <c r="AN117" s="24">
        <f>AM117^((FixedParams!$B$47-1)/FixedParams!$B$47)*EXP($C117)</f>
        <v>0.28563707128639454</v>
      </c>
      <c r="AO117" s="24">
        <f t="shared" si="69"/>
        <v>-7.5802736488453315E-2</v>
      </c>
      <c r="AP117" s="24">
        <f t="shared" si="70"/>
        <v>-3.4692263735074391E-2</v>
      </c>
      <c r="AQ117" s="14">
        <f>LN(AD117/AJ117)</f>
        <v>-1.2961441254049562</v>
      </c>
      <c r="AS117" s="24">
        <f>EXP(-$D$17)*(($B117*FixedParams!$B$30)^$B$10*(1+FixedParams!$D$24)^(1-$B$10)+(1-$B117)^$B$10*((1+FixedParams!$D$27)/$AT$12)^(1-$B$10))^(1/(1-$B$10))</f>
        <v>6.1588082587312858</v>
      </c>
      <c r="AT117" s="24">
        <f>EXP($D117-$D$17)*(($B117*FixedParams!$C$31)^$B$10*(1+FixedParams!$D$25)^(1-$B$10)+(1-$B117)^$B$10*((1+FixedParams!$D$28)/$AT$12)^(1-$B$10))^(1/(1-$B$10))</f>
        <v>5.7171009989319472</v>
      </c>
      <c r="AU117" s="24">
        <f>EXP($D117-$D$17)*(($B117*FixedParams!$C$30)^$B$10*(1+FixedParams!$D$23)^(1-$B$10)+(1-$B117)^$B$10*((1+FixedParams!$D$26)/$AT$12)^(1-$B$10))^(1/(1-$B$10))</f>
        <v>5.6982139442216981</v>
      </c>
      <c r="AV117">
        <f>IF(FixedParams!$I$6=1,IF(AT117&lt;=MIN(AS117:AU117),1,0),$H117)</f>
        <v>0</v>
      </c>
      <c r="AW117">
        <f>IF(FixedParams!$I$6=1,IF(AU117&lt;=MIN(AS117:AU117),1,0),IF(AU117&lt;=AS117,1,0)*(1-$H117))</f>
        <v>1</v>
      </c>
      <c r="AX117" s="24">
        <f>$AT$13*IF(AV117=1,1,IF(AW117=1,FixedParams!$D$52,FixedParams!$D$53))</f>
        <v>0.3451899269505756</v>
      </c>
      <c r="AY117">
        <f>EXP($C117*FixedParams!$B$47)*EXP(IF(AV117+AW117=1,(1-FixedParams!$B$47)*$D117,0))*($B117^((FixedParams!$B$47-1)*$B$10/($B$10-1)))*((1/$B117-1)^$B$10*(AX117)^($B$10-1)+1)^((FixedParams!$B$47-$B$10)/($B$10-1))/((1+IF(AV117=1,FixedParams!$D$25,IF(AW117=1,FixedParams!$D$23,FixedParams!$D$24)))^FixedParams!$B$47)</f>
        <v>6.0381677222853161E-2</v>
      </c>
      <c r="AZ117">
        <f t="shared" si="52"/>
        <v>1.6259324976270346</v>
      </c>
      <c r="BA117">
        <f t="shared" si="72"/>
        <v>40.908244183399447</v>
      </c>
      <c r="BB117">
        <f t="shared" si="53"/>
        <v>46.145441522059095</v>
      </c>
      <c r="BC117">
        <f t="shared" si="73"/>
        <v>87.053685705458548</v>
      </c>
      <c r="BD117" s="24">
        <f t="shared" si="74"/>
        <v>1.1280230291767179</v>
      </c>
      <c r="BE117" s="24">
        <f t="shared" si="75"/>
        <v>1.9295734147024961</v>
      </c>
      <c r="BF117" s="23">
        <f>IF(AV117=1,BA117*(1+FixedParams!$C$25)+BB117*(1+FixedParams!$C$28)/$AT$12,IF(AW117=1,BA117*(1+FixedParams!$C$23)+BB117*(1+FixedParams!$C$26)/$AT$12,BA117*(1+FixedParams!$C$24)+BB117*(1+FixedParams!$C$27)/$AT$12))</f>
        <v>198.82701772925441</v>
      </c>
      <c r="BG117" s="24">
        <f t="shared" si="76"/>
        <v>34.892866374537569</v>
      </c>
      <c r="BH117" s="24">
        <f>BG117^((FixedParams!$B$47-1)/FixedParams!$B$47)*EXP($C117)</f>
        <v>0.28562845569108603</v>
      </c>
      <c r="BI117" s="7"/>
      <c r="BJ117" s="24">
        <f>EXP(-$D$17)*(($B117*FixedParams!$B$30)^$B$10*(1+FixedParams!$C$24)^(1-$B$10)+(1-$B117)^$B$10*((1+FixedParams!$C$27)/$BK$12)^(1-$B$10))^(1/(1-$B$10))</f>
        <v>6.8365308448406541</v>
      </c>
      <c r="BK117" s="24">
        <f>EXP($D117-$D$17)*(($B117*FixedParams!$C$31)^$B$10*(1+FixedParams!$C$25)^(1-$B$10)+(1-$B117)^$B$10*((1+FixedParams!$C$28)/$BK$12)^(1-$B$10))^(1/(1-$B$10))</f>
        <v>6.1121218318401516</v>
      </c>
      <c r="BL117" s="24">
        <f>EXP($D117-$D$17)*(($B117*FixedParams!$C$30)^$B$10*(1+FixedParams!$C$23)^(1-$B$10)+(1-$B117)^$B$10*((1+FixedParams!$C$26)/$BK$12)^(1-$B$10))^(1/(1-$B$10))</f>
        <v>6.1099888321888853</v>
      </c>
      <c r="BM117">
        <f>IF(FixedParams!$I$6=1,IF(BK117&lt;=MIN(BJ117:BL117),1,0),$H117)</f>
        <v>0</v>
      </c>
      <c r="BN117">
        <f>IF(FixedParams!$I$6=1,IF(BL117&lt;=MIN(BJ117:BL117),1,0),IF(BL117&lt;=BJ117,1,0)*(1-$H117))</f>
        <v>1</v>
      </c>
      <c r="BO117" s="24">
        <f>$BK$13*IF(BM117=1,1,IF(BN117=1,FixedParams!$C$52,FixedParams!$C$53))</f>
        <v>0.33006170822567266</v>
      </c>
      <c r="BP117">
        <f>EXP($C117*FixedParams!$B$47)*EXP(IF(BM117+BN117=1,(1-FixedParams!$B$47)*$D117,0))*($B117^((FixedParams!$B$47-1)*$B$10/($B$10-1)))*((1/$B117-1)^$B$10*(BO117)^($B$10-1)+1)^((FixedParams!$B$47-$B$10)/($B$10-1))/((1+IF(BM117=1,FixedParams!$C$25,IF(BN117=1,FixedParams!$C$23,FixedParams!$C$24)))^FixedParams!$B$47)</f>
        <v>5.928280834531266E-2</v>
      </c>
      <c r="BQ117">
        <f t="shared" si="77"/>
        <v>1.7054331425952358</v>
      </c>
      <c r="BR117">
        <f t="shared" si="78"/>
        <v>43.49563777768568</v>
      </c>
      <c r="BS117">
        <f t="shared" si="54"/>
        <v>45.874274916684634</v>
      </c>
      <c r="BT117">
        <f t="shared" si="79"/>
        <v>89.369912694370313</v>
      </c>
      <c r="BU117" s="24">
        <f t="shared" si="80"/>
        <v>1.0546867975854639</v>
      </c>
      <c r="BV117" s="24">
        <f t="shared" si="81"/>
        <v>1.9405702117767152</v>
      </c>
      <c r="BW117" s="23">
        <f>IF(BM117=1,BR117*(1+FixedParams!$C$25)+BS117*(1+FixedParams!$C$28)/$BK$12,IF(BN117=1,BR117*(1+FixedParams!$C$23)+BS117*(1+FixedParams!$C$26)/$BK$12,BR117*(1+FixedParams!$C$24)+BS117*(1+FixedParams!$C$27)/$BK$12))</f>
        <v>210.89845322865739</v>
      </c>
      <c r="BX117" s="24">
        <f t="shared" si="82"/>
        <v>34.516994878549333</v>
      </c>
      <c r="BY117" s="24">
        <f>BX117^((FixedParams!$B$47-1)/FixedParams!$B$47)*EXP($C117)</f>
        <v>0.28563155233162441</v>
      </c>
      <c r="BZ117" s="24">
        <f t="shared" si="83"/>
        <v>2.8345453880009367E-2</v>
      </c>
      <c r="CA117" s="24">
        <f t="shared" si="84"/>
        <v>-1.5389835463861697E-2</v>
      </c>
      <c r="CB117" s="24">
        <f t="shared" si="85"/>
        <v>1.9386204555455547E-3</v>
      </c>
      <c r="CC117" s="24"/>
      <c r="CD117" s="24">
        <f>EXP(-$D$17)*(($B117*FixedParams!$B$30)^$B$10*(1+FixedParams!$D$24)^(1-$B$10)+(1-$B117)^$B$10*((1+FixedParams!$D$27)/$CE$12)^(1-$B$10))^(1/(1-$B$10))</f>
        <v>6.3903632169539524</v>
      </c>
      <c r="CE117" s="24">
        <f>EXP($D117-$D$17)*(($B117*FixedParams!$D$31)^$B$10*(1+FixedParams!$D$25)^(1-$B$10)+(1-$B117)^$B$10*((1+FixedParams!$D$28)/$CE$12)^(1-$B$10))^(1/(1-$B$10))</f>
        <v>5.9304041898616431</v>
      </c>
      <c r="CF117" s="24">
        <f>EXP($D117-$D$17)*(($B117*FixedParams!$D$30)^$B$10*(1+FixedParams!$D$23)^(1-$B$10)+(1-$B117)^$B$10*((1+FixedParams!$D$26)/$CE$12)^(1-$B$10))^(1/(1-$B$10))</f>
        <v>5.9065431981645631</v>
      </c>
      <c r="CG117">
        <f>IF(FixedParams!$I$6=1,IF(CE117&lt;=MIN(CD117:CF117),1,0),$H117)</f>
        <v>0</v>
      </c>
      <c r="CH117">
        <f>IF(FixedParams!$I$6=1,IF(CF117&lt;=MIN(CD117:CF117),1,0),IF(CF117&lt;=CD117,1,0)*(1-$H117))</f>
        <v>1</v>
      </c>
      <c r="CI117" s="24">
        <f>$CE$13*IF(CG117=1,1,IF(CH117=1,FixedParams!$D$52,FixedParams!$D$53))</f>
        <v>0.32933267593211629</v>
      </c>
      <c r="CJ117">
        <f>EXP($C117*FixedParams!$B$47)*EXP(IF(CG117+CH117=1,(1-FixedParams!$B$47)*$D117,0))*($B117^((FixedParams!$B$47-1)*$B$10/($B$10-1)))*((1/$B117-1)^$B$10*(CI117)^($B$10-1)+1)^((FixedParams!$B$47-$B$10)/($B$10-1))/((1+IF(CG117=1,FixedParams!$D$25,IF(CH117=1,FixedParams!$D$23,FixedParams!$D$24)))^FixedParams!$B$47)</f>
        <v>6.1477766852968345E-2</v>
      </c>
      <c r="CK117">
        <f t="shared" si="86"/>
        <v>1.6187317449923313</v>
      </c>
      <c r="CL117">
        <f t="shared" si="88"/>
        <v>44.224207397251732</v>
      </c>
      <c r="CM117">
        <f t="shared" si="55"/>
        <v>46.488238184791513</v>
      </c>
      <c r="CN117">
        <f t="shared" si="89"/>
        <v>90.712445582043244</v>
      </c>
      <c r="CO117" s="24">
        <f t="shared" si="90"/>
        <v>1.0511943779388226</v>
      </c>
      <c r="CP117" s="24">
        <f t="shared" si="91"/>
        <v>1.9082384799856724</v>
      </c>
      <c r="CQ117" s="23">
        <f>IF(CG117=1,CL117*(1+FixedParams!$D$25)+CM117*(1+FixedParams!$D$28)/$CE$12,IF(CH117=1,CL117*(1+FixedParams!$D$23)+CM117*(1+FixedParams!$D$26)/$CE$12,CL117*(1+FixedParams!$D$24)+CM117*(1+FixedParams!$D$27)/$CE$12))</f>
        <v>206.76819070721285</v>
      </c>
      <c r="CR117" s="24">
        <f t="shared" si="92"/>
        <v>35.006633113504584</v>
      </c>
      <c r="CS117" s="24">
        <f>CR117^((FixedParams!$B$47-1)/FixedParams!$B$47)*EXP($C117)</f>
        <v>0.28562752499711902</v>
      </c>
      <c r="CT117" s="24"/>
    </row>
    <row r="118" spans="1:98" x14ac:dyDescent="0.15">
      <c r="A118">
        <v>0.505</v>
      </c>
      <c r="B118">
        <f t="shared" si="56"/>
        <v>0.24370780858118762</v>
      </c>
      <c r="C118">
        <f>(D118-$D$17)*FixedParams!$B$47+$A118*$B$9</f>
        <v>-1.2620026562671527</v>
      </c>
      <c r="D118">
        <f>(A118-$B$6)*FixedParams!$B$46/(FixedParams!$B$45*Sectors!$B$6)</f>
        <v>2.7167571494640429E-3</v>
      </c>
      <c r="E118">
        <f t="shared" si="57"/>
        <v>0.28308653342234869</v>
      </c>
      <c r="F118" s="24">
        <f>EXP(-$D$17)*(($B118*FixedParams!$B$30)^$B$10*(1+FixedParams!$B$23)^(1-$B$10)+(1-$B118)^$B$10*((1+FixedParams!$B$26)/$B$11)^(1-$B$10))^(1/(1-$B$10))</f>
        <v>4.9986937426493974</v>
      </c>
      <c r="G118" s="24">
        <f>EXP($D118-$D$17)*(($B118*FixedParams!$B$31)^$B$10*(1+FixedParams!$B$25)^(1-$B$10)+(1-$B118)^$B$10*((1+FixedParams!$B$28)/$B$11)^(1-$B$10))^(1/(1-$B$10))</f>
        <v>4.8213024879597368</v>
      </c>
      <c r="H118">
        <f t="shared" si="58"/>
        <v>1</v>
      </c>
      <c r="I118" s="24">
        <f>$B$12*IF(H118=1,1,FixedParams!$B$52)</f>
        <v>0.3745928365283252</v>
      </c>
      <c r="J118">
        <f>EXP($C118*FixedParams!$B$47)*EXP(IF(H118=1,(1-FixedParams!$B$47)*$D118,0))*($B118^((FixedParams!$B$47-1)*$B$10/($B$10-1)))*((1/$B118-1)^$B$10*(I118)^($B$10-1)+1)^((FixedParams!$B$47-$B$10)/($B$10-1))/((1+IF(H118=1,FixedParams!$B$25,FixedParams!$B$24))^FixedParams!$B$47)</f>
        <v>6.5192037254023089E-2</v>
      </c>
      <c r="K118">
        <f t="shared" si="87"/>
        <v>1.3144398240312283</v>
      </c>
      <c r="L118">
        <f>K118*FixedParams!$B$8/K$15</f>
        <v>38.214879103708597</v>
      </c>
      <c r="M118">
        <f t="shared" si="47"/>
        <v>47.896298276509334</v>
      </c>
      <c r="N118">
        <f t="shared" si="59"/>
        <v>86.111177380217924</v>
      </c>
      <c r="O118" s="24">
        <f t="shared" si="60"/>
        <v>1.2533416145718277</v>
      </c>
      <c r="P118" s="24">
        <f t="shared" si="48"/>
        <v>1.8852018759462901</v>
      </c>
      <c r="Q118" s="23">
        <f>IF(H118=1,L118*(1+FixedParams!$B$25)+M118*FixedParams!$B$33*(1+FixedParams!$B$28)/FixedParams!$B$32,L118*(1+FixedParams!$B$23)+M118*FixedParams!$B$33*(1+FixedParams!$B$26)/FixedParams!$B$32)</f>
        <v>166.36823344963585</v>
      </c>
      <c r="R118" s="24">
        <f t="shared" si="49"/>
        <v>34.506906352610748</v>
      </c>
      <c r="S118" s="24">
        <f>R118^((FixedParams!$B$47-1)/FixedParams!$B$47)*EXP($C118)</f>
        <v>0.28208485178192755</v>
      </c>
      <c r="T118" s="7">
        <f>(L118*FixedParams!$B$32*(FixedParams!$C$25-FixedParams!$C$23)+FixedParams!$B$33*(FixedParams!$C$28-FixedParams!$C$26)*M118)/N118</f>
        <v>576.85395026967967</v>
      </c>
      <c r="U118" s="7">
        <f>(L118*FixedParams!$B$32*(FixedParams!$C$25-FixedParams!$C$23)*$Z$12/$B$11+FixedParams!$B$33*(FixedParams!$C$28-FixedParams!$C$26)*M118)/N118</f>
        <v>131.14546184543985</v>
      </c>
      <c r="V118" s="14">
        <f>LN(I118/O118)</f>
        <v>-1.2077288882269874</v>
      </c>
      <c r="W118" s="14">
        <f t="shared" si="93"/>
        <v>0.73204559045870532</v>
      </c>
      <c r="X118" s="73">
        <f t="shared" si="62"/>
        <v>0.96553691028939503</v>
      </c>
      <c r="Y118" s="24">
        <f>EXP(-$D$17)*(($B118*FixedParams!$B$30)^$B$10*(1+FixedParams!$C$24)^(1-$B$10)+(1-$B118)^$B$10*((1+FixedParams!$C$27)/$Z$12)^(1-$B$10))^(1/(1-$B$10))</f>
        <v>6.5775323110021633</v>
      </c>
      <c r="Z118" s="24">
        <f>EXP($D118-$D$17)*(($B118*FixedParams!$C$31)^$B$10*(1+FixedParams!$C$25)^(1-$B$10)+(1-$B118)^$B$10*((1+FixedParams!$C$28)/$Z$12)^(1-$B$10))^(1/(1-$B$10))</f>
        <v>5.8973672298041588</v>
      </c>
      <c r="AA118" s="24">
        <f>EXP($D118-$D$17)*(($B118*FixedParams!$C$30)^$B$10*(1+FixedParams!$C$23)^(1-$B$10)+(1-$B118)^$B$10*((1+FixedParams!$C$26)/$Z$12)^(1-$B$10))^(1/(1-$B$10))</f>
        <v>5.8970967391111495</v>
      </c>
      <c r="AB118">
        <f>IF(FixedParams!$I$6=1,IF(Z118&lt;=MIN(Y118:AA118),1,0),$H118)</f>
        <v>0</v>
      </c>
      <c r="AC118">
        <f>IF(FixedParams!$I$6=1,IF(AA118&lt;=MIN(Y118:AA118),1,0),IF(AA118&lt;=Y118,1,0)*(1-$H118))</f>
        <v>1</v>
      </c>
      <c r="AD118" s="24">
        <f>$Z$13*IF(AB118=1,1,IF(AC118=1,FixedParams!$C$52,FixedParams!$C$53))</f>
        <v>0.34709202255780691</v>
      </c>
      <c r="AE118">
        <f>EXP($C118*FixedParams!$B$47)*EXP(IF(AB118+AC118=1,(1-FixedParams!$B$47)*$D118,0))*($B118^((FixedParams!$B$47-1)*$B$10/($B$10-1)))*((1/$B118-1)^$B$10*(AD118)^($B$10-1)+1)^((FixedParams!$B$47-$B$10)/($B$10-1))/((1+IF(AB118=1,FixedParams!$C$25,IF(AC118=1,FixedParams!$C$23,FixedParams!$C$24)))^FixedParams!$B$47)</f>
        <v>5.8194477479240933E-2</v>
      </c>
      <c r="AF118">
        <f t="shared" si="63"/>
        <v>1.7148272040980621</v>
      </c>
      <c r="AG118">
        <f t="shared" si="64"/>
        <v>40.278657694505029</v>
      </c>
      <c r="AH118">
        <f t="shared" si="51"/>
        <v>45.026915265202334</v>
      </c>
      <c r="AI118">
        <f t="shared" si="65"/>
        <v>85.305572959707362</v>
      </c>
      <c r="AJ118" s="24">
        <f t="shared" si="66"/>
        <v>1.1178851988244156</v>
      </c>
      <c r="AK118" s="24">
        <f t="shared" si="67"/>
        <v>1.9695938769351251</v>
      </c>
      <c r="AL118" s="23">
        <f>IF(AB118=1,AG118*(1+FixedParams!$C$25)+AH118*(1+FixedParams!$C$28)/$Z$12,IF(AC118=1,AG118*(1+FixedParams!$C$23)+AH118*(1+FixedParams!$C$26)/$Z$12,AG118*(1+FixedParams!$C$24)+AH118*(1+FixedParams!$C$27)/$Z$12))</f>
        <v>196.47765133439188</v>
      </c>
      <c r="AM118" s="24">
        <f t="shared" si="68"/>
        <v>33.317691743345279</v>
      </c>
      <c r="AN118" s="24">
        <f>AM118^((FixedParams!$B$47-1)/FixedParams!$B$47)*EXP($C118)</f>
        <v>0.28209475484199253</v>
      </c>
      <c r="AO118" s="24">
        <f t="shared" si="69"/>
        <v>-9.3994355875470469E-3</v>
      </c>
      <c r="AP118" s="24">
        <f t="shared" si="70"/>
        <v>-3.5070948647604523E-2</v>
      </c>
      <c r="AQ118" s="14">
        <f>LN(AD118/AJ118)</f>
        <v>-1.1696040245479351</v>
      </c>
      <c r="AS118" s="24">
        <f>EXP(-$D$17)*(($B118*FixedParams!$B$30)^$B$10*(1+FixedParams!$D$24)^(1-$B$10)+(1-$B118)^$B$10*((1+FixedParams!$D$27)/$AT$12)^(1-$B$10))^(1/(1-$B$10))</f>
        <v>6.1647695431318645</v>
      </c>
      <c r="AT118" s="24">
        <f>EXP($D118-$D$17)*(($B118*FixedParams!$C$31)^$B$10*(1+FixedParams!$D$25)^(1-$B$10)+(1-$B118)^$B$10*((1+FixedParams!$D$28)/$AT$12)^(1-$B$10))^(1/(1-$B$10))</f>
        <v>5.7370363053972397</v>
      </c>
      <c r="AU118" s="24">
        <f>EXP($D118-$D$17)*(($B118*FixedParams!$C$30)^$B$10*(1+FixedParams!$D$23)^(1-$B$10)+(1-$B118)^$B$10*((1+FixedParams!$D$26)/$AT$12)^(1-$B$10))^(1/(1-$B$10))</f>
        <v>5.7150546714244257</v>
      </c>
      <c r="AV118">
        <f>IF(FixedParams!$I$6=1,IF(AT118&lt;=MIN(AS118:AU118),1,0),$H118)</f>
        <v>0</v>
      </c>
      <c r="AW118">
        <f>IF(FixedParams!$I$6=1,IF(AU118&lt;=MIN(AS118:AU118),1,0),IF(AU118&lt;=AS118,1,0)*(1-$H118))</f>
        <v>1</v>
      </c>
      <c r="AX118" s="24">
        <f>$AT$13*IF(AV118=1,1,IF(AW118=1,FixedParams!$D$52,FixedParams!$D$53))</f>
        <v>0.3451899269505756</v>
      </c>
      <c r="AY118">
        <f>EXP($C118*FixedParams!$B$47)*EXP(IF(AV118+AW118=1,(1-FixedParams!$B$47)*$D118,0))*($B118^((FixedParams!$B$47-1)*$B$10/($B$10-1)))*((1/$B118-1)^$B$10*(AX118)^($B$10-1)+1)^((FixedParams!$B$47-$B$10)/($B$10-1))/((1+IF(AV118=1,FixedParams!$D$25,IF(AW118=1,FixedParams!$D$23,FixedParams!$D$24)))^FixedParams!$B$47)</f>
        <v>6.0425014242876315E-2</v>
      </c>
      <c r="AZ118">
        <f t="shared" si="52"/>
        <v>1.6270994587391929</v>
      </c>
      <c r="BA118">
        <f t="shared" si="72"/>
        <v>40.937604768908606</v>
      </c>
      <c r="BB118">
        <f t="shared" si="53"/>
        <v>45.387875782843309</v>
      </c>
      <c r="BC118">
        <f t="shared" si="73"/>
        <v>86.325480551751923</v>
      </c>
      <c r="BD118" s="24">
        <f t="shared" si="74"/>
        <v>1.1087086320525184</v>
      </c>
      <c r="BE118" s="24">
        <f t="shared" si="75"/>
        <v>1.9352761524046478</v>
      </c>
      <c r="BF118" s="23">
        <f>IF(AV118=1,BA118*(1+FixedParams!$C$25)+BB118*(1+FixedParams!$C$28)/$AT$12,IF(AW118=1,BA118*(1+FixedParams!$C$23)+BB118*(1+FixedParams!$C$26)/$AT$12,BA118*(1+FixedParams!$C$24)+BB118*(1+FixedParams!$C$27)/$AT$12))</f>
        <v>196.37298968165271</v>
      </c>
      <c r="BG118" s="24">
        <f t="shared" si="76"/>
        <v>34.360649367630373</v>
      </c>
      <c r="BH118" s="24">
        <f>BG118^((FixedParams!$B$47-1)/FixedParams!$B$47)*EXP($C118)</f>
        <v>0.28208605113705382</v>
      </c>
      <c r="BI118" s="7"/>
      <c r="BJ118" s="24">
        <f>EXP(-$D$17)*(($B118*FixedParams!$B$30)^$B$10*(1+FixedParams!$C$24)^(1-$B$10)+(1-$B118)^$B$10*((1+FixedParams!$C$27)/$BK$12)^(1-$B$10))^(1/(1-$B$10))</f>
        <v>6.8438003727110388</v>
      </c>
      <c r="BK118" s="24">
        <f>EXP($D118-$D$17)*(($B118*FixedParams!$C$31)^$B$10*(1+FixedParams!$C$25)^(1-$B$10)+(1-$B118)^$B$10*((1+FixedParams!$C$28)/$BK$12)^(1-$B$10))^(1/(1-$B$10))</f>
        <v>6.1334252721453506</v>
      </c>
      <c r="BL118" s="24">
        <f>EXP($D118-$D$17)*(($B118*FixedParams!$C$30)^$B$10*(1+FixedParams!$C$23)^(1-$B$10)+(1-$B118)^$B$10*((1+FixedParams!$C$26)/$BK$12)^(1-$B$10))^(1/(1-$B$10))</f>
        <v>6.1271866988497194</v>
      </c>
      <c r="BM118">
        <f>IF(FixedParams!$I$6=1,IF(BK118&lt;=MIN(BJ118:BL118),1,0),$H118)</f>
        <v>0</v>
      </c>
      <c r="BN118">
        <f>IF(FixedParams!$I$6=1,IF(BL118&lt;=MIN(BJ118:BL118),1,0),IF(BL118&lt;=BJ118,1,0)*(1-$H118))</f>
        <v>1</v>
      </c>
      <c r="BO118" s="24">
        <f>$BK$13*IF(BM118=1,1,IF(BN118=1,FixedParams!$C$52,FixedParams!$C$53))</f>
        <v>0.33006170822567266</v>
      </c>
      <c r="BP118">
        <f>EXP($C118*FixedParams!$B$47)*EXP(IF(BM118+BN118=1,(1-FixedParams!$B$47)*$D118,0))*($B118^((FixedParams!$B$47-1)*$B$10/($B$10-1)))*((1/$B118-1)^$B$10*(BO118)^($B$10-1)+1)^((FixedParams!$B$47-$B$10)/($B$10-1))/((1+IF(BM118=1,FixedParams!$C$25,IF(BN118=1,FixedParams!$C$23,FixedParams!$C$24)))^FixedParams!$B$47)</f>
        <v>5.9321186197741106E-2</v>
      </c>
      <c r="BQ118">
        <f t="shared" si="77"/>
        <v>1.7065371871454174</v>
      </c>
      <c r="BR118">
        <f t="shared" si="78"/>
        <v>43.523795505271558</v>
      </c>
      <c r="BS118">
        <f t="shared" si="54"/>
        <v>45.117988941803404</v>
      </c>
      <c r="BT118">
        <f t="shared" si="79"/>
        <v>88.641784447074969</v>
      </c>
      <c r="BU118" s="24">
        <f t="shared" si="80"/>
        <v>1.0366280885668337</v>
      </c>
      <c r="BV118" s="24">
        <f t="shared" si="81"/>
        <v>1.9460323605080356</v>
      </c>
      <c r="BW118" s="23">
        <f>IF(BM118=1,BR118*(1+FixedParams!$C$25)+BS118*(1+FixedParams!$C$28)/$BK$12,IF(BN118=1,BR118*(1+FixedParams!$C$23)+BS118*(1+FixedParams!$C$26)/$BK$12,BR118*(1+FixedParams!$C$24)+BS118*(1+FixedParams!$C$27)/$BK$12))</f>
        <v>208.28284409280116</v>
      </c>
      <c r="BX118" s="24">
        <f t="shared" si="82"/>
        <v>33.993226309213476</v>
      </c>
      <c r="BY118" s="24">
        <f>BX118^((FixedParams!$B$47-1)/FixedParams!$B$47)*EXP($C118)</f>
        <v>0.28208908681644407</v>
      </c>
      <c r="BZ118" s="24">
        <f t="shared" si="83"/>
        <v>2.8964132600290488E-2</v>
      </c>
      <c r="CA118" s="24">
        <f t="shared" si="84"/>
        <v>-1.4998209568406697E-2</v>
      </c>
      <c r="CB118" s="24">
        <f t="shared" si="85"/>
        <v>2.3302463510005544E-3</v>
      </c>
      <c r="CC118" s="24"/>
      <c r="CD118" s="24">
        <f>EXP(-$D$17)*(($B118*FixedParams!$B$30)^$B$10*(1+FixedParams!$D$24)^(1-$B$10)+(1-$B118)^$B$10*((1+FixedParams!$D$27)/$CE$12)^(1-$B$10))^(1/(1-$B$10))</f>
        <v>6.3956670808366347</v>
      </c>
      <c r="CE118" s="24">
        <f>EXP($D118-$D$17)*(($B118*FixedParams!$D$31)^$B$10*(1+FixedParams!$D$25)^(1-$B$10)+(1-$B118)^$B$10*((1+FixedParams!$D$28)/$CE$12)^(1-$B$10))^(1/(1-$B$10))</f>
        <v>5.9502470607167144</v>
      </c>
      <c r="CF118" s="24">
        <f>EXP($D118-$D$17)*(($B118*FixedParams!$D$30)^$B$10*(1+FixedParams!$D$23)^(1-$B$10)+(1-$B118)^$B$10*((1+FixedParams!$D$26)/$CE$12)^(1-$B$10))^(1/(1-$B$10))</f>
        <v>5.9231271617157581</v>
      </c>
      <c r="CG118">
        <f>IF(FixedParams!$I$6=1,IF(CE118&lt;=MIN(CD118:CF118),1,0),$H118)</f>
        <v>0</v>
      </c>
      <c r="CH118">
        <f>IF(FixedParams!$I$6=1,IF(CF118&lt;=MIN(CD118:CF118),1,0),IF(CF118&lt;=CD118,1,0)*(1-$H118))</f>
        <v>1</v>
      </c>
      <c r="CI118" s="24">
        <f>$CE$13*IF(CG118=1,1,IF(CH118=1,FixedParams!$D$52,FixedParams!$D$53))</f>
        <v>0.32933267593211629</v>
      </c>
      <c r="CJ118">
        <f>EXP($C118*FixedParams!$B$47)*EXP(IF(CG118+CH118=1,(1-FixedParams!$B$47)*$D118,0))*($B118^((FixedParams!$B$47-1)*$B$10/($B$10-1)))*((1/$B118-1)^$B$10*(CI118)^($B$10-1)+1)^((FixedParams!$B$47-$B$10)/($B$10-1))/((1+IF(CG118=1,FixedParams!$D$25,IF(CH118=1,FixedParams!$D$23,FixedParams!$D$24)))^FixedParams!$B$47)</f>
        <v>6.1517350952705142E-2</v>
      </c>
      <c r="CK118">
        <f t="shared" si="86"/>
        <v>1.6197740085962475</v>
      </c>
      <c r="CL118">
        <f t="shared" si="88"/>
        <v>44.252682332598361</v>
      </c>
      <c r="CM118">
        <f t="shared" si="55"/>
        <v>45.721670803101951</v>
      </c>
      <c r="CN118">
        <f t="shared" si="89"/>
        <v>89.974353135700312</v>
      </c>
      <c r="CO118" s="24">
        <f t="shared" si="90"/>
        <v>1.0331954673269934</v>
      </c>
      <c r="CP118" s="24">
        <f t="shared" si="91"/>
        <v>1.9135962935726287</v>
      </c>
      <c r="CQ118" s="23">
        <f>IF(CG118=1,CL118*(1+FixedParams!$D$25)+CM118*(1+FixedParams!$D$28)/$CE$12,IF(CH118=1,CL118*(1+FixedParams!$D$23)+CM118*(1+FixedParams!$D$26)/$CE$12,CL118*(1+FixedParams!$D$24)+CM118*(1+FixedParams!$D$27)/$CE$12))</f>
        <v>204.20380457565022</v>
      </c>
      <c r="CR118" s="24">
        <f t="shared" si="92"/>
        <v>34.475674588843084</v>
      </c>
      <c r="CS118" s="24">
        <f>CR118^((FixedParams!$B$47-1)/FixedParams!$B$47)*EXP($C118)</f>
        <v>0.28208510746476106</v>
      </c>
      <c r="CT118" s="24"/>
    </row>
    <row r="119" spans="1:98" x14ac:dyDescent="0.15">
      <c r="A119">
        <v>0.51</v>
      </c>
      <c r="B119">
        <f t="shared" si="56"/>
        <v>0.24583621470172817</v>
      </c>
      <c r="C119">
        <f>(D119-$D$17)*FixedParams!$B$47+$A119*$B$9</f>
        <v>-1.2744977320717781</v>
      </c>
      <c r="D119">
        <f>(A119-$B$6)*FixedParams!$B$46/(FixedParams!$B$45*Sectors!$B$6)</f>
        <v>5.4335142989280858E-3</v>
      </c>
      <c r="E119">
        <f t="shared" si="57"/>
        <v>0.27957135268725308</v>
      </c>
      <c r="F119" s="24">
        <f>EXP(-$D$17)*(($B119*FixedParams!$B$30)^$B$10*(1+FixedParams!$B$23)^(1-$B$10)+(1-$B119)^$B$10*((1+FixedParams!$B$26)/$B$11)^(1-$B$10))^(1/(1-$B$10))</f>
        <v>5.0016176705287325</v>
      </c>
      <c r="G119" s="24">
        <f>EXP($D119-$D$17)*(($B119*FixedParams!$B$31)^$B$10*(1+FixedParams!$B$25)^(1-$B$10)+(1-$B119)^$B$10*((1+FixedParams!$B$28)/$B$11)^(1-$B$10))^(1/(1-$B$10))</f>
        <v>4.8366121870351408</v>
      </c>
      <c r="H119">
        <f t="shared" si="58"/>
        <v>1</v>
      </c>
      <c r="I119" s="24">
        <f>$B$12*IF(H119=1,1,FixedParams!$B$52)</f>
        <v>0.3745928365283252</v>
      </c>
      <c r="J119">
        <f>EXP($C119*FixedParams!$B$47)*EXP(IF(H119=1,(1-FixedParams!$B$47)*$D119,0))*($B119^((FixedParams!$B$47-1)*$B$10/($B$10-1)))*((1/$B119-1)^$B$10*(I119)^($B$10-1)+1)^((FixedParams!$B$47-$B$10)/($B$10-1))/((1+IF(H119=1,FixedParams!$B$25,FixedParams!$B$24))^FixedParams!$B$47)</f>
        <v>6.524360414747471E-2</v>
      </c>
      <c r="K119">
        <f t="shared" si="87"/>
        <v>1.3154795457704076</v>
      </c>
      <c r="L119">
        <f>K119*FixedParams!$B$8/K$15</f>
        <v>38.245107068380555</v>
      </c>
      <c r="M119">
        <f t="shared" si="47"/>
        <v>47.113438702493397</v>
      </c>
      <c r="N119">
        <f t="shared" si="59"/>
        <v>85.358545770873945</v>
      </c>
      <c r="O119" s="24">
        <f t="shared" si="60"/>
        <v>1.2318814696545799</v>
      </c>
      <c r="P119" s="24">
        <f t="shared" si="48"/>
        <v>1.8911881988308636</v>
      </c>
      <c r="Q119" s="23">
        <f>IF(H119=1,L119*(1+FixedParams!$B$25)+M119*FixedParams!$B$33*(1+FixedParams!$B$28)/FixedParams!$B$32,L119*(1+FixedParams!$B$23)+M119*FixedParams!$B$33*(1+FixedParams!$B$26)/FixedParams!$B$32)</f>
        <v>164.30495701196344</v>
      </c>
      <c r="R119" s="24">
        <f t="shared" si="49"/>
        <v>33.971083613524719</v>
      </c>
      <c r="S119" s="24">
        <f>R119^((FixedParams!$B$47-1)/FixedParams!$B$47)*EXP($C119)</f>
        <v>0.27858647341943721</v>
      </c>
      <c r="T119" s="7">
        <f>(L119*FixedParams!$B$32*(FixedParams!$C$25-FixedParams!$C$23)+FixedParams!$B$33*(FixedParams!$C$28-FixedParams!$C$26)*M119)/N119</f>
        <v>625.2641208822713</v>
      </c>
      <c r="U119" s="7">
        <f>(L119*FixedParams!$B$32*(FixedParams!$C$25-FixedParams!$C$23)*$Z$12/$B$11+FixedParams!$B$33*(FixedParams!$C$28-FixedParams!$C$26)*M119)/N119</f>
        <v>175.2700246054282</v>
      </c>
      <c r="V119" s="14">
        <f t="shared" si="50"/>
        <v>-1.190458262930904</v>
      </c>
      <c r="W119" s="14">
        <f t="shared" si="93"/>
        <v>0.73623224547246779</v>
      </c>
      <c r="X119" s="73">
        <f t="shared" si="62"/>
        <v>0.96576532209133692</v>
      </c>
      <c r="Y119" s="24">
        <f>EXP(-$D$17)*(($B119*FixedParams!$B$30)^$B$10*(1+FixedParams!$C$24)^(1-$B$10)+(1-$B119)^$B$10*((1+FixedParams!$C$27)/$Z$12)^(1-$B$10))^(1/(1-$B$10))</f>
        <v>6.5853079057758128</v>
      </c>
      <c r="Z119" s="24">
        <f>EXP($D119-$D$17)*(($B119*FixedParams!$C$31)^$B$10*(1+FixedParams!$C$25)^(1-$B$10)+(1-$B119)^$B$10*((1+FixedParams!$C$28)/$Z$12)^(1-$B$10))^(1/(1-$B$10))</f>
        <v>5.9186324607023986</v>
      </c>
      <c r="AA119" s="24">
        <f>EXP($D119-$D$17)*(($B119*FixedParams!$C$30)^$B$10*(1+FixedParams!$C$23)^(1-$B$10)+(1-$B119)^$B$10*((1+FixedParams!$C$26)/$Z$12)^(1-$B$10))^(1/(1-$B$10))</f>
        <v>5.9144220021377771</v>
      </c>
      <c r="AB119">
        <f>IF(FixedParams!$I$6=1,IF(Z119&lt;=MIN(Y119:AA119),1,0),$H119)</f>
        <v>0</v>
      </c>
      <c r="AC119">
        <f>IF(FixedParams!$I$6=1,IF(AA119&lt;=MIN(Y119:AA119),1,0),IF(AA119&lt;=Y119,1,0)*(1-$H119))</f>
        <v>1</v>
      </c>
      <c r="AD119" s="24">
        <f>$Z$13*IF(AB119=1,1,IF(AC119=1,FixedParams!$C$52,FixedParams!$C$53))</f>
        <v>0.34709202255780691</v>
      </c>
      <c r="AE119">
        <f>EXP($C119*FixedParams!$B$47)*EXP(IF(AB119+AC119=1,(1-FixedParams!$B$47)*$D119,0))*($B119^((FixedParams!$B$47-1)*$B$10/($B$10-1)))*((1/$B119-1)^$B$10*(AD119)^($B$10-1)+1)^((FixedParams!$B$47-$B$10)/($B$10-1))/((1+IF(AB119=1,FixedParams!$C$25,IF(AC119=1,FixedParams!$C$23,FixedParams!$C$24)))^FixedParams!$B$47)</f>
        <v>5.8233601023663137E-2</v>
      </c>
      <c r="AF119">
        <f t="shared" si="63"/>
        <v>1.7159800646649408</v>
      </c>
      <c r="AG119">
        <f t="shared" si="64"/>
        <v>40.305736618860685</v>
      </c>
      <c r="AH119">
        <f t="shared" si="51"/>
        <v>44.285701797612923</v>
      </c>
      <c r="AI119">
        <f t="shared" si="65"/>
        <v>84.591438416473608</v>
      </c>
      <c r="AJ119" s="24">
        <f t="shared" si="66"/>
        <v>1.0987443851079464</v>
      </c>
      <c r="AK119" s="24">
        <f t="shared" si="67"/>
        <v>1.975380407745654</v>
      </c>
      <c r="AL119" s="23">
        <f>IF(AB119=1,AG119*(1+FixedParams!$C$25)+AH119*(1+FixedParams!$C$28)/$Z$12,IF(AC119=1,AG119*(1+FixedParams!$C$23)+AH119*(1+FixedParams!$C$26)/$Z$12,AG119*(1+FixedParams!$C$24)+AH119*(1+FixedParams!$C$27)/$Z$12))</f>
        <v>194.04091600519189</v>
      </c>
      <c r="AM119" s="24">
        <f t="shared" si="68"/>
        <v>32.808094507807439</v>
      </c>
      <c r="AN119" s="24">
        <f>AM119^((FixedParams!$B$47-1)/FixedParams!$B$47)*EXP($C119)</f>
        <v>0.27859618769892558</v>
      </c>
      <c r="AO119" s="24">
        <f t="shared" si="69"/>
        <v>-9.0275096845547059E-3</v>
      </c>
      <c r="AP119" s="24">
        <f t="shared" si="70"/>
        <v>-3.4834412077432098E-2</v>
      </c>
      <c r="AQ119" s="14">
        <f t="shared" si="71"/>
        <v>-1.1523333992518516</v>
      </c>
      <c r="AS119" s="24">
        <f>EXP(-$D$17)*(($B119*FixedParams!$B$30)^$B$10*(1+FixedParams!$D$24)^(1-$B$10)+(1-$B119)^$B$10*((1+FixedParams!$D$27)/$AT$12)^(1-$B$10))^(1/(1-$B$10))</f>
        <v>6.1705653400414704</v>
      </c>
      <c r="AT119" s="24">
        <f>EXP($D119-$D$17)*(($B119*FixedParams!$C$31)^$B$10*(1+FixedParams!$D$25)^(1-$B$10)+(1-$B119)^$B$10*((1+FixedParams!$D$28)/$AT$12)^(1-$B$10))^(1/(1-$B$10))</f>
        <v>5.7568699354522783</v>
      </c>
      <c r="AU119" s="24">
        <f>EXP($D119-$D$17)*(($B119*FixedParams!$C$30)^$B$10*(1+FixedParams!$D$23)^(1-$B$10)+(1-$B119)^$B$10*((1+FixedParams!$D$26)/$AT$12)^(1-$B$10))^(1/(1-$B$10))</f>
        <v>5.7317462434652917</v>
      </c>
      <c r="AV119">
        <f>IF(FixedParams!$I$6=1,IF(AT119&lt;=MIN(AS119:AU119),1,0),$H119)</f>
        <v>0</v>
      </c>
      <c r="AW119">
        <f>IF(FixedParams!$I$6=1,IF(AU119&lt;=MIN(AS119:AU119),1,0),IF(AU119&lt;=AS119,1,0)*(1-$H119))</f>
        <v>1</v>
      </c>
      <c r="AX119" s="24">
        <f>$AT$13*IF(AV119=1,1,IF(AW119=1,FixedParams!$D$52,FixedParams!$D$53))</f>
        <v>0.3451899269505756</v>
      </c>
      <c r="AY119">
        <f>EXP($C119*FixedParams!$B$47)*EXP(IF(AV119+AW119=1,(1-FixedParams!$B$47)*$D119,0))*($B119^((FixedParams!$B$47-1)*$B$10/($B$10-1)))*((1/$B119-1)^$B$10*(AX119)^($B$10-1)+1)^((FixedParams!$B$47-$B$10)/($B$10-1))/((1+IF(AV119=1,FixedParams!$D$25,IF(AW119=1,FixedParams!$D$23,FixedParams!$D$24)))^FixedParams!$B$47)</f>
        <v>6.0465114847449292E-2</v>
      </c>
      <c r="AZ119">
        <f t="shared" si="52"/>
        <v>1.6281792710125262</v>
      </c>
      <c r="BA119">
        <f t="shared" si="72"/>
        <v>40.964772701288474</v>
      </c>
      <c r="BB119">
        <f t="shared" si="53"/>
        <v>44.640334582955511</v>
      </c>
      <c r="BC119">
        <f t="shared" si="73"/>
        <v>85.605107284243985</v>
      </c>
      <c r="BD119" s="24">
        <f t="shared" si="74"/>
        <v>1.0897249426591211</v>
      </c>
      <c r="BE119" s="24">
        <f t="shared" si="75"/>
        <v>1.9409283820286876</v>
      </c>
      <c r="BF119" s="23">
        <f>IF(AV119=1,BA119*(1+FixedParams!$C$25)+BB119*(1+FixedParams!$C$28)/$AT$12,IF(AW119=1,BA119*(1+FixedParams!$C$23)+BB119*(1+FixedParams!$C$26)/$AT$12,BA119*(1+FixedParams!$C$24)+BB119*(1+FixedParams!$C$27)/$AT$12))</f>
        <v>193.94934965026937</v>
      </c>
      <c r="BG119" s="24">
        <f t="shared" si="76"/>
        <v>33.83774183502787</v>
      </c>
      <c r="BH119" s="24">
        <f>BG119^((FixedParams!$B$47-1)/FixedParams!$B$47)*EXP($C119)</f>
        <v>0.27858757016521057</v>
      </c>
      <c r="BI119" s="7"/>
      <c r="BJ119" s="24">
        <f>EXP(-$D$17)*(($B119*FixedParams!$B$30)^$B$10*(1+FixedParams!$C$24)^(1-$B$10)+(1-$B119)^$B$10*((1+FixedParams!$C$27)/$BK$12)^(1-$B$10))^(1/(1-$B$10))</f>
        <v>6.8508939574595624</v>
      </c>
      <c r="BK119" s="24">
        <f>EXP($D119-$D$17)*(($B119*FixedParams!$C$31)^$B$10*(1+FixedParams!$C$25)^(1-$B$10)+(1-$B119)^$B$10*((1+FixedParams!$C$28)/$BK$12)^(1-$B$10))^(1/(1-$B$10))</f>
        <v>6.1546198566250041</v>
      </c>
      <c r="BL119" s="24">
        <f>EXP($D119-$D$17)*(($B119*FixedParams!$C$30)^$B$10*(1+FixedParams!$C$23)^(1-$B$10)+(1-$B119)^$B$10*((1+FixedParams!$C$26)/$BK$12)^(1-$B$10))^(1/(1-$B$10))</f>
        <v>6.1442119365811019</v>
      </c>
      <c r="BM119">
        <f>IF(FixedParams!$I$6=1,IF(BK119&lt;=MIN(BJ119:BL119),1,0),$H119)</f>
        <v>0</v>
      </c>
      <c r="BN119">
        <f>IF(FixedParams!$I$6=1,IF(BL119&lt;=MIN(BJ119:BL119),1,0),IF(BL119&lt;=BJ119,1,0)*(1-$H119))</f>
        <v>1</v>
      </c>
      <c r="BO119" s="24">
        <f>$BK$13*IF(BM119=1,1,IF(BN119=1,FixedParams!$C$52,FixedParams!$C$53))</f>
        <v>0.33006170822567266</v>
      </c>
      <c r="BP119">
        <f>EXP($C119*FixedParams!$B$47)*EXP(IF(BM119+BN119=1,(1-FixedParams!$B$47)*$D119,0))*($B119^((FixedParams!$B$47-1)*$B$10/($B$10-1)))*((1/$B119-1)^$B$10*(BO119)^($B$10-1)+1)^((FixedParams!$B$47-$B$10)/($B$10-1))/((1+IF(BM119=1,FixedParams!$C$25,IF(BN119=1,FixedParams!$C$23,FixedParams!$C$24)))^FixedParams!$B$47)</f>
        <v>5.93563435703146E-2</v>
      </c>
      <c r="BQ119">
        <f t="shared" si="77"/>
        <v>1.7075485857290362</v>
      </c>
      <c r="BR119">
        <f t="shared" si="78"/>
        <v>43.549590375409359</v>
      </c>
      <c r="BS119">
        <f t="shared" si="54"/>
        <v>44.371745104238684</v>
      </c>
      <c r="BT119">
        <f t="shared" si="79"/>
        <v>87.921335479648036</v>
      </c>
      <c r="BU119" s="24">
        <f t="shared" si="80"/>
        <v>1.0188785869566654</v>
      </c>
      <c r="BV119" s="24">
        <f t="shared" si="81"/>
        <v>1.9514396812245454</v>
      </c>
      <c r="BW119" s="23">
        <f>IF(BM119=1,BR119*(1+FixedParams!$C$25)+BS119*(1+FixedParams!$C$28)/$BK$12,IF(BN119=1,BR119*(1+FixedParams!$C$23)+BS119*(1+FixedParams!$C$26)/$BK$12,BR119*(1+FixedParams!$C$24)+BS119*(1+FixedParams!$C$27)/$BK$12))</f>
        <v>205.69966691854097</v>
      </c>
      <c r="BX119" s="24">
        <f t="shared" si="82"/>
        <v>33.478608655059013</v>
      </c>
      <c r="BY119" s="24">
        <f>BX119^((FixedParams!$B$47-1)/FixedParams!$B$47)*EXP($C119)</f>
        <v>0.27859054571793934</v>
      </c>
      <c r="BZ119" s="24">
        <f t="shared" si="83"/>
        <v>2.9581929269237608E-2</v>
      </c>
      <c r="CA119" s="24">
        <f t="shared" si="84"/>
        <v>-1.4602993533553025E-2</v>
      </c>
      <c r="CB119" s="24">
        <f t="shared" si="85"/>
        <v>2.7254623858542267E-3</v>
      </c>
      <c r="CC119" s="24"/>
      <c r="CD119" s="24">
        <f>EXP(-$D$17)*(($B119*FixedParams!$B$30)^$B$10*(1+FixedParams!$D$24)^(1-$B$10)+(1-$B119)^$B$10*((1+FixedParams!$D$27)/$CE$12)^(1-$B$10))^(1/(1-$B$10))</f>
        <v>6.4007890675562775</v>
      </c>
      <c r="CE119" s="24">
        <f>EXP($D119-$D$17)*(($B119*FixedParams!$D$31)^$B$10*(1+FixedParams!$D$25)^(1-$B$10)+(1-$B119)^$B$10*((1+FixedParams!$D$28)/$CE$12)^(1-$B$10))^(1/(1-$B$10))</f>
        <v>5.9699707634874422</v>
      </c>
      <c r="CF119" s="24">
        <f>EXP($D119-$D$17)*(($B119*FixedParams!$D$30)^$B$10*(1+FixedParams!$D$23)^(1-$B$10)+(1-$B119)^$B$10*((1+FixedParams!$D$26)/$CE$12)^(1-$B$10))^(1/(1-$B$10))</f>
        <v>5.9395436444451724</v>
      </c>
      <c r="CG119">
        <f>IF(FixedParams!$I$6=1,IF(CE119&lt;=MIN(CD119:CF119),1,0),$H119)</f>
        <v>0</v>
      </c>
      <c r="CH119">
        <f>IF(FixedParams!$I$6=1,IF(CF119&lt;=MIN(CD119:CF119),1,0),IF(CF119&lt;=CD119,1,0)*(1-$H119))</f>
        <v>1</v>
      </c>
      <c r="CI119" s="24">
        <f>$CE$13*IF(CG119=1,1,IF(CH119=1,FixedParams!$D$52,FixedParams!$D$53))</f>
        <v>0.32933267593211629</v>
      </c>
      <c r="CJ119">
        <f>EXP($C119*FixedParams!$B$47)*EXP(IF(CG119+CH119=1,(1-FixedParams!$B$47)*$D119,0))*($B119^((FixedParams!$B$47-1)*$B$10/($B$10-1)))*((1/$B119-1)^$B$10*(CI119)^($B$10-1)+1)^((FixedParams!$B$47-$B$10)/($B$10-1))/((1+IF(CG119=1,FixedParams!$D$25,IF(CH119=1,FixedParams!$D$23,FixedParams!$D$24)))^FixedParams!$B$47)</f>
        <v>6.1553593153967003E-2</v>
      </c>
      <c r="CK119">
        <f t="shared" si="86"/>
        <v>1.6207282788095962</v>
      </c>
      <c r="CL119">
        <f t="shared" si="88"/>
        <v>44.278753263720034</v>
      </c>
      <c r="CM119">
        <f t="shared" si="55"/>
        <v>44.965283830994771</v>
      </c>
      <c r="CN119">
        <f t="shared" si="89"/>
        <v>89.244037094714798</v>
      </c>
      <c r="CO119" s="24">
        <f t="shared" si="90"/>
        <v>1.015504740234799</v>
      </c>
      <c r="CP119" s="24">
        <f t="shared" si="91"/>
        <v>1.9188999988024531</v>
      </c>
      <c r="CQ119" s="23">
        <f>IF(CG119=1,CL119*(1+FixedParams!$D$25)+CM119*(1+FixedParams!$D$28)/$CE$12,IF(CH119=1,CL119*(1+FixedParams!$D$23)+CM119*(1+FixedParams!$D$26)/$CE$12,CL119*(1+FixedParams!$D$24)+CM119*(1+FixedParams!$D$27)/$CE$12))</f>
        <v>201.67121527665327</v>
      </c>
      <c r="CR119" s="24">
        <f t="shared" si="92"/>
        <v>33.953991644671532</v>
      </c>
      <c r="CS119" s="24">
        <f>CR119^((FixedParams!$B$47-1)/FixedParams!$B$47)*EXP($C119)</f>
        <v>0.2785866137610995</v>
      </c>
      <c r="CT119" s="24"/>
    </row>
    <row r="120" spans="1:98" x14ac:dyDescent="0.15">
      <c r="A120">
        <v>0.51500000000000001</v>
      </c>
      <c r="B120">
        <f t="shared" si="56"/>
        <v>0.24797711428796906</v>
      </c>
      <c r="C120">
        <f>(D120-$D$17)*FixedParams!$B$47+$A120*$B$9</f>
        <v>-1.2869928078764032</v>
      </c>
      <c r="D120">
        <f>(A120-$B$6)*FixedParams!$B$46/(FixedParams!$B$45*Sectors!$B$6)</f>
        <v>8.1502714483921296E-3</v>
      </c>
      <c r="E120">
        <f t="shared" si="57"/>
        <v>0.27609982113409143</v>
      </c>
      <c r="F120" s="24">
        <f>EXP(-$D$17)*(($B120*FixedParams!$B$30)^$B$10*(1+FixedParams!$B$23)^(1-$B$10)+(1-$B120)^$B$10*((1+FixedParams!$B$26)/$B$11)^(1-$B$10))^(1/(1-$B$10))</f>
        <v>5.0043846193786843</v>
      </c>
      <c r="G120" s="24">
        <f>EXP($D120-$D$17)*(($B120*FixedParams!$B$31)^$B$10*(1+FixedParams!$B$25)^(1-$B$10)+(1-$B120)^$B$10*((1+FixedParams!$B$28)/$B$11)^(1-$B$10))^(1/(1-$B$10))</f>
        <v>4.8518107167244127</v>
      </c>
      <c r="H120">
        <f t="shared" si="58"/>
        <v>1</v>
      </c>
      <c r="I120" s="24">
        <f>$B$12*IF(H120=1,1,FixedParams!$B$52)</f>
        <v>0.3745928365283252</v>
      </c>
      <c r="J120">
        <f>EXP($C120*FixedParams!$B$47)*EXP(IF(H120=1,(1-FixedParams!$B$47)*$D120,0))*($B120^((FixedParams!$B$47-1)*$B$10/($B$10-1)))*((1/$B120-1)^$B$10*(I120)^($B$10-1)+1)^((FixedParams!$B$47-$B$10)/($B$10-1))/((1+IF(H120=1,FixedParams!$B$25,FixedParams!$B$24))^FixedParams!$B$47)</f>
        <v>6.5291727382276468E-2</v>
      </c>
      <c r="K120">
        <f t="shared" si="87"/>
        <v>1.3164498344582447</v>
      </c>
      <c r="L120">
        <f>K120*FixedParams!$B$8/K$15</f>
        <v>38.273316396965626</v>
      </c>
      <c r="M120">
        <f t="shared" si="47"/>
        <v>46.340901787351264</v>
      </c>
      <c r="N120">
        <f t="shared" si="59"/>
        <v>84.614218184316883</v>
      </c>
      <c r="O120" s="24">
        <f t="shared" si="60"/>
        <v>1.2107887726976607</v>
      </c>
      <c r="P120" s="24">
        <f t="shared" si="48"/>
        <v>1.8971310528113792</v>
      </c>
      <c r="Q120" s="23">
        <f>IF(H120=1,L120*(1+FixedParams!$B$25)+M120*FixedParams!$B$33*(1+FixedParams!$B$28)/FixedParams!$B$32,L120*(1+FixedParams!$B$23)+M120*FixedParams!$B$33*(1+FixedParams!$B$26)/FixedParams!$B$32)</f>
        <v>162.26726370710426</v>
      </c>
      <c r="R120" s="24">
        <f t="shared" si="49"/>
        <v>33.444681415076978</v>
      </c>
      <c r="S120" s="24">
        <f>R120^((FixedParams!$B$47-1)/FixedParams!$B$47)*EXP($C120)</f>
        <v>0.275131472413778</v>
      </c>
      <c r="T120" s="7">
        <f>(L120*FixedParams!$B$32*(FixedParams!$C$25-FixedParams!$C$23)+FixedParams!$B$33*(FixedParams!$C$28-FixedParams!$C$26)*M120)/N120</f>
        <v>673.76123128704171</v>
      </c>
      <c r="U120" s="7">
        <f>(L120*FixedParams!$B$32*(FixedParams!$C$25-FixedParams!$C$23)*$Z$12/$B$11+FixedParams!$B$33*(FixedParams!$C$28-FixedParams!$C$26)*M120)/N120</f>
        <v>219.47383063739417</v>
      </c>
      <c r="V120" s="14">
        <f t="shared" si="50"/>
        <v>-1.1731876376348205</v>
      </c>
      <c r="W120" s="14">
        <f t="shared" si="93"/>
        <v>0.74038239280215479</v>
      </c>
      <c r="X120" s="73">
        <f t="shared" si="62"/>
        <v>0.96599587608371495</v>
      </c>
      <c r="Y120" s="24">
        <f>EXP(-$D$17)*(($B120*FixedParams!$B$30)^$B$10*(1+FixedParams!$C$24)^(1-$B$10)+(1-$B120)^$B$10*((1+FixedParams!$C$27)/$Z$12)^(1-$B$10))^(1/(1-$B$10))</f>
        <v>6.5929217681676704</v>
      </c>
      <c r="Z120" s="24">
        <f>EXP($D120-$D$17)*(($B120*FixedParams!$C$31)^$B$10*(1+FixedParams!$C$25)^(1-$B$10)+(1-$B120)^$B$10*((1+FixedParams!$C$28)/$Z$12)^(1-$B$10))^(1/(1-$B$10))</f>
        <v>5.9398029049779044</v>
      </c>
      <c r="AA120" s="24">
        <f>EXP($D120-$D$17)*(($B120*FixedParams!$C$30)^$B$10*(1+FixedParams!$C$23)^(1-$B$10)+(1-$B120)^$B$10*((1+FixedParams!$C$26)/$Z$12)^(1-$B$10))^(1/(1-$B$10))</f>
        <v>5.9315899857099321</v>
      </c>
      <c r="AB120">
        <f>IF(FixedParams!$I$6=1,IF(Z120&lt;=MIN(Y120:AA120),1,0),$H120)</f>
        <v>0</v>
      </c>
      <c r="AC120">
        <f>IF(FixedParams!$I$6=1,IF(AA120&lt;=MIN(Y120:AA120),1,0),IF(AA120&lt;=Y120,1,0)*(1-$H120))</f>
        <v>1</v>
      </c>
      <c r="AD120" s="24">
        <f>$Z$13*IF(AB120=1,1,IF(AC120=1,FixedParams!$C$52,FixedParams!$C$53))</f>
        <v>0.34709202255780691</v>
      </c>
      <c r="AE120">
        <f>EXP($C120*FixedParams!$B$47)*EXP(IF(AB120+AC120=1,(1-FixedParams!$B$47)*$D120,0))*($B120^((FixedParams!$B$47-1)*$B$10/($B$10-1)))*((1/$B120-1)^$B$10*(AD120)^($B$10-1)+1)^((FixedParams!$B$47-$B$10)/($B$10-1))/((1+IF(AB120=1,FixedParams!$C$25,IF(AC120=1,FixedParams!$C$23,FixedParams!$C$24)))^FixedParams!$B$47)</f>
        <v>5.8269578003897898E-2</v>
      </c>
      <c r="AF120">
        <f t="shared" si="63"/>
        <v>1.7170402048552171</v>
      </c>
      <c r="AG120">
        <f t="shared" si="64"/>
        <v>40.33063768395359</v>
      </c>
      <c r="AH120">
        <f t="shared" si="51"/>
        <v>43.554318264870631</v>
      </c>
      <c r="AI120">
        <f t="shared" si="65"/>
        <v>83.884955948824228</v>
      </c>
      <c r="AJ120" s="24">
        <f t="shared" si="66"/>
        <v>1.0799313069676468</v>
      </c>
      <c r="AK120" s="24">
        <f t="shared" si="67"/>
        <v>1.981114408190106</v>
      </c>
      <c r="AL120" s="23">
        <f>IF(AB120=1,AG120*(1+FixedParams!$C$25)+AH120*(1+FixedParams!$C$28)/$Z$12,IF(AC120=1,AG120*(1+FixedParams!$C$23)+AH120*(1+FixedParams!$C$26)/$Z$12,AG120*(1+FixedParams!$C$24)+AH120*(1+FixedParams!$C$27)/$Z$12))</f>
        <v>191.63439458371499</v>
      </c>
      <c r="AM120" s="24">
        <f t="shared" si="68"/>
        <v>32.307424323898026</v>
      </c>
      <c r="AN120" s="24">
        <f>AM120^((FixedParams!$B$47-1)/FixedParams!$B$47)*EXP($C120)</f>
        <v>0.27514100047634354</v>
      </c>
      <c r="AO120" s="24">
        <f t="shared" si="69"/>
        <v>-8.6560280509448192E-3</v>
      </c>
      <c r="AP120" s="24">
        <f t="shared" si="70"/>
        <v>-3.4595713843208808E-2</v>
      </c>
      <c r="AQ120" s="14">
        <f t="shared" si="71"/>
        <v>-1.1350627739557679</v>
      </c>
      <c r="AS120" s="24">
        <f>EXP(-$D$17)*(($B120*FixedParams!$B$30)^$B$10*(1+FixedParams!$D$24)^(1-$B$10)+(1-$B120)^$B$10*((1+FixedParams!$D$27)/$AT$12)^(1-$B$10))^(1/(1-$B$10))</f>
        <v>6.176191722130528</v>
      </c>
      <c r="AT120" s="24">
        <f>EXP($D120-$D$17)*(($B120*FixedParams!$C$31)^$B$10*(1+FixedParams!$D$25)^(1-$B$10)+(1-$B120)^$B$10*((1+FixedParams!$D$28)/$AT$12)^(1-$B$10))^(1/(1-$B$10))</f>
        <v>5.7765971404367003</v>
      </c>
      <c r="AU120" s="24">
        <f>EXP($D120-$D$17)*(($B120*FixedParams!$C$30)^$B$10*(1+FixedParams!$D$23)^(1-$B$10)+(1-$B120)^$B$10*((1+FixedParams!$D$26)/$AT$12)^(1-$B$10))^(1/(1-$B$10))</f>
        <v>5.7482839256591083</v>
      </c>
      <c r="AV120">
        <f>IF(FixedParams!$I$6=1,IF(AT120&lt;=MIN(AS120:AU120),1,0),$H120)</f>
        <v>0</v>
      </c>
      <c r="AW120">
        <f>IF(FixedParams!$I$6=1,IF(AU120&lt;=MIN(AS120:AU120),1,0),IF(AU120&lt;=AS120,1,0)*(1-$H120))</f>
        <v>1</v>
      </c>
      <c r="AX120" s="24">
        <f>$AT$13*IF(AV120=1,1,IF(AW120=1,FixedParams!$D$52,FixedParams!$D$53))</f>
        <v>0.3451899269505756</v>
      </c>
      <c r="AY120">
        <f>EXP($C120*FixedParams!$B$47)*EXP(IF(AV120+AW120=1,(1-FixedParams!$B$47)*$D120,0))*($B120^((FixedParams!$B$47-1)*$B$10/($B$10-1)))*((1/$B120-1)^$B$10*(AX120)^($B$10-1)+1)^((FixedParams!$B$47-$B$10)/($B$10-1))/((1+IF(AV120=1,FixedParams!$D$25,IF(AW120=1,FixedParams!$D$23,FixedParams!$D$24)))^FixedParams!$B$47)</f>
        <v>6.0501942931378977E-2</v>
      </c>
      <c r="AZ120">
        <f t="shared" si="52"/>
        <v>1.6291709622215269</v>
      </c>
      <c r="BA120">
        <f t="shared" si="72"/>
        <v>40.989723519475291</v>
      </c>
      <c r="BB120">
        <f t="shared" si="53"/>
        <v>43.902711446762247</v>
      </c>
      <c r="BC120">
        <f t="shared" si="73"/>
        <v>84.892434966237545</v>
      </c>
      <c r="BD120" s="24">
        <f t="shared" si="74"/>
        <v>1.0710662985053538</v>
      </c>
      <c r="BE120" s="24">
        <f t="shared" si="75"/>
        <v>1.9465285002787835</v>
      </c>
      <c r="BF120" s="23">
        <f>IF(AV120=1,BA120*(1+FixedParams!$C$25)+BB120*(1+FixedParams!$C$28)/$AT$12,IF(AW120=1,BA120*(1+FixedParams!$C$23)+BB120*(1+FixedParams!$C$26)/$AT$12,BA120*(1+FixedParams!$C$24)+BB120*(1+FixedParams!$C$27)/$AT$12))</f>
        <v>191.55571968290491</v>
      </c>
      <c r="BG120" s="24">
        <f t="shared" si="76"/>
        <v>33.323983672386326</v>
      </c>
      <c r="BH120" s="24">
        <f>BG120^((FixedParams!$B$47-1)/FixedParams!$B$47)*EXP($C120)</f>
        <v>0.27513246812291692</v>
      </c>
      <c r="BI120" s="7"/>
      <c r="BJ120" s="24">
        <f>EXP(-$D$17)*(($B120*FixedParams!$B$30)^$B$10*(1+FixedParams!$C$24)^(1-$B$10)+(1-$B120)^$B$10*((1+FixedParams!$C$27)/$BK$12)^(1-$B$10))^(1/(1-$B$10))</f>
        <v>6.8578072022656844</v>
      </c>
      <c r="BK120" s="24">
        <f>EXP($D120-$D$17)*(($B120*FixedParams!$C$31)^$B$10*(1+FixedParams!$C$25)^(1-$B$10)+(1-$B120)^$B$10*((1+FixedParams!$C$28)/$BK$12)^(1-$B$10))^(1/(1-$B$10))</f>
        <v>6.1757005082216718</v>
      </c>
      <c r="BL120" s="24">
        <f>EXP($D120-$D$17)*(($B120*FixedParams!$C$30)^$B$10*(1+FixedParams!$C$23)^(1-$B$10)+(1-$B120)^$B$10*((1+FixedParams!$C$26)/$BK$12)^(1-$B$10))^(1/(1-$B$10))</f>
        <v>6.1610595003069939</v>
      </c>
      <c r="BM120">
        <f>IF(FixedParams!$I$6=1,IF(BK120&lt;=MIN(BJ120:BL120),1,0),$H120)</f>
        <v>0</v>
      </c>
      <c r="BN120">
        <f>IF(FixedParams!$I$6=1,IF(BL120&lt;=MIN(BJ120:BL120),1,0),IF(BL120&lt;=BJ120,1,0)*(1-$H120))</f>
        <v>1</v>
      </c>
      <c r="BO120" s="24">
        <f>$BK$13*IF(BM120=1,1,IF(BN120=1,FixedParams!$C$52,FixedParams!$C$53))</f>
        <v>0.33006170822567266</v>
      </c>
      <c r="BP120">
        <f>EXP($C120*FixedParams!$B$47)*EXP(IF(BM120+BN120=1,(1-FixedParams!$B$47)*$D120,0))*($B120^((FixedParams!$B$47-1)*$B$10/($B$10-1)))*((1/$B120-1)^$B$10*(BO120)^($B$10-1)+1)^((FixedParams!$B$47-$B$10)/($B$10-1))/((1+IF(BM120=1,FixedParams!$C$25,IF(BN120=1,FixedParams!$C$23,FixedParams!$C$24)))^FixedParams!$B$47)</f>
        <v>5.9388245754833237E-2</v>
      </c>
      <c r="BQ120">
        <f t="shared" si="77"/>
        <v>1.708466339869197</v>
      </c>
      <c r="BR120">
        <f t="shared" si="78"/>
        <v>43.572996922785741</v>
      </c>
      <c r="BS120">
        <f t="shared" si="54"/>
        <v>43.635436957645261</v>
      </c>
      <c r="BT120">
        <f t="shared" si="79"/>
        <v>87.208433880431002</v>
      </c>
      <c r="BU120" s="24">
        <f t="shared" si="80"/>
        <v>1.0014329983996779</v>
      </c>
      <c r="BV120" s="24">
        <f t="shared" si="81"/>
        <v>1.9567905715789167</v>
      </c>
      <c r="BW120" s="23">
        <f>IF(BM120=1,BR120*(1+FixedParams!$C$25)+BS120*(1+FixedParams!$C$28)/$BK$12,IF(BN120=1,BR120*(1+FixedParams!$C$23)+BS120*(1+FixedParams!$C$26)/$BK$12,BR120*(1+FixedParams!$C$24)+BS120*(1+FixedParams!$C$27)/$BK$12))</f>
        <v>203.14851955099576</v>
      </c>
      <c r="BX120" s="24">
        <f t="shared" si="82"/>
        <v>32.972984523339413</v>
      </c>
      <c r="BY120" s="24">
        <f>BX120^((FixedParams!$B$47-1)/FixedParams!$B$47)*EXP($C120)</f>
        <v>0.27513538437529717</v>
      </c>
      <c r="BZ120" s="24">
        <f t="shared" si="83"/>
        <v>3.019872891478027E-2</v>
      </c>
      <c r="CA120" s="24">
        <f t="shared" si="84"/>
        <v>-1.4204197507179786E-2</v>
      </c>
      <c r="CB120" s="24">
        <f t="shared" si="85"/>
        <v>3.1242584122274653E-3</v>
      </c>
      <c r="CC120" s="24"/>
      <c r="CD120" s="24">
        <f>EXP(-$D$17)*(($B120*FixedParams!$B$30)^$B$10*(1+FixedParams!$D$24)^(1-$B$10)+(1-$B120)^$B$10*((1+FixedParams!$D$27)/$CE$12)^(1-$B$10))^(1/(1-$B$10))</f>
        <v>6.4057251626138019</v>
      </c>
      <c r="CE120" s="24">
        <f>EXP($D120-$D$17)*(($B120*FixedParams!$D$31)^$B$10*(1+FixedParams!$D$25)^(1-$B$10)+(1-$B120)^$B$10*((1+FixedParams!$D$28)/$CE$12)^(1-$B$10))^(1/(1-$B$10))</f>
        <v>5.9895703531070934</v>
      </c>
      <c r="CF120" s="24">
        <f>EXP($D120-$D$17)*(($B120*FixedParams!$D$30)^$B$10*(1+FixedParams!$D$23)^(1-$B$10)+(1-$B120)^$B$10*((1+FixedParams!$D$26)/$CE$12)^(1-$B$10))^(1/(1-$B$10))</f>
        <v>5.9557877711145775</v>
      </c>
      <c r="CG120">
        <f>IF(FixedParams!$I$6=1,IF(CE120&lt;=MIN(CD120:CF120),1,0),$H120)</f>
        <v>0</v>
      </c>
      <c r="CH120">
        <f>IF(FixedParams!$I$6=1,IF(CF120&lt;=MIN(CD120:CF120),1,0),IF(CF120&lt;=CD120,1,0)*(1-$H120))</f>
        <v>1</v>
      </c>
      <c r="CI120" s="24">
        <f>$CE$13*IF(CG120=1,1,IF(CH120=1,FixedParams!$D$52,FixedParams!$D$53))</f>
        <v>0.32933267593211629</v>
      </c>
      <c r="CJ120">
        <f>EXP($C120*FixedParams!$B$47)*EXP(IF(CG120+CH120=1,(1-FixedParams!$B$47)*$D120,0))*($B120^((FixedParams!$B$47-1)*$B$10/($B$10-1)))*((1/$B120-1)^$B$10*(CI120)^($B$10-1)+1)^((FixedParams!$B$47-$B$10)/($B$10-1))/((1+IF(CG120=1,FixedParams!$D$25,IF(CH120=1,FixedParams!$D$23,FixedParams!$D$24)))^FixedParams!$B$47)</f>
        <v>6.1586457502483899E-2</v>
      </c>
      <c r="CK120">
        <f t="shared" si="86"/>
        <v>1.6215936089434968</v>
      </c>
      <c r="CL120">
        <f t="shared" si="88"/>
        <v>44.302394326809761</v>
      </c>
      <c r="CM120">
        <f t="shared" si="55"/>
        <v>44.21896936693863</v>
      </c>
      <c r="CN120">
        <f t="shared" si="89"/>
        <v>88.521363693748384</v>
      </c>
      <c r="CO120" s="24">
        <f t="shared" si="90"/>
        <v>0.99811691983833373</v>
      </c>
      <c r="CP120" s="24">
        <f t="shared" si="91"/>
        <v>1.924148020622382</v>
      </c>
      <c r="CQ120" s="23">
        <f>IF(CG120=1,CL120*(1+FixedParams!$D$25)+CM120*(1+FixedParams!$D$28)/$CE$12,IF(CH120=1,CL120*(1+FixedParams!$D$23)+CM120*(1+FixedParams!$D$26)/$CE$12,CL120*(1+FixedParams!$D$24)+CM120*(1+FixedParams!$D$27)/$CE$12))</f>
        <v>199.17002853104964</v>
      </c>
      <c r="CR120" s="24">
        <f t="shared" si="92"/>
        <v>33.441424742671202</v>
      </c>
      <c r="CS120" s="24">
        <f>CR120^((FixedParams!$B$47-1)/FixedParams!$B$47)*EXP($C120)</f>
        <v>0.27513149923280156</v>
      </c>
      <c r="CT120" s="24"/>
    </row>
    <row r="121" spans="1:98" x14ac:dyDescent="0.15">
      <c r="A121">
        <v>0.52</v>
      </c>
      <c r="B121">
        <f t="shared" si="56"/>
        <v>0.2501304745128507</v>
      </c>
      <c r="C121">
        <f>(D121-$D$17)*FixedParams!$B$47+$A121*$B$9</f>
        <v>-1.2994878836810286</v>
      </c>
      <c r="D121">
        <f>(A121-$B$6)*FixedParams!$B$46/(FixedParams!$B$45*Sectors!$B$6)</f>
        <v>1.0867028597856172E-2</v>
      </c>
      <c r="E121">
        <f t="shared" si="57"/>
        <v>0.27267139675628493</v>
      </c>
      <c r="F121" s="24">
        <f>EXP(-$D$17)*(($B121*FixedParams!$B$30)^$B$10*(1+FixedParams!$B$23)^(1-$B$10)+(1-$B121)^$B$10*((1+FixedParams!$B$26)/$B$11)^(1-$B$10))^(1/(1-$B$10))</f>
        <v>5.006991554531889</v>
      </c>
      <c r="G121" s="24">
        <f>EXP($D121-$D$17)*(($B121*FixedParams!$B$31)^$B$10*(1+FixedParams!$B$25)^(1-$B$10)+(1-$B121)^$B$10*((1+FixedParams!$B$28)/$B$11)^(1-$B$10))^(1/(1-$B$10))</f>
        <v>4.8668940441238284</v>
      </c>
      <c r="H121">
        <f t="shared" si="58"/>
        <v>1</v>
      </c>
      <c r="I121" s="24">
        <f>$B$12*IF(H121=1,1,FixedParams!$B$52)</f>
        <v>0.3745928365283252</v>
      </c>
      <c r="J121">
        <f>EXP($C121*FixedParams!$B$47)*EXP(IF(H121=1,(1-FixedParams!$B$47)*$D121,0))*($B121^((FixedParams!$B$47-1)*$B$10/($B$10-1)))*((1/$B121-1)^$B$10*(I121)^($B$10-1)+1)^((FixedParams!$B$47-$B$10)/($B$10-1))/((1+IF(H121=1,FixedParams!$B$25,FixedParams!$B$24))^FixedParams!$B$47)</f>
        <v>6.5336367169580745E-2</v>
      </c>
      <c r="K121">
        <f t="shared" si="87"/>
        <v>1.3173498878488203</v>
      </c>
      <c r="L121">
        <f>K121*FixedParams!$B$8/K$15</f>
        <v>38.299483765664363</v>
      </c>
      <c r="M121">
        <f t="shared" si="47"/>
        <v>45.578577642216089</v>
      </c>
      <c r="N121">
        <f t="shared" si="59"/>
        <v>83.878061407880452</v>
      </c>
      <c r="O121" s="24">
        <f t="shared" si="60"/>
        <v>1.1900572321310885</v>
      </c>
      <c r="P121" s="24">
        <f t="shared" si="48"/>
        <v>1.9030288609617496</v>
      </c>
      <c r="Q121" s="23">
        <f>IF(H121=1,L121*(1+FixedParams!$B$25)+M121*FixedParams!$B$33*(1+FixedParams!$B$28)/FixedParams!$B$32,L121*(1+FixedParams!$B$23)+M121*FixedParams!$B$33*(1+FixedParams!$B$26)/FixedParams!$B$32)</f>
        <v>160.25483630075877</v>
      </c>
      <c r="R121" s="24">
        <f t="shared" si="49"/>
        <v>32.927537531713199</v>
      </c>
      <c r="S121" s="24">
        <f>R121^((FixedParams!$B$47-1)/FixedParams!$B$47)*EXP($C121)</f>
        <v>0.27171931087987128</v>
      </c>
      <c r="T121" s="7">
        <f>(L121*FixedParams!$B$32*(FixedParams!$C$25-FixedParams!$C$23)+FixedParams!$B$33*(FixedParams!$C$28-FixedParams!$C$26)*M121)/N121</f>
        <v>722.33826456063173</v>
      </c>
      <c r="U121" s="7">
        <f>(L121*FixedParams!$B$32*(FixedParams!$C$25-FixedParams!$C$23)*$Z$12/$B$11+FixedParams!$B$33*(FixedParams!$C$28-FixedParams!$C$26)*M121)/N121</f>
        <v>263.75048420525098</v>
      </c>
      <c r="V121" s="14">
        <f t="shared" si="50"/>
        <v>-1.1559170123387363</v>
      </c>
      <c r="W121" s="14">
        <f t="shared" si="93"/>
        <v>0.74449643320861403</v>
      </c>
      <c r="X121" s="73">
        <f t="shared" si="62"/>
        <v>0.96622856767239618</v>
      </c>
      <c r="Y121" s="24">
        <f>EXP(-$D$17)*(($B121*FixedParams!$B$30)^$B$10*(1+FixedParams!$C$24)^(1-$B$10)+(1-$B121)^$B$10*((1+FixedParams!$C$27)/$Z$12)^(1-$B$10))^(1/(1-$B$10))</f>
        <v>6.6003696180718547</v>
      </c>
      <c r="Z121" s="24">
        <f>EXP($D121-$D$17)*(($B121*FixedParams!$C$31)^$B$10*(1+FixedParams!$C$25)^(1-$B$10)+(1-$B121)^$B$10*((1+FixedParams!$C$28)/$Z$12)^(1-$B$10))^(1/(1-$B$10))</f>
        <v>5.9608736712834363</v>
      </c>
      <c r="AA121" s="24">
        <f>EXP($D121-$D$17)*(($B121*FixedParams!$C$30)^$B$10*(1+FixedParams!$C$23)^(1-$B$10)+(1-$B121)^$B$10*((1+FixedParams!$C$26)/$Z$12)^(1-$B$10))^(1/(1-$B$10))</f>
        <v>5.9485957872795705</v>
      </c>
      <c r="AB121">
        <f>IF(FixedParams!$I$6=1,IF(Z121&lt;=MIN(Y121:AA121),1,0),$H121)</f>
        <v>0</v>
      </c>
      <c r="AC121">
        <f>IF(FixedParams!$I$6=1,IF(AA121&lt;=MIN(Y121:AA121),1,0),IF(AA121&lt;=Y121,1,0)*(1-$H121))</f>
        <v>1</v>
      </c>
      <c r="AD121" s="24">
        <f>$Z$13*IF(AB121=1,1,IF(AC121=1,FixedParams!$C$52,FixedParams!$C$53))</f>
        <v>0.34709202255780691</v>
      </c>
      <c r="AE121">
        <f>EXP($C121*FixedParams!$B$47)*EXP(IF(AB121+AC121=1,(1-FixedParams!$B$47)*$D121,0))*($B121^((FixedParams!$B$47-1)*$B$10/($B$10-1)))*((1/$B121-1)^$B$10*(AD121)^($B$10-1)+1)^((FixedParams!$B$47-$B$10)/($B$10-1))/((1+IF(AB121=1,FixedParams!$C$25,IF(AC121=1,FixedParams!$C$23,FixedParams!$C$24)))^FixedParams!$B$47)</f>
        <v>5.8302374087849246E-2</v>
      </c>
      <c r="AF121">
        <f t="shared" si="63"/>
        <v>1.7180066129988028</v>
      </c>
      <c r="AG121">
        <f t="shared" si="64"/>
        <v>40.353337127206913</v>
      </c>
      <c r="AH121">
        <f t="shared" si="51"/>
        <v>42.832660397064579</v>
      </c>
      <c r="AI121">
        <f t="shared" si="65"/>
        <v>83.1859975242715</v>
      </c>
      <c r="AJ121" s="24">
        <f t="shared" si="66"/>
        <v>1.0614403528025955</v>
      </c>
      <c r="AK121" s="24">
        <f t="shared" si="67"/>
        <v>1.9867942408477235</v>
      </c>
      <c r="AL121" s="23">
        <f>IF(AB121=1,AG121*(1+FixedParams!$C$25)+AH121*(1+FixedParams!$C$28)/$Z$12,IF(AC121=1,AG121*(1+FixedParams!$C$23)+AH121*(1+FixedParams!$C$26)/$Z$12,AG121*(1+FixedParams!$C$24)+AH121*(1+FixedParams!$C$27)/$Z$12))</f>
        <v>189.25771241784645</v>
      </c>
      <c r="AM121" s="24">
        <f t="shared" si="68"/>
        <v>31.815527426246312</v>
      </c>
      <c r="AN121" s="24">
        <f>AM121^((FixedParams!$B$47-1)/FixedParams!$B$47)*EXP($C121)</f>
        <v>0.27172865526372209</v>
      </c>
      <c r="AO121" s="24">
        <f t="shared" si="69"/>
        <v>-8.2850595964330323E-3</v>
      </c>
      <c r="AP121" s="24">
        <f t="shared" si="70"/>
        <v>-3.4354860260636624E-2</v>
      </c>
      <c r="AQ121" s="14">
        <f t="shared" si="71"/>
        <v>-1.1177921486596842</v>
      </c>
      <c r="AS121" s="24">
        <f>EXP(-$D$17)*(($B121*FixedParams!$B$30)^$B$10*(1+FixedParams!$D$24)^(1-$B$10)+(1-$B121)^$B$10*((1+FixedParams!$D$27)/$AT$12)^(1-$B$10))^(1/(1-$B$10))</f>
        <v>6.1816447614299044</v>
      </c>
      <c r="AT121" s="24">
        <f>EXP($D121-$D$17)*(($B121*FixedParams!$C$31)^$B$10*(1+FixedParams!$D$25)^(1-$B$10)+(1-$B121)^$B$10*((1+FixedParams!$D$28)/$AT$12)^(1-$B$10))^(1/(1-$B$10))</f>
        <v>5.79621313390808</v>
      </c>
      <c r="AU121" s="24">
        <f>EXP($D121-$D$17)*(($B121*FixedParams!$C$30)^$B$10*(1+FixedParams!$D$23)^(1-$B$10)+(1-$B121)^$B$10*((1+FixedParams!$D$26)/$AT$12)^(1-$B$10))^(1/(1-$B$10))</f>
        <v>5.7646629703109173</v>
      </c>
      <c r="AV121">
        <f>IF(FixedParams!$I$6=1,IF(AT121&lt;=MIN(AS121:AU121),1,0),$H121)</f>
        <v>0</v>
      </c>
      <c r="AW121">
        <f>IF(FixedParams!$I$6=1,IF(AU121&lt;=MIN(AS121:AU121),1,0),IF(AU121&lt;=AS121,1,0)*(1-$H121))</f>
        <v>1</v>
      </c>
      <c r="AX121" s="24">
        <f>$AT$13*IF(AV121=1,1,IF(AW121=1,FixedParams!$D$52,FixedParams!$D$53))</f>
        <v>0.3451899269505756</v>
      </c>
      <c r="AY121">
        <f>EXP($C121*FixedParams!$B$47)*EXP(IF(AV121+AW121=1,(1-FixedParams!$B$47)*$D121,0))*($B121^((FixedParams!$B$47-1)*$B$10/($B$10-1)))*((1/$B121-1)^$B$10*(AX121)^($B$10-1)+1)^((FixedParams!$B$47-$B$10)/($B$10-1))/((1+IF(AV121=1,FixedParams!$D$25,IF(AW121=1,FixedParams!$D$23,FixedParams!$D$24)))^FixedParams!$B$47)</f>
        <v>6.0535462940245421E-2</v>
      </c>
      <c r="AZ121">
        <f t="shared" si="52"/>
        <v>1.6300735749716753</v>
      </c>
      <c r="BA121">
        <f t="shared" si="72"/>
        <v>41.012433135550992</v>
      </c>
      <c r="BB121">
        <f t="shared" si="53"/>
        <v>43.174901195417426</v>
      </c>
      <c r="BC121">
        <f t="shared" si="73"/>
        <v>84.187334330968412</v>
      </c>
      <c r="BD121" s="24">
        <f t="shared" si="74"/>
        <v>1.0527271340551587</v>
      </c>
      <c r="BE121" s="24">
        <f t="shared" si="75"/>
        <v>1.9520748994536345</v>
      </c>
      <c r="BF121" s="23">
        <f>IF(AV121=1,BA121*(1+FixedParams!$C$25)+BB121*(1+FixedParams!$C$28)/$AT$12,IF(AW121=1,BA121*(1+FixedParams!$C$23)+BB121*(1+FixedParams!$C$26)/$AT$12,BA121*(1+FixedParams!$C$24)+BB121*(1+FixedParams!$C$27)/$AT$12))</f>
        <v>189.1917265174574</v>
      </c>
      <c r="BG121" s="24">
        <f t="shared" si="76"/>
        <v>32.819217271127535</v>
      </c>
      <c r="BH121" s="24">
        <f>BG121^((FixedParams!$B$47-1)/FixedParams!$B$47)*EXP($C121)</f>
        <v>0.27172020711403722</v>
      </c>
      <c r="BI121" s="7"/>
      <c r="BJ121" s="24">
        <f>EXP(-$D$17)*(($B121*FixedParams!$B$30)^$B$10*(1+FixedParams!$C$24)^(1-$B$10)+(1-$B121)^$B$10*((1+FixedParams!$C$27)/$BK$12)^(1-$B$10))^(1/(1-$B$10))</f>
        <v>6.8645357048336244</v>
      </c>
      <c r="BK121" s="24">
        <f>EXP($D121-$D$17)*(($B121*FixedParams!$C$31)^$B$10*(1+FixedParams!$C$25)^(1-$B$10)+(1-$B121)^$B$10*((1+FixedParams!$C$28)/$BK$12)^(1-$B$10))^(1/(1-$B$10))</f>
        <v>6.1966621095577947</v>
      </c>
      <c r="BL121" s="24">
        <f>EXP($D121-$D$17)*(($B121*FixedParams!$C$30)^$B$10*(1+FixedParams!$C$23)^(1-$B$10)+(1-$B121)^$B$10*((1+FixedParams!$C$26)/$BK$12)^(1-$B$10))^(1/(1-$B$10))</f>
        <v>6.1777243382814593</v>
      </c>
      <c r="BM121">
        <f>IF(FixedParams!$I$6=1,IF(BK121&lt;=MIN(BJ121:BL121),1,0),$H121)</f>
        <v>0</v>
      </c>
      <c r="BN121">
        <f>IF(FixedParams!$I$6=1,IF(BL121&lt;=MIN(BJ121:BL121),1,0),IF(BL121&lt;=BJ121,1,0)*(1-$H121))</f>
        <v>1</v>
      </c>
      <c r="BO121" s="24">
        <f>$BK$13*IF(BM121=1,1,IF(BN121=1,FixedParams!$C$52,FixedParams!$C$53))</f>
        <v>0.33006170822567266</v>
      </c>
      <c r="BP121">
        <f>EXP($C121*FixedParams!$B$47)*EXP(IF(BM121+BN121=1,(1-FixedParams!$B$47)*$D121,0))*($B121^((FixedParams!$B$47-1)*$B$10/($B$10-1)))*((1/$B121-1)^$B$10*(BO121)^($B$10-1)+1)^((FixedParams!$B$47-$B$10)/($B$10-1))/((1+IF(BM121=1,FixedParams!$C$25,IF(BN121=1,FixedParams!$C$23,FixedParams!$C$24)))^FixedParams!$B$47)</f>
        <v>5.9416858619800825E-2</v>
      </c>
      <c r="BQ121">
        <f t="shared" si="77"/>
        <v>1.7092894676794737</v>
      </c>
      <c r="BR121">
        <f t="shared" si="78"/>
        <v>43.593990105213315</v>
      </c>
      <c r="BS121">
        <f t="shared" si="54"/>
        <v>42.908959340770416</v>
      </c>
      <c r="BT121">
        <f t="shared" si="79"/>
        <v>86.502949445983731</v>
      </c>
      <c r="BU121" s="24">
        <f t="shared" si="80"/>
        <v>0.98428611919235676</v>
      </c>
      <c r="BV121" s="24">
        <f t="shared" si="81"/>
        <v>1.9620834271054213</v>
      </c>
      <c r="BW121" s="23">
        <f>IF(BM121=1,BR121*(1+FixedParams!$C$25)+BS121*(1+FixedParams!$C$28)/$BK$12,IF(BN121=1,BR121*(1+FixedParams!$C$23)+BS121*(1+FixedParams!$C$26)/$BK$12,BR121*(1+FixedParams!$C$24)+BS121*(1+FixedParams!$C$27)/$BK$12))</f>
        <v>200.62900482407747</v>
      </c>
      <c r="BX121" s="24">
        <f t="shared" si="82"/>
        <v>32.476198975218296</v>
      </c>
      <c r="BY121" s="24">
        <f>BX121^((FixedParams!$B$47-1)/FixedParams!$B$47)*EXP($C121)</f>
        <v>0.27172306488430592</v>
      </c>
      <c r="BZ121" s="24">
        <f t="shared" si="83"/>
        <v>3.0814416725341805E-2</v>
      </c>
      <c r="CA121" s="24">
        <f t="shared" si="84"/>
        <v>-1.3801832898951663E-2</v>
      </c>
      <c r="CB121" s="24">
        <f t="shared" si="85"/>
        <v>3.5266230204555882E-3</v>
      </c>
      <c r="CC121" s="24"/>
      <c r="CD121" s="24">
        <f>EXP(-$D$17)*(($B121*FixedParams!$B$30)^$B$10*(1+FixedParams!$D$24)^(1-$B$10)+(1-$B121)^$B$10*((1+FixedParams!$D$27)/$CE$12)^(1-$B$10))^(1/(1-$B$10))</f>
        <v>6.4104713573435168</v>
      </c>
      <c r="CE121" s="24">
        <f>EXP($D121-$D$17)*(($B121*FixedParams!$D$31)^$B$10*(1+FixedParams!$D$25)^(1-$B$10)+(1-$B121)^$B$10*((1+FixedParams!$D$28)/$CE$12)^(1-$B$10))^(1/(1-$B$10))</f>
        <v>6.0090408519259073</v>
      </c>
      <c r="CF121" s="24">
        <f>EXP($D121-$D$17)*(($B121*FixedParams!$D$30)^$B$10*(1+FixedParams!$D$23)^(1-$B$10)+(1-$B121)^$B$10*((1+FixedParams!$D$26)/$CE$12)^(1-$B$10))^(1/(1-$B$10))</f>
        <v>5.9718546603894289</v>
      </c>
      <c r="CG121">
        <f>IF(FixedParams!$I$6=1,IF(CE121&lt;=MIN(CD121:CF121),1,0),$H121)</f>
        <v>0</v>
      </c>
      <c r="CH121">
        <f>IF(FixedParams!$I$6=1,IF(CF121&lt;=MIN(CD121:CF121),1,0),IF(CF121&lt;=CD121,1,0)*(1-$H121))</f>
        <v>1</v>
      </c>
      <c r="CI121" s="24">
        <f>$CE$13*IF(CG121=1,1,IF(CH121=1,FixedParams!$D$52,FixedParams!$D$53))</f>
        <v>0.32933267593211629</v>
      </c>
      <c r="CJ121">
        <f>EXP($C121*FixedParams!$B$47)*EXP(IF(CG121+CH121=1,(1-FixedParams!$B$47)*$D121,0))*($B121^((FixedParams!$B$47-1)*$B$10/($B$10-1)))*((1/$B121-1)^$B$10*(CI121)^($B$10-1)+1)^((FixedParams!$B$47-$B$10)/($B$10-1))/((1+IF(CG121=1,FixedParams!$D$25,IF(CH121=1,FixedParams!$D$23,FixedParams!$D$24)))^FixedParams!$B$47)</f>
        <v>6.1615908643887565E-2</v>
      </c>
      <c r="CK121">
        <f t="shared" si="86"/>
        <v>1.6223690681046987</v>
      </c>
      <c r="CL121">
        <f t="shared" si="88"/>
        <v>44.323580089601641</v>
      </c>
      <c r="CM121">
        <f t="shared" si="55"/>
        <v>43.482620811481262</v>
      </c>
      <c r="CN121">
        <f t="shared" si="89"/>
        <v>87.806200901082903</v>
      </c>
      <c r="CO121" s="24">
        <f t="shared" si="90"/>
        <v>0.98102681966528082</v>
      </c>
      <c r="CP121" s="24">
        <f t="shared" si="91"/>
        <v>1.9293387820101033</v>
      </c>
      <c r="CQ121" s="23">
        <f>IF(CG121=1,CL121*(1+FixedParams!$D$25)+CM121*(1+FixedParams!$D$28)/$CE$12,IF(CH121=1,CL121*(1+FixedParams!$D$23)+CM121*(1+FixedParams!$D$26)/$CE$12,CL121*(1+FixedParams!$D$24)+CM121*(1+FixedParams!$D$27)/$CE$12))</f>
        <v>196.69985495076082</v>
      </c>
      <c r="CR121" s="24">
        <f t="shared" si="92"/>
        <v>32.937816831921005</v>
      </c>
      <c r="CS121" s="24">
        <f>CR121^((FixedParams!$B$47-1)/FixedParams!$B$47)*EXP($C121)</f>
        <v>0.27171922598304316</v>
      </c>
      <c r="CT121" s="24"/>
    </row>
    <row r="122" spans="1:98" x14ac:dyDescent="0.15">
      <c r="A122">
        <v>0.52500000000000002</v>
      </c>
      <c r="B122">
        <f t="shared" si="56"/>
        <v>0.25229626050467235</v>
      </c>
      <c r="C122">
        <f>(D122-$D$17)*FixedParams!$B$47+$A122*$B$9</f>
        <v>-1.311982959485654</v>
      </c>
      <c r="D122">
        <f>(A122-$B$6)*FixedParams!$B$46/(FixedParams!$B$45*Sectors!$B$6)</f>
        <v>1.3583785747320215E-2</v>
      </c>
      <c r="E122">
        <f t="shared" si="57"/>
        <v>0.26928554427753321</v>
      </c>
      <c r="F122" s="24">
        <f>EXP(-$D$17)*(($B122*FixedParams!$B$30)^$B$10*(1+FixedParams!$B$23)^(1-$B$10)+(1-$B122)^$B$10*((1+FixedParams!$B$26)/$B$11)^(1-$B$10))^(1/(1-$B$10))</f>
        <v>5.0094354560687391</v>
      </c>
      <c r="G122" s="24">
        <f>EXP($D122-$D$17)*(($B122*FixedParams!$B$31)^$B$10*(1+FixedParams!$B$25)^(1-$B$10)+(1-$B122)^$B$10*((1+FixedParams!$B$28)/$B$11)^(1-$B$10))^(1/(1-$B$10))</f>
        <v>4.8818581175173374</v>
      </c>
      <c r="H122">
        <f t="shared" si="58"/>
        <v>1</v>
      </c>
      <c r="I122" s="24">
        <f>$B$12*IF(H122=1,1,FixedParams!$B$52)</f>
        <v>0.3745928365283252</v>
      </c>
      <c r="J122">
        <f>EXP($C122*FixedParams!$B$47)*EXP(IF(H122=1,(1-FixedParams!$B$47)*$D122,0))*($B122^((FixedParams!$B$47-1)*$B$10/($B$10-1)))*((1/$B122-1)^$B$10*(I122)^($B$10-1)+1)^((FixedParams!$B$47-$B$10)/($B$10-1))/((1+IF(H122=1,FixedParams!$B$25,FixedParams!$B$24))^FixedParams!$B$47)</f>
        <v>6.5377484273820466E-2</v>
      </c>
      <c r="K122">
        <f t="shared" si="87"/>
        <v>1.31817891485178</v>
      </c>
      <c r="L122">
        <f>K122*FixedParams!$B$8/K$15</f>
        <v>38.323586175004529</v>
      </c>
      <c r="M122">
        <f t="shared" si="47"/>
        <v>44.826357728306</v>
      </c>
      <c r="N122">
        <f t="shared" si="59"/>
        <v>83.149943903310529</v>
      </c>
      <c r="O122" s="24">
        <f t="shared" si="60"/>
        <v>1.1696806641113018</v>
      </c>
      <c r="P122" s="24">
        <f t="shared" si="48"/>
        <v>1.9088800389999854</v>
      </c>
      <c r="Q122" s="23">
        <f>IF(H122=1,L122*(1+FixedParams!$B$25)+M122*FixedParams!$B$33*(1+FixedParams!$B$28)/FixedParams!$B$32,L122*(1+FixedParams!$B$23)+M122*FixedParams!$B$33*(1+FixedParams!$B$26)/FixedParams!$B$32)</f>
        <v>158.26736149397954</v>
      </c>
      <c r="R122" s="24">
        <f t="shared" si="49"/>
        <v>32.419492267928959</v>
      </c>
      <c r="S122" s="24">
        <f>R122^((FixedParams!$B$47-1)/FixedParams!$B$47)*EXP($C122)</f>
        <v>0.26834945760520551</v>
      </c>
      <c r="T122" s="7">
        <f>(L122*FixedParams!$B$32*(FixedParams!$C$25-FixedParams!$C$23)+FixedParams!$B$33*(FixedParams!$C$28-FixedParams!$C$26)*M122)/N122</f>
        <v>770.98815675935998</v>
      </c>
      <c r="U122" s="7">
        <f>(L122*FixedParams!$B$32*(FixedParams!$C$25-FixedParams!$C$23)*$Z$12/$B$11+FixedParams!$B$33*(FixedParams!$C$28-FixedParams!$C$26)*M122)/N122</f>
        <v>308.09354671515882</v>
      </c>
      <c r="V122" s="14">
        <f t="shared" si="50"/>
        <v>-1.1386463870426529</v>
      </c>
      <c r="W122" s="14">
        <f t="shared" si="93"/>
        <v>0.74857476100102172</v>
      </c>
      <c r="X122" s="73">
        <f t="shared" si="62"/>
        <v>0.96646339153403837</v>
      </c>
      <c r="Y122" s="24">
        <f>EXP(-$D$17)*(($B122*FixedParams!$B$30)^$B$10*(1+FixedParams!$C$24)^(1-$B$10)+(1-$B122)^$B$10*((1+FixedParams!$C$27)/$Z$12)^(1-$B$10))^(1/(1-$B$10))</f>
        <v>6.6076471657512146</v>
      </c>
      <c r="Z122" s="24">
        <f>EXP($D122-$D$17)*(($B122*FixedParams!$C$31)^$B$10*(1+FixedParams!$C$25)^(1-$B$10)+(1-$B122)^$B$10*((1+FixedParams!$C$28)/$Z$12)^(1-$B$10))^(1/(1-$B$10))</f>
        <v>5.981839824983747</v>
      </c>
      <c r="AA122" s="24">
        <f>EXP($D122-$D$17)*(($B122*FixedParams!$C$30)^$B$10*(1+FixedParams!$C$23)^(1-$B$10)+(1-$B122)^$B$10*((1+FixedParams!$C$26)/$Z$12)^(1-$B$10))^(1/(1-$B$10))</f>
        <v>5.965434493000207</v>
      </c>
      <c r="AB122">
        <f>IF(FixedParams!$I$6=1,IF(Z122&lt;=MIN(Y122:AA122),1,0),$H122)</f>
        <v>0</v>
      </c>
      <c r="AC122">
        <f>IF(FixedParams!$I$6=1,IF(AA122&lt;=MIN(Y122:AA122),1,0),IF(AA122&lt;=Y122,1,0)*(1-$H122))</f>
        <v>1</v>
      </c>
      <c r="AD122" s="24">
        <f>$Z$13*IF(AB122=1,1,IF(AC122=1,FixedParams!$C$52,FixedParams!$C$53))</f>
        <v>0.34709202255780691</v>
      </c>
      <c r="AE122">
        <f>EXP($C122*FixedParams!$B$47)*EXP(IF(AB122+AC122=1,(1-FixedParams!$B$47)*$D122,0))*($B122^((FixedParams!$B$47-1)*$B$10/($B$10-1)))*((1/$B122-1)^$B$10*(AD122)^($B$10-1)+1)^((FixedParams!$B$47-$B$10)/($B$10-1))/((1+IF(AB122=1,FixedParams!$C$25,IF(AC122=1,FixedParams!$C$23,FixedParams!$C$24)))^FixedParams!$B$47)</f>
        <v>5.8331955497071569E-2</v>
      </c>
      <c r="AF122">
        <f t="shared" si="63"/>
        <v>1.7188782937401255</v>
      </c>
      <c r="AG122">
        <f t="shared" si="64"/>
        <v>40.37381156924674</v>
      </c>
      <c r="AH122">
        <f t="shared" si="51"/>
        <v>42.120625187079277</v>
      </c>
      <c r="AI122">
        <f t="shared" si="65"/>
        <v>82.494436756326024</v>
      </c>
      <c r="AJ122" s="24">
        <f t="shared" si="66"/>
        <v>1.043266007095627</v>
      </c>
      <c r="AK122" s="24">
        <f t="shared" si="67"/>
        <v>1.9924182645241397</v>
      </c>
      <c r="AL122" s="23">
        <f>IF(AB122=1,AG122*(1+FixedParams!$C$25)+AH122*(1+FixedParams!$C$28)/$Z$12,IF(AC122=1,AG122*(1+FixedParams!$C$23)+AH122*(1+FixedParams!$C$26)/$Z$12,AG122*(1+FixedParams!$C$24)+AH122*(1+FixedParams!$C$27)/$Z$12))</f>
        <v>186.91049950309718</v>
      </c>
      <c r="AM122" s="24">
        <f t="shared" si="68"/>
        <v>31.332252449074154</v>
      </c>
      <c r="AN122" s="24">
        <f>AM122^((FixedParams!$B$47-1)/FixedParams!$B$47)*EXP($C122)</f>
        <v>0.26835862082341183</v>
      </c>
      <c r="AO122" s="24">
        <f t="shared" si="69"/>
        <v>-7.9146731839608228E-3</v>
      </c>
      <c r="AP122" s="24">
        <f t="shared" si="70"/>
        <v>-3.4111858408552402E-2</v>
      </c>
      <c r="AQ122" s="14">
        <f t="shared" si="71"/>
        <v>-1.1005215233636003</v>
      </c>
      <c r="AS122" s="24">
        <f>EXP(-$D$17)*(($B122*FixedParams!$B$30)^$B$10*(1+FixedParams!$D$24)^(1-$B$10)+(1-$B122)^$B$10*((1+FixedParams!$D$27)/$AT$12)^(1-$B$10))^(1/(1-$B$10))</f>
        <v>6.1869205318538949</v>
      </c>
      <c r="AT122" s="24">
        <f>EXP($D122-$D$17)*(($B122*FixedParams!$C$31)^$B$10*(1+FixedParams!$D$25)^(1-$B$10)+(1-$B122)^$B$10*((1+FixedParams!$D$28)/$AT$12)^(1-$B$10))^(1/(1-$B$10))</f>
        <v>5.815713093968351</v>
      </c>
      <c r="AU122" s="24">
        <f>EXP($D122-$D$17)*(($B122*FixedParams!$C$30)^$B$10*(1+FixedParams!$D$23)^(1-$B$10)+(1-$B122)^$B$10*((1+FixedParams!$D$26)/$AT$12)^(1-$B$10))^(1/(1-$B$10))</f>
        <v>5.7808786196133291</v>
      </c>
      <c r="AV122">
        <f>IF(FixedParams!$I$6=1,IF(AT122&lt;=MIN(AS122:AU122),1,0),$H122)</f>
        <v>0</v>
      </c>
      <c r="AW122">
        <f>IF(FixedParams!$I$6=1,IF(AU122&lt;=MIN(AS122:AU122),1,0),IF(AU122&lt;=AS122,1,0)*(1-$H122))</f>
        <v>1</v>
      </c>
      <c r="AX122" s="24">
        <f>$AT$13*IF(AV122=1,1,IF(AW122=1,FixedParams!$D$52,FixedParams!$D$53))</f>
        <v>0.3451899269505756</v>
      </c>
      <c r="AY122">
        <f>EXP($C122*FixedParams!$B$47)*EXP(IF(AV122+AW122=1,(1-FixedParams!$B$47)*$D122,0))*($B122^((FixedParams!$B$47-1)*$B$10/($B$10-1)))*((1/$B122-1)^$B$10*(AX122)^($B$10-1)+1)^((FixedParams!$B$47-$B$10)/($B$10-1))/((1+IF(AV122=1,FixedParams!$D$25,IF(AW122=1,FixedParams!$D$23,FixedParams!$D$24)))^FixedParams!$B$47)</f>
        <v>6.0565639898999511E-2</v>
      </c>
      <c r="AZ122">
        <f t="shared" si="52"/>
        <v>1.6308861674695077</v>
      </c>
      <c r="BA122">
        <f t="shared" si="72"/>
        <v>41.032877854117991</v>
      </c>
      <c r="BB122">
        <f t="shared" si="53"/>
        <v>42.456799922490781</v>
      </c>
      <c r="BC122">
        <f t="shared" si="73"/>
        <v>83.489677776608772</v>
      </c>
      <c r="BD122" s="24">
        <f t="shared" si="74"/>
        <v>1.0347019790674976</v>
      </c>
      <c r="BE122" s="24">
        <f t="shared" si="75"/>
        <v>1.9575659684275895</v>
      </c>
      <c r="BF122" s="23">
        <f>IF(AV122=1,BA122*(1+FixedParams!$C$25)+BB122*(1+FixedParams!$C$28)/$AT$12,IF(AW122=1,BA122*(1+FixedParams!$C$23)+BB122*(1+FixedParams!$C$26)/$AT$12,BA122*(1+FixedParams!$C$24)+BB122*(1+FixedParams!$C$27)/$AT$12))</f>
        <v>186.85700152427407</v>
      </c>
      <c r="BG122" s="24">
        <f t="shared" si="76"/>
        <v>32.323287482685899</v>
      </c>
      <c r="BH122" s="24">
        <f>BG122^((FixedParams!$B$47-1)/FixedParams!$B$47)*EXP($C122)</f>
        <v>0.26835025591512801</v>
      </c>
      <c r="BI122" s="7"/>
      <c r="BJ122" s="24">
        <f>EXP(-$D$17)*(($B122*FixedParams!$B$30)^$B$10*(1+FixedParams!$C$24)^(1-$B$10)+(1-$B122)^$B$10*((1+FixedParams!$C$27)/$BK$12)^(1-$B$10))^(1/(1-$B$10))</f>
        <v>6.8710750601065094</v>
      </c>
      <c r="BK122" s="24">
        <f>EXP($D122-$D$17)*(($B122*FixedParams!$C$31)^$B$10*(1+FixedParams!$C$25)^(1-$B$10)+(1-$B122)^$B$10*((1+FixedParams!$C$28)/$BK$12)^(1-$B$10))^(1/(1-$B$10))</f>
        <v>6.2174995054248576</v>
      </c>
      <c r="BL122" s="24">
        <f>EXP($D122-$D$17)*(($B122*FixedParams!$C$30)^$B$10*(1+FixedParams!$C$23)^(1-$B$10)+(1-$B122)^$B$10*((1+FixedParams!$C$26)/$BK$12)^(1-$B$10))^(1/(1-$B$10))</f>
        <v>6.1942013953311585</v>
      </c>
      <c r="BM122">
        <f>IF(FixedParams!$I$6=1,IF(BK122&lt;=MIN(BJ122:BL122),1,0),$H122)</f>
        <v>0</v>
      </c>
      <c r="BN122">
        <f>IF(FixedParams!$I$6=1,IF(BL122&lt;=MIN(BJ122:BL122),1,0),IF(BL122&lt;=BJ122,1,0)*(1-$H122))</f>
        <v>1</v>
      </c>
      <c r="BO122" s="24">
        <f>$BK$13*IF(BM122=1,1,IF(BN122=1,FixedParams!$C$52,FixedParams!$C$53))</f>
        <v>0.33006170822567266</v>
      </c>
      <c r="BP122">
        <f>EXP($C122*FixedParams!$B$47)*EXP(IF(BM122+BN122=1,(1-FixedParams!$B$47)*$D122,0))*($B122^((FixedParams!$B$47-1)*$B$10/($B$10-1)))*((1/$B122-1)^$B$10*(BO122)^($B$10-1)+1)^((FixedParams!$B$47-$B$10)/($B$10-1))/((1+IF(BM122=1,FixedParams!$C$25,IF(BN122=1,FixedParams!$C$23,FixedParams!$C$24)))^FixedParams!$B$47)</f>
        <v>5.9442148638644457E-2</v>
      </c>
      <c r="BQ122">
        <f t="shared" si="77"/>
        <v>1.7100170046757233</v>
      </c>
      <c r="BR122">
        <f t="shared" si="78"/>
        <v>43.612545324335294</v>
      </c>
      <c r="BS122">
        <f t="shared" si="54"/>
        <v>42.192208352946579</v>
      </c>
      <c r="BT122">
        <f t="shared" si="79"/>
        <v>85.804753677281866</v>
      </c>
      <c r="BU122" s="24">
        <f t="shared" si="80"/>
        <v>0.96743283473078601</v>
      </c>
      <c r="BV122" s="24">
        <f t="shared" si="81"/>
        <v>1.9673166422497668</v>
      </c>
      <c r="BW122" s="23">
        <f>IF(BM122=1,BR122*(1+FixedParams!$C$25)+BS122*(1+FixedParams!$C$28)/$BK$12,IF(BN122=1,BR122*(1+FixedParams!$C$23)+BS122*(1+FixedParams!$C$26)/$BK$12,BR122*(1+FixedParams!$C$24)+BS122*(1+FixedParams!$C$27)/$BK$12))</f>
        <v>198.1407304986071</v>
      </c>
      <c r="BX122" s="24">
        <f t="shared" si="82"/>
        <v>31.988099490590418</v>
      </c>
      <c r="BY122" s="24">
        <f>BX122^((FixedParams!$B$47-1)/FixedParams!$B$47)*EXP($C122)</f>
        <v>0.26835305601354165</v>
      </c>
      <c r="BZ122" s="24">
        <f t="shared" si="83"/>
        <v>3.1428878129069374E-2</v>
      </c>
      <c r="CA122" s="24">
        <f t="shared" si="84"/>
        <v>-1.3395912397191383E-2</v>
      </c>
      <c r="CB122" s="24">
        <f t="shared" si="85"/>
        <v>3.9325435222158679E-3</v>
      </c>
      <c r="CC122" s="24"/>
      <c r="CD122" s="24">
        <f>EXP(-$D$17)*(($B122*FixedParams!$B$30)^$B$10*(1+FixedParams!$D$24)^(1-$B$10)+(1-$B122)^$B$10*((1+FixedParams!$D$27)/$CE$12)^(1-$B$10))^(1/(1-$B$10))</f>
        <v>6.4150236516383128</v>
      </c>
      <c r="CE122" s="24">
        <f>EXP($D122-$D$17)*(($B122*FixedParams!$D$31)^$B$10*(1+FixedParams!$D$25)^(1-$B$10)+(1-$B122)^$B$10*((1+FixedParams!$D$28)/$CE$12)^(1-$B$10))^(1/(1-$B$10))</f>
        <v>6.0283772522993031</v>
      </c>
      <c r="CF122" s="24">
        <f>EXP($D122-$D$17)*(($B122*FixedParams!$D$30)^$B$10*(1+FixedParams!$D$23)^(1-$B$10)+(1-$B122)^$B$10*((1+FixedParams!$D$26)/$CE$12)^(1-$B$10))^(1/(1-$B$10))</f>
        <v>5.9877394279795766</v>
      </c>
      <c r="CG122">
        <f>IF(FixedParams!$I$6=1,IF(CE122&lt;=MIN(CD122:CF122),1,0),$H122)</f>
        <v>0</v>
      </c>
      <c r="CH122">
        <f>IF(FixedParams!$I$6=1,IF(CF122&lt;=MIN(CD122:CF122),1,0),IF(CF122&lt;=CD122,1,0)*(1-$H122))</f>
        <v>1</v>
      </c>
      <c r="CI122" s="24">
        <f>$CE$13*IF(CG122=1,1,IF(CH122=1,FixedParams!$D$52,FixedParams!$D$53))</f>
        <v>0.32933267593211629</v>
      </c>
      <c r="CJ122">
        <f>EXP($C122*FixedParams!$B$47)*EXP(IF(CG122+CH122=1,(1-FixedParams!$B$47)*$D122,0))*($B122^((FixedParams!$B$47-1)*$B$10/($B$10-1)))*((1/$B122-1)^$B$10*(CI122)^($B$10-1)+1)^((FixedParams!$B$47-$B$10)/($B$10-1))/((1+IF(CG122=1,FixedParams!$D$25,IF(CH122=1,FixedParams!$D$23,FixedParams!$D$24)))^FixedParams!$B$47)</f>
        <v>6.1641911852981963E-2</v>
      </c>
      <c r="CK122">
        <f t="shared" si="86"/>
        <v>1.6230537419662827</v>
      </c>
      <c r="CL122">
        <f t="shared" si="88"/>
        <v>44.342285572426597</v>
      </c>
      <c r="CM122">
        <f t="shared" si="55"/>
        <v>42.756132842400227</v>
      </c>
      <c r="CN122">
        <f t="shared" si="89"/>
        <v>87.098418414826824</v>
      </c>
      <c r="CO122" s="24">
        <f t="shared" si="90"/>
        <v>0.96422934204788291</v>
      </c>
      <c r="CP122" s="24">
        <f t="shared" si="91"/>
        <v>1.9344707049884315</v>
      </c>
      <c r="CQ122" s="23">
        <f>IF(CG122=1,CL122*(1+FixedParams!$D$25)+CM122*(1+FixedParams!$D$28)/$CE$12,IF(CH122=1,CL122*(1+FixedParams!$D$23)+CM122*(1+FixedParams!$D$26)/$CE$12,CL122*(1+FixedParams!$D$24)+CM122*(1+FixedParams!$D$27)/$CE$12))</f>
        <v>194.26030997812927</v>
      </c>
      <c r="CR122" s="24">
        <f t="shared" si="92"/>
        <v>32.443013313235959</v>
      </c>
      <c r="CS122" s="24">
        <f>CR122^((FixedParams!$B$47-1)/FixedParams!$B$47)*EXP($C122)</f>
        <v>0.26834926278769561</v>
      </c>
      <c r="CT122" s="24"/>
    </row>
    <row r="123" spans="1:98" x14ac:dyDescent="0.15">
      <c r="A123">
        <v>0.53</v>
      </c>
      <c r="B123">
        <f t="shared" si="56"/>
        <v>0.25447443533145397</v>
      </c>
      <c r="C123">
        <f>(D123-$D$17)*FixedParams!$B$47+$A123*$B$9</f>
        <v>-1.3244780352902792</v>
      </c>
      <c r="D123">
        <f>(A123-$B$6)*FixedParams!$B$46/(FixedParams!$B$45*Sectors!$B$6)</f>
        <v>1.6300542896784259E-2</v>
      </c>
      <c r="E123">
        <f t="shared" si="57"/>
        <v>0.26594173506824148</v>
      </c>
      <c r="F123" s="24">
        <f>EXP(-$D$17)*(($B123*FixedParams!$B$30)^$B$10*(1+FixedParams!$B$23)^(1-$B$10)+(1-$B123)^$B$10*((1+FixedParams!$B$26)/$B$11)^(1-$B$10))^(1/(1-$B$10))</f>
        <v>5.0117133210996245</v>
      </c>
      <c r="G123" s="24">
        <f>EXP($D123-$D$17)*(($B123*FixedParams!$B$31)^$B$10*(1+FixedParams!$B$25)^(1-$B$10)+(1-$B123)^$B$10*((1+FixedParams!$B$28)/$B$11)^(1-$B$10))^(1/(1-$B$10))</f>
        <v>4.8966988686764488</v>
      </c>
      <c r="H123">
        <f t="shared" si="58"/>
        <v>1</v>
      </c>
      <c r="I123" s="24">
        <f>$B$12*IF(H123=1,1,FixedParams!$B$52)</f>
        <v>0.3745928365283252</v>
      </c>
      <c r="J123">
        <f>EXP($C123*FixedParams!$B$47)*EXP(IF(H123=1,(1-FixedParams!$B$47)*$D123,0))*($B123^((FixedParams!$B$47-1)*$B$10/($B$10-1)))*((1/$B123-1)^$B$10*(I123)^($B$10-1)+1)^((FixedParams!$B$47-$B$10)/($B$10-1))/((1+IF(H123=1,FixedParams!$B$25,FixedParams!$B$24))^FixedParams!$B$47)</f>
        <v>6.541504004336704E-2</v>
      </c>
      <c r="K123">
        <f t="shared" si="87"/>
        <v>1.3189361361504766</v>
      </c>
      <c r="L123">
        <f>K123*FixedParams!$B$8/K$15</f>
        <v>38.345600967812381</v>
      </c>
      <c r="M123">
        <f t="shared" si="47"/>
        <v>44.084134831938108</v>
      </c>
      <c r="N123">
        <f t="shared" si="59"/>
        <v>82.429735799750489</v>
      </c>
      <c r="O123" s="24">
        <f t="shared" si="60"/>
        <v>1.1496529906766282</v>
      </c>
      <c r="P123" s="24">
        <f t="shared" si="48"/>
        <v>1.9146829961874836</v>
      </c>
      <c r="Q123" s="23">
        <f>IF(H123=1,L123*(1+FixedParams!$B$25)+M123*FixedParams!$B$33*(1+FixedParams!$B$28)/FixedParams!$B$32,L123*(1+FixedParams!$B$23)+M123*FixedParams!$B$33*(1+FixedParams!$B$26)/FixedParams!$B$32)</f>
        <v>156.30452987435521</v>
      </c>
      <c r="R123" s="24">
        <f t="shared" si="49"/>
        <v>31.920388422129676</v>
      </c>
      <c r="S123" s="24">
        <f>R123^((FixedParams!$B$47-1)/FixedParams!$B$47)*EXP($C123)</f>
        <v>0.26502138796706609</v>
      </c>
      <c r="T123" s="7">
        <f>(L123*FixedParams!$B$32*(FixedParams!$C$25-FixedParams!$C$23)+FixedParams!$B$33*(FixedParams!$C$28-FixedParams!$C$26)*M123)/N123</f>
        <v>819.70380097345185</v>
      </c>
      <c r="U123" s="7">
        <f>(L123*FixedParams!$B$32*(FixedParams!$C$25-FixedParams!$C$23)*$Z$12/$B$11+FixedParams!$B$33*(FixedParams!$C$28-FixedParams!$C$26)*M123)/N123</f>
        <v>352.49654041084398</v>
      </c>
      <c r="V123" s="14">
        <f t="shared" si="50"/>
        <v>-1.1213757617465694</v>
      </c>
      <c r="W123" s="14">
        <f t="shared" si="93"/>
        <v>0.75261776411866499</v>
      </c>
      <c r="X123" s="73">
        <f t="shared" si="62"/>
        <v>0.96670034160532881</v>
      </c>
      <c r="Y123" s="24">
        <f>EXP(-$D$17)*(($B123*FixedParams!$B$30)^$B$10*(1+FixedParams!$C$24)^(1-$B$10)+(1-$B123)^$B$10*((1+FixedParams!$C$27)/$Z$12)^(1-$B$10))^(1/(1-$B$10))</f>
        <v>6.614750114382284</v>
      </c>
      <c r="Z123" s="24">
        <f>EXP($D123-$D$17)*(($B123*FixedParams!$C$31)^$B$10*(1+FixedParams!$C$25)^(1-$B$10)+(1-$B123)^$B$10*((1+FixedParams!$C$28)/$Z$12)^(1-$B$10))^(1/(1-$B$10))</f>
        <v>6.0026963904517858</v>
      </c>
      <c r="AA123" s="24">
        <f>EXP($D123-$D$17)*(($B123*FixedParams!$C$30)^$B$10*(1+FixedParams!$C$23)^(1-$B$10)+(1-$B123)^$B$10*((1+FixedParams!$C$26)/$Z$12)^(1-$B$10))^(1/(1-$B$10))</f>
        <v>5.9821011807805959</v>
      </c>
      <c r="AB123">
        <f>IF(FixedParams!$I$6=1,IF(Z123&lt;=MIN(Y123:AA123),1,0),$H123)</f>
        <v>0</v>
      </c>
      <c r="AC123">
        <f>IF(FixedParams!$I$6=1,IF(AA123&lt;=MIN(Y123:AA123),1,0),IF(AA123&lt;=Y123,1,0)*(1-$H123))</f>
        <v>1</v>
      </c>
      <c r="AD123" s="24">
        <f>$Z$13*IF(AB123=1,1,IF(AC123=1,FixedParams!$C$52,FixedParams!$C$53))</f>
        <v>0.34709202255780691</v>
      </c>
      <c r="AE123">
        <f>EXP($C123*FixedParams!$B$47)*EXP(IF(AB123+AC123=1,(1-FixedParams!$B$47)*$D123,0))*($B123^((FixedParams!$B$47-1)*$B$10/($B$10-1)))*((1/$B123-1)^$B$10*(AD123)^($B$10-1)+1)^((FixedParams!$B$47-$B$10)/($B$10-1))/((1+IF(AB123=1,FixedParams!$C$25,IF(AC123=1,FixedParams!$C$23,FixedParams!$C$24)))^FixedParams!$B$47)</f>
        <v>5.8358289034426691E-2</v>
      </c>
      <c r="AF123">
        <f t="shared" si="63"/>
        <v>1.7196542688531045</v>
      </c>
      <c r="AG123">
        <f t="shared" si="64"/>
        <v>40.392038033044635</v>
      </c>
      <c r="AH123">
        <f t="shared" si="51"/>
        <v>41.418110866635487</v>
      </c>
      <c r="AI123">
        <f t="shared" si="65"/>
        <v>81.810148899680115</v>
      </c>
      <c r="AJ123" s="24">
        <f t="shared" si="66"/>
        <v>1.0254028487681515</v>
      </c>
      <c r="AK123" s="24">
        <f t="shared" si="67"/>
        <v>1.9979848352712886</v>
      </c>
      <c r="AL123" s="23">
        <f>IF(AB123=1,AG123*(1+FixedParams!$C$25)+AH123*(1+FixedParams!$C$28)/$Z$12,IF(AC123=1,AG123*(1+FixedParams!$C$23)+AH123*(1+FixedParams!$C$26)/$Z$12,AG123*(1+FixedParams!$C$24)+AH123*(1+FixedParams!$C$27)/$Z$12))</f>
        <v>184.59239042494983</v>
      </c>
      <c r="AM123" s="24">
        <f t="shared" si="68"/>
        <v>30.857450391847539</v>
      </c>
      <c r="AN123" s="24">
        <f>AM123^((FixedParams!$B$47-1)/FixedParams!$B$47)*EXP($C123)</f>
        <v>0.26503037250786149</v>
      </c>
      <c r="AO123" s="24">
        <f t="shared" si="69"/>
        <v>-7.5449375822779453E-3</v>
      </c>
      <c r="AP123" s="24">
        <f t="shared" si="70"/>
        <v>-3.3866716139002107E-2</v>
      </c>
      <c r="AQ123" s="14">
        <f t="shared" si="71"/>
        <v>-1.0832508980675171</v>
      </c>
      <c r="AS123" s="24">
        <f>EXP(-$D$17)*(($B123*FixedParams!$B$30)^$B$10*(1+FixedParams!$D$24)^(1-$B$10)+(1-$B123)^$B$10*((1+FixedParams!$D$27)/$AT$12)^(1-$B$10))^(1/(1-$B$10))</f>
        <v>6.1920151117847455</v>
      </c>
      <c r="AT123" s="24">
        <f>EXP($D123-$D$17)*(($B123*FixedParams!$C$31)^$B$10*(1+FixedParams!$D$25)^(1-$B$10)+(1-$B123)^$B$10*((1+FixedParams!$D$28)/$AT$12)^(1-$B$10))^(1/(1-$B$10))</f>
        <v>5.835092165682223</v>
      </c>
      <c r="AU123" s="24">
        <f>EXP($D123-$D$17)*(($B123*FixedParams!$C$30)^$B$10*(1+FixedParams!$D$23)^(1-$B$10)+(1-$B123)^$B$10*((1+FixedParams!$D$26)/$AT$12)^(1-$B$10))^(1/(1-$B$10))</f>
        <v>5.7969261086216113</v>
      </c>
      <c r="AV123">
        <f>IF(FixedParams!$I$6=1,IF(AT123&lt;=MIN(AS123:AU123),1,0),$H123)</f>
        <v>0</v>
      </c>
      <c r="AW123">
        <f>IF(FixedParams!$I$6=1,IF(AU123&lt;=MIN(AS123:AU123),1,0),IF(AU123&lt;=AS123,1,0)*(1-$H123))</f>
        <v>1</v>
      </c>
      <c r="AX123" s="24">
        <f>$AT$13*IF(AV123=1,1,IF(AW123=1,FixedParams!$D$52,FixedParams!$D$53))</f>
        <v>0.3451899269505756</v>
      </c>
      <c r="AY123">
        <f>EXP($C123*FixedParams!$B$47)*EXP(IF(AV123+AW123=1,(1-FixedParams!$B$47)*$D123,0))*($B123^((FixedParams!$B$47-1)*$B$10/($B$10-1)))*((1/$B123-1)^$B$10*(AX123)^($B$10-1)+1)^((FixedParams!$B$47-$B$10)/($B$10-1))/((1+IF(AV123=1,FixedParams!$D$25,IF(AW123=1,FixedParams!$D$23,FixedParams!$D$24)))^FixedParams!$B$47)</f>
        <v>6.0592439440696817E-2</v>
      </c>
      <c r="AZ123">
        <f t="shared" si="52"/>
        <v>1.6316078142963479</v>
      </c>
      <c r="BA123">
        <f t="shared" si="72"/>
        <v>41.051034391766166</v>
      </c>
      <c r="BB123">
        <f t="shared" si="53"/>
        <v>41.748304969782829</v>
      </c>
      <c r="BC123">
        <f t="shared" si="73"/>
        <v>82.799339361548988</v>
      </c>
      <c r="BD123" s="24">
        <f t="shared" si="74"/>
        <v>1.0169854569646732</v>
      </c>
      <c r="BE123" s="24">
        <f t="shared" si="75"/>
        <v>1.9630000936580947</v>
      </c>
      <c r="BF123" s="23">
        <f>IF(AV123=1,BA123*(1+FixedParams!$C$25)+BB123*(1+FixedParams!$C$28)/$AT$12,IF(AW123=1,BA123*(1+FixedParams!$C$23)+BB123*(1+FixedParams!$C$26)/$AT$12,BA123*(1+FixedParams!$C$24)+BB123*(1+FixedParams!$C$27)/$AT$12))</f>
        <v>184.55118064922252</v>
      </c>
      <c r="BG123" s="24">
        <f t="shared" si="76"/>
        <v>31.836041583270234</v>
      </c>
      <c r="BH123" s="24">
        <f>BG123^((FixedParams!$B$47-1)/FixedParams!$B$47)*EXP($C123)</f>
        <v>0.26502208989266268</v>
      </c>
      <c r="BI123" s="7"/>
      <c r="BJ123" s="24">
        <f>EXP(-$D$17)*(($B123*FixedParams!$B$30)^$B$10*(1+FixedParams!$C$24)^(1-$B$10)+(1-$B123)^$B$10*((1+FixedParams!$C$27)/$BK$12)^(1-$B$10))^(1/(1-$B$10))</f>
        <v>6.8774208630518991</v>
      </c>
      <c r="BK123" s="24">
        <f>EXP($D123-$D$17)*(($B123*FixedParams!$C$31)^$B$10*(1+FixedParams!$C$25)^(1-$B$10)+(1-$B123)^$B$10*((1+FixedParams!$C$28)/$BK$12)^(1-$B$10))^(1/(1-$B$10))</f>
        <v>6.2382075053708803</v>
      </c>
      <c r="BL123" s="24">
        <f>EXP($D123-$D$17)*(($B123*FixedParams!$C$30)^$B$10*(1+FixedParams!$C$23)^(1-$B$10)+(1-$B123)^$B$10*((1+FixedParams!$C$26)/$BK$12)^(1-$B$10))^(1/(1-$B$10))</f>
        <v>6.2104856161758537</v>
      </c>
      <c r="BM123">
        <f>IF(FixedParams!$I$6=1,IF(BK123&lt;=MIN(BJ123:BL123),1,0),$H123)</f>
        <v>0</v>
      </c>
      <c r="BN123">
        <f>IF(FixedParams!$I$6=1,IF(BL123&lt;=MIN(BJ123:BL123),1,0),IF(BL123&lt;=BJ123,1,0)*(1-$H123))</f>
        <v>1</v>
      </c>
      <c r="BO123" s="24">
        <f>$BK$13*IF(BM123=1,1,IF(BN123=1,FixedParams!$C$52,FixedParams!$C$53))</f>
        <v>0.33006170822567266</v>
      </c>
      <c r="BP123">
        <f>EXP($C123*FixedParams!$B$47)*EXP(IF(BM123+BN123=1,(1-FixedParams!$B$47)*$D123,0))*($B123^((FixedParams!$B$47-1)*$B$10/($B$10-1)))*((1/$B123-1)^$B$10*(BO123)^($B$10-1)+1)^((FixedParams!$B$47-$B$10)/($B$10-1))/((1+IF(BM123=1,FixedParams!$C$25,IF(BN123=1,FixedParams!$C$23,FixedParams!$C$24)))^FixedParams!$B$47)</f>
        <v>5.9464082918030049E-2</v>
      </c>
      <c r="BQ123">
        <f t="shared" si="77"/>
        <v>1.7106480045906605</v>
      </c>
      <c r="BR123">
        <f t="shared" si="78"/>
        <v>43.628638446400515</v>
      </c>
      <c r="BS123">
        <f t="shared" si="54"/>
        <v>41.485081329779042</v>
      </c>
      <c r="BT123">
        <f t="shared" si="79"/>
        <v>85.113719776179551</v>
      </c>
      <c r="BU123" s="24">
        <f t="shared" si="80"/>
        <v>0.95086811798504978</v>
      </c>
      <c r="BV123" s="24">
        <f t="shared" si="81"/>
        <v>1.9724886114237083</v>
      </c>
      <c r="BW123" s="23">
        <f>IF(BM123=1,BR123*(1+FixedParams!$C$25)+BS123*(1+FixedParams!$C$28)/$BK$12,IF(BN123=1,BR123*(1+FixedParams!$C$23)+BS123*(1+FixedParams!$C$26)/$BK$12,BR123*(1+FixedParams!$C$24)+BS123*(1+FixedParams!$C$27)/$BK$12))</f>
        <v>195.68330920119473</v>
      </c>
      <c r="BX123" s="24">
        <f t="shared" si="82"/>
        <v>31.508535933408695</v>
      </c>
      <c r="BY123" s="24">
        <f>BX123^((FixedParams!$B$47-1)/FixedParams!$B$47)*EXP($C123)</f>
        <v>0.26502483312159053</v>
      </c>
      <c r="BZ123" s="24">
        <f t="shared" si="83"/>
        <v>3.2041998873222628E-2</v>
      </c>
      <c r="CA123" s="24">
        <f t="shared" si="84"/>
        <v>-1.2986449985088513E-2</v>
      </c>
      <c r="CB123" s="24">
        <f t="shared" si="85"/>
        <v>4.3420059343187382E-3</v>
      </c>
      <c r="CC123" s="24"/>
      <c r="CD123" s="24">
        <f>EXP(-$D$17)*(($B123*FixedParams!$B$30)^$B$10*(1+FixedParams!$D$24)^(1-$B$10)+(1-$B123)^$B$10*((1+FixedParams!$D$27)/$CE$12)^(1-$B$10))^(1/(1-$B$10))</f>
        <v>6.4193780567340264</v>
      </c>
      <c r="CE123" s="24">
        <f>EXP($D123-$D$17)*(($B123*FixedParams!$D$31)^$B$10*(1+FixedParams!$D$25)^(1-$B$10)+(1-$B123)^$B$10*((1+FixedParams!$D$28)/$CE$12)^(1-$B$10))^(1/(1-$B$10))</f>
        <v>6.0475745192685189</v>
      </c>
      <c r="CF123" s="24">
        <f>EXP($D123-$D$17)*(($B123*FixedParams!$D$30)^$B$10*(1+FixedParams!$D$23)^(1-$B$10)+(1-$B123)^$B$10*((1+FixedParams!$D$26)/$CE$12)^(1-$B$10))^(1/(1-$B$10))</f>
        <v>6.0034371898551333</v>
      </c>
      <c r="CG123">
        <f>IF(FixedParams!$I$6=1,IF(CE123&lt;=MIN(CD123:CF123),1,0),$H123)</f>
        <v>0</v>
      </c>
      <c r="CH123">
        <f>IF(FixedParams!$I$6=1,IF(CF123&lt;=MIN(CD123:CF123),1,0),IF(CF123&lt;=CD123,1,0)*(1-$H123))</f>
        <v>1</v>
      </c>
      <c r="CI123" s="24">
        <f>$CE$13*IF(CG123=1,1,IF(CH123=1,FixedParams!$D$52,FixedParams!$D$53))</f>
        <v>0.32933267593211629</v>
      </c>
      <c r="CJ123">
        <f>EXP($C123*FixedParams!$B$47)*EXP(IF(CG123+CH123=1,(1-FixedParams!$B$47)*$D123,0))*($B123^((FixedParams!$B$47-1)*$B$10/($B$10-1)))*((1/$B123-1)^$B$10*(CI123)^($B$10-1)+1)^((FixedParams!$B$47-$B$10)/($B$10-1))/((1+IF(CG123=1,FixedParams!$D$25,IF(CH123=1,FixedParams!$D$23,FixedParams!$D$24)))^FixedParams!$B$47)</f>
        <v>6.166443306311134E-2</v>
      </c>
      <c r="CK123">
        <f t="shared" si="86"/>
        <v>1.6236467335409319</v>
      </c>
      <c r="CL123">
        <f t="shared" si="88"/>
        <v>44.358486269338385</v>
      </c>
      <c r="CM123">
        <f t="shared" si="55"/>
        <v>42.039401390051957</v>
      </c>
      <c r="CN123">
        <f t="shared" si="89"/>
        <v>86.397887659390335</v>
      </c>
      <c r="CO123" s="24">
        <f t="shared" si="90"/>
        <v>0.9477194766023963</v>
      </c>
      <c r="CP123" s="24">
        <f t="shared" si="91"/>
        <v>1.9395422116642649</v>
      </c>
      <c r="CQ123" s="23">
        <f>IF(CG123=1,CL123*(1+FixedParams!$D$25)+CM123*(1+FixedParams!$D$28)/$CE$12,IF(CH123=1,CL123*(1+FixedParams!$D$23)+CM123*(1+FixedParams!$D$26)/$CE$12,CL123*(1+FixedParams!$D$24)+CM123*(1+FixedParams!$D$27)/$CE$12))</f>
        <v>191.85101382599578</v>
      </c>
      <c r="CR123" s="24">
        <f t="shared" si="92"/>
        <v>31.956862004018944</v>
      </c>
      <c r="CS123" s="24">
        <f>CR123^((FixedParams!$B$47-1)/FixedParams!$B$47)*EXP($C123)</f>
        <v>0.26502108501254912</v>
      </c>
      <c r="CT123" s="24"/>
    </row>
    <row r="124" spans="1:98" x14ac:dyDescent="0.15">
      <c r="A124">
        <v>0.53500000000000003</v>
      </c>
      <c r="B124">
        <f t="shared" si="56"/>
        <v>0.25666495998582373</v>
      </c>
      <c r="C124">
        <f>(D124-$D$17)*FixedParams!$B$47+$A124*$B$9</f>
        <v>-1.3369731110949046</v>
      </c>
      <c r="D124">
        <f>(A124-$B$6)*FixedParams!$B$46/(FixedParams!$B$45*Sectors!$B$6)</f>
        <v>1.9017300046248301E-2</v>
      </c>
      <c r="E124">
        <f t="shared" si="57"/>
        <v>0.2626394470629867</v>
      </c>
      <c r="F124" s="24">
        <f>EXP(-$D$17)*(($B124*FixedParams!$B$30)^$B$10*(1+FixedParams!$B$23)^(1-$B$10)+(1-$B124)^$B$10*((1+FixedParams!$B$26)/$B$11)^(1-$B$10))^(1/(1-$B$10))</f>
        <v>5.0138221660851663</v>
      </c>
      <c r="G124" s="24">
        <f>EXP($D124-$D$17)*(($B124*FixedParams!$B$31)^$B$10*(1+FixedParams!$B$25)^(1-$B$10)+(1-$B124)^$B$10*((1+FixedParams!$B$28)/$B$11)^(1-$B$10))^(1/(1-$B$10))</f>
        <v>4.9114122152310573</v>
      </c>
      <c r="H124">
        <f t="shared" si="58"/>
        <v>1</v>
      </c>
      <c r="I124" s="24">
        <f>$B$12*IF(H124=1,1,FixedParams!$B$52)</f>
        <v>0.3745928365283252</v>
      </c>
      <c r="J124">
        <f>EXP($C124*FixedParams!$B$47)*EXP(IF(H124=1,(1-FixedParams!$B$47)*$D124,0))*($B124^((FixedParams!$B$47-1)*$B$10/($B$10-1)))*((1/$B124-1)^$B$10*(I124)^($B$10-1)+1)^((FixedParams!$B$47-$B$10)/($B$10-1))/((1+IF(H124=1,FixedParams!$B$25,FixedParams!$B$24))^FixedParams!$B$47)</f>
        <v>6.5448996441377069E-2</v>
      </c>
      <c r="K124">
        <f t="shared" si="87"/>
        <v>1.3196207848239199</v>
      </c>
      <c r="L124">
        <f>K124*FixedParams!$B$8/K$15</f>
        <v>38.365505847294742</v>
      </c>
      <c r="M124">
        <f t="shared" si="47"/>
        <v>43.351803039727208</v>
      </c>
      <c r="N124">
        <f t="shared" si="59"/>
        <v>81.717308887021943</v>
      </c>
      <c r="O124" s="24">
        <f t="shared" si="60"/>
        <v>1.1299682379343388</v>
      </c>
      <c r="P124" s="24">
        <f t="shared" si="48"/>
        <v>1.9204361362560574</v>
      </c>
      <c r="Q124" s="23">
        <f>IF(H124=1,L124*(1+FixedParams!$B$25)+M124*FixedParams!$B$33*(1+FixedParams!$B$28)/FixedParams!$B$32,L124*(1+FixedParams!$B$23)+M124*FixedParams!$B$33*(1+FixedParams!$B$26)/FixedParams!$B$32)</f>
        <v>154.3660358677997</v>
      </c>
      <c r="R124" s="24">
        <f t="shared" si="49"/>
        <v>31.430071251011366</v>
      </c>
      <c r="S124" s="24">
        <f>R124^((FixedParams!$B$47-1)/FixedParams!$B$47)*EXP($C124)</f>
        <v>0.26173458385079279</v>
      </c>
      <c r="T124" s="7">
        <f>(L124*FixedParams!$B$32*(FixedParams!$C$25-FixedParams!$C$23)+FixedParams!$B$33*(FixedParams!$C$28-FixedParams!$C$26)*M124)/N124</f>
        <v>868.47805143487813</v>
      </c>
      <c r="U124" s="7">
        <f>(L124*FixedParams!$B$32*(FixedParams!$C$25-FixedParams!$C$23)*$Z$12/$B$11+FixedParams!$B$33*(FixedParams!$C$28-FixedParams!$C$26)*M124)/N124</f>
        <v>396.95295211778375</v>
      </c>
      <c r="V124" s="14">
        <f t="shared" si="50"/>
        <v>-1.1041051364504855</v>
      </c>
      <c r="W124" s="14">
        <f t="shared" si="93"/>
        <v>0.75662582421239455</v>
      </c>
      <c r="X124" s="73">
        <f t="shared" si="62"/>
        <v>0.96693941107259407</v>
      </c>
      <c r="Y124" s="24">
        <f>EXP(-$D$17)*(($B124*FixedParams!$B$30)^$B$10*(1+FixedParams!$C$24)^(1-$B$10)+(1-$B124)^$B$10*((1+FixedParams!$C$27)/$Z$12)^(1-$B$10))^(1/(1-$B$10))</f>
        <v>6.6216741626718401</v>
      </c>
      <c r="Z124" s="24">
        <f>EXP($D124-$D$17)*(($B124*FixedParams!$C$31)^$B$10*(1+FixedParams!$C$25)^(1-$B$10)+(1-$B124)^$B$10*((1+FixedParams!$C$28)/$Z$12)^(1-$B$10))^(1/(1-$B$10))</f>
        <v>6.0234383534617333</v>
      </c>
      <c r="AA124" s="24">
        <f>EXP($D124-$D$17)*(($B124*FixedParams!$C$30)^$B$10*(1+FixedParams!$C$23)^(1-$B$10)+(1-$B124)^$B$10*((1+FixedParams!$C$26)/$Z$12)^(1-$B$10))^(1/(1-$B$10))</f>
        <v>5.9985909234172707</v>
      </c>
      <c r="AB124">
        <f>IF(FixedParams!$I$6=1,IF(Z124&lt;=MIN(Y124:AA124),1,0),$H124)</f>
        <v>0</v>
      </c>
      <c r="AC124">
        <f>IF(FixedParams!$I$6=1,IF(AA124&lt;=MIN(Y124:AA124),1,0),IF(AA124&lt;=Y124,1,0)*(1-$H124))</f>
        <v>1</v>
      </c>
      <c r="AD124" s="24">
        <f>$Z$13*IF(AB124=1,1,IF(AC124=1,FixedParams!$C$52,FixedParams!$C$53))</f>
        <v>0.34709202255780691</v>
      </c>
      <c r="AE124">
        <f>EXP($C124*FixedParams!$B$47)*EXP(IF(AB124+AC124=1,(1-FixedParams!$B$47)*$D124,0))*($B124^((FixedParams!$B$47-1)*$B$10/($B$10-1)))*((1/$B124-1)^$B$10*(AD124)^($B$10-1)+1)^((FixedParams!$B$47-$B$10)/($B$10-1))/((1+IF(AB124=1,FixedParams!$C$25,IF(AC124=1,FixedParams!$C$23,FixedParams!$C$24)))^FixedParams!$B$47)</f>
        <v>5.8381342111849206E-2</v>
      </c>
      <c r="AF124">
        <f t="shared" si="63"/>
        <v>1.7203335780593156</v>
      </c>
      <c r="AG124">
        <f t="shared" si="64"/>
        <v>40.407993963135034</v>
      </c>
      <c r="AH124">
        <f t="shared" si="51"/>
        <v>40.725016882520059</v>
      </c>
      <c r="AI124">
        <f t="shared" si="65"/>
        <v>81.133010845655093</v>
      </c>
      <c r="AJ124" s="24">
        <f t="shared" si="66"/>
        <v>1.0078455495631446</v>
      </c>
      <c r="AK124" s="24">
        <f t="shared" si="67"/>
        <v>2.0034923074336541</v>
      </c>
      <c r="AL124" s="23">
        <f>IF(AB124=1,AG124*(1+FixedParams!$C$25)+AH124*(1+FixedParams!$C$28)/$Z$12,IF(AC124=1,AG124*(1+FixedParams!$C$23)+AH124*(1+FixedParams!$C$26)/$Z$12,AG124*(1+FixedParams!$C$24)+AH124*(1+FixedParams!$C$27)/$Z$12))</f>
        <v>182.30302430192097</v>
      </c>
      <c r="AM124" s="24">
        <f t="shared" si="68"/>
        <v>30.390974585422601</v>
      </c>
      <c r="AN124" s="24">
        <f>AM124^((FixedParams!$B$47-1)/FixedParams!$B$47)*EXP($C124)</f>
        <v>0.26174339217786852</v>
      </c>
      <c r="AO124" s="24">
        <f t="shared" si="69"/>
        <v>-7.1759214183518428E-3</v>
      </c>
      <c r="AP124" s="24">
        <f t="shared" si="70"/>
        <v>-3.36194420868915E-2</v>
      </c>
      <c r="AQ124" s="14">
        <f t="shared" si="71"/>
        <v>-1.0659802727714331</v>
      </c>
      <c r="AS124" s="24">
        <f>EXP(-$D$17)*(($B124*FixedParams!$B$30)^$B$10*(1+FixedParams!$D$24)^(1-$B$10)+(1-$B124)^$B$10*((1+FixedParams!$D$27)/$AT$12)^(1-$B$10))^(1/(1-$B$10))</f>
        <v>6.1969245867170635</v>
      </c>
      <c r="AT124" s="24">
        <f>EXP($D124-$D$17)*(($B124*FixedParams!$C$31)^$B$10*(1+FixedParams!$D$25)^(1-$B$10)+(1-$B124)^$B$10*((1+FixedParams!$D$28)/$AT$12)^(1-$B$10))^(1/(1-$B$10))</f>
        <v>5.8543454635870438</v>
      </c>
      <c r="AU124" s="24">
        <f>EXP($D124-$D$17)*(($B124*FixedParams!$C$30)^$B$10*(1+FixedParams!$D$23)^(1-$B$10)+(1-$B124)^$B$10*((1+FixedParams!$D$26)/$AT$12)^(1-$B$10))^(1/(1-$B$10))</f>
        <v>5.8128006683046358</v>
      </c>
      <c r="AV124">
        <f>IF(FixedParams!$I$6=1,IF(AT124&lt;=MIN(AS124:AU124),1,0),$H124)</f>
        <v>0</v>
      </c>
      <c r="AW124">
        <f>IF(FixedParams!$I$6=1,IF(AU124&lt;=MIN(AS124:AU124),1,0),IF(AU124&lt;=AS124,1,0)*(1-$H124))</f>
        <v>1</v>
      </c>
      <c r="AX124" s="24">
        <f>$AT$13*IF(AV124=1,1,IF(AW124=1,FixedParams!$D$52,FixedParams!$D$53))</f>
        <v>0.3451899269505756</v>
      </c>
      <c r="AY124">
        <f>EXP($C124*FixedParams!$B$47)*EXP(IF(AV124+AW124=1,(1-FixedParams!$B$47)*$D124,0))*($B124^((FixedParams!$B$47-1)*$B$10/($B$10-1)))*((1/$B124-1)^$B$10*(AX124)^($B$10-1)+1)^((FixedParams!$B$47-$B$10)/($B$10-1))/((1+IF(AV124=1,FixedParams!$D$25,IF(AW124=1,FixedParams!$D$23,FixedParams!$D$24)))^FixedParams!$B$47)</f>
        <v>6.0615827835338781E-2</v>
      </c>
      <c r="AZ124">
        <f t="shared" si="52"/>
        <v>1.6322376071849314</v>
      </c>
      <c r="BA124">
        <f t="shared" si="72"/>
        <v>41.066879896612612</v>
      </c>
      <c r="BB124">
        <f t="shared" si="53"/>
        <v>41.049314903331563</v>
      </c>
      <c r="BC124">
        <f t="shared" si="73"/>
        <v>82.116194799944168</v>
      </c>
      <c r="BD124" s="24">
        <f t="shared" si="74"/>
        <v>0.99957228322859515</v>
      </c>
      <c r="BE124" s="24">
        <f t="shared" si="75"/>
        <v>1.9683756602188298</v>
      </c>
      <c r="BF124" s="23">
        <f>IF(AV124=1,BA124*(1+FixedParams!$C$25)+BB124*(1+FixedParams!$C$28)/$AT$12,IF(AW124=1,BA124*(1+FixedParams!$C$23)+BB124*(1+FixedParams!$C$26)/$AT$12,BA124*(1+FixedParams!$C$24)+BB124*(1+FixedParams!$C$27)/$AT$12))</f>
        <v>182.2739043574754</v>
      </c>
      <c r="BG124" s="24">
        <f t="shared" si="76"/>
        <v>31.357329239132071</v>
      </c>
      <c r="BH124" s="24">
        <f>BG124^((FixedParams!$B$47-1)/FixedParams!$B$47)*EXP($C124)</f>
        <v>0.26173519092128295</v>
      </c>
      <c r="BI124" s="7"/>
      <c r="BJ124" s="24">
        <f>EXP(-$D$17)*(($B124*FixedParams!$B$30)^$B$10*(1+FixedParams!$C$24)^(1-$B$10)+(1-$B124)^$B$10*((1+FixedParams!$C$27)/$BK$12)^(1-$B$10))^(1/(1-$B$10))</f>
        <v>6.8835687115172002</v>
      </c>
      <c r="BK124" s="24">
        <f>EXP($D124-$D$17)*(($B124*FixedParams!$C$31)^$B$10*(1+FixedParams!$C$25)^(1-$B$10)+(1-$B124)^$B$10*((1+FixedParams!$C$28)/$BK$12)^(1-$B$10))^(1/(1-$B$10))</f>
        <v>6.2587808863856207</v>
      </c>
      <c r="BL124" s="24">
        <f>EXP($D124-$D$17)*(($B124*FixedParams!$C$30)^$B$10*(1+FixedParams!$C$23)^(1-$B$10)+(1-$B124)^$B$10*((1+FixedParams!$C$26)/$BK$12)^(1-$B$10))^(1/(1-$B$10))</f>
        <v>6.2265719488245095</v>
      </c>
      <c r="BM124">
        <f>IF(FixedParams!$I$6=1,IF(BK124&lt;=MIN(BJ124:BL124),1,0),$H124)</f>
        <v>0</v>
      </c>
      <c r="BN124">
        <f>IF(FixedParams!$I$6=1,IF(BL124&lt;=MIN(BJ124:BL124),1,0),IF(BL124&lt;=BJ124,1,0)*(1-$H124))</f>
        <v>1</v>
      </c>
      <c r="BO124" s="24">
        <f>$BK$13*IF(BM124=1,1,IF(BN124=1,FixedParams!$C$52,FixedParams!$C$53))</f>
        <v>0.33006170822567266</v>
      </c>
      <c r="BP124">
        <f>EXP($C124*FixedParams!$B$47)*EXP(IF(BM124+BN124=1,(1-FixedParams!$B$47)*$D124,0))*($B124^((FixedParams!$B$47-1)*$B$10/($B$10-1)))*((1/$B124-1)^$B$10*(BO124)^($B$10-1)+1)^((FixedParams!$B$47-$B$10)/($B$10-1))/((1+IF(BM124=1,FixedParams!$C$25,IF(BN124=1,FixedParams!$C$23,FixedParams!$C$24)))^FixedParams!$B$47)</f>
        <v>5.9482629226244498E-2</v>
      </c>
      <c r="BQ124">
        <f t="shared" si="77"/>
        <v>1.7111815401903485</v>
      </c>
      <c r="BR124">
        <f t="shared" si="78"/>
        <v>43.642245823087364</v>
      </c>
      <c r="BS124">
        <f t="shared" si="54"/>
        <v>40.787476819034232</v>
      </c>
      <c r="BT124">
        <f t="shared" si="79"/>
        <v>84.42972264212159</v>
      </c>
      <c r="BU124" s="24">
        <f t="shared" si="80"/>
        <v>0.93458702799976168</v>
      </c>
      <c r="BV124" s="24">
        <f t="shared" si="81"/>
        <v>1.9775977300836731</v>
      </c>
      <c r="BW124" s="23">
        <f>IF(BM124=1,BR124*(1+FixedParams!$C$25)+BS124*(1+FixedParams!$C$28)/$BK$12,IF(BN124=1,BR124*(1+FixedParams!$C$23)+BS124*(1+FixedParams!$C$26)/$BK$12,BR124*(1+FixedParams!$C$24)+BS124*(1+FixedParams!$C$27)/$BK$12))</f>
        <v>193.25635836387832</v>
      </c>
      <c r="BX124" s="24">
        <f t="shared" si="82"/>
        <v>31.037360517509551</v>
      </c>
      <c r="BY124" s="24">
        <f>BX124^((FixedParams!$B$47-1)/FixedParams!$B$47)*EXP($C124)</f>
        <v>0.26173787807529814</v>
      </c>
      <c r="BZ124" s="24">
        <f t="shared" si="83"/>
        <v>3.2653665103635439E-2</v>
      </c>
      <c r="CA124" s="24">
        <f t="shared" si="84"/>
        <v>-1.2573460956196544E-2</v>
      </c>
      <c r="CB124" s="24">
        <f t="shared" si="85"/>
        <v>4.7549949632107076E-3</v>
      </c>
      <c r="CC124" s="24"/>
      <c r="CD124" s="24">
        <f>EXP(-$D$17)*(($B124*FixedParams!$B$30)^$B$10*(1+FixedParams!$D$24)^(1-$B$10)+(1-$B124)^$B$10*((1+FixedParams!$D$27)/$CE$12)^(1-$B$10))^(1/(1-$B$10))</f>
        <v>6.4235305980509736</v>
      </c>
      <c r="CE124" s="24">
        <f>EXP($D124-$D$17)*(($B124*FixedParams!$D$31)^$B$10*(1+FixedParams!$D$25)^(1-$B$10)+(1-$B124)^$B$10*((1+FixedParams!$D$28)/$CE$12)^(1-$B$10))^(1/(1-$B$10))</f>
        <v>6.0666275933326981</v>
      </c>
      <c r="CF124" s="24">
        <f>EXP($D124-$D$17)*(($B124*FixedParams!$D$30)^$B$10*(1+FixedParams!$D$23)^(1-$B$10)+(1-$B124)^$B$10*((1+FixedParams!$D$26)/$CE$12)^(1-$B$10))^(1/(1-$B$10))</f>
        <v>6.0189430655351366</v>
      </c>
      <c r="CG124">
        <f>IF(FixedParams!$I$6=1,IF(CE124&lt;=MIN(CD124:CF124),1,0),$H124)</f>
        <v>0</v>
      </c>
      <c r="CH124">
        <f>IF(FixedParams!$I$6=1,IF(CF124&lt;=MIN(CD124:CF124),1,0),IF(CF124&lt;=CD124,1,0)*(1-$H124))</f>
        <v>1</v>
      </c>
      <c r="CI124" s="24">
        <f>$CE$13*IF(CG124=1,1,IF(CH124=1,FixedParams!$D$52,FixedParams!$D$53))</f>
        <v>0.32933267593211629</v>
      </c>
      <c r="CJ124">
        <f>EXP($C124*FixedParams!$B$47)*EXP(IF(CG124+CH124=1,(1-FixedParams!$B$47)*$D124,0))*($B124^((FixedParams!$B$47-1)*$B$10/($B$10-1)))*((1/$B124-1)^$B$10*(CI124)^($B$10-1)+1)^((FixedParams!$B$47-$B$10)/($B$10-1))/((1+IF(CG124=1,FixedParams!$D$25,IF(CH124=1,FixedParams!$D$23,FixedParams!$D$24)))^FixedParams!$B$47)</f>
        <v>6.1683438895595237E-2</v>
      </c>
      <c r="CK124">
        <f t="shared" si="86"/>
        <v>1.6241471639559675</v>
      </c>
      <c r="CL124">
        <f t="shared" si="88"/>
        <v>44.372158169287772</v>
      </c>
      <c r="CM124">
        <f t="shared" si="55"/>
        <v>41.33232361292449</v>
      </c>
      <c r="CN124">
        <f t="shared" si="89"/>
        <v>85.70448178221227</v>
      </c>
      <c r="CO124" s="24">
        <f t="shared" si="90"/>
        <v>0.93149229873458561</v>
      </c>
      <c r="CP124" s="24">
        <f t="shared" si="91"/>
        <v>1.9445517252910594</v>
      </c>
      <c r="CQ124" s="23">
        <f>IF(CG124=1,CL124*(1+FixedParams!$D$25)+CM124*(1+FixedParams!$D$28)/$CE$12,IF(CH124=1,CL124*(1+FixedParams!$D$23)+CM124*(1+FixedParams!$D$26)/$CE$12,CL124*(1+FixedParams!$D$24)+CM124*(1+FixedParams!$D$27)/$CE$12))</f>
        <v>189.47159141852015</v>
      </c>
      <c r="CR124" s="24">
        <f t="shared" si="92"/>
        <v>31.479213103617298</v>
      </c>
      <c r="CS124" s="24">
        <f>CR124^((FixedParams!$B$47-1)/FixedParams!$B$47)*EXP($C124)</f>
        <v>0.26173417453156367</v>
      </c>
      <c r="CT124" s="24"/>
    </row>
    <row r="125" spans="1:98" x14ac:dyDescent="0.15">
      <c r="A125">
        <v>0.54</v>
      </c>
      <c r="B125">
        <f t="shared" si="56"/>
        <v>0.25886779337044807</v>
      </c>
      <c r="C125">
        <f>(D125-$D$17)*FixedParams!$B$47+$A125*$B$9</f>
        <v>-1.3494681868995297</v>
      </c>
      <c r="D125">
        <f>(A125-$B$6)*FixedParams!$B$46/(FixedParams!$B$45*Sectors!$B$6)</f>
        <v>2.1734057195712343E-2</v>
      </c>
      <c r="E125">
        <f t="shared" si="57"/>
        <v>0.25937816467900782</v>
      </c>
      <c r="F125" s="24">
        <f>EXP(-$D$17)*(($B125*FixedParams!$B$30)^$B$10*(1+FixedParams!$B$23)^(1-$B$10)+(1-$B125)^$B$10*((1+FixedParams!$B$26)/$B$11)^(1-$B$10))^(1/(1-$B$10))</f>
        <v>5.0157590291924024</v>
      </c>
      <c r="G125" s="24">
        <f>EXP($D125-$D$17)*(($B125*FixedParams!$B$31)^$B$10*(1+FixedParams!$B$25)^(1-$B$10)+(1-$B125)^$B$10*((1+FixedParams!$B$28)/$B$11)^(1-$B$10))^(1/(1-$B$10))</f>
        <v>4.9259940631100312</v>
      </c>
      <c r="H125">
        <f t="shared" si="58"/>
        <v>1</v>
      </c>
      <c r="I125" s="24">
        <f>$B$12*IF(H125=1,1,FixedParams!$B$52)</f>
        <v>0.3745928365283252</v>
      </c>
      <c r="J125">
        <f>EXP($C125*FixedParams!$B$47)*EXP(IF(H125=1,(1-FixedParams!$B$47)*$D125,0))*($B125^((FixedParams!$B$47-1)*$B$10/($B$10-1)))*((1/$B125-1)^$B$10*(I125)^($B$10-1)+1)^((FixedParams!$B$47-$B$10)/($B$10-1))/((1+IF(H125=1,FixedParams!$B$25,FixedParams!$B$24))^FixedParams!$B$47)</f>
        <v>6.5479316076798494E-2</v>
      </c>
      <c r="K125">
        <f t="shared" si="87"/>
        <v>1.3202321069719414</v>
      </c>
      <c r="L125">
        <f>K125*FixedParams!$B$8/K$15</f>
        <v>38.383278895214431</v>
      </c>
      <c r="M125">
        <f t="shared" si="47"/>
        <v>42.629257713973161</v>
      </c>
      <c r="N125">
        <f t="shared" si="59"/>
        <v>81.012536609187592</v>
      </c>
      <c r="O125" s="24">
        <f t="shared" si="60"/>
        <v>1.1106205342787459</v>
      </c>
      <c r="P125" s="24">
        <f t="shared" si="48"/>
        <v>1.9261378583622424</v>
      </c>
      <c r="Q125" s="23">
        <f>IF(H125=1,L125*(1+FixedParams!$B$25)+M125*FixedParams!$B$33*(1+FixedParams!$B$28)/FixedParams!$B$32,L125*(1+FixedParams!$B$23)+M125*FixedParams!$B$33*(1+FixedParams!$B$26)/FixedParams!$B$32)</f>
        <v>152.45157769093922</v>
      </c>
      <c r="R125" s="24">
        <f t="shared" si="49"/>
        <v>30.948388434453122</v>
      </c>
      <c r="S125" s="24">
        <f>R125^((FixedParams!$B$47-1)/FixedParams!$B$47)*EXP($C125)</f>
        <v>0.25848853356904922</v>
      </c>
      <c r="T125" s="7">
        <f>(L125*FixedParams!$B$32*(FixedParams!$C$25-FixedParams!$C$23)+FixedParams!$B$33*(FixedParams!$C$28-FixedParams!$C$26)*M125)/N125</f>
        <v>917.30372767381971</v>
      </c>
      <c r="U125" s="7">
        <f>(L125*FixedParams!$B$32*(FixedParams!$C$25-FixedParams!$C$23)*$Z$12/$B$11+FixedParams!$B$33*(FixedParams!$C$28-FixedParams!$C$26)*M125)/N125</f>
        <v>441.45623703171225</v>
      </c>
      <c r="V125" s="14">
        <f t="shared" si="50"/>
        <v>-1.086834511154402</v>
      </c>
      <c r="W125" s="14">
        <f t="shared" si="93"/>
        <v>0.76059931672576164</v>
      </c>
      <c r="X125" s="73">
        <f t="shared" si="62"/>
        <v>0.96718059236178278</v>
      </c>
      <c r="Y125" s="24">
        <f>EXP(-$D$17)*(($B125*FixedParams!$B$30)^$B$10*(1+FixedParams!$C$24)^(1-$B$10)+(1-$B125)^$B$10*((1+FixedParams!$C$27)/$Z$12)^(1-$B$10))^(1/(1-$B$10))</f>
        <v>6.6284150075437553</v>
      </c>
      <c r="Z125" s="24">
        <f>EXP($D125-$D$17)*(($B125*FixedParams!$C$31)^$B$10*(1+FixedParams!$C$25)^(1-$B$10)+(1-$B125)^$B$10*((1+FixedParams!$C$28)/$Z$12)^(1-$B$10))^(1/(1-$B$10))</f>
        <v>6.0440606636785139</v>
      </c>
      <c r="AA125" s="24">
        <f>EXP($D125-$D$17)*(($B125*FixedParams!$C$30)^$B$10*(1+FixedParams!$C$23)^(1-$B$10)+(1-$B125)^$B$10*((1+FixedParams!$C$26)/$Z$12)^(1-$B$10))^(1/(1-$B$10))</f>
        <v>6.0148987918039101</v>
      </c>
      <c r="AB125">
        <f>IF(FixedParams!$I$6=1,IF(Z125&lt;=MIN(Y125:AA125),1,0),$H125)</f>
        <v>0</v>
      </c>
      <c r="AC125">
        <f>IF(FixedParams!$I$6=1,IF(AA125&lt;=MIN(Y125:AA125),1,0),IF(AA125&lt;=Y125,1,0)*(1-$H125))</f>
        <v>1</v>
      </c>
      <c r="AD125" s="24">
        <f>$Z$13*IF(AB125=1,1,IF(AC125=1,FixedParams!$C$52,FixedParams!$C$53))</f>
        <v>0.34709202255780691</v>
      </c>
      <c r="AE125">
        <f>EXP($C125*FixedParams!$B$47)*EXP(IF(AB125+AC125=1,(1-FixedParams!$B$47)*$D125,0))*($B125^((FixedParams!$B$47-1)*$B$10/($B$10-1)))*((1/$B125-1)^$B$10*(AD125)^($B$10-1)+1)^((FixedParams!$B$47-$B$10)/($B$10-1))/((1+IF(AB125=1,FixedParams!$C$25,IF(AC125=1,FixedParams!$C$23,FixedParams!$C$24)))^FixedParams!$B$47)</f>
        <v>5.8401082778190221E-2</v>
      </c>
      <c r="AF125">
        <f t="shared" si="63"/>
        <v>1.7209152798484704</v>
      </c>
      <c r="AG125">
        <f t="shared" si="64"/>
        <v>40.421657244887072</v>
      </c>
      <c r="AH125">
        <f t="shared" si="51"/>
        <v>40.041243873008654</v>
      </c>
      <c r="AI125">
        <f t="shared" si="65"/>
        <v>80.462901117895726</v>
      </c>
      <c r="AJ125" s="24">
        <f t="shared" si="66"/>
        <v>0.9905888724558285</v>
      </c>
      <c r="AK125" s="24">
        <f t="shared" si="67"/>
        <v>2.0089390347201781</v>
      </c>
      <c r="AL125" s="23">
        <f>IF(AB125=1,AG125*(1+FixedParams!$C$25)+AH125*(1+FixedParams!$C$28)/$Z$12,IF(AC125=1,AG125*(1+FixedParams!$C$23)+AH125*(1+FixedParams!$C$26)/$Z$12,AG125*(1+FixedParams!$C$24)+AH125*(1+FixedParams!$C$27)/$Z$12))</f>
        <v>180.04204472932807</v>
      </c>
      <c r="AM125" s="24">
        <f t="shared" si="68"/>
        <v>29.932680658676919</v>
      </c>
      <c r="AN125" s="24">
        <f>AM125^((FixedParams!$B$47-1)/FixedParams!$B$47)*EXP($C125)</f>
        <v>0.2584971681218417</v>
      </c>
      <c r="AO125" s="24">
        <f t="shared" si="69"/>
        <v>-6.8076931296866547E-3</v>
      </c>
      <c r="AP125" s="24">
        <f t="shared" si="70"/>
        <v>-3.3370045679212E-2</v>
      </c>
      <c r="AQ125" s="14">
        <f t="shared" si="71"/>
        <v>-1.0487096474753497</v>
      </c>
      <c r="AS125" s="24">
        <f>EXP(-$D$17)*(($B125*FixedParams!$B$30)^$B$10*(1+FixedParams!$D$24)^(1-$B$10)+(1-$B125)^$B$10*((1+FixedParams!$D$27)/$AT$12)^(1-$B$10))^(1/(1-$B$10))</f>
        <v>6.2016450519604414</v>
      </c>
      <c r="AT125" s="24">
        <f>EXP($D125-$D$17)*(($B125*FixedParams!$C$31)^$B$10*(1+FixedParams!$D$25)^(1-$B$10)+(1-$B125)^$B$10*((1+FixedParams!$D$28)/$AT$12)^(1-$B$10))^(1/(1-$B$10))</f>
        <v>5.8734680742933802</v>
      </c>
      <c r="AU125" s="24">
        <f>EXP($D125-$D$17)*(($B125*FixedParams!$C$30)^$B$10*(1+FixedParams!$D$23)^(1-$B$10)+(1-$B125)^$B$10*((1+FixedParams!$D$26)/$AT$12)^(1-$B$10))^(1/(1-$B$10))</f>
        <v>5.828497528669577</v>
      </c>
      <c r="AV125">
        <f>IF(FixedParams!$I$6=1,IF(AT125&lt;=MIN(AS125:AU125),1,0),$H125)</f>
        <v>0</v>
      </c>
      <c r="AW125">
        <f>IF(FixedParams!$I$6=1,IF(AU125&lt;=MIN(AS125:AU125),1,0),IF(AU125&lt;=AS125,1,0)*(1-$H125))</f>
        <v>1</v>
      </c>
      <c r="AX125" s="24">
        <f>$AT$13*IF(AV125=1,1,IF(AW125=1,FixedParams!$D$52,FixedParams!$D$53))</f>
        <v>0.3451899269505756</v>
      </c>
      <c r="AY125">
        <f>EXP($C125*FixedParams!$B$47)*EXP(IF(AV125+AW125=1,(1-FixedParams!$B$47)*$D125,0))*($B125^((FixedParams!$B$47-1)*$B$10/($B$10-1)))*((1/$B125-1)^$B$10*(AX125)^($B$10-1)+1)^((FixedParams!$B$47-$B$10)/($B$10-1))/((1+IF(AV125=1,FixedParams!$D$25,IF(AW125=1,FixedParams!$D$23,FixedParams!$D$24)))^FixedParams!$B$47)</f>
        <v>6.0635772018790786E-2</v>
      </c>
      <c r="AZ125">
        <f t="shared" si="52"/>
        <v>1.6327746557980987</v>
      </c>
      <c r="BA125">
        <f t="shared" si="72"/>
        <v>41.080391967893476</v>
      </c>
      <c r="BB125">
        <f t="shared" si="53"/>
        <v>40.359729489614807</v>
      </c>
      <c r="BC125">
        <f t="shared" si="73"/>
        <v>81.440121457508283</v>
      </c>
      <c r="BD125" s="24">
        <f t="shared" si="74"/>
        <v>0.98245726382450527</v>
      </c>
      <c r="BE125" s="24">
        <f t="shared" si="75"/>
        <v>1.9736910528578167</v>
      </c>
      <c r="BF125" s="23">
        <f>IF(AV125=1,BA125*(1+FixedParams!$C$25)+BB125*(1+FixedParams!$C$28)/$AT$12,IF(AW125=1,BA125*(1+FixedParams!$C$23)+BB125*(1+FixedParams!$C$26)/$AT$12,BA125*(1+FixedParams!$C$24)+BB125*(1+FixedParams!$C$27)/$AT$12))</f>
        <v>180.02481757799802</v>
      </c>
      <c r="BG125" s="24">
        <f t="shared" si="76"/>
        <v>30.887002472331968</v>
      </c>
      <c r="BH125" s="24">
        <f>BG125^((FixedParams!$B$47-1)/FixedParams!$B$47)*EXP($C125)</f>
        <v>0.25848904730306299</v>
      </c>
      <c r="BI125" s="7"/>
      <c r="BJ125" s="24">
        <f>EXP(-$D$17)*(($B125*FixedParams!$B$30)^$B$10*(1+FixedParams!$C$24)^(1-$B$10)+(1-$B125)^$B$10*((1+FixedParams!$C$27)/$BK$12)^(1-$B$10))^(1/(1-$B$10))</f>
        <v>6.889514209153301</v>
      </c>
      <c r="BK125" s="24">
        <f>EXP($D125-$D$17)*(($B125*FixedParams!$C$31)^$B$10*(1+FixedParams!$C$25)^(1-$B$10)+(1-$B125)^$B$10*((1+FixedParams!$C$28)/$BK$12)^(1-$B$10))^(1/(1-$B$10))</f>
        <v>6.2792143956827546</v>
      </c>
      <c r="BL125" s="24">
        <f>EXP($D125-$D$17)*(($B125*FixedParams!$C$30)^$B$10*(1+FixedParams!$C$23)^(1-$B$10)+(1-$B125)^$B$10*((1+FixedParams!$C$26)/$BK$12)^(1-$B$10))^(1/(1-$B$10))</f>
        <v>6.2424553480443983</v>
      </c>
      <c r="BM125">
        <f>IF(FixedParams!$I$6=1,IF(BK125&lt;=MIN(BJ125:BL125),1,0),$H125)</f>
        <v>0</v>
      </c>
      <c r="BN125">
        <f>IF(FixedParams!$I$6=1,IF(BL125&lt;=MIN(BJ125:BL125),1,0),IF(BL125&lt;=BJ125,1,0)*(1-$H125))</f>
        <v>1</v>
      </c>
      <c r="BO125" s="24">
        <f>$BK$13*IF(BM125=1,1,IF(BN125=1,FixedParams!$C$52,FixedParams!$C$53))</f>
        <v>0.33006170822567266</v>
      </c>
      <c r="BP125">
        <f>EXP($C125*FixedParams!$B$47)*EXP(IF(BM125+BN125=1,(1-FixedParams!$B$47)*$D125,0))*($B125^((FixedParams!$B$47-1)*$B$10/($B$10-1)))*((1/$B125-1)^$B$10*(BO125)^($B$10-1)+1)^((FixedParams!$B$47-$B$10)/($B$10-1))/((1+IF(BM125=1,FixedParams!$C$25,IF(BN125=1,FixedParams!$C$23,FixedParams!$C$24)))^FixedParams!$B$47)</f>
        <v>5.9497756021613259E-2</v>
      </c>
      <c r="BQ125">
        <f t="shared" si="77"/>
        <v>1.711616704091709</v>
      </c>
      <c r="BR125">
        <f t="shared" si="78"/>
        <v>43.653344312353674</v>
      </c>
      <c r="BS125">
        <f t="shared" si="54"/>
        <v>40.099294556733021</v>
      </c>
      <c r="BT125">
        <f t="shared" si="79"/>
        <v>83.752638869086695</v>
      </c>
      <c r="BU125" s="24">
        <f t="shared" si="80"/>
        <v>0.91858470842026929</v>
      </c>
      <c r="BV125" s="24">
        <f t="shared" si="81"/>
        <v>1.9826423958325681</v>
      </c>
      <c r="BW125" s="23">
        <f>IF(BM125=1,BR125*(1+FixedParams!$C$25)+BS125*(1+FixedParams!$C$28)/$BK$12,IF(BN125=1,BR125*(1+FixedParams!$C$23)+BS125*(1+FixedParams!$C$26)/$BK$12,BR125*(1+FixedParams!$C$24)+BS125*(1+FixedParams!$C$27)/$BK$12))</f>
        <v>190.85950016451051</v>
      </c>
      <c r="BX125" s="24">
        <f t="shared" si="82"/>
        <v>30.57442777292783</v>
      </c>
      <c r="BY125" s="24">
        <f>BX125^((FixedParams!$B$47-1)/FixedParams!$B$47)*EXP($C125)</f>
        <v>0.25849167916903137</v>
      </c>
      <c r="BZ125" s="24">
        <f t="shared" si="83"/>
        <v>3.3263763444124371E-2</v>
      </c>
      <c r="CA125" s="24">
        <f t="shared" si="84"/>
        <v>-1.2156961929189691E-2</v>
      </c>
      <c r="CB125" s="24">
        <f t="shared" si="85"/>
        <v>5.17149399021756E-3</v>
      </c>
      <c r="CC125" s="24"/>
      <c r="CD125" s="24">
        <f>EXP(-$D$17)*(($B125*FixedParams!$B$30)^$B$10*(1+FixedParams!$D$24)^(1-$B$10)+(1-$B125)^$B$10*((1+FixedParams!$D$27)/$CE$12)^(1-$B$10))^(1/(1-$B$10))</f>
        <v>6.4274773180906246</v>
      </c>
      <c r="CE125" s="24">
        <f>EXP($D125-$D$17)*(($B125*FixedParams!$D$31)^$B$10*(1+FixedParams!$D$25)^(1-$B$10)+(1-$B125)^$B$10*((1+FixedParams!$D$28)/$CE$12)^(1-$B$10))^(1/(1-$B$10))</f>
        <v>6.0855313933113031</v>
      </c>
      <c r="CF125" s="24">
        <f>EXP($D125-$D$17)*(($B125*FixedParams!$D$30)^$B$10*(1+FixedParams!$D$23)^(1-$B$10)+(1-$B125)^$B$10*((1+FixedParams!$D$26)/$CE$12)^(1-$B$10))^(1/(1-$B$10))</f>
        <v>6.0342521814464707</v>
      </c>
      <c r="CG125">
        <f>IF(FixedParams!$I$6=1,IF(CE125&lt;=MIN(CD125:CF125),1,0),$H125)</f>
        <v>0</v>
      </c>
      <c r="CH125">
        <f>IF(FixedParams!$I$6=1,IF(CF125&lt;=MIN(CD125:CF125),1,0),IF(CF125&lt;=CD125,1,0)*(1-$H125))</f>
        <v>1</v>
      </c>
      <c r="CI125" s="24">
        <f>$CE$13*IF(CG125=1,1,IF(CH125=1,FixedParams!$D$52,FixedParams!$D$53))</f>
        <v>0.32933267593211629</v>
      </c>
      <c r="CJ125">
        <f>EXP($C125*FixedParams!$B$47)*EXP(IF(CG125+CH125=1,(1-FixedParams!$B$47)*$D125,0))*($B125^((FixedParams!$B$47-1)*$B$10/($B$10-1)))*((1/$B125-1)^$B$10*(CI125)^($B$10-1)+1)^((FixedParams!$B$47-$B$10)/($B$10-1))/((1+IF(CG125=1,FixedParams!$D$25,IF(CH125=1,FixedParams!$D$23,FixedParams!$D$24)))^FixedParams!$B$47)</f>
        <v>6.1698896689198139E-2</v>
      </c>
      <c r="CK125">
        <f t="shared" si="86"/>
        <v>1.6245541732292939</v>
      </c>
      <c r="CL125">
        <f t="shared" si="88"/>
        <v>44.383277777321567</v>
      </c>
      <c r="CM125">
        <f t="shared" si="55"/>
        <v>40.634797873398455</v>
      </c>
      <c r="CN125">
        <f t="shared" si="89"/>
        <v>85.018075650720021</v>
      </c>
      <c r="CO125" s="24">
        <f t="shared" si="90"/>
        <v>0.91554296817080816</v>
      </c>
      <c r="CP125" s="24">
        <f t="shared" si="91"/>
        <v>1.9494976713540031</v>
      </c>
      <c r="CQ125" s="23">
        <f>IF(CG125=1,CL125*(1+FixedParams!$D$25)+CM125*(1+FixedParams!$D$28)/$CE$12,IF(CH125=1,CL125*(1+FixedParams!$D$23)+CM125*(1+FixedParams!$D$26)/$CE$12,CL125*(1+FixedParams!$D$24)+CM125*(1+FixedParams!$D$27)/$CE$12))</f>
        <v>187.12167233273516</v>
      </c>
      <c r="CR125" s="24">
        <f t="shared" si="92"/>
        <v>31.00991915917578</v>
      </c>
      <c r="CS125" s="24">
        <f>CR125^((FixedParams!$B$47-1)/FixedParams!$B$47)*EXP($C125)</f>
        <v>0.25848801964613116</v>
      </c>
      <c r="CT125" s="24"/>
    </row>
    <row r="126" spans="1:98" x14ac:dyDescent="0.15">
      <c r="A126">
        <v>0.54500000000000004</v>
      </c>
      <c r="B126">
        <f t="shared" si="56"/>
        <v>0.26108289228402115</v>
      </c>
      <c r="C126">
        <f>(D126-$D$17)*FixedParams!$B$47+$A126*$B$9</f>
        <v>-1.3619632627041551</v>
      </c>
      <c r="D126">
        <f>(A126-$B$6)*FixedParams!$B$46/(FixedParams!$B$45*Sectors!$B$6)</f>
        <v>2.4450814345176385E-2</v>
      </c>
      <c r="E126">
        <f t="shared" si="57"/>
        <v>0.25615737873570821</v>
      </c>
      <c r="F126" s="24">
        <f>EXP(-$D$17)*(($B126*FixedParams!$B$30)^$B$10*(1+FixedParams!$B$23)^(1-$B$10)+(1-$B126)^$B$10*((1+FixedParams!$B$26)/$B$11)^(1-$B$10))^(1/(1-$B$10))</f>
        <v>5.017520972684764</v>
      </c>
      <c r="G126" s="24">
        <f>EXP($D126-$D$17)*(($B126*FixedParams!$B$31)^$B$10*(1+FixedParams!$B$25)^(1-$B$10)+(1-$B126)^$B$10*((1+FixedParams!$B$28)/$B$11)^(1-$B$10))^(1/(1-$B$10))</f>
        <v>4.9404403090500741</v>
      </c>
      <c r="H126">
        <f t="shared" si="58"/>
        <v>1</v>
      </c>
      <c r="I126" s="24">
        <f>$B$12*IF(H126=1,1,FixedParams!$B$52)</f>
        <v>0.3745928365283252</v>
      </c>
      <c r="J126">
        <f>EXP($C126*FixedParams!$B$47)*EXP(IF(H126=1,(1-FixedParams!$B$47)*$D126,0))*($B126^((FixedParams!$B$47-1)*$B$10/($B$10-1)))*((1/$B126-1)^$B$10*(I126)^($B$10-1)+1)^((FixedParams!$B$47-$B$10)/($B$10-1))/((1+IF(H126=1,FixedParams!$B$25,FixedParams!$B$24))^FixedParams!$B$47)</f>
        <v>6.5505962235504006E-2</v>
      </c>
      <c r="K126">
        <f t="shared" si="87"/>
        <v>1.3207693623429233</v>
      </c>
      <c r="L126">
        <f>K126*FixedParams!$B$8/K$15</f>
        <v>38.398898590140384</v>
      </c>
      <c r="M126">
        <f t="shared" si="47"/>
        <v>41.916395468240545</v>
      </c>
      <c r="N126">
        <f t="shared" si="59"/>
        <v>80.315294058380928</v>
      </c>
      <c r="O126" s="24">
        <f t="shared" si="60"/>
        <v>1.0916041086398072</v>
      </c>
      <c r="P126" s="24">
        <f t="shared" si="48"/>
        <v>1.9317865580682996</v>
      </c>
      <c r="Q126" s="23">
        <f>IF(H126=1,L126*(1+FixedParams!$B$25)+M126*FixedParams!$B$33*(1+FixedParams!$B$28)/FixedParams!$B$32,L126*(1+FixedParams!$B$23)+M126*FixedParams!$B$33*(1+FixedParams!$B$26)/FixedParams!$B$32)</f>
        <v>150.56085730408856</v>
      </c>
      <c r="R126" s="24">
        <f t="shared" si="49"/>
        <v>30.47519004091312</v>
      </c>
      <c r="S126" s="24">
        <f>R126^((FixedParams!$B$47-1)/FixedParams!$B$47)*EXP($C126)</f>
        <v>0.25528273178209149</v>
      </c>
      <c r="T126" s="7">
        <f>(L126*FixedParams!$B$32*(FixedParams!$C$25-FixedParams!$C$23)+FixedParams!$B$33*(FixedParams!$C$28-FixedParams!$C$26)*M126)/N126</f>
        <v>966.17361871868354</v>
      </c>
      <c r="U126" s="7">
        <f>(L126*FixedParams!$B$32*(FixedParams!$C$25-FixedParams!$C$23)*$Z$12/$B$11+FixedParams!$B$33*(FixedParams!$C$28-FixedParams!$C$26)*M126)/N126</f>
        <v>485.99982254681879</v>
      </c>
      <c r="V126" s="14">
        <f t="shared" si="50"/>
        <v>-1.069563885858319</v>
      </c>
      <c r="W126" s="14">
        <f t="shared" si="93"/>
        <v>0.76453861097585252</v>
      </c>
      <c r="X126" s="73">
        <f t="shared" si="62"/>
        <v>0.96742387712883648</v>
      </c>
      <c r="Y126" s="24">
        <f>EXP(-$D$17)*(($B126*FixedParams!$B$30)^$B$10*(1+FixedParams!$C$24)^(1-$B$10)+(1-$B126)^$B$10*((1+FixedParams!$C$27)/$Z$12)^(1-$B$10))^(1/(1-$B$10))</f>
        <v>6.6349683468946932</v>
      </c>
      <c r="Z126" s="24">
        <f>EXP($D126-$D$17)*(($B126*FixedParams!$C$31)^$B$10*(1+FixedParams!$C$25)^(1-$B$10)+(1-$B126)^$B$10*((1+FixedParams!$C$28)/$Z$12)^(1-$B$10))^(1/(1-$B$10))</f>
        <v>6.0645582372432312</v>
      </c>
      <c r="AA126" s="24">
        <f>EXP($D126-$D$17)*(($B126*FixedParams!$C$30)^$B$10*(1+FixedParams!$C$23)^(1-$B$10)+(1-$B126)^$B$10*((1+FixedParams!$C$26)/$Z$12)^(1-$B$10))^(1/(1-$B$10))</f>
        <v>6.0310198582151395</v>
      </c>
      <c r="AB126">
        <f>IF(FixedParams!$I$6=1,IF(Z126&lt;=MIN(Y126:AA126),1,0),$H126)</f>
        <v>0</v>
      </c>
      <c r="AC126">
        <f>IF(FixedParams!$I$6=1,IF(AA126&lt;=MIN(Y126:AA126),1,0),IF(AA126&lt;=Y126,1,0)*(1-$H126))</f>
        <v>1</v>
      </c>
      <c r="AD126" s="24">
        <f>$Z$13*IF(AB126=1,1,IF(AC126=1,FixedParams!$C$52,FixedParams!$C$53))</f>
        <v>0.34709202255780691</v>
      </c>
      <c r="AE126">
        <f>EXP($C126*FixedParams!$B$47)*EXP(IF(AB126+AC126=1,(1-FixedParams!$B$47)*$D126,0))*($B126^((FixedParams!$B$47-1)*$B$10/($B$10-1)))*((1/$B126-1)^$B$10*(AD126)^($B$10-1)+1)^((FixedParams!$B$47-$B$10)/($B$10-1))/((1+IF(AB126=1,FixedParams!$C$25,IF(AC126=1,FixedParams!$C$23,FixedParams!$C$24)))^FixedParams!$B$47)</f>
        <v>5.8417479747110007E-2</v>
      </c>
      <c r="AF126">
        <f t="shared" si="63"/>
        <v>1.7213984523003312</v>
      </c>
      <c r="AG126">
        <f t="shared" si="64"/>
        <v>40.433006223810082</v>
      </c>
      <c r="AH126">
        <f t="shared" si="51"/>
        <v>39.36669364448565</v>
      </c>
      <c r="AI126">
        <f t="shared" si="65"/>
        <v>79.799699868295733</v>
      </c>
      <c r="AJ126" s="24">
        <f t="shared" si="66"/>
        <v>0.97362767009155737</v>
      </c>
      <c r="AK126" s="24">
        <f t="shared" si="67"/>
        <v>2.0143233713010305</v>
      </c>
      <c r="AL126" s="23">
        <f>IF(AB126=1,AG126*(1+FixedParams!$C$25)+AH126*(1+FixedParams!$C$28)/$Z$12,IF(AC126=1,AG126*(1+FixedParams!$C$23)+AH126*(1+FixedParams!$C$26)/$Z$12,AG126*(1+FixedParams!$C$24)+AH126*(1+FixedParams!$C$27)/$Z$12))</f>
        <v>177.80909972375218</v>
      </c>
      <c r="AM126" s="24">
        <f t="shared" si="68"/>
        <v>29.482426505618275</v>
      </c>
      <c r="AN126" s="24">
        <f>AM126^((FixedParams!$B$47-1)/FixedParams!$B$47)*EXP($C126)</f>
        <v>0.25529119497606367</v>
      </c>
      <c r="AO126" s="24">
        <f t="shared" si="69"/>
        <v>-6.440320916602512E-3</v>
      </c>
      <c r="AP126" s="24">
        <f t="shared" si="70"/>
        <v>-3.3118537143826253E-2</v>
      </c>
      <c r="AQ126" s="14">
        <f t="shared" si="71"/>
        <v>-1.0314390221792662</v>
      </c>
      <c r="AS126" s="24">
        <f>EXP(-$D$17)*(($B126*FixedParams!$B$30)^$B$10*(1+FixedParams!$D$24)^(1-$B$10)+(1-$B126)^$B$10*((1+FixedParams!$D$27)/$AT$12)^(1-$B$10))^(1/(1-$B$10))</f>
        <v>6.2061726153983408</v>
      </c>
      <c r="AT126" s="24">
        <f>EXP($D126-$D$17)*(($B126*FixedParams!$C$31)^$B$10*(1+FixedParams!$D$25)^(1-$B$10)+(1-$B126)^$B$10*((1+FixedParams!$D$28)/$AT$12)^(1-$B$10))^(1/(1-$B$10))</f>
        <v>5.8924550591753952</v>
      </c>
      <c r="AU126" s="24">
        <f>EXP($D126-$D$17)*(($B126*FixedParams!$C$30)^$B$10*(1+FixedParams!$D$23)^(1-$B$10)+(1-$B126)^$B$10*((1+FixedParams!$D$26)/$AT$12)^(1-$B$10))^(1/(1-$B$10))</f>
        <v>5.8440119219580877</v>
      </c>
      <c r="AV126">
        <f>IF(FixedParams!$I$6=1,IF(AT126&lt;=MIN(AS126:AU126),1,0),$H126)</f>
        <v>0</v>
      </c>
      <c r="AW126">
        <f>IF(FixedParams!$I$6=1,IF(AU126&lt;=MIN(AS126:AU126),1,0),IF(AU126&lt;=AS126,1,0)*(1-$H126))</f>
        <v>1</v>
      </c>
      <c r="AX126" s="24">
        <f>$AT$13*IF(AV126=1,1,IF(AW126=1,FixedParams!$D$52,FixedParams!$D$53))</f>
        <v>0.3451899269505756</v>
      </c>
      <c r="AY126">
        <f>EXP($C126*FixedParams!$B$47)*EXP(IF(AV126+AW126=1,(1-FixedParams!$B$47)*$D126,0))*($B126^((FixedParams!$B$47-1)*$B$10/($B$10-1)))*((1/$B126-1)^$B$10*(AX126)^($B$10-1)+1)^((FixedParams!$B$47-$B$10)/($B$10-1))/((1+IF(AV126=1,FixedParams!$D$25,IF(AW126=1,FixedParams!$D$23,FixedParams!$D$24)))^FixedParams!$B$47)</f>
        <v>6.0652239621745756E-2</v>
      </c>
      <c r="AZ126">
        <f t="shared" si="52"/>
        <v>1.6332180885087153</v>
      </c>
      <c r="BA126">
        <f t="shared" si="72"/>
        <v>41.091548675586616</v>
      </c>
      <c r="BB126">
        <f t="shared" si="53"/>
        <v>39.679449671952767</v>
      </c>
      <c r="BC126">
        <f t="shared" si="73"/>
        <v>80.770998347539376</v>
      </c>
      <c r="BD126" s="24">
        <f t="shared" si="74"/>
        <v>0.96563529365168932</v>
      </c>
      <c r="BE126" s="24">
        <f t="shared" si="75"/>
        <v>1.9789446570797335</v>
      </c>
      <c r="BF126" s="23">
        <f>IF(AV126=1,BA126*(1+FixedParams!$C$25)+BB126*(1+FixedParams!$C$28)/$AT$12,IF(AW126=1,BA126*(1+FixedParams!$C$23)+BB126*(1+FixedParams!$C$26)/$AT$12,BA126*(1+FixedParams!$C$24)+BB126*(1+FixedParams!$C$27)/$AT$12))</f>
        <v>177.80356964872908</v>
      </c>
      <c r="BG126" s="24">
        <f t="shared" si="76"/>
        <v>30.424915626995233</v>
      </c>
      <c r="BH126" s="24">
        <f>BG126^((FixedParams!$B$47-1)/FixedParams!$B$47)*EXP($C126)</f>
        <v>0.2552831536877731</v>
      </c>
      <c r="BI126" s="7"/>
      <c r="BJ126" s="24">
        <f>EXP(-$D$17)*(($B126*FixedParams!$B$30)^$B$10*(1+FixedParams!$C$24)^(1-$B$10)+(1-$B126)^$B$10*((1+FixedParams!$C$27)/$BK$12)^(1-$B$10))^(1/(1-$B$10))</f>
        <v>6.8952529684044945</v>
      </c>
      <c r="BK126" s="24">
        <f>EXP($D126-$D$17)*(($B126*FixedParams!$C$31)^$B$10*(1+FixedParams!$C$25)^(1-$B$10)+(1-$B126)^$B$10*((1+FixedParams!$C$28)/$BK$12)^(1-$B$10))^(1/(1-$B$10))</f>
        <v>6.2995027535779933</v>
      </c>
      <c r="BL126" s="24">
        <f>EXP($D126-$D$17)*(($B126*FixedParams!$C$30)^$B$10*(1+FixedParams!$C$23)^(1-$B$10)+(1-$B126)^$B$10*((1+FixedParams!$C$26)/$BK$12)^(1-$B$10))^(1/(1-$B$10))</f>
        <v>6.2581307789003402</v>
      </c>
      <c r="BM126">
        <f>IF(FixedParams!$I$6=1,IF(BK126&lt;=MIN(BJ126:BL126),1,0),$H126)</f>
        <v>0</v>
      </c>
      <c r="BN126">
        <f>IF(FixedParams!$I$6=1,IF(BL126&lt;=MIN(BJ126:BL126),1,0),IF(BL126&lt;=BJ126,1,0)*(1-$H126))</f>
        <v>1</v>
      </c>
      <c r="BO126" s="24">
        <f>$BK$13*IF(BM126=1,1,IF(BN126=1,FixedParams!$C$52,FixedParams!$C$53))</f>
        <v>0.33006170822567266</v>
      </c>
      <c r="BP126">
        <f>EXP($C126*FixedParams!$B$47)*EXP(IF(BM126+BN126=1,(1-FixedParams!$B$47)*$D126,0))*($B126^((FixedParams!$B$47-1)*$B$10/($B$10-1)))*((1/$B126-1)^$B$10*(BO126)^($B$10-1)+1)^((FixedParams!$B$47-$B$10)/($B$10-1))/((1+IF(BM126=1,FixedParams!$C$25,IF(BN126=1,FixedParams!$C$23,FixedParams!$C$24)))^FixedParams!$B$47)</f>
        <v>5.9509432480921144E-2</v>
      </c>
      <c r="BQ126">
        <f t="shared" si="77"/>
        <v>1.7119526095801236</v>
      </c>
      <c r="BR126">
        <f t="shared" si="78"/>
        <v>43.66191129928896</v>
      </c>
      <c r="BS126">
        <f t="shared" si="54"/>
        <v>39.420435443453663</v>
      </c>
      <c r="BT126">
        <f t="shared" si="79"/>
        <v>83.082346742742629</v>
      </c>
      <c r="BU126" s="24">
        <f t="shared" si="80"/>
        <v>0.90285638604409035</v>
      </c>
      <c r="BV126" s="24">
        <f t="shared" si="81"/>
        <v>1.9876210095438649</v>
      </c>
      <c r="BW126" s="23">
        <f>IF(BM126=1,BR126*(1+FixedParams!$C$25)+BS126*(1+FixedParams!$C$28)/$BK$12,IF(BN126=1,BR126*(1+FixedParams!$C$23)+BS126*(1+FixedParams!$C$26)/$BK$12,BR126*(1+FixedParams!$C$24)+BS126*(1+FixedParams!$C$27)/$BK$12))</f>
        <v>188.49236146788223</v>
      </c>
      <c r="BX126" s="24">
        <f t="shared" si="82"/>
        <v>30.119594512693062</v>
      </c>
      <c r="BY126" s="24">
        <f>BX126^((FixedParams!$B$47-1)/FixedParams!$B$47)*EXP($C126)</f>
        <v>0.2552857310449399</v>
      </c>
      <c r="BZ126" s="24">
        <f t="shared" si="83"/>
        <v>3.3872181075743704E-2</v>
      </c>
      <c r="CA126" s="24">
        <f t="shared" si="84"/>
        <v>-1.173697086186035E-2</v>
      </c>
      <c r="CB126" s="24">
        <f t="shared" si="85"/>
        <v>5.5914850575469015E-3</v>
      </c>
      <c r="CC126" s="24"/>
      <c r="CD126" s="24">
        <f>EXP(-$D$17)*(($B126*FixedParams!$B$30)^$B$10*(1+FixedParams!$D$24)^(1-$B$10)+(1-$B126)^$B$10*((1+FixedParams!$D$27)/$CE$12)^(1-$B$10))^(1/(1-$B$10))</f>
        <v>6.4312142793850153</v>
      </c>
      <c r="CE126" s="24">
        <f>EXP($D126-$D$17)*(($B126*FixedParams!$D$31)^$B$10*(1+FixedParams!$D$25)^(1-$B$10)+(1-$B126)^$B$10*((1+FixedParams!$D$28)/$CE$12)^(1-$B$10))^(1/(1-$B$10))</f>
        <v>6.1042808192955285</v>
      </c>
      <c r="CF126" s="24">
        <f>EXP($D126-$D$17)*(($B126*FixedParams!$D$30)^$B$10*(1+FixedParams!$D$23)^(1-$B$10)+(1-$B126)^$B$10*((1+FixedParams!$D$26)/$CE$12)^(1-$B$10))^(1/(1-$B$10))</f>
        <v>6.0493596743502716</v>
      </c>
      <c r="CG126">
        <f>IF(FixedParams!$I$6=1,IF(CE126&lt;=MIN(CD126:CF126),1,0),$H126)</f>
        <v>0</v>
      </c>
      <c r="CH126">
        <f>IF(FixedParams!$I$6=1,IF(CF126&lt;=MIN(CD126:CF126),1,0),IF(CF126&lt;=CD126,1,0)*(1-$H126))</f>
        <v>1</v>
      </c>
      <c r="CI126" s="24">
        <f>$CE$13*IF(CG126=1,1,IF(CH126=1,FixedParams!$D$52,FixedParams!$D$53))</f>
        <v>0.32933267593211629</v>
      </c>
      <c r="CJ126">
        <f>EXP($C126*FixedParams!$B$47)*EXP(IF(CG126+CH126=1,(1-FixedParams!$B$47)*$D126,0))*($B126^((FixedParams!$B$47-1)*$B$10/($B$10-1)))*((1/$B126-1)^$B$10*(CI126)^($B$10-1)+1)^((FixedParams!$B$47-$B$10)/($B$10-1))/((1+IF(CG126=1,FixedParams!$D$25,IF(CH126=1,FixedParams!$D$23,FixedParams!$D$24)))^FixedParams!$B$47)</f>
        <v>6.171077452960054E-2</v>
      </c>
      <c r="CK126">
        <f t="shared" si="86"/>
        <v>1.6248669210453834</v>
      </c>
      <c r="CL126">
        <f t="shared" si="88"/>
        <v>44.391822135782796</v>
      </c>
      <c r="CM126">
        <f t="shared" si="55"/>
        <v>39.946723713721319</v>
      </c>
      <c r="CN126">
        <f t="shared" si="89"/>
        <v>84.338545849504115</v>
      </c>
      <c r="CO126" s="24">
        <f t="shared" si="90"/>
        <v>0.89986672751424568</v>
      </c>
      <c r="CP126" s="24">
        <f t="shared" si="91"/>
        <v>1.9543784786769904</v>
      </c>
      <c r="CQ126" s="23">
        <f>IF(CG126=1,CL126*(1+FixedParams!$D$25)+CM126*(1+FixedParams!$D$28)/$CE$12,IF(CH126=1,CL126*(1+FixedParams!$D$23)+CM126*(1+FixedParams!$D$26)/$CE$12,CL126*(1+FixedParams!$D$24)+CM126*(1+FixedParams!$D$27)/$CE$12))</f>
        <v>184.80089074082372</v>
      </c>
      <c r="CR126" s="24">
        <f t="shared" si="92"/>
        <v>30.548835031977521</v>
      </c>
      <c r="CS126" s="24">
        <f>CR126^((FixedParams!$B$47-1)/FixedParams!$B$47)*EXP($C126)</f>
        <v>0.25528211500533865</v>
      </c>
      <c r="CT126" s="24"/>
    </row>
    <row r="127" spans="1:98" x14ac:dyDescent="0.15">
      <c r="A127">
        <v>0.55000000000000004</v>
      </c>
      <c r="B127">
        <f t="shared" si="56"/>
        <v>0.26331021140782856</v>
      </c>
      <c r="C127">
        <f>(D127-$D$17)*FixedParams!$B$47+$A127*$B$9</f>
        <v>-1.3744583385087803</v>
      </c>
      <c r="D127">
        <f>(A127-$B$6)*FixedParams!$B$46/(FixedParams!$B$45*Sectors!$B$6)</f>
        <v>2.7167571494640431E-2</v>
      </c>
      <c r="E127">
        <f t="shared" si="57"/>
        <v>0.25297658637515841</v>
      </c>
      <c r="F127" s="24">
        <f>EXP(-$D$17)*(($B127*FixedParams!$B$30)^$B$10*(1+FixedParams!$B$23)^(1-$B$10)+(1-$B127)^$B$10*((1+FixedParams!$B$26)/$B$11)^(1-$B$10))^(1/(1-$B$10))</f>
        <v>5.0191050853435435</v>
      </c>
      <c r="G127" s="24">
        <f>EXP($D127-$D$17)*(($B127*FixedParams!$B$31)^$B$10*(1+FixedParams!$B$25)^(1-$B$10)+(1-$B127)^$B$10*((1+FixedParams!$B$28)/$B$11)^(1-$B$10))^(1/(1-$B$10))</f>
        <v>4.9547468431714599</v>
      </c>
      <c r="H127">
        <f t="shared" si="58"/>
        <v>1</v>
      </c>
      <c r="I127" s="24">
        <f>$B$12*IF(H127=1,1,FixedParams!$B$52)</f>
        <v>0.3745928365283252</v>
      </c>
      <c r="J127">
        <f>EXP($C127*FixedParams!$B$47)*EXP(IF(H127=1,(1-FixedParams!$B$47)*$D127,0))*($B127^((FixedParams!$B$47-1)*$B$10/($B$10-1)))*((1/$B127-1)^$B$10*(I127)^($B$10-1)+1)^((FixedParams!$B$47-$B$10)/($B$10-1))/((1+IF(H127=1,FixedParams!$B$25,FixedParams!$B$24))^FixedParams!$B$47)</f>
        <v>6.5528898911520125E-2</v>
      </c>
      <c r="K127">
        <f t="shared" si="87"/>
        <v>1.321231824963458</v>
      </c>
      <c r="L127">
        <f>K127*FixedParams!$B$8/K$15</f>
        <v>38.412343825753773</v>
      </c>
      <c r="M127">
        <f t="shared" si="47"/>
        <v>41.213114143135407</v>
      </c>
      <c r="N127">
        <f t="shared" si="59"/>
        <v>79.625457968889179</v>
      </c>
      <c r="O127" s="24">
        <f t="shared" si="60"/>
        <v>1.0729132887617194</v>
      </c>
      <c r="P127" s="24">
        <f t="shared" si="48"/>
        <v>1.9373806283493658</v>
      </c>
      <c r="Q127" s="23">
        <f>IF(H127=1,L127*(1+FixedParams!$B$25)+M127*FixedParams!$B$33*(1+FixedParams!$B$28)/FixedParams!$B$32,L127*(1+FixedParams!$B$23)+M127*FixedParams!$B$33*(1+FixedParams!$B$26)/FixedParams!$B$32)</f>
        <v>148.6935803648102</v>
      </c>
      <c r="R127" s="24">
        <f t="shared" si="49"/>
        <v>30.010328493318873</v>
      </c>
      <c r="S127" s="24">
        <f>R127^((FixedParams!$B$47-1)/FixedParams!$B$47)*EXP($C127)</f>
        <v>0.25211667941902677</v>
      </c>
      <c r="T127" s="7">
        <f>(L127*FixedParams!$B$32*(FixedParams!$C$25-FixedParams!$C$23)+FixedParams!$B$33*(FixedParams!$C$28-FixedParams!$C$26)*M127)/N127</f>
        <v>1015.0804873344856</v>
      </c>
      <c r="U127" s="7">
        <f>(L127*FixedParams!$B$32*(FixedParams!$C$25-FixedParams!$C$23)*$Z$12/$B$11+FixedParams!$B$33*(FixedParams!$C$28-FixedParams!$C$26)*M127)/N127</f>
        <v>530.57711211892297</v>
      </c>
      <c r="V127" s="14">
        <f t="shared" si="50"/>
        <v>-1.0522932605622353</v>
      </c>
      <c r="W127" s="14">
        <f t="shared" si="93"/>
        <v>0.76844407023383265</v>
      </c>
      <c r="X127" s="73">
        <f t="shared" si="62"/>
        <v>0.96766925625050026</v>
      </c>
      <c r="Y127" s="24">
        <f>EXP(-$D$17)*(($B127*FixedParams!$B$30)^$B$10*(1+FixedParams!$C$24)^(1-$B$10)+(1-$B127)^$B$10*((1+FixedParams!$C$27)/$Z$12)^(1-$B$10))^(1/(1-$B$10))</f>
        <v>6.6413298824170308</v>
      </c>
      <c r="Z127" s="24">
        <f>EXP($D127-$D$17)*(($B127*FixedParams!$C$31)^$B$10*(1+FixedParams!$C$25)^(1-$B$10)+(1-$B127)^$B$10*((1+FixedParams!$C$28)/$Z$12)^(1-$B$10))^(1/(1-$B$10))</f>
        <v>6.0849259594538196</v>
      </c>
      <c r="AA127" s="24">
        <f>EXP($D127-$D$17)*(($B127*FixedParams!$C$30)^$B$10*(1+FixedParams!$C$23)^(1-$B$10)+(1-$B127)^$B$10*((1+FixedParams!$C$26)/$Z$12)^(1-$B$10))^(1/(1-$B$10))</f>
        <v>6.0469491996622953</v>
      </c>
      <c r="AB127">
        <f>IF(FixedParams!$I$6=1,IF(Z127&lt;=MIN(Y127:AA127),1,0),$H127)</f>
        <v>0</v>
      </c>
      <c r="AC127">
        <f>IF(FixedParams!$I$6=1,IF(AA127&lt;=MIN(Y127:AA127),1,0),IF(AA127&lt;=Y127,1,0)*(1-$H127))</f>
        <v>1</v>
      </c>
      <c r="AD127" s="24">
        <f>$Z$13*IF(AB127=1,1,IF(AC127=1,FixedParams!$C$52,FixedParams!$C$53))</f>
        <v>0.34709202255780691</v>
      </c>
      <c r="AE127">
        <f>EXP($C127*FixedParams!$B$47)*EXP(IF(AB127+AC127=1,(1-FixedParams!$B$47)*$D127,0))*($B127^((FixedParams!$B$47-1)*$B$10/($B$10-1)))*((1/$B127-1)^$B$10*(AD127)^($B$10-1)+1)^((FixedParams!$B$47-$B$10)/($B$10-1))/((1+IF(AB127=1,FixedParams!$C$25,IF(AC127=1,FixedParams!$C$23,FixedParams!$C$24)))^FixedParams!$B$47)</f>
        <v>5.8430502424988713E-2</v>
      </c>
      <c r="AF127">
        <f t="shared" si="63"/>
        <v>1.7217821939071627</v>
      </c>
      <c r="AG127">
        <f t="shared" si="64"/>
        <v>40.442019724871741</v>
      </c>
      <c r="AH127">
        <f t="shared" si="51"/>
        <v>38.701269148266775</v>
      </c>
      <c r="AI127">
        <f t="shared" si="65"/>
        <v>79.143288873138516</v>
      </c>
      <c r="AJ127" s="24">
        <f t="shared" si="66"/>
        <v>0.95695688325045725</v>
      </c>
      <c r="AK127" s="24">
        <f t="shared" si="67"/>
        <v>2.0196436729284133</v>
      </c>
      <c r="AL127" s="23">
        <f>IF(AB127=1,AG127*(1+FixedParams!$C$25)+AH127*(1+FixedParams!$C$28)/$Z$12,IF(AC127=1,AG127*(1+FixedParams!$C$23)+AH127*(1+FixedParams!$C$26)/$Z$12,AG127*(1+FixedParams!$C$24)+AH127*(1+FixedParams!$C$27)/$Z$12))</f>
        <v>175.60384166819026</v>
      </c>
      <c r="AM127" s="24">
        <f t="shared" si="68"/>
        <v>29.040072252963071</v>
      </c>
      <c r="AN127" s="24">
        <f>AM127^((FixedParams!$B$47-1)/FixedParams!$B$47)*EXP($C127)</f>
        <v>0.25212497364594266</v>
      </c>
      <c r="AO127" s="24">
        <f t="shared" si="69"/>
        <v>-6.0738726945447994E-3</v>
      </c>
      <c r="AP127" s="24">
        <f t="shared" si="70"/>
        <v>-3.2864927517760913E-2</v>
      </c>
      <c r="AQ127" s="14">
        <f t="shared" si="71"/>
        <v>-1.0141683968831827</v>
      </c>
      <c r="AS127" s="24">
        <f>EXP(-$D$17)*(($B127*FixedParams!$B$30)^$B$10*(1+FixedParams!$D$24)^(1-$B$10)+(1-$B127)^$B$10*((1+FixedParams!$D$27)/$AT$12)^(1-$B$10))^(1/(1-$B$10))</f>
        <v>6.2105034003011985</v>
      </c>
      <c r="AT127" s="24">
        <f>EXP($D127-$D$17)*(($B127*FixedParams!$C$31)^$B$10*(1+FixedParams!$D$25)^(1-$B$10)+(1-$B127)^$B$10*((1+FixedParams!$D$28)/$AT$12)^(1-$B$10))^(1/(1-$B$10))</f>
        <v>5.9113014571499374</v>
      </c>
      <c r="AU127" s="24">
        <f>EXP($D127-$D$17)*(($B127*FixedParams!$C$30)^$B$10*(1+FixedParams!$D$23)^(1-$B$10)+(1-$B127)^$B$10*((1+FixedParams!$D$26)/$AT$12)^(1-$B$10))^(1/(1-$B$10))</f>
        <v>5.85933908591144</v>
      </c>
      <c r="AV127">
        <f>IF(FixedParams!$I$6=1,IF(AT127&lt;=MIN(AS127:AU127),1,0),$H127)</f>
        <v>0</v>
      </c>
      <c r="AW127">
        <f>IF(FixedParams!$I$6=1,IF(AU127&lt;=MIN(AS127:AU127),1,0),IF(AU127&lt;=AS127,1,0)*(1-$H127))</f>
        <v>1</v>
      </c>
      <c r="AX127" s="24">
        <f>$AT$13*IF(AV127=1,1,IF(AW127=1,FixedParams!$D$52,FixedParams!$D$53))</f>
        <v>0.3451899269505756</v>
      </c>
      <c r="AY127">
        <f>EXP($C127*FixedParams!$B$47)*EXP(IF(AV127+AW127=1,(1-FixedParams!$B$47)*$D127,0))*($B127^((FixedParams!$B$47-1)*$B$10/($B$10-1)))*((1/$B127-1)^$B$10*(AX127)^($B$10-1)+1)^((FixedParams!$B$47-$B$10)/($B$10-1))/((1+IF(AV127=1,FixedParams!$D$25,IF(AW127=1,FixedParams!$D$23,FixedParams!$D$24)))^FixedParams!$B$47)</f>
        <v>6.0665198998701521E-2</v>
      </c>
      <c r="AZ127">
        <f t="shared" si="52"/>
        <v>1.6335670531799615</v>
      </c>
      <c r="BA127">
        <f t="shared" si="72"/>
        <v>41.100328580043637</v>
      </c>
      <c r="BB127">
        <f t="shared" si="53"/>
        <v>39.008377547116105</v>
      </c>
      <c r="BC127">
        <f t="shared" si="73"/>
        <v>80.108706127159735</v>
      </c>
      <c r="BD127" s="24">
        <f t="shared" si="74"/>
        <v>0.94910135502071669</v>
      </c>
      <c r="BE127" s="24">
        <f t="shared" si="75"/>
        <v>1.9841348602515827</v>
      </c>
      <c r="BF127" s="23">
        <f>IF(AV127=1,BA127*(1+FixedParams!$C$25)+BB127*(1+FixedParams!$C$28)/$AT$12,IF(AW127=1,BA127*(1+FixedParams!$C$23)+BB127*(1+FixedParams!$C$26)/$AT$12,BA127*(1+FixedParams!$C$24)+BB127*(1+FixedParams!$C$27)/$AT$12))</f>
        <v>175.60981426244697</v>
      </c>
      <c r="BG127" s="24">
        <f t="shared" si="76"/>
        <v>29.970925336049273</v>
      </c>
      <c r="BH127" s="24">
        <f>BG127^((FixedParams!$B$47-1)/FixedParams!$B$47)*EXP($C127)</f>
        <v>0.25211701099413208</v>
      </c>
      <c r="BI127" s="7"/>
      <c r="BJ127" s="24">
        <f>EXP(-$D$17)*(($B127*FixedParams!$B$30)^$B$10*(1+FixedParams!$C$24)^(1-$B$10)+(1-$B127)^$B$10*((1+FixedParams!$C$27)/$BK$12)^(1-$B$10))^(1/(1-$B$10))</f>
        <v>6.9007806135626888</v>
      </c>
      <c r="BK127" s="24">
        <f>EXP($D127-$D$17)*(($B127*FixedParams!$C$31)^$B$10*(1+FixedParams!$C$25)^(1-$B$10)+(1-$B127)^$B$10*((1+FixedParams!$C$28)/$BK$12)^(1-$B$10))^(1/(1-$B$10))</f>
        <v>6.3196406564619938</v>
      </c>
      <c r="BL127" s="24">
        <f>EXP($D127-$D$17)*(($B127*FixedParams!$C$30)^$B$10*(1+FixedParams!$C$23)^(1-$B$10)+(1-$B127)^$B$10*((1+FixedParams!$C$26)/$BK$12)^(1-$B$10))^(1/(1-$B$10))</f>
        <v>6.2735932203610485</v>
      </c>
      <c r="BM127">
        <f>IF(FixedParams!$I$6=1,IF(BK127&lt;=MIN(BJ127:BL127),1,0),$H127)</f>
        <v>0</v>
      </c>
      <c r="BN127">
        <f>IF(FixedParams!$I$6=1,IF(BL127&lt;=MIN(BJ127:BL127),1,0),IF(BL127&lt;=BJ127,1,0)*(1-$H127))</f>
        <v>1</v>
      </c>
      <c r="BO127" s="24">
        <f>$BK$13*IF(BM127=1,1,IF(BN127=1,FixedParams!$C$52,FixedParams!$C$53))</f>
        <v>0.33006170822567266</v>
      </c>
      <c r="BP127">
        <f>EXP($C127*FixedParams!$B$47)*EXP(IF(BM127+BN127=1,(1-FixedParams!$B$47)*$D127,0))*($B127^((FixedParams!$B$47-1)*$B$10/($B$10-1)))*((1/$B127-1)^$B$10*(BO127)^($B$10-1)+1)^((FixedParams!$B$47-$B$10)/($B$10-1))/((1+IF(BM127=1,FixedParams!$C$25,IF(BN127=1,FixedParams!$C$23,FixedParams!$C$24)))^FixedParams!$B$47)</f>
        <v>5.9517628527804643E-2</v>
      </c>
      <c r="BQ127">
        <f t="shared" si="77"/>
        <v>1.7121883914262193</v>
      </c>
      <c r="BR127">
        <f t="shared" si="78"/>
        <v>43.667924716945848</v>
      </c>
      <c r="BS127">
        <f t="shared" si="54"/>
        <v>38.75080152085053</v>
      </c>
      <c r="BT127">
        <f t="shared" si="79"/>
        <v>82.418726237796378</v>
      </c>
      <c r="BU127" s="24">
        <f t="shared" si="80"/>
        <v>0.88739736939714997</v>
      </c>
      <c r="BV127" s="24">
        <f t="shared" si="81"/>
        <v>1.992531976506998</v>
      </c>
      <c r="BW127" s="23">
        <f>IF(BM127=1,BR127*(1+FixedParams!$C$25)+BS127*(1+FixedParams!$C$28)/$BK$12,IF(BN127=1,BR127*(1+FixedParams!$C$23)+BS127*(1+FixedParams!$C$26)/$BK$12,BR127*(1+FixedParams!$C$24)+BS127*(1+FixedParams!$C$27)/$BK$12))</f>
        <v>186.15457376757772</v>
      </c>
      <c r="BX127" s="24">
        <f t="shared" si="82"/>
        <v>29.672719800099571</v>
      </c>
      <c r="BY127" s="24">
        <f>BX127^((FixedParams!$B$47-1)/FixedParams!$B$47)*EXP($C127)</f>
        <v>0.25211953461420666</v>
      </c>
      <c r="BZ127" s="24">
        <f t="shared" si="83"/>
        <v>3.4478805815783845E-2</v>
      </c>
      <c r="CA127" s="24">
        <f t="shared" si="84"/>
        <v>-1.1313507064283492E-2</v>
      </c>
      <c r="CB127" s="24">
        <f t="shared" si="85"/>
        <v>6.0149488551237591E-3</v>
      </c>
      <c r="CC127" s="24"/>
      <c r="CD127" s="24">
        <f>EXP(-$D$17)*(($B127*FixedParams!$B$30)^$B$10*(1+FixedParams!$D$24)^(1-$B$10)+(1-$B127)^$B$10*((1+FixedParams!$D$27)/$CE$12)^(1-$B$10))^(1/(1-$B$10))</f>
        <v>6.4347375674965317</v>
      </c>
      <c r="CE127" s="24">
        <f>EXP($D127-$D$17)*(($B127*FixedParams!$D$31)^$B$10*(1+FixedParams!$D$25)^(1-$B$10)+(1-$B127)^$B$10*((1+FixedParams!$D$28)/$CE$12)^(1-$B$10))^(1/(1-$B$10))</f>
        <v>6.1228707556871766</v>
      </c>
      <c r="CF127" s="24">
        <f>EXP($D127-$D$17)*(($B127*FixedParams!$D$30)^$B$10*(1+FixedParams!$D$23)^(1-$B$10)+(1-$B127)^$B$10*((1+FixedParams!$D$26)/$CE$12)^(1-$B$10))^(1/(1-$B$10))</f>
        <v>6.0642606948328472</v>
      </c>
      <c r="CG127">
        <f>IF(FixedParams!$I$6=1,IF(CE127&lt;=MIN(CD127:CF127),1,0),$H127)</f>
        <v>0</v>
      </c>
      <c r="CH127">
        <f>IF(FixedParams!$I$6=1,IF(CF127&lt;=MIN(CD127:CF127),1,0),IF(CF127&lt;=CD127,1,0)*(1-$H127))</f>
        <v>1</v>
      </c>
      <c r="CI127" s="24">
        <f>$CE$13*IF(CG127=1,1,IF(CH127=1,FixedParams!$D$52,FixedParams!$D$53))</f>
        <v>0.32933267593211629</v>
      </c>
      <c r="CJ127">
        <f>EXP($C127*FixedParams!$B$47)*EXP(IF(CG127+CH127=1,(1-FixedParams!$B$47)*$D127,0))*($B127^((FixedParams!$B$47-1)*$B$10/($B$10-1)))*((1/$B127-1)^$B$10*(CI127)^($B$10-1)+1)^((FixedParams!$B$47-$B$10)/($B$10-1))/((1+IF(CG127=1,FixedParams!$D$25,IF(CH127=1,FixedParams!$D$23,FixedParams!$D$24)))^FixedParams!$B$47)</f>
        <v>6.1719041278837962E-2</v>
      </c>
      <c r="CK127">
        <f t="shared" si="86"/>
        <v>1.6250845875304154</v>
      </c>
      <c r="CL127">
        <f t="shared" si="88"/>
        <v>44.397768845487647</v>
      </c>
      <c r="CM127">
        <f t="shared" si="55"/>
        <v>39.268001832200568</v>
      </c>
      <c r="CN127">
        <f t="shared" si="89"/>
        <v>83.665770677688215</v>
      </c>
      <c r="CO127" s="24">
        <f t="shared" si="90"/>
        <v>0.88445890082585887</v>
      </c>
      <c r="CP127" s="24">
        <f t="shared" si="91"/>
        <v>1.959192580550442</v>
      </c>
      <c r="CQ127" s="23">
        <f>IF(CG127=1,CL127*(1+FixedParams!$D$25)+CM127*(1+FixedParams!$D$28)/$CE$12,IF(CH127=1,CL127*(1+FixedParams!$D$23)+CM127*(1+FixedParams!$D$26)/$CE$12,CL127*(1+FixedParams!$D$24)+CM127*(1+FixedParams!$D$27)/$CE$12))</f>
        <v>182.50888535311202</v>
      </c>
      <c r="CR127" s="24">
        <f t="shared" si="92"/>
        <v>30.095817864265253</v>
      </c>
      <c r="CS127" s="24">
        <f>CR127^((FixedParams!$B$47-1)/FixedParams!$B$47)*EXP($C127)</f>
        <v>0.2521159615272191</v>
      </c>
      <c r="CT127" s="24"/>
    </row>
    <row r="128" spans="1:98" x14ac:dyDescent="0.15">
      <c r="A128">
        <v>0.55500000000000005</v>
      </c>
      <c r="B128">
        <f t="shared" si="56"/>
        <v>0.2655497032929014</v>
      </c>
      <c r="C128">
        <f>(D128-$D$17)*FixedParams!$B$47+$A128*$B$9</f>
        <v>-1.3869534143134055</v>
      </c>
      <c r="D128">
        <f>(A128-$B$6)*FixedParams!$B$46/(FixedParams!$B$45*Sectors!$B$6)</f>
        <v>2.9884328644104473E-2</v>
      </c>
      <c r="E128">
        <f t="shared" si="57"/>
        <v>0.24983529098358473</v>
      </c>
      <c r="F128" s="24">
        <f>EXP(-$D$17)*(($B128*FixedParams!$B$30)^$B$10*(1+FixedParams!$B$23)^(1-$B$10)+(1-$B128)^$B$10*((1+FixedParams!$B$26)/$B$11)^(1-$B$10))^(1/(1-$B$10))</f>
        <v>5.0205084849184711</v>
      </c>
      <c r="G128" s="24">
        <f>EXP($D128-$D$17)*(($B128*FixedParams!$B$31)^$B$10*(1+FixedParams!$B$25)^(1-$B$10)+(1-$B128)^$B$10*((1+FixedParams!$B$28)/$B$11)^(1-$B$10))^(1/(1-$B$10))</f>
        <v>4.9689095516187667</v>
      </c>
      <c r="H128">
        <f t="shared" si="58"/>
        <v>1</v>
      </c>
      <c r="I128" s="24">
        <f>$B$12*IF(H128=1,1,FixedParams!$B$52)</f>
        <v>0.3745928365283252</v>
      </c>
      <c r="J128">
        <f>EXP($C128*FixedParams!$B$47)*EXP(IF(H128=1,(1-FixedParams!$B$47)*$D128,0))*($B128^((FixedParams!$B$47-1)*$B$10/($B$10-1)))*((1/$B128-1)^$B$10*(I128)^($B$10-1)+1)^((FixedParams!$B$47-$B$10)/($B$10-1))/((1+IF(H128=1,FixedParams!$B$25,FixedParams!$B$24))^FixedParams!$B$47)</f>
        <v>6.5548090838317766E-2</v>
      </c>
      <c r="K128">
        <f t="shared" si="87"/>
        <v>1.3216187837692461</v>
      </c>
      <c r="L128">
        <f>K128*FixedParams!$B$8/K$15</f>
        <v>38.423593929190197</v>
      </c>
      <c r="M128">
        <f t="shared" si="47"/>
        <v>40.519312782283542</v>
      </c>
      <c r="N128">
        <f t="shared" si="59"/>
        <v>78.942906711473739</v>
      </c>
      <c r="O128" s="24">
        <f t="shared" si="60"/>
        <v>1.0545424995109902</v>
      </c>
      <c r="P128" s="24">
        <f t="shared" si="48"/>
        <v>1.9429184606260212</v>
      </c>
      <c r="Q128" s="23">
        <f>IF(H128=1,L128*(1+FixedParams!$B$25)+M128*FixedParams!$B$33*(1+FixedParams!$B$28)/FixedParams!$B$32,L128*(1+FixedParams!$B$23)+M128*FixedParams!$B$33*(1+FixedParams!$B$26)/FixedParams!$B$32)</f>
        <v>146.84945618204901</v>
      </c>
      <c r="R128" s="24">
        <f t="shared" si="49"/>
        <v>29.553658535444367</v>
      </c>
      <c r="S128" s="24">
        <f>R128^((FixedParams!$B$47-1)/FixedParams!$B$47)*EXP($C128)</f>
        <v>0.24898988360004526</v>
      </c>
      <c r="T128" s="7">
        <f>(L128*FixedParams!$B$32*(FixedParams!$C$25-FixedParams!$C$23)+FixedParams!$B$33*(FixedParams!$C$28-FixedParams!$C$26)*M128)/N128</f>
        <v>1064.0170742943069</v>
      </c>
      <c r="U128" s="7">
        <f>(L128*FixedParams!$B$32*(FixedParams!$C$25-FixedParams!$C$23)*$Z$12/$B$11+FixedParams!$B$33*(FixedParams!$C$28-FixedParams!$C$26)*M128)/N128</f>
        <v>575.18148915878896</v>
      </c>
      <c r="V128" s="14">
        <f t="shared" si="50"/>
        <v>-1.0350226352661513</v>
      </c>
      <c r="W128" s="14">
        <f t="shared" si="93"/>
        <v>0.77231605180521212</v>
      </c>
      <c r="X128" s="73">
        <f t="shared" si="62"/>
        <v>0.96791671981556027</v>
      </c>
      <c r="Y128" s="24">
        <f>EXP(-$D$17)*(($B128*FixedParams!$B$30)^$B$10*(1+FixedParams!$C$24)^(1-$B$10)+(1-$B128)^$B$10*((1+FixedParams!$C$27)/$Z$12)^(1-$B$10))^(1/(1-$B$10))</f>
        <v>6.6474953224872202</v>
      </c>
      <c r="Z128" s="24">
        <f>EXP($D128-$D$17)*(($B128*FixedParams!$C$31)^$B$10*(1+FixedParams!$C$25)^(1-$B$10)+(1-$B128)^$B$10*((1+FixedParams!$C$28)/$Z$12)^(1-$B$10))^(1/(1-$B$10))</f>
        <v>6.1051586875399844</v>
      </c>
      <c r="AA128" s="24">
        <f>EXP($D128-$D$17)*(($B128*FixedParams!$C$30)^$B$10*(1+FixedParams!$C$23)^(1-$B$10)+(1-$B128)^$B$10*((1+FixedParams!$C$26)/$Z$12)^(1-$B$10))^(1/(1-$B$10))</f>
        <v>6.0626819013183848</v>
      </c>
      <c r="AB128">
        <f>IF(FixedParams!$I$6=1,IF(Z128&lt;=MIN(Y128:AA128),1,0),$H128)</f>
        <v>0</v>
      </c>
      <c r="AC128">
        <f>IF(FixedParams!$I$6=1,IF(AA128&lt;=MIN(Y128:AA128),1,0),IF(AA128&lt;=Y128,1,0)*(1-$H128))</f>
        <v>1</v>
      </c>
      <c r="AD128" s="24">
        <f>$Z$13*IF(AB128=1,1,IF(AC128=1,FixedParams!$C$52,FixedParams!$C$53))</f>
        <v>0.34709202255780691</v>
      </c>
      <c r="AE128">
        <f>EXP($C128*FixedParams!$B$47)*EXP(IF(AB128+AC128=1,(1-FixedParams!$B$47)*$D128,0))*($B128^((FixedParams!$B$47-1)*$B$10/($B$10-1)))*((1/$B128-1)^$B$10*(AD128)^($B$10-1)+1)^((FixedParams!$B$47-$B$10)/($B$10-1))/((1+IF(AB128=1,FixedParams!$C$25,IF(AC128=1,FixedParams!$C$23,FixedParams!$C$24)))^FixedParams!$B$47)</f>
        <v>5.8440120938823177E-2</v>
      </c>
      <c r="AF128">
        <f t="shared" si="63"/>
        <v>1.7220656243957726</v>
      </c>
      <c r="AG128">
        <f t="shared" si="64"/>
        <v>40.448677071806543</v>
      </c>
      <c r="AH128">
        <f t="shared" si="51"/>
        <v>38.044874457628978</v>
      </c>
      <c r="AI128">
        <f t="shared" si="65"/>
        <v>78.493551529435521</v>
      </c>
      <c r="AJ128" s="24">
        <f t="shared" si="66"/>
        <v>0.9405715393383518</v>
      </c>
      <c r="AK128" s="24">
        <f t="shared" si="67"/>
        <v>2.0248982980804762</v>
      </c>
      <c r="AL128" s="23">
        <f>IF(AB128=1,AG128*(1+FixedParams!$C$25)+AH128*(1+FixedParams!$C$28)/$Z$12,IF(AC128=1,AG128*(1+FixedParams!$C$23)+AH128*(1+FixedParams!$C$26)/$Z$12,AG128*(1+FixedParams!$C$24)+AH128*(1+FixedParams!$C$27)/$Z$12))</f>
        <v>173.42592725788623</v>
      </c>
      <c r="AM128" s="24">
        <f t="shared" si="68"/>
        <v>28.605480228176447</v>
      </c>
      <c r="AN128" s="24">
        <f>AM128^((FixedParams!$B$47-1)/FixedParams!$B$47)*EXP($C128)</f>
        <v>0.24899801122823767</v>
      </c>
      <c r="AO128" s="24">
        <f t="shared" si="69"/>
        <v>-5.7084160464847518E-3</v>
      </c>
      <c r="AP128" s="24">
        <f t="shared" si="70"/>
        <v>-3.2609228655020382E-2</v>
      </c>
      <c r="AQ128" s="14">
        <f t="shared" si="71"/>
        <v>-0.99689777158709902</v>
      </c>
      <c r="AS128" s="24">
        <f>EXP(-$D$17)*(($B128*FixedParams!$B$30)^$B$10*(1+FixedParams!$D$24)^(1-$B$10)+(1-$B128)^$B$10*((1+FixedParams!$D$27)/$AT$12)^(1-$B$10))^(1/(1-$B$10))</f>
        <v>6.214633548191534</v>
      </c>
      <c r="AT128" s="24">
        <f>EXP($D128-$D$17)*(($B128*FixedParams!$C$31)^$B$10*(1+FixedParams!$D$25)^(1-$B$10)+(1-$B128)^$B$10*((1+FixedParams!$D$28)/$AT$12)^(1-$B$10))^(1/(1-$B$10))</f>
        <v>5.9300022875430436</v>
      </c>
      <c r="AU128" s="24">
        <f>EXP($D128-$D$17)*(($B128*FixedParams!$C$30)^$B$10*(1+FixedParams!$D$23)^(1-$B$10)+(1-$B128)^$B$10*((1+FixedParams!$D$26)/$AT$12)^(1-$B$10))^(1/(1-$B$10))</f>
        <v>5.8744742671019505</v>
      </c>
      <c r="AV128">
        <f>IF(FixedParams!$I$6=1,IF(AT128&lt;=MIN(AS128:AU128),1,0),$H128)</f>
        <v>0</v>
      </c>
      <c r="AW128">
        <f>IF(FixedParams!$I$6=1,IF(AU128&lt;=MIN(AS128:AU128),1,0),IF(AU128&lt;=AS128,1,0)*(1-$H128))</f>
        <v>1</v>
      </c>
      <c r="AX128" s="24">
        <f>$AT$13*IF(AV128=1,1,IF(AW128=1,FixedParams!$D$52,FixedParams!$D$53))</f>
        <v>0.3451899269505756</v>
      </c>
      <c r="AY128">
        <f>EXP($C128*FixedParams!$B$47)*EXP(IF(AV128+AW128=1,(1-FixedParams!$B$47)*$D128,0))*($B128^((FixedParams!$B$47-1)*$B$10/($B$10-1)))*((1/$B128-1)^$B$10*(AX128)^($B$10-1)+1)^((FixedParams!$B$47-$B$10)/($B$10-1))/((1+IF(AV128=1,FixedParams!$D$25,IF(AW128=1,FixedParams!$D$23,FixedParams!$D$24)))^FixedParams!$B$47)</f>
        <v>6.0674619256917979E-2</v>
      </c>
      <c r="AZ128">
        <f t="shared" si="52"/>
        <v>1.6338207179450799</v>
      </c>
      <c r="BA128">
        <f t="shared" si="72"/>
        <v>41.106710751608155</v>
      </c>
      <c r="BB128">
        <f t="shared" si="53"/>
        <v>38.346416342144209</v>
      </c>
      <c r="BC128">
        <f t="shared" si="73"/>
        <v>79.453127093752357</v>
      </c>
      <c r="BD128" s="24">
        <f t="shared" si="74"/>
        <v>0.93285051615675774</v>
      </c>
      <c r="BE128" s="24">
        <f t="shared" si="75"/>
        <v>1.9892600527308033</v>
      </c>
      <c r="BF128" s="23">
        <f>IF(AV128=1,BA128*(1+FixedParams!$C$25)+BB128*(1+FixedParams!$C$28)/$AT$12,IF(AW128=1,BA128*(1+FixedParams!$C$23)+BB128*(1+FixedParams!$C$26)/$AT$12,BA128*(1+FixedParams!$C$24)+BB128*(1+FixedParams!$C$27)/$AT$12))</f>
        <v>173.44320941331091</v>
      </c>
      <c r="BG128" s="24">
        <f t="shared" si="76"/>
        <v>29.524890488434377</v>
      </c>
      <c r="BH128" s="24">
        <f>BG128^((FixedParams!$B$47-1)/FixedParams!$B$47)*EXP($C128)</f>
        <v>0.24899012633203441</v>
      </c>
      <c r="BI128" s="7"/>
      <c r="BJ128" s="24">
        <f>EXP(-$D$17)*(($B128*FixedParams!$B$30)^$B$10*(1+FixedParams!$C$24)^(1-$B$10)+(1-$B128)^$B$10*((1+FixedParams!$C$27)/$BK$12)^(1-$B$10))^(1/(1-$B$10))</f>
        <v>6.9060927838836514</v>
      </c>
      <c r="BK128" s="24">
        <f>EXP($D128-$D$17)*(($B128*FixedParams!$C$31)^$B$10*(1+FixedParams!$C$25)^(1-$B$10)+(1-$B128)^$B$10*((1+FixedParams!$C$28)/$BK$12)^(1-$B$10))^(1/(1-$B$10))</f>
        <v>6.3396227798666906</v>
      </c>
      <c r="BL128" s="24">
        <f>EXP($D128-$D$17)*(($B128*FixedParams!$C$30)^$B$10*(1+FixedParams!$C$23)^(1-$B$10)+(1-$B128)^$B$10*((1+FixedParams!$C$26)/$BK$12)^(1-$B$10))^(1/(1-$B$10))</f>
        <v>6.2888376689693182</v>
      </c>
      <c r="BM128">
        <f>IF(FixedParams!$I$6=1,IF(BK128&lt;=MIN(BJ128:BL128),1,0),$H128)</f>
        <v>0</v>
      </c>
      <c r="BN128">
        <f>IF(FixedParams!$I$6=1,IF(BL128&lt;=MIN(BJ128:BL128),1,0),IF(BL128&lt;=BJ128,1,0)*(1-$H128))</f>
        <v>1</v>
      </c>
      <c r="BO128" s="24">
        <f>$BK$13*IF(BM128=1,1,IF(BN128=1,FixedParams!$C$52,FixedParams!$C$53))</f>
        <v>0.33006170822567266</v>
      </c>
      <c r="BP128">
        <f>EXP($C128*FixedParams!$B$47)*EXP(IF(BM128+BN128=1,(1-FixedParams!$B$47)*$D128,0))*($B128^((FixedParams!$B$47-1)*$B$10/($B$10-1)))*((1/$B128-1)^$B$10*(BO128)^($B$10-1)+1)^((FixedParams!$B$47-$B$10)/($B$10-1))/((1+IF(BM128=1,FixedParams!$C$25,IF(BN128=1,FixedParams!$C$23,FixedParams!$C$24)))^FixedParams!$B$47)</f>
        <v>5.9522314861081074E-2</v>
      </c>
      <c r="BQ128">
        <f t="shared" si="77"/>
        <v>1.7123232067008316</v>
      </c>
      <c r="BR128">
        <f t="shared" si="78"/>
        <v>43.671363067125043</v>
      </c>
      <c r="BS128">
        <f t="shared" si="54"/>
        <v>38.090295948393567</v>
      </c>
      <c r="BT128">
        <f t="shared" si="79"/>
        <v>81.761659015518603</v>
      </c>
      <c r="BU128" s="24">
        <f t="shared" si="80"/>
        <v>0.87220304733440313</v>
      </c>
      <c r="BV128" s="24">
        <f t="shared" si="81"/>
        <v>1.9973737075930384</v>
      </c>
      <c r="BW128" s="23">
        <f>IF(BM128=1,BR128*(1+FixedParams!$C$25)+BS128*(1+FixedParams!$C$28)/$BK$12,IF(BN128=1,BR128*(1+FixedParams!$C$23)+BS128*(1+FixedParams!$C$26)/$BK$12,BR128*(1+FixedParams!$C$24)+BS128*(1+FixedParams!$C$27)/$BK$12))</f>
        <v>183.84577312854887</v>
      </c>
      <c r="BX128" s="24">
        <f t="shared" si="82"/>
        <v>29.233664916442258</v>
      </c>
      <c r="BY128" s="24">
        <f>BX128^((FixedParams!$B$47-1)/FixedParams!$B$47)*EXP($C128)</f>
        <v>0.24899259697927262</v>
      </c>
      <c r="BZ128" s="24">
        <f t="shared" si="83"/>
        <v>3.5083526196396569E-2</v>
      </c>
      <c r="CA128" s="24">
        <f t="shared" si="84"/>
        <v>-1.0886591211155447E-2</v>
      </c>
      <c r="CB128" s="24">
        <f t="shared" si="85"/>
        <v>6.4418647082518047E-3</v>
      </c>
      <c r="CC128" s="24"/>
      <c r="CD128" s="24">
        <f>EXP(-$D$17)*(($B128*FixedParams!$B$30)^$B$10*(1+FixedParams!$D$24)^(1-$B$10)+(1-$B128)^$B$10*((1+FixedParams!$D$27)/$CE$12)^(1-$B$10))^(1/(1-$B$10))</f>
        <v>6.4380432940653831</v>
      </c>
      <c r="CE128" s="24">
        <f>EXP($D128-$D$17)*(($B128*FixedParams!$D$31)^$B$10*(1+FixedParams!$D$25)^(1-$B$10)+(1-$B128)^$B$10*((1+FixedParams!$D$28)/$CE$12)^(1-$B$10))^(1/(1-$B$10))</f>
        <v>6.141296074323261</v>
      </c>
      <c r="CF128" s="24">
        <f>EXP($D128-$D$17)*(($B128*FixedParams!$D$30)^$B$10*(1+FixedParams!$D$23)^(1-$B$10)+(1-$B128)^$B$10*((1+FixedParams!$D$26)/$CE$12)^(1-$B$10))^(1/(1-$B$10))</f>
        <v>6.0789504108579857</v>
      </c>
      <c r="CG128">
        <f>IF(FixedParams!$I$6=1,IF(CE128&lt;=MIN(CD128:CF128),1,0),$H128)</f>
        <v>0</v>
      </c>
      <c r="CH128">
        <f>IF(FixedParams!$I$6=1,IF(CF128&lt;=MIN(CD128:CF128),1,0),IF(CF128&lt;=CD128,1,0)*(1-$H128))</f>
        <v>1</v>
      </c>
      <c r="CI128" s="24">
        <f>$CE$13*IF(CG128=1,1,IF(CH128=1,FixedParams!$D$52,FixedParams!$D$53))</f>
        <v>0.32933267593211629</v>
      </c>
      <c r="CJ128">
        <f>EXP($C128*FixedParams!$B$47)*EXP(IF(CG128+CH128=1,(1-FixedParams!$B$47)*$D128,0))*($B128^((FixedParams!$B$47-1)*$B$10/($B$10-1)))*((1/$B128-1)^$B$10*(CI128)^($B$10-1)+1)^((FixedParams!$B$47-$B$10)/($B$10-1))/((1+IF(CG128=1,FixedParams!$D$25,IF(CH128=1,FixedParams!$D$23,FixedParams!$D$24)))^FixedParams!$B$47)</f>
        <v>6.1723666604672385E-2</v>
      </c>
      <c r="CK128">
        <f t="shared" si="86"/>
        <v>1.6252063740256377</v>
      </c>
      <c r="CL128">
        <f t="shared" si="88"/>
        <v>44.401096086853954</v>
      </c>
      <c r="CM128">
        <f t="shared" si="55"/>
        <v>38.5985340596214</v>
      </c>
      <c r="CN128">
        <f t="shared" si="89"/>
        <v>82.999630146475354</v>
      </c>
      <c r="CO128" s="24">
        <f t="shared" si="90"/>
        <v>0.86931489222964142</v>
      </c>
      <c r="CP128" s="24">
        <f t="shared" si="91"/>
        <v>1.9639384158789539</v>
      </c>
      <c r="CQ128" s="23">
        <f>IF(CG128=1,CL128*(1+FixedParams!$D$25)+CM128*(1+FixedParams!$D$28)/$CE$12,IF(CH128=1,CL128*(1+FixedParams!$D$23)+CM128*(1+FixedParams!$D$26)/$CE$12,CL128*(1+FixedParams!$D$24)+CM128*(1+FixedParams!$D$27)/$CE$12))</f>
        <v>180.24529936176862</v>
      </c>
      <c r="CR128" s="24">
        <f t="shared" si="92"/>
        <v>29.650727046534456</v>
      </c>
      <c r="CS128" s="24">
        <f>CR128^((FixedParams!$B$47-1)/FixedParams!$B$47)*EXP($C128)</f>
        <v>0.24898906632097773</v>
      </c>
      <c r="CT128" s="24"/>
    </row>
    <row r="129" spans="1:98" x14ac:dyDescent="0.15">
      <c r="A129">
        <v>0.56000000000000005</v>
      </c>
      <c r="B129">
        <f t="shared" si="56"/>
        <v>0.26780131834777687</v>
      </c>
      <c r="C129">
        <f>(D129-$D$17)*FixedParams!$B$47+$A129*$B$9</f>
        <v>-1.3994484901180309</v>
      </c>
      <c r="D129">
        <f>(A129-$B$6)*FixedParams!$B$46/(FixedParams!$B$45*Sectors!$B$6)</f>
        <v>3.2601085793568518E-2</v>
      </c>
      <c r="E129">
        <f t="shared" si="57"/>
        <v>0.24673300211383387</v>
      </c>
      <c r="F129" s="24">
        <f>EXP(-$D$17)*(($B129*FixedParams!$B$30)^$B$10*(1+FixedParams!$B$23)^(1-$B$10)+(1-$B129)^$B$10*((1+FixedParams!$B$26)/$B$11)^(1-$B$10))^(1/(1-$B$10))</f>
        <v>5.0217283206048346</v>
      </c>
      <c r="G129" s="24">
        <f>EXP($D129-$D$17)*(($B129*FixedParams!$B$31)^$B$10*(1+FixedParams!$B$25)^(1-$B$10)+(1-$B129)^$B$10*((1+FixedParams!$B$28)/$B$11)^(1-$B$10))^(1/(1-$B$10))</f>
        <v>4.9829243192648462</v>
      </c>
      <c r="H129">
        <f t="shared" si="58"/>
        <v>1</v>
      </c>
      <c r="I129" s="24">
        <f>$B$12*IF(H129=1,1,FixedParams!$B$52)</f>
        <v>0.3745928365283252</v>
      </c>
      <c r="J129">
        <f>EXP($C129*FixedParams!$B$47)*EXP(IF(H129=1,(1-FixedParams!$B$47)*$D129,0))*($B129^((FixedParams!$B$47-1)*$B$10/($B$10-1)))*((1/$B129-1)^$B$10*(I129)^($B$10-1)+1)^((FixedParams!$B$47-$B$10)/($B$10-1))/((1+IF(H129=1,FixedParams!$B$25,FixedParams!$B$24))^FixedParams!$B$47)</f>
        <v>6.5563503520130503E-2</v>
      </c>
      <c r="K129">
        <f t="shared" si="87"/>
        <v>1.3219295432365541</v>
      </c>
      <c r="L129">
        <f>K129*FixedParams!$B$8/K$15</f>
        <v>38.43262867939815</v>
      </c>
      <c r="M129">
        <f t="shared" si="47"/>
        <v>39.834891608515129</v>
      </c>
      <c r="N129">
        <f t="shared" si="59"/>
        <v>78.267520287913271</v>
      </c>
      <c r="O129" s="24">
        <f t="shared" si="60"/>
        <v>1.0364862612134742</v>
      </c>
      <c r="P129" s="24">
        <f t="shared" si="48"/>
        <v>1.9483984458215822</v>
      </c>
      <c r="Q129" s="23">
        <f>IF(H129=1,L129*(1+FixedParams!$B$25)+M129*FixedParams!$B$33*(1+FixedParams!$B$28)/FixedParams!$B$32,L129*(1+FixedParams!$B$23)+M129*FixedParams!$B$33*(1+FixedParams!$B$26)/FixedParams!$B$32)</f>
        <v>145.02819767083446</v>
      </c>
      <c r="R129" s="24">
        <f t="shared" si="49"/>
        <v>29.105037198765071</v>
      </c>
      <c r="S129" s="24">
        <f>R129^((FixedParams!$B$47-1)/FixedParams!$B$47)*EXP($C129)</f>
        <v>0.2459018575596168</v>
      </c>
      <c r="T129" s="7">
        <f>(L129*FixedParams!$B$32*(FixedParams!$C$25-FixedParams!$C$23)+FixedParams!$B$33*(FixedParams!$C$28-FixedParams!$C$26)*M129)/N129</f>
        <v>1112.9761026785327</v>
      </c>
      <c r="U129" s="7">
        <f>(L129*FixedParams!$B$32*(FixedParams!$C$25-FixedParams!$C$23)*$Z$12/$B$11+FixedParams!$B$33*(FixedParams!$C$28-FixedParams!$C$26)*M129)/N129</f>
        <v>619.80632095076567</v>
      </c>
      <c r="V129" s="14">
        <f t="shared" si="50"/>
        <v>-1.0177520099700681</v>
      </c>
      <c r="W129" s="14">
        <f t="shared" si="93"/>
        <v>0.77615490710984358</v>
      </c>
      <c r="X129" s="73">
        <f t="shared" si="62"/>
        <v>0.96816625711654425</v>
      </c>
      <c r="Y129" s="24">
        <f>EXP(-$D$17)*(($B129*FixedParams!$B$30)^$B$10*(1+FixedParams!$C$24)^(1-$B$10)+(1-$B129)^$B$10*((1+FixedParams!$C$27)/$Z$12)^(1-$B$10))^(1/(1-$B$10))</f>
        <v>6.6534603851176586</v>
      </c>
      <c r="Z129" s="24">
        <f>EXP($D129-$D$17)*(($B129*FixedParams!$C$31)^$B$10*(1+FixedParams!$C$25)^(1-$B$10)+(1-$B129)^$B$10*((1+FixedParams!$C$28)/$Z$12)^(1-$B$10))^(1/(1-$B$10))</f>
        <v>6.1252512535313297</v>
      </c>
      <c r="AA129" s="24">
        <f>EXP($D129-$D$17)*(($B129*FixedParams!$C$30)^$B$10*(1+FixedParams!$C$23)^(1-$B$10)+(1-$B129)^$B$10*((1+FixedParams!$C$26)/$Z$12)^(1-$B$10))^(1/(1-$B$10))</f>
        <v>6.0782130600093405</v>
      </c>
      <c r="AB129">
        <f>IF(FixedParams!$I$6=1,IF(Z129&lt;=MIN(Y129:AA129),1,0),$H129)</f>
        <v>0</v>
      </c>
      <c r="AC129">
        <f>IF(FixedParams!$I$6=1,IF(AA129&lt;=MIN(Y129:AA129),1,0),IF(AA129&lt;=Y129,1,0)*(1-$H129))</f>
        <v>1</v>
      </c>
      <c r="AD129" s="24">
        <f>$Z$13*IF(AB129=1,1,IF(AC129=1,FixedParams!$C$52,FixedParams!$C$53))</f>
        <v>0.34709202255780691</v>
      </c>
      <c r="AE129">
        <f>EXP($C129*FixedParams!$B$47)*EXP(IF(AB129+AC129=1,(1-FixedParams!$B$47)*$D129,0))*($B129^((FixedParams!$B$47-1)*$B$10/($B$10-1)))*((1/$B129-1)^$B$10*(AD129)^($B$10-1)+1)^((FixedParams!$B$47-$B$10)/($B$10-1))/((1+IF(AB129=1,FixedParams!$C$25,IF(AC129=1,FixedParams!$C$23,FixedParams!$C$24)))^FixedParams!$B$47)</f>
        <v>5.8446306164077234E-2</v>
      </c>
      <c r="AF129">
        <f t="shared" si="63"/>
        <v>1.7222478855481802</v>
      </c>
      <c r="AG129">
        <f t="shared" si="64"/>
        <v>40.452958106391996</v>
      </c>
      <c r="AH129">
        <f t="shared" si="51"/>
        <v>37.397414745052743</v>
      </c>
      <c r="AI129">
        <f t="shared" si="65"/>
        <v>77.850372851444746</v>
      </c>
      <c r="AJ129" s="24">
        <f t="shared" si="66"/>
        <v>0.92446675090352803</v>
      </c>
      <c r="AK129" s="24">
        <f t="shared" si="67"/>
        <v>2.0300856091273736</v>
      </c>
      <c r="AL129" s="23">
        <f>IF(AB129=1,AG129*(1+FixedParams!$C$25)+AH129*(1+FixedParams!$C$28)/$Z$12,IF(AC129=1,AG129*(1+FixedParams!$C$23)+AH129*(1+FixedParams!$C$26)/$Z$12,AG129*(1+FixedParams!$C$24)+AH129*(1+FixedParams!$C$27)/$Z$12))</f>
        <v>171.27501744683212</v>
      </c>
      <c r="AM129" s="24">
        <f t="shared" si="68"/>
        <v>28.17851492796617</v>
      </c>
      <c r="AN129" s="24">
        <f>AM129^((FixedParams!$B$47-1)/FixedParams!$B$47)*EXP($C129)</f>
        <v>0.2459098209342491</v>
      </c>
      <c r="AO129" s="24">
        <f t="shared" si="69"/>
        <v>-5.3440181754886755E-3</v>
      </c>
      <c r="AP129" s="24">
        <f t="shared" si="70"/>
        <v>-3.2351453233885108E-2</v>
      </c>
      <c r="AQ129" s="14">
        <f t="shared" si="71"/>
        <v>-0.97962714629101555</v>
      </c>
      <c r="AS129" s="24">
        <f>EXP(-$D$17)*(($B129*FixedParams!$B$30)^$B$10*(1+FixedParams!$D$24)^(1-$B$10)+(1-$B129)^$B$10*((1+FixedParams!$D$27)/$AT$12)^(1-$B$10))^(1/(1-$B$10))</f>
        <v>6.218559221758662</v>
      </c>
      <c r="AT129" s="24">
        <f>EXP($D129-$D$17)*(($B129*FixedParams!$C$31)^$B$10*(1+FixedParams!$D$25)^(1-$B$10)+(1-$B129)^$B$10*((1+FixedParams!$D$28)/$AT$12)^(1-$B$10))^(1/(1-$B$10))</f>
        <v>5.9485525530423686</v>
      </c>
      <c r="AU129" s="24">
        <f>EXP($D129-$D$17)*(($B129*FixedParams!$C$30)^$B$10*(1+FixedParams!$D$23)^(1-$B$10)+(1-$B129)^$B$10*((1+FixedParams!$D$26)/$AT$12)^(1-$B$10))^(1/(1-$B$10))</f>
        <v>5.8894127243278316</v>
      </c>
      <c r="AV129">
        <f>IF(FixedParams!$I$6=1,IF(AT129&lt;=MIN(AS129:AU129),1,0),$H129)</f>
        <v>0</v>
      </c>
      <c r="AW129">
        <f>IF(FixedParams!$I$6=1,IF(AU129&lt;=MIN(AS129:AU129),1,0),IF(AU129&lt;=AS129,1,0)*(1-$H129))</f>
        <v>1</v>
      </c>
      <c r="AX129" s="24">
        <f>$AT$13*IF(AV129=1,1,IF(AW129=1,FixedParams!$D$52,FixedParams!$D$53))</f>
        <v>0.3451899269505756</v>
      </c>
      <c r="AY129">
        <f>EXP($C129*FixedParams!$B$47)*EXP(IF(AV129+AW129=1,(1-FixedParams!$B$47)*$D129,0))*($B129^((FixedParams!$B$47-1)*$B$10/($B$10-1)))*((1/$B129-1)^$B$10*(AX129)^($B$10-1)+1)^((FixedParams!$B$47-$B$10)/($B$10-1))/((1+IF(AV129=1,FixedParams!$D$25,IF(AW129=1,FixedParams!$D$23,FixedParams!$D$24)))^FixedParams!$B$47)</f>
        <v>6.068047028532117E-2</v>
      </c>
      <c r="AZ129">
        <f t="shared" si="52"/>
        <v>1.6339782719856901</v>
      </c>
      <c r="BA129">
        <f t="shared" si="72"/>
        <v>41.110674790198182</v>
      </c>
      <c r="BB129">
        <f t="shared" si="53"/>
        <v>37.693470391379442</v>
      </c>
      <c r="BC129">
        <f t="shared" si="73"/>
        <v>78.804145181577624</v>
      </c>
      <c r="BD129" s="24">
        <f t="shared" si="74"/>
        <v>0.91687792972852178</v>
      </c>
      <c r="BE129" s="24">
        <f t="shared" si="75"/>
        <v>1.9943186290148616</v>
      </c>
      <c r="BF129" s="23">
        <f>IF(AV129=1,BA129*(1+FixedParams!$C$25)+BB129*(1+FixedParams!$C$28)/$AT$12,IF(AW129=1,BA129*(1+FixedParams!$C$23)+BB129*(1+FixedParams!$C$26)/$AT$12,BA129*(1+FixedParams!$C$24)+BB129*(1+FixedParams!$C$27)/$AT$12))</f>
        <v>171.30341734406935</v>
      </c>
      <c r="BG129" s="24">
        <f t="shared" si="76"/>
        <v>29.086672196780111</v>
      </c>
      <c r="BH129" s="24">
        <f>BG129^((FixedParams!$B$47-1)/FixedParams!$B$47)*EXP($C129)</f>
        <v>0.24590201292574151</v>
      </c>
      <c r="BI129" s="7"/>
      <c r="BJ129" s="24">
        <f>EXP(-$D$17)*(($B129*FixedParams!$B$30)^$B$10*(1+FixedParams!$C$24)^(1-$B$10)+(1-$B129)^$B$10*((1+FixedParams!$C$27)/$BK$12)^(1-$B$10))^(1/(1-$B$10))</f>
        <v>6.9111851367628967</v>
      </c>
      <c r="BK129" s="24">
        <f>EXP($D129-$D$17)*(($B129*FixedParams!$C$31)^$B$10*(1+FixedParams!$C$25)^(1-$B$10)+(1-$B129)^$B$10*((1+FixedParams!$C$28)/$BK$12)^(1-$B$10))^(1/(1-$B$10))</f>
        <v>6.3594437816234128</v>
      </c>
      <c r="BL129" s="24">
        <f>EXP($D129-$D$17)*(($B129*FixedParams!$C$30)^$B$10*(1+FixedParams!$C$23)^(1-$B$10)+(1-$B129)^$B$10*((1+FixedParams!$C$26)/$BK$12)^(1-$B$10))^(1/(1-$B$10))</f>
        <v>6.3038591425726205</v>
      </c>
      <c r="BM129">
        <f>IF(FixedParams!$I$6=1,IF(BK129&lt;=MIN(BJ129:BL129),1,0),$H129)</f>
        <v>0</v>
      </c>
      <c r="BN129">
        <f>IF(FixedParams!$I$6=1,IF(BL129&lt;=MIN(BJ129:BL129),1,0),IF(BL129&lt;=BJ129,1,0)*(1-$H129))</f>
        <v>1</v>
      </c>
      <c r="BO129" s="24">
        <f>$BK$13*IF(BM129=1,1,IF(BN129=1,FixedParams!$C$52,FixedParams!$C$53))</f>
        <v>0.33006170822567266</v>
      </c>
      <c r="BP129">
        <f>EXP($C129*FixedParams!$B$47)*EXP(IF(BM129+BN129=1,(1-FixedParams!$B$47)*$D129,0))*($B129^((FixedParams!$B$47-1)*$B$10/($B$10-1)))*((1/$B129-1)^$B$10*(BO129)^($B$10-1)+1)^((FixedParams!$B$47-$B$10)/($B$10-1))/((1+IF(BM129=1,FixedParams!$C$25,IF(BN129=1,FixedParams!$C$23,FixedParams!$C$24)))^FixedParams!$B$47)</f>
        <v>5.9523462982980842E-2</v>
      </c>
      <c r="BQ129">
        <f t="shared" si="77"/>
        <v>1.712356235587186</v>
      </c>
      <c r="BR129">
        <f t="shared" si="78"/>
        <v>43.672205441089282</v>
      </c>
      <c r="BS129">
        <f t="shared" si="54"/>
        <v>37.438822980334251</v>
      </c>
      <c r="BT129">
        <f t="shared" si="79"/>
        <v>81.111028421423526</v>
      </c>
      <c r="BU129" s="24">
        <f t="shared" si="80"/>
        <v>0.85726888766441112</v>
      </c>
      <c r="BV129" s="24">
        <f t="shared" si="81"/>
        <v>2.0021446204395543</v>
      </c>
      <c r="BW129" s="23">
        <f>IF(BM129=1,BR129*(1+FixedParams!$C$25)+BS129*(1+FixedParams!$C$28)/$BK$12,IF(BN129=1,BR129*(1+FixedParams!$C$23)+BS129*(1+FixedParams!$C$26)/$BK$12,BR129*(1+FixedParams!$C$24)+BS129*(1+FixedParams!$C$27)/$BK$12))</f>
        <v>181.56560013040061</v>
      </c>
      <c r="BX129" s="24">
        <f t="shared" si="82"/>
        <v>28.802293329210283</v>
      </c>
      <c r="BY129" s="24">
        <f>BX129^((FixedParams!$B$47-1)/FixedParams!$B$47)*EXP($C129)</f>
        <v>0.24590443135702575</v>
      </c>
      <c r="BZ129" s="24">
        <f t="shared" si="83"/>
        <v>3.5686231542739595E-2</v>
      </c>
      <c r="CA129" s="24">
        <f t="shared" si="84"/>
        <v>-1.0456245353248199E-2</v>
      </c>
      <c r="CB129" s="24">
        <f t="shared" si="85"/>
        <v>6.8722105661590521E-3</v>
      </c>
      <c r="CC129" s="24"/>
      <c r="CD129" s="24">
        <f>EXP(-$D$17)*(($B129*FixedParams!$B$30)^$B$10*(1+FixedParams!$D$24)^(1-$B$10)+(1-$B129)^$B$10*((1+FixedParams!$D$27)/$CE$12)^(1-$B$10))^(1/(1-$B$10))</f>
        <v>6.4411275999020265</v>
      </c>
      <c r="CE129" s="24">
        <f>EXP($D129-$D$17)*(($B129*FixedParams!$D$31)^$B$10*(1+FixedParams!$D$25)^(1-$B$10)+(1-$B129)^$B$10*((1+FixedParams!$D$28)/$CE$12)^(1-$B$10))^(1/(1-$B$10))</f>
        <v>6.1595516376843973</v>
      </c>
      <c r="CF129" s="24">
        <f>EXP($D129-$D$17)*(($B129*FixedParams!$D$30)^$B$10*(1+FixedParams!$D$23)^(1-$B$10)+(1-$B129)^$B$10*((1+FixedParams!$D$26)/$CE$12)^(1-$B$10))^(1/(1-$B$10))</f>
        <v>6.0934240113772393</v>
      </c>
      <c r="CG129">
        <f>IF(FixedParams!$I$6=1,IF(CE129&lt;=MIN(CD129:CF129),1,0),$H129)</f>
        <v>0</v>
      </c>
      <c r="CH129">
        <f>IF(FixedParams!$I$6=1,IF(CF129&lt;=MIN(CD129:CF129),1,0),IF(CF129&lt;=CD129,1,0)*(1-$H129))</f>
        <v>1</v>
      </c>
      <c r="CI129" s="24">
        <f>$CE$13*IF(CG129=1,1,IF(CH129=1,FixedParams!$D$52,FixedParams!$D$53))</f>
        <v>0.32933267593211629</v>
      </c>
      <c r="CJ129">
        <f>EXP($C129*FixedParams!$B$47)*EXP(IF(CG129+CH129=1,(1-FixedParams!$B$47)*$D129,0))*($B129^((FixedParams!$B$47-1)*$B$10/($B$10-1)))*((1/$B129-1)^$B$10*(CI129)^($B$10-1)+1)^((FixedParams!$B$47-$B$10)/($B$10-1))/((1+IF(CG129=1,FixedParams!$D$25,IF(CH129=1,FixedParams!$D$23,FixedParams!$D$24)))^FixedParams!$B$47)</f>
        <v>6.1724621009860932E-2</v>
      </c>
      <c r="CK129">
        <f t="shared" si="86"/>
        <v>1.6252315038580205</v>
      </c>
      <c r="CL129">
        <f t="shared" si="88"/>
        <v>44.401782640955702</v>
      </c>
      <c r="CM129">
        <f t="shared" si="55"/>
        <v>37.93822333589452</v>
      </c>
      <c r="CN129">
        <f t="shared" si="89"/>
        <v>82.340005976850222</v>
      </c>
      <c r="CO129" s="24">
        <f t="shared" si="90"/>
        <v>0.85443018454175157</v>
      </c>
      <c r="CP129" s="24">
        <f t="shared" si="91"/>
        <v>1.9686144303476811</v>
      </c>
      <c r="CQ129" s="23">
        <f>IF(CG129=1,CL129*(1+FixedParams!$D$25)+CM129*(1+FixedParams!$D$28)/$CE$12,IF(CH129=1,CL129*(1+FixedParams!$D$23)+CM129*(1+FixedParams!$D$26)/$CE$12,CL129*(1+FixedParams!$D$24)+CM129*(1+FixedParams!$D$27)/$CE$12))</f>
        <v>178.00978038520037</v>
      </c>
      <c r="CR129" s="24">
        <f t="shared" si="92"/>
        <v>29.21342418529094</v>
      </c>
      <c r="CS129" s="24">
        <f>CR129^((FixedParams!$B$47-1)/FixedParams!$B$47)*EXP($C129)</f>
        <v>0.24590094261018181</v>
      </c>
      <c r="CT129" s="24"/>
    </row>
    <row r="130" spans="1:98" x14ac:dyDescent="0.15">
      <c r="A130">
        <v>0.56500000000000006</v>
      </c>
      <c r="B130">
        <f t="shared" si="56"/>
        <v>0.27006500482688101</v>
      </c>
      <c r="C130">
        <f>(D130-$D$17)*FixedParams!$B$47+$A130*$B$9</f>
        <v>-1.4119435659226562</v>
      </c>
      <c r="D130">
        <f>(A130-$B$6)*FixedParams!$B$46/(FixedParams!$B$45*Sectors!$B$6)</f>
        <v>3.5317842943032557E-2</v>
      </c>
      <c r="E130">
        <f t="shared" si="57"/>
        <v>0.24366923540879998</v>
      </c>
      <c r="F130" s="24">
        <f>EXP(-$D$17)*(($B130*FixedParams!$B$30)^$B$10*(1+FixedParams!$B$23)^(1-$B$10)+(1-$B130)^$B$10*((1+FixedParams!$B$26)/$B$11)^(1-$B$10))^(1/(1-$B$10))</f>
        <v>5.0227617755444935</v>
      </c>
      <c r="G130" s="24">
        <f>EXP($D130-$D$17)*(($B130*FixedParams!$B$31)^$B$10*(1+FixedParams!$B$25)^(1-$B$10)+(1-$B130)^$B$10*((1+FixedParams!$B$28)/$B$11)^(1-$B$10))^(1/(1-$B$10))</f>
        <v>4.9967870324759236</v>
      </c>
      <c r="H130">
        <f t="shared" si="58"/>
        <v>1</v>
      </c>
      <c r="I130" s="24">
        <f>$B$12*IF(H130=1,1,FixedParams!$B$52)</f>
        <v>0.3745928365283252</v>
      </c>
      <c r="J130">
        <f>EXP($C130*FixedParams!$B$47)*EXP(IF(H130=1,(1-FixedParams!$B$47)*$D130,0))*($B130^((FixedParams!$B$47-1)*$B$10/($B$10-1)))*((1/$B130-1)^$B$10*(I130)^($B$10-1)+1)^((FixedParams!$B$47-$B$10)/($B$10-1))/((1+IF(H130=1,FixedParams!$B$25,FixedParams!$B$24))^FixedParams!$B$47)</f>
        <v>6.5575103263264822E-2</v>
      </c>
      <c r="K130">
        <f t="shared" si="87"/>
        <v>1.3221634240135096</v>
      </c>
      <c r="L130">
        <f>K130*FixedParams!$B$8/K$15</f>
        <v>38.439428325492734</v>
      </c>
      <c r="M130">
        <f t="shared" si="47"/>
        <v>39.159752000261022</v>
      </c>
      <c r="N130">
        <f t="shared" si="59"/>
        <v>77.599180325753764</v>
      </c>
      <c r="O130" s="24">
        <f t="shared" si="60"/>
        <v>1.0187391880198846</v>
      </c>
      <c r="P130" s="24">
        <f t="shared" si="48"/>
        <v>1.9538189754432962</v>
      </c>
      <c r="Q130" s="23">
        <f>IF(H130=1,L130*(1+FixedParams!$B$25)+M130*FixedParams!$B$33*(1+FixedParams!$B$28)/FixedParams!$B$32,L130*(1+FixedParams!$B$23)+M130*FixedParams!$B$33*(1+FixedParams!$B$26)/FixedParams!$B$32)</f>
        <v>143.2295213075447</v>
      </c>
      <c r="R130" s="24">
        <f t="shared" si="49"/>
        <v>28.664323769783323</v>
      </c>
      <c r="S130" s="24">
        <f>R130^((FixedParams!$B$47-1)/FixedParams!$B$47)*EXP($C130)</f>
        <v>0.24285212057063907</v>
      </c>
      <c r="T130" s="7">
        <f>(L130*FixedParams!$B$32*(FixedParams!$C$25-FixedParams!$C$23)+FixedParams!$B$33*(FixedParams!$C$28-FixedParams!$C$26)*M130)/N130</f>
        <v>1161.950282196452</v>
      </c>
      <c r="U130" s="7">
        <f>(L130*FixedParams!$B$32*(FixedParams!$C$25-FixedParams!$C$23)*$Z$12/$B$11+FixedParams!$B$33*(FixedParams!$C$28-FixedParams!$C$26)*M130)/N130</f>
        <v>664.44496259181165</v>
      </c>
      <c r="V130" s="14">
        <f t="shared" si="50"/>
        <v>-1.0004813846739842</v>
      </c>
      <c r="W130" s="14">
        <f t="shared" si="93"/>
        <v>0.77996098176166273</v>
      </c>
      <c r="X130" s="73">
        <f t="shared" si="62"/>
        <v>0.96841785664191182</v>
      </c>
      <c r="Y130" s="24">
        <f>EXP(-$D$17)*(($B130*FixedParams!$B$30)^$B$10*(1+FixedParams!$C$24)^(1-$B$10)+(1-$B130)^$B$10*((1+FixedParams!$C$27)/$Z$12)^(1-$B$10))^(1/(1-$B$10))</f>
        <v>6.6592208009698739</v>
      </c>
      <c r="Z130" s="24">
        <f>EXP($D130-$D$17)*(($B130*FixedParams!$C$31)^$B$10*(1+FixedParams!$C$25)^(1-$B$10)+(1-$B130)^$B$10*((1+FixedParams!$C$28)/$Z$12)^(1-$B$10))^(1/(1-$B$10))</f>
        <v>6.1451984672173747</v>
      </c>
      <c r="AA130" s="24">
        <f>EXP($D130-$D$17)*(($B130*FixedParams!$C$30)^$B$10*(1+FixedParams!$C$23)^(1-$B$10)+(1-$B130)^$B$10*((1+FixedParams!$C$26)/$Z$12)^(1-$B$10))^(1/(1-$B$10))</f>
        <v>6.093537787768442</v>
      </c>
      <c r="AB130">
        <f>IF(FixedParams!$I$6=1,IF(Z130&lt;=MIN(Y130:AA130),1,0),$H130)</f>
        <v>0</v>
      </c>
      <c r="AC130">
        <f>IF(FixedParams!$I$6=1,IF(AA130&lt;=MIN(Y130:AA130),1,0),IF(AA130&lt;=Y130,1,0)*(1-$H130))</f>
        <v>1</v>
      </c>
      <c r="AD130" s="24">
        <f>$Z$13*IF(AB130=1,1,IF(AC130=1,FixedParams!$C$52,FixedParams!$C$53))</f>
        <v>0.34709202255780691</v>
      </c>
      <c r="AE130">
        <f>EXP($C130*FixedParams!$B$47)*EXP(IF(AB130+AC130=1,(1-FixedParams!$B$47)*$D130,0))*($B130^((FixedParams!$B$47-1)*$B$10/($B$10-1)))*((1/$B130-1)^$B$10*(AD130)^($B$10-1)+1)^((FixedParams!$B$47-$B$10)/($B$10-1))/((1+IF(AB130=1,FixedParams!$C$25,IF(AC130=1,FixedParams!$C$23,FixedParams!$C$24)))^FixedParams!$B$47)</f>
        <v>5.8449029752452704E-2</v>
      </c>
      <c r="AF130">
        <f t="shared" si="63"/>
        <v>1.722328142019951</v>
      </c>
      <c r="AG130">
        <f t="shared" si="64"/>
        <v>40.45484320767013</v>
      </c>
      <c r="AH130">
        <f t="shared" si="51"/>
        <v>36.758796259683017</v>
      </c>
      <c r="AI130">
        <f t="shared" si="65"/>
        <v>77.213639467353147</v>
      </c>
      <c r="AJ130" s="24">
        <f t="shared" si="66"/>
        <v>0.90863771417889583</v>
      </c>
      <c r="AK130" s="24">
        <f t="shared" si="67"/>
        <v>2.0352039735184202</v>
      </c>
      <c r="AL130" s="23">
        <f>IF(AB130=1,AG130*(1+FixedParams!$C$25)+AH130*(1+FixedParams!$C$28)/$Z$12,IF(AC130=1,AG130*(1+FixedParams!$C$23)+AH130*(1+FixedParams!$C$26)/$Z$12,AG130*(1+FixedParams!$C$24)+AH130*(1+FixedParams!$C$27)/$Z$12))</f>
        <v>169.15077739493418</v>
      </c>
      <c r="AM130" s="24">
        <f t="shared" si="68"/>
        <v>27.759042987223371</v>
      </c>
      <c r="AN130" s="24">
        <f>AM130^((FixedParams!$B$47-1)/FixedParams!$B$47)*EXP($C130)</f>
        <v>0.24285992201396003</v>
      </c>
      <c r="AO130" s="24">
        <f t="shared" si="69"/>
        <v>-4.9807458575008914E-3</v>
      </c>
      <c r="AP130" s="24">
        <f t="shared" si="70"/>
        <v>-3.209161476366771E-2</v>
      </c>
      <c r="AQ130" s="14">
        <f t="shared" si="71"/>
        <v>-0.96235652099493163</v>
      </c>
      <c r="AS130" s="24">
        <f>EXP(-$D$17)*(($B130*FixedParams!$B$30)^$B$10*(1+FixedParams!$D$24)^(1-$B$10)+(1-$B130)^$B$10*((1+FixedParams!$D$27)/$AT$12)^(1-$B$10))^(1/(1-$B$10))</f>
        <v>6.2222766078204677</v>
      </c>
      <c r="AT130" s="24">
        <f>EXP($D130-$D$17)*(($B130*FixedParams!$C$31)^$B$10*(1+FixedParams!$D$25)^(1-$B$10)+(1-$B130)^$B$10*((1+FixedParams!$D$28)/$AT$12)^(1-$B$10))^(1/(1-$B$10))</f>
        <v>5.9669472427338555</v>
      </c>
      <c r="AU130" s="24">
        <f>EXP($D130-$D$17)*(($B130*FixedParams!$C$30)^$B$10*(1+FixedParams!$D$23)^(1-$B$10)+(1-$B130)^$B$10*((1+FixedParams!$D$26)/$AT$12)^(1-$B$10))^(1/(1-$B$10))</f>
        <v>5.9041497320683538</v>
      </c>
      <c r="AV130">
        <f>IF(FixedParams!$I$6=1,IF(AT130&lt;=MIN(AS130:AU130),1,0),$H130)</f>
        <v>0</v>
      </c>
      <c r="AW130">
        <f>IF(FixedParams!$I$6=1,IF(AU130&lt;=MIN(AS130:AU130),1,0),IF(AU130&lt;=AS130,1,0)*(1-$H130))</f>
        <v>1</v>
      </c>
      <c r="AX130" s="24">
        <f>$AT$13*IF(AV130=1,1,IF(AW130=1,FixedParams!$D$52,FixedParams!$D$53))</f>
        <v>0.3451899269505756</v>
      </c>
      <c r="AY130">
        <f>EXP($C130*FixedParams!$B$47)*EXP(IF(AV130+AW130=1,(1-FixedParams!$B$47)*$D130,0))*($B130^((FixedParams!$B$47-1)*$B$10/($B$10-1)))*((1/$B130-1)^$B$10*(AX130)^($B$10-1)+1)^((FixedParams!$B$47-$B$10)/($B$10-1))/((1+IF(AV130=1,FixedParams!$D$25,IF(AW130=1,FixedParams!$D$23,FixedParams!$D$24)))^FixedParams!$B$47)</f>
        <v>6.0682722783318738E-2</v>
      </c>
      <c r="AZ130">
        <f t="shared" si="52"/>
        <v>1.6340389263077217</v>
      </c>
      <c r="BA130">
        <f t="shared" si="72"/>
        <v>41.112200844828408</v>
      </c>
      <c r="BB130">
        <f t="shared" si="53"/>
        <v>37.049445113722662</v>
      </c>
      <c r="BC130">
        <f t="shared" si="73"/>
        <v>78.161645958551077</v>
      </c>
      <c r="BD130" s="24">
        <f t="shared" si="74"/>
        <v>0.9011788314023863</v>
      </c>
      <c r="BE130" s="24">
        <f t="shared" si="75"/>
        <v>1.9993089889112661</v>
      </c>
      <c r="BF130" s="23">
        <f>IF(AV130=1,BA130*(1+FixedParams!$C$25)+BB130*(1+FixedParams!$C$28)/$AT$12,IF(AW130=1,BA130*(1+FixedParams!$C$23)+BB130*(1+FixedParams!$C$26)/$AT$12,BA130*(1+FixedParams!$C$24)+BB130*(1+FixedParams!$C$27)/$AT$12))</f>
        <v>169.19010449392619</v>
      </c>
      <c r="BG130" s="24">
        <f t="shared" si="76"/>
        <v>28.65613376553971</v>
      </c>
      <c r="BH130" s="24">
        <f>BG130^((FixedParams!$B$47-1)/FixedParams!$B$47)*EXP($C130)</f>
        <v>0.24285219003802408</v>
      </c>
      <c r="BI130" s="7"/>
      <c r="BJ130" s="24">
        <f>EXP(-$D$17)*(($B130*FixedParams!$B$30)^$B$10*(1+FixedParams!$C$24)^(1-$B$10)+(1-$B130)^$B$10*((1+FixedParams!$C$27)/$BK$12)^(1-$B$10))^(1/(1-$B$10))</f>
        <v>6.9160533509686095</v>
      </c>
      <c r="BK130" s="24">
        <f>EXP($D130-$D$17)*(($B130*FixedParams!$C$31)^$B$10*(1+FixedParams!$C$25)^(1-$B$10)+(1-$B130)^$B$10*((1+FixedParams!$C$28)/$BK$12)^(1-$B$10))^(1/(1-$B$10))</f>
        <v>6.3790983051110137</v>
      </c>
      <c r="BL130" s="24">
        <f>EXP($D130-$D$17)*(($B130*FixedParams!$C$30)^$B$10*(1+FixedParams!$C$23)^(1-$B$10)+(1-$B130)^$B$10*((1+FixedParams!$C$26)/$BK$12)^(1-$B$10))^(1/(1-$B$10))</f>
        <v>6.3186526841104245</v>
      </c>
      <c r="BM130">
        <f>IF(FixedParams!$I$6=1,IF(BK130&lt;=MIN(BJ130:BL130),1,0),$H130)</f>
        <v>0</v>
      </c>
      <c r="BN130">
        <f>IF(FixedParams!$I$6=1,IF(BL130&lt;=MIN(BJ130:BL130),1,0),IF(BL130&lt;=BJ130,1,0)*(1-$H130))</f>
        <v>1</v>
      </c>
      <c r="BO130" s="24">
        <f>$BK$13*IF(BM130=1,1,IF(BN130=1,FixedParams!$C$52,FixedParams!$C$53))</f>
        <v>0.33006170822567266</v>
      </c>
      <c r="BP130">
        <f>EXP($C130*FixedParams!$B$47)*EXP(IF(BM130+BN130=1,(1-FixedParams!$B$47)*$D130,0))*($B130^((FixedParams!$B$47-1)*$B$10/($B$10-1)))*((1/$B130-1)^$B$10*(BO130)^($B$10-1)+1)^((FixedParams!$B$47-$B$10)/($B$10-1))/((1+IF(BM130=1,FixedParams!$C$25,IF(BN130=1,FixedParams!$C$23,FixedParams!$C$24)))^FixedParams!$B$47)</f>
        <v>5.9521045227247993E-2</v>
      </c>
      <c r="BQ130">
        <f t="shared" si="77"/>
        <v>1.7122866821892855</v>
      </c>
      <c r="BR130">
        <f t="shared" si="78"/>
        <v>43.67043154018063</v>
      </c>
      <c r="BS130">
        <f t="shared" si="54"/>
        <v>36.796287942904385</v>
      </c>
      <c r="BT130">
        <f t="shared" si="79"/>
        <v>80.466719483085015</v>
      </c>
      <c r="BU130" s="24">
        <f t="shared" si="80"/>
        <v>0.84259043579747017</v>
      </c>
      <c r="BV130" s="24">
        <f t="shared" si="81"/>
        <v>2.0068431406534875</v>
      </c>
      <c r="BW130" s="23">
        <f>IF(BM130=1,BR130*(1+FixedParams!$C$25)+BS130*(1+FixedParams!$C$28)/$BK$12,IF(BN130=1,BR130*(1+FixedParams!$C$23)+BS130*(1+FixedParams!$C$26)/$BK$12,BR130*(1+FixedParams!$C$24)+BS130*(1+FixedParams!$C$27)/$BK$12))</f>
        <v>179.31369981137948</v>
      </c>
      <c r="BX130" s="24">
        <f t="shared" si="82"/>
        <v>28.378470660731413</v>
      </c>
      <c r="BY130" s="24">
        <f>BX130^((FixedParams!$B$47-1)/FixedParams!$B$47)*EXP($C130)</f>
        <v>0.24285455700294181</v>
      </c>
      <c r="BZ130" s="24">
        <f t="shared" si="83"/>
        <v>3.6286812050538554E-2</v>
      </c>
      <c r="CA130" s="24">
        <f t="shared" si="84"/>
        <v>-1.0022492927955243E-2</v>
      </c>
      <c r="CB130" s="24">
        <f t="shared" si="85"/>
        <v>7.3059629914520082E-3</v>
      </c>
      <c r="CC130" s="24"/>
      <c r="CD130" s="24">
        <f>EXP(-$D$17)*(($B130*FixedParams!$B$30)^$B$10*(1+FixedParams!$D$24)^(1-$B$10)+(1-$B130)^$B$10*((1+FixedParams!$D$27)/$CE$12)^(1-$B$10))^(1/(1-$B$10))</f>
        <v>6.4439866581215446</v>
      </c>
      <c r="CE130" s="24">
        <f>EXP($D130-$D$17)*(($B130*FixedParams!$D$31)^$B$10*(1+FixedParams!$D$25)^(1-$B$10)+(1-$B130)^$B$10*((1+FixedParams!$D$28)/$CE$12)^(1-$B$10))^(1/(1-$B$10))</f>
        <v>6.1776323021848318</v>
      </c>
      <c r="CF130" s="24">
        <f>EXP($D130-$D$17)*(($B130*FixedParams!$D$30)^$B$10*(1+FixedParams!$D$23)^(1-$B$10)+(1-$B130)^$B$10*((1+FixedParams!$D$26)/$CE$12)^(1-$B$10))^(1/(1-$B$10))</f>
        <v>6.1076767099946876</v>
      </c>
      <c r="CG130">
        <f>IF(FixedParams!$I$6=1,IF(CE130&lt;=MIN(CD130:CF130),1,0),$H130)</f>
        <v>0</v>
      </c>
      <c r="CH130">
        <f>IF(FixedParams!$I$6=1,IF(CF130&lt;=MIN(CD130:CF130),1,0),IF(CF130&lt;=CD130,1,0)*(1-$H130))</f>
        <v>1</v>
      </c>
      <c r="CI130" s="24">
        <f>$CE$13*IF(CG130=1,1,IF(CH130=1,FixedParams!$D$52,FixedParams!$D$53))</f>
        <v>0.32933267593211629</v>
      </c>
      <c r="CJ130">
        <f>EXP($C130*FixedParams!$B$47)*EXP(IF(CG130+CH130=1,(1-FixedParams!$B$47)*$D130,0))*($B130^((FixedParams!$B$47-1)*$B$10/($B$10-1)))*((1/$B130-1)^$B$10*(CI130)^($B$10-1)+1)^((FixedParams!$B$47-$B$10)/($B$10-1))/((1+IF(CG130=1,FixedParams!$D$25,IF(CH130=1,FixedParams!$D$23,FixedParams!$D$24)))^FixedParams!$B$47)</f>
        <v>6.1721875861285427E-2</v>
      </c>
      <c r="CK130">
        <f t="shared" si="86"/>
        <v>1.6251592231072489</v>
      </c>
      <c r="CL130">
        <f t="shared" si="88"/>
        <v>44.399807910477449</v>
      </c>
      <c r="CM130">
        <f t="shared" si="55"/>
        <v>37.28697368694047</v>
      </c>
      <c r="CN130">
        <f t="shared" si="89"/>
        <v>81.686781597417919</v>
      </c>
      <c r="CO130" s="24">
        <f t="shared" si="90"/>
        <v>0.83980033792311759</v>
      </c>
      <c r="CP130" s="24">
        <f t="shared" si="91"/>
        <v>1.9732190776063188</v>
      </c>
      <c r="CQ130" s="23">
        <f>IF(CG130=1,CL130*(1+FixedParams!$D$25)+CM130*(1+FixedParams!$D$28)/$CE$12,IF(CH130=1,CL130*(1+FixedParams!$D$23)+CM130*(1+FixedParams!$D$26)/$CE$12,CL130*(1+FixedParams!$D$24)+CM130*(1+FixedParams!$D$27)/$CE$12))</f>
        <v>175.80198041313793</v>
      </c>
      <c r="CR130" s="24">
        <f t="shared" si="92"/>
        <v>28.78377307126507</v>
      </c>
      <c r="CS130" s="24">
        <f>CR130^((FixedParams!$B$47-1)/FixedParams!$B$47)*EXP($C130)</f>
        <v>0.24285110965690213</v>
      </c>
      <c r="CT130" s="24"/>
    </row>
    <row r="131" spans="1:98" x14ac:dyDescent="0.15">
      <c r="A131">
        <v>0.57000000000000006</v>
      </c>
      <c r="B131">
        <f t="shared" si="56"/>
        <v>0.27234070881954797</v>
      </c>
      <c r="C131">
        <f>(D131-$D$17)*FixedParams!$B$47+$A131*$B$9</f>
        <v>-1.4244386417272814</v>
      </c>
      <c r="D131">
        <f>(A131-$B$6)*FixedParams!$B$46/(FixedParams!$B$45*Sectors!$B$6)</f>
        <v>3.8034600092496602E-2</v>
      </c>
      <c r="E131">
        <f t="shared" si="57"/>
        <v>0.24064351252580232</v>
      </c>
      <c r="F131" s="24">
        <f>EXP(-$D$17)*(($B131*FixedParams!$B$30)^$B$10*(1+FixedParams!$B$23)^(1-$B$10)+(1-$B131)^$B$10*((1+FixedParams!$B$26)/$B$11)^(1-$B$10))^(1/(1-$B$10))</f>
        <v>5.0236060693480233</v>
      </c>
      <c r="G131" s="24">
        <f>EXP($D131-$D$17)*(($B131*FixedParams!$B$31)^$B$10*(1+FixedParams!$B$25)^(1-$B$10)+(1-$B131)^$B$10*((1+FixedParams!$B$28)/$B$11)^(1-$B$10))^(1/(1-$B$10))</f>
        <v>5.0104935819356182</v>
      </c>
      <c r="H131">
        <f t="shared" si="58"/>
        <v>1</v>
      </c>
      <c r="I131" s="24">
        <f>$B$12*IF(H131=1,1,FixedParams!$B$52)</f>
        <v>0.3745928365283252</v>
      </c>
      <c r="J131">
        <f>EXP($C131*FixedParams!$B$47)*EXP(IF(H131=1,(1-FixedParams!$B$47)*$D131,0))*($B131^((FixedParams!$B$47-1)*$B$10/($B$10-1)))*((1/$B131-1)^$B$10*(I131)^($B$10-1)+1)^((FixedParams!$B$47-$B$10)/($B$10-1))/((1+IF(H131=1,FixedParams!$B$25,FixedParams!$B$24))^FixedParams!$B$47)</f>
        <v>6.558285720736616E-2</v>
      </c>
      <c r="K131">
        <f t="shared" si="87"/>
        <v>1.3223197635505055</v>
      </c>
      <c r="L131">
        <f>K131*FixedParams!$B$8/K$15</f>
        <v>38.443973605083478</v>
      </c>
      <c r="M131">
        <f t="shared" si="47"/>
        <v>38.493796468166117</v>
      </c>
      <c r="N131">
        <f t="shared" si="59"/>
        <v>76.937770073249595</v>
      </c>
      <c r="O131" s="24">
        <f t="shared" si="60"/>
        <v>1.0012959862992947</v>
      </c>
      <c r="P131" s="24">
        <f t="shared" si="48"/>
        <v>1.9591784426865766</v>
      </c>
      <c r="Q131" s="23">
        <f>IF(H131=1,L131*(1+FixedParams!$B$25)+M131*FixedParams!$B$33*(1+FixedParams!$B$28)/FixedParams!$B$32,L131*(1+FixedParams!$B$23)+M131*FixedParams!$B$33*(1+FixedParams!$B$26)/FixedParams!$B$32)</f>
        <v>141.45314708572482</v>
      </c>
      <c r="R131" s="24">
        <f t="shared" si="49"/>
        <v>28.231379757816125</v>
      </c>
      <c r="S131" s="24">
        <f>R131^((FixedParams!$B$47-1)/FixedParams!$B$47)*EXP($C131)</f>
        <v>0.23984019786952443</v>
      </c>
      <c r="T131" s="7">
        <f>(L131*FixedParams!$B$32*(FixedParams!$C$25-FixedParams!$C$23)+FixedParams!$B$33*(FixedParams!$C$28-FixedParams!$C$26)*M131)/N131</f>
        <v>1210.9323135247676</v>
      </c>
      <c r="U131" s="7">
        <f>(L131*FixedParams!$B$32*(FixedParams!$C$25-FixedParams!$C$23)*$Z$12/$B$11+FixedParams!$B$33*(FixedParams!$C$28-FixedParams!$C$26)*M131)/N131</f>
        <v>709.09076094592444</v>
      </c>
      <c r="V131" s="14">
        <f t="shared" si="50"/>
        <v>-0.9832107593779007</v>
      </c>
      <c r="W131" s="14">
        <f t="shared" si="93"/>
        <v>0.78373461564818081</v>
      </c>
      <c r="X131" s="73">
        <f t="shared" si="62"/>
        <v>0.96867150606873698</v>
      </c>
      <c r="Y131" s="24">
        <f>EXP(-$D$17)*(($B131*FixedParams!$B$30)^$B$10*(1+FixedParams!$C$24)^(1-$B$10)+(1-$B131)^$B$10*((1+FixedParams!$C$27)/$Z$12)^(1-$B$10))^(1/(1-$B$10))</f>
        <v>6.6647723164268289</v>
      </c>
      <c r="Z131" s="24">
        <f>EXP($D131-$D$17)*(($B131*FixedParams!$C$31)^$B$10*(1+FixedParams!$C$25)^(1-$B$10)+(1-$B131)^$B$10*((1+FixedParams!$C$28)/$Z$12)^(1-$B$10))^(1/(1-$B$10))</f>
        <v>6.1649951191979406</v>
      </c>
      <c r="AA131" s="24">
        <f>EXP($D131-$D$17)*(($B131*FixedParams!$C$30)^$B$10*(1+FixedParams!$C$23)^(1-$B$10)+(1-$B131)^$B$10*((1+FixedParams!$C$26)/$Z$12)^(1-$B$10))^(1/(1-$B$10))</f>
        <v>6.1086512154505286</v>
      </c>
      <c r="AB131">
        <f>IF(FixedParams!$I$6=1,IF(Z131&lt;=MIN(Y131:AA131),1,0),$H131)</f>
        <v>0</v>
      </c>
      <c r="AC131">
        <f>IF(FixedParams!$I$6=1,IF(AA131&lt;=MIN(Y131:AA131),1,0),IF(AA131&lt;=Y131,1,0)*(1-$H131))</f>
        <v>1</v>
      </c>
      <c r="AD131" s="24">
        <f>$Z$13*IF(AB131=1,1,IF(AC131=1,FixedParams!$C$52,FixedParams!$C$53))</f>
        <v>0.34709202255780691</v>
      </c>
      <c r="AE131">
        <f>EXP($C131*FixedParams!$B$47)*EXP(IF(AB131+AC131=1,(1-FixedParams!$B$47)*$D131,0))*($B131^((FixedParams!$B$47-1)*$B$10/($B$10-1)))*((1/$B131-1)^$B$10*(AD131)^($B$10-1)+1)^((FixedParams!$B$47-$B$10)/($B$10-1))/((1+IF(AB131=1,FixedParams!$C$25,IF(AC131=1,FixedParams!$C$23,FixedParams!$C$24)))^FixedParams!$B$47)</f>
        <v>5.8448264159546251E-2</v>
      </c>
      <c r="AF131">
        <f t="shared" si="63"/>
        <v>1.7223055821551645</v>
      </c>
      <c r="AG131">
        <f t="shared" si="64"/>
        <v>40.454313311089763</v>
      </c>
      <c r="AH131">
        <f t="shared" si="51"/>
        <v>36.128926305013707</v>
      </c>
      <c r="AI131">
        <f t="shared" si="65"/>
        <v>76.583239616103469</v>
      </c>
      <c r="AJ131" s="24">
        <f t="shared" si="66"/>
        <v>0.89307970764911404</v>
      </c>
      <c r="AK131" s="24">
        <f t="shared" si="67"/>
        <v>2.0402517649892156</v>
      </c>
      <c r="AL131" s="23">
        <f>IF(AB131=1,AG131*(1+FixedParams!$C$25)+AH131*(1+FixedParams!$C$28)/$Z$12,IF(AC131=1,AG131*(1+FixedParams!$C$23)+AH131*(1+FixedParams!$C$26)/$Z$12,AG131*(1+FixedParams!$C$24)+AH131*(1+FixedParams!$C$27)/$Z$12))</f>
        <v>167.05287641583146</v>
      </c>
      <c r="AM131" s="24">
        <f t="shared" si="68"/>
        <v>27.346933148402201</v>
      </c>
      <c r="AN131" s="24">
        <f>AM131^((FixedParams!$B$47-1)/FixedParams!$B$47)*EXP($C131)</f>
        <v>0.23984783968111728</v>
      </c>
      <c r="AO131" s="24">
        <f t="shared" si="69"/>
        <v>-4.6186653944282376E-3</v>
      </c>
      <c r="AP131" s="24">
        <f t="shared" si="70"/>
        <v>-3.1829727590925276E-2</v>
      </c>
      <c r="AQ131" s="14">
        <f t="shared" si="71"/>
        <v>-0.94508589569884838</v>
      </c>
      <c r="AS131" s="24">
        <f>EXP(-$D$17)*(($B131*FixedParams!$B$30)^$B$10*(1+FixedParams!$D$24)^(1-$B$10)+(1-$B131)^$B$10*((1+FixedParams!$D$27)/$AT$12)^(1-$B$10))^(1/(1-$B$10))</f>
        <v>6.2257819203295721</v>
      </c>
      <c r="AT131" s="24">
        <f>EXP($D131-$D$17)*(($B131*FixedParams!$C$31)^$B$10*(1+FixedParams!$D$25)^(1-$B$10)+(1-$B131)^$B$10*((1+FixedParams!$D$28)/$AT$12)^(1-$B$10))^(1/(1-$B$10))</f>
        <v>5.9851813352207994</v>
      </c>
      <c r="AU131" s="24">
        <f>EXP($D131-$D$17)*(($B131*FixedParams!$C$30)^$B$10*(1+FixedParams!$D$23)^(1-$B$10)+(1-$B131)^$B$10*((1+FixedParams!$D$26)/$AT$12)^(1-$B$10))^(1/(1-$B$10))</f>
        <v>5.9186805839961005</v>
      </c>
      <c r="AV131">
        <f>IF(FixedParams!$I$6=1,IF(AT131&lt;=MIN(AS131:AU131),1,0),$H131)</f>
        <v>0</v>
      </c>
      <c r="AW131">
        <f>IF(FixedParams!$I$6=1,IF(AU131&lt;=MIN(AS131:AU131),1,0),IF(AU131&lt;=AS131,1,0)*(1-$H131))</f>
        <v>1</v>
      </c>
      <c r="AX131" s="24">
        <f>$AT$13*IF(AV131=1,1,IF(AW131=1,FixedParams!$D$52,FixedParams!$D$53))</f>
        <v>0.3451899269505756</v>
      </c>
      <c r="AY131">
        <f>EXP($C131*FixedParams!$B$47)*EXP(IF(AV131+AW131=1,(1-FixedParams!$B$47)*$D131,0))*($B131^((FixedParams!$B$47-1)*$B$10/($B$10-1)))*((1/$B131-1)^$B$10*(AX131)^($B$10-1)+1)^((FixedParams!$B$47-$B$10)/($B$10-1))/((1+IF(AV131=1,FixedParams!$D$25,IF(AW131=1,FixedParams!$D$23,FixedParams!$D$24)))^FixedParams!$B$47)</f>
        <v>6.0681348289491815E-2</v>
      </c>
      <c r="AZ131">
        <f t="shared" si="52"/>
        <v>1.6340019145140159</v>
      </c>
      <c r="BA131">
        <f t="shared" si="72"/>
        <v>41.111269633048835</v>
      </c>
      <c r="BB131">
        <f t="shared" si="53"/>
        <v>36.414246990116318</v>
      </c>
      <c r="BC131">
        <f t="shared" si="73"/>
        <v>77.525516623165146</v>
      </c>
      <c r="BD131" s="24">
        <f t="shared" si="74"/>
        <v>0.88574853842128387</v>
      </c>
      <c r="BE131" s="24">
        <f t="shared" si="75"/>
        <v>2.0042295387269133</v>
      </c>
      <c r="BF131" s="23">
        <f>IF(AV131=1,BA131*(1+FixedParams!$C$25)+BB131*(1+FixedParams!$C$28)/$AT$12,IF(AW131=1,BA131*(1+FixedParams!$C$23)+BB131*(1+FixedParams!$C$26)/$AT$12,BA131*(1+FixedParams!$C$24)+BB131*(1+FixedParams!$C$27)/$AT$12))</f>
        <v>167.10294144705725</v>
      </c>
      <c r="BG131" s="24">
        <f t="shared" si="76"/>
        <v>28.233140659574971</v>
      </c>
      <c r="BH131" s="24">
        <f>BG131^((FixedParams!$B$47-1)/FixedParams!$B$47)*EXP($C131)</f>
        <v>0.23984018289524434</v>
      </c>
      <c r="BI131" s="7"/>
      <c r="BJ131" s="24">
        <f>EXP(-$D$17)*(($B131*FixedParams!$B$30)^$B$10*(1+FixedParams!$C$24)^(1-$B$10)+(1-$B131)^$B$10*((1+FixedParams!$C$27)/$BK$12)^(1-$B$10))^(1/(1-$B$10))</f>
        <v>6.9206931299288792</v>
      </c>
      <c r="BK131" s="24">
        <f>EXP($D131-$D$17)*(($B131*FixedParams!$C$31)^$B$10*(1+FixedParams!$C$25)^(1-$B$10)+(1-$B131)^$B$10*((1+FixedParams!$C$28)/$BK$12)^(1-$B$10))^(1/(1-$B$10))</f>
        <v>6.3985809825920263</v>
      </c>
      <c r="BL131" s="24">
        <f>EXP($D131-$D$17)*(($B131*FixedParams!$C$30)^$B$10*(1+FixedParams!$C$23)^(1-$B$10)+(1-$B131)^$B$10*((1+FixedParams!$C$26)/$BK$12)^(1-$B$10))^(1/(1-$B$10))</f>
        <v>6.3332133654543599</v>
      </c>
      <c r="BM131">
        <f>IF(FixedParams!$I$6=1,IF(BK131&lt;=MIN(BJ131:BL131),1,0),$H131)</f>
        <v>0</v>
      </c>
      <c r="BN131">
        <f>IF(FixedParams!$I$6=1,IF(BL131&lt;=MIN(BJ131:BL131),1,0),IF(BL131&lt;=BJ131,1,0)*(1-$H131))</f>
        <v>1</v>
      </c>
      <c r="BO131" s="24">
        <f>$BK$13*IF(BM131=1,1,IF(BN131=1,FixedParams!$C$52,FixedParams!$C$53))</f>
        <v>0.33006170822567266</v>
      </c>
      <c r="BP131">
        <f>EXP($C131*FixedParams!$B$47)*EXP(IF(BM131+BN131=1,(1-FixedParams!$B$47)*$D131,0))*($B131^((FixedParams!$B$47-1)*$B$10/($B$10-1)))*((1/$B131-1)^$B$10*(BO131)^($B$10-1)+1)^((FixedParams!$B$47-$B$10)/($B$10-1))/((1+IF(BM131=1,FixedParams!$C$25,IF(BN131=1,FixedParams!$C$23,FixedParams!$C$24)))^FixedParams!$B$47)</f>
        <v>5.9515034787072749E-2</v>
      </c>
      <c r="BQ131">
        <f t="shared" si="77"/>
        <v>1.712113775335468</v>
      </c>
      <c r="BR131">
        <f t="shared" si="78"/>
        <v>43.66602169631453</v>
      </c>
      <c r="BS131">
        <f t="shared" si="54"/>
        <v>36.162597211753685</v>
      </c>
      <c r="BT131">
        <f t="shared" si="79"/>
        <v>79.828618908068222</v>
      </c>
      <c r="BU131" s="24">
        <f t="shared" si="80"/>
        <v>0.82816331341689087</v>
      </c>
      <c r="BV131" s="24">
        <f t="shared" si="81"/>
        <v>2.0114677030308119</v>
      </c>
      <c r="BW131" s="23">
        <f>IF(BM131=1,BR131*(1+FixedParams!$C$25)+BS131*(1+FixedParams!$C$28)/$BK$12,IF(BN131=1,BR131*(1+FixedParams!$C$23)+BS131*(1+FixedParams!$C$26)/$BK$12,BR131*(1+FixedParams!$C$24)+BS131*(1+FixedParams!$C$27)/$BK$12))</f>
        <v>177.08972161305658</v>
      </c>
      <c r="BX131" s="24">
        <f t="shared" si="82"/>
        <v>27.962064657259774</v>
      </c>
      <c r="BY131" s="24">
        <f>BX131^((FixedParams!$B$47-1)/FixedParams!$B$47)*EXP($C131)</f>
        <v>0.23984249913616404</v>
      </c>
      <c r="BZ131" s="24">
        <f t="shared" si="83"/>
        <v>3.6885158862953973E-2</v>
      </c>
      <c r="CA131" s="24">
        <f t="shared" si="84"/>
        <v>-9.5853587688871054E-3</v>
      </c>
      <c r="CB131" s="24">
        <f t="shared" si="85"/>
        <v>7.7430971505201458E-3</v>
      </c>
      <c r="CC131" s="24"/>
      <c r="CD131" s="24">
        <f>EXP(-$D$17)*(($B131*FixedParams!$B$30)^$B$10*(1+FixedParams!$D$24)^(1-$B$10)+(1-$B131)^$B$10*((1+FixedParams!$D$27)/$CE$12)^(1-$B$10))^(1/(1-$B$10))</f>
        <v>6.4466166773169276</v>
      </c>
      <c r="CE131" s="24">
        <f>EXP($D131-$D$17)*(($B131*FixedParams!$D$31)^$B$10*(1+FixedParams!$D$25)^(1-$B$10)+(1-$B131)^$B$10*((1+FixedParams!$D$28)/$CE$12)^(1-$B$10))^(1/(1-$B$10))</f>
        <v>6.1955329215417727</v>
      </c>
      <c r="CF131" s="24">
        <f>EXP($D131-$D$17)*(($B131*FixedParams!$D$30)^$B$10*(1+FixedParams!$D$23)^(1-$B$10)+(1-$B131)^$B$10*((1+FixedParams!$D$26)/$CE$12)^(1-$B$10))^(1/(1-$B$10))</f>
        <v>6.1217037486823624</v>
      </c>
      <c r="CG131">
        <f>IF(FixedParams!$I$6=1,IF(CE131&lt;=MIN(CD131:CF131),1,0),$H131)</f>
        <v>0</v>
      </c>
      <c r="CH131">
        <f>IF(FixedParams!$I$6=1,IF(CF131&lt;=MIN(CD131:CF131),1,0),IF(CF131&lt;=CD131,1,0)*(1-$H131))</f>
        <v>1</v>
      </c>
      <c r="CI131" s="24">
        <f>$CE$13*IF(CG131=1,1,IF(CH131=1,FixedParams!$D$52,FixedParams!$D$53))</f>
        <v>0.32933267593211629</v>
      </c>
      <c r="CJ131">
        <f>EXP($C131*FixedParams!$B$47)*EXP(IF(CG131+CH131=1,(1-FixedParams!$B$47)*$D131,0))*($B131^((FixedParams!$B$47-1)*$B$10/($B$10-1)))*((1/$B131-1)^$B$10*(CI131)^($B$10-1)+1)^((FixedParams!$B$47-$B$10)/($B$10-1))/((1+IF(CG131=1,FixedParams!$D$25,IF(CH131=1,FixedParams!$D$23,FixedParams!$D$24)))^FixedParams!$B$47)</f>
        <v>6.1715403418905655E-2</v>
      </c>
      <c r="CK131">
        <f t="shared" si="86"/>
        <v>1.6249888013680724</v>
      </c>
      <c r="CL131">
        <f t="shared" si="88"/>
        <v>44.395151940541936</v>
      </c>
      <c r="CM131">
        <f t="shared" si="55"/>
        <v>36.644690201816687</v>
      </c>
      <c r="CN131">
        <f t="shared" si="89"/>
        <v>81.039842142358623</v>
      </c>
      <c r="CO131" s="24">
        <f t="shared" si="90"/>
        <v>0.8254209885551157</v>
      </c>
      <c r="CP131" s="24">
        <f t="shared" si="91"/>
        <v>1.9777508204694518</v>
      </c>
      <c r="CQ131" s="23">
        <f>IF(CG131=1,CL131*(1+FixedParams!$D$25)+CM131*(1+FixedParams!$D$28)/$CE$12,IF(CH131=1,CL131*(1+FixedParams!$D$23)+CM131*(1+FixedParams!$D$26)/$CE$12,CL131*(1+FixedParams!$D$24)+CM131*(1+FixedParams!$D$27)/$CE$12))</f>
        <v>173.62155575240189</v>
      </c>
      <c r="CR131" s="24">
        <f t="shared" si="92"/>
        <v>28.361639648075464</v>
      </c>
      <c r="CS131" s="24">
        <f>CR131^((FixedParams!$B$47-1)/FixedParams!$B$47)*EXP($C131)</f>
        <v>0.23983909268679388</v>
      </c>
      <c r="CT131" s="24"/>
    </row>
    <row r="132" spans="1:98" x14ac:dyDescent="0.15">
      <c r="A132">
        <v>0.57500000000000007</v>
      </c>
      <c r="B132">
        <f t="shared" si="56"/>
        <v>0.27462837423969289</v>
      </c>
      <c r="C132">
        <f>(D132-$D$17)*FixedParams!$B$47+$A132*$B$9</f>
        <v>-1.4369337175319066</v>
      </c>
      <c r="D132">
        <f>(A132-$B$6)*FixedParams!$B$46/(FixedParams!$B$45*Sectors!$B$6)</f>
        <v>4.0751357241960648E-2</v>
      </c>
      <c r="E132">
        <f t="shared" si="57"/>
        <v>0.23765536106190213</v>
      </c>
      <c r="F132" s="24">
        <f>EXP(-$D$17)*(($B132*FixedParams!$B$30)^$B$10*(1+FixedParams!$B$23)^(1-$B$10)+(1-$B132)^$B$10*((1+FixedParams!$B$26)/$B$11)^(1-$B$10))^(1/(1-$B$10))</f>
        <v>5.0242584606350738</v>
      </c>
      <c r="G132" s="24">
        <f>EXP($D132-$D$17)*(($B132*FixedParams!$B$31)^$B$10*(1+FixedParams!$B$25)^(1-$B$10)+(1-$B132)^$B$10*((1+FixedParams!$B$28)/$B$11)^(1-$B$10))^(1/(1-$B$10))</f>
        <v>5.0240398655254976</v>
      </c>
      <c r="H132">
        <f t="shared" si="58"/>
        <v>1</v>
      </c>
      <c r="I132" s="24">
        <f>$B$12*IF(H132=1,1,FixedParams!$B$52)</f>
        <v>0.3745928365283252</v>
      </c>
      <c r="J132">
        <f>EXP($C132*FixedParams!$B$47)*EXP(IF(H132=1,(1-FixedParams!$B$47)*$D132,0))*($B132^((FixedParams!$B$47-1)*$B$10/($B$10-1)))*((1/$B132-1)^$B$10*(I132)^($B$10-1)+1)^((FixedParams!$B$47-$B$10)/($B$10-1))/((1+IF(H132=1,FixedParams!$B$25,FixedParams!$B$24))^FixedParams!$B$47)</f>
        <v>6.5586733356603227E-2</v>
      </c>
      <c r="K132">
        <f t="shared" si="87"/>
        <v>1.3223979167289563</v>
      </c>
      <c r="L132">
        <f>K132*FixedParams!$B$8/K$15</f>
        <v>38.446245762554256</v>
      </c>
      <c r="M132">
        <f t="shared" si="47"/>
        <v>37.836928631925055</v>
      </c>
      <c r="N132">
        <f t="shared" si="59"/>
        <v>76.283174394479317</v>
      </c>
      <c r="O132" s="24">
        <f t="shared" si="60"/>
        <v>0.98415145306014085</v>
      </c>
      <c r="P132" s="24">
        <f t="shared" si="48"/>
        <v>1.9644752435613435</v>
      </c>
      <c r="Q132" s="23">
        <f>IF(H132=1,L132*(1+FixedParams!$B$25)+M132*FixedParams!$B$33*(1+FixedParams!$B$28)/FixedParams!$B$32,L132*(1+FixedParams!$B$23)+M132*FixedParams!$B$33*(1+FixedParams!$B$26)/FixedParams!$B$32)</f>
        <v>139.69879847245181</v>
      </c>
      <c r="R132" s="24">
        <f t="shared" si="49"/>
        <v>27.806068863237375</v>
      </c>
      <c r="S132" s="24">
        <f>R132^((FixedParams!$B$47-1)/FixedParams!$B$47)*EXP($C132)</f>
        <v>0.23686562058221589</v>
      </c>
      <c r="T132" s="7">
        <f>(L132*FixedParams!$B$32*(FixedParams!$C$25-FixedParams!$C$23)+FixedParams!$B$33*(FixedParams!$C$28-FixedParams!$C$26)*M132)/N132</f>
        <v>1259.9148926575551</v>
      </c>
      <c r="U132" s="7">
        <f>(L132*FixedParams!$B$32*(FixedParams!$C$25-FixedParams!$C$23)*$Z$12/$B$11+FixedParams!$B$33*(FixedParams!$C$28-FixedParams!$C$26)*M132)/N132</f>
        <v>753.73705860901566</v>
      </c>
      <c r="V132" s="14">
        <f t="shared" si="50"/>
        <v>-0.965940134081817</v>
      </c>
      <c r="W132" s="14">
        <f t="shared" si="93"/>
        <v>0.7874761430097369</v>
      </c>
      <c r="X132" s="73">
        <f t="shared" si="62"/>
        <v>0.96892719225592083</v>
      </c>
      <c r="Y132" s="24">
        <f>EXP(-$D$17)*(($B132*FixedParams!$B$30)^$B$10*(1+FixedParams!$C$24)^(1-$B$10)+(1-$B132)^$B$10*((1+FixedParams!$C$27)/$Z$12)^(1-$B$10))^(1/(1-$B$10))</f>
        <v>6.6701106967217418</v>
      </c>
      <c r="Z132" s="24">
        <f>EXP($D132-$D$17)*(($B132*FixedParams!$C$31)^$B$10*(1+FixedParams!$C$25)^(1-$B$10)+(1-$B132)^$B$10*((1+FixedParams!$C$28)/$Z$12)^(1-$B$10))^(1/(1-$B$10))</f>
        <v>6.1846359840221989</v>
      </c>
      <c r="AA132" s="24">
        <f>EXP($D132-$D$17)*(($B132*FixedParams!$C$30)^$B$10*(1+FixedParams!$C$23)^(1-$B$10)+(1-$B132)^$B$10*((1+FixedParams!$C$26)/$Z$12)^(1-$B$10))^(1/(1-$B$10))</f>
        <v>6.1235484964025328</v>
      </c>
      <c r="AB132">
        <f>IF(FixedParams!$I$6=1,IF(Z132&lt;=MIN(Y132:AA132),1,0),$H132)</f>
        <v>0</v>
      </c>
      <c r="AC132">
        <f>IF(FixedParams!$I$6=1,IF(AA132&lt;=MIN(Y132:AA132),1,0),IF(AA132&lt;=Y132,1,0)*(1-$H132))</f>
        <v>1</v>
      </c>
      <c r="AD132" s="24">
        <f>$Z$13*IF(AB132=1,1,IF(AC132=1,FixedParams!$C$52,FixedParams!$C$53))</f>
        <v>0.34709202255780691</v>
      </c>
      <c r="AE132">
        <f>EXP($C132*FixedParams!$B$47)*EXP(IF(AB132+AC132=1,(1-FixedParams!$B$47)*$D132,0))*($B132^((FixedParams!$B$47-1)*$B$10/($B$10-1)))*((1/$B132-1)^$B$10*(AD132)^($B$10-1)+1)^((FixedParams!$B$47-$B$10)/($B$10-1))/((1+IF(AB132=1,FixedParams!$C$25,IF(AC132=1,FixedParams!$C$23,FixedParams!$C$24)))^FixedParams!$B$47)</f>
        <v>5.8443982672357814E-2</v>
      </c>
      <c r="AF132">
        <f t="shared" si="63"/>
        <v>1.7221794187970116</v>
      </c>
      <c r="AG132">
        <f t="shared" si="64"/>
        <v>40.451349927546232</v>
      </c>
      <c r="AH132">
        <f t="shared" si="51"/>
        <v>35.507713216802124</v>
      </c>
      <c r="AI132">
        <f t="shared" si="65"/>
        <v>75.959063144348363</v>
      </c>
      <c r="AJ132" s="24">
        <f t="shared" si="66"/>
        <v>0.87778809064224506</v>
      </c>
      <c r="AK132" s="24">
        <f t="shared" si="67"/>
        <v>2.0452273647875789</v>
      </c>
      <c r="AL132" s="23">
        <f>IF(AB132=1,AG132*(1+FixedParams!$C$25)+AH132*(1+FixedParams!$C$28)/$Z$12,IF(AC132=1,AG132*(1+FixedParams!$C$23)+AH132*(1+FixedParams!$C$26)/$Z$12,AG132*(1+FixedParams!$C$24)+AH132*(1+FixedParams!$C$27)/$Z$12))</f>
        <v>164.98098792536175</v>
      </c>
      <c r="AM132" s="24">
        <f t="shared" si="68"/>
        <v>26.942056231331375</v>
      </c>
      <c r="AN132" s="24">
        <f>AM132^((FixedParams!$B$47-1)/FixedParams!$B$47)*EXP($C132)</f>
        <v>0.2368731050392405</v>
      </c>
      <c r="AO132" s="24">
        <f t="shared" si="69"/>
        <v>-4.2578425675758643E-3</v>
      </c>
      <c r="AP132" s="24">
        <f t="shared" si="70"/>
        <v>-3.1565806905089693E-2</v>
      </c>
      <c r="AQ132" s="14">
        <f t="shared" si="71"/>
        <v>-0.9278152704027649</v>
      </c>
      <c r="AS132" s="24">
        <f>EXP(-$D$17)*(($B132*FixedParams!$B$30)^$B$10*(1+FixedParams!$D$24)^(1-$B$10)+(1-$B132)^$B$10*((1+FixedParams!$D$27)/$AT$12)^(1-$B$10))^(1/(1-$B$10))</f>
        <v>6.2290714034209662</v>
      </c>
      <c r="AT132" s="24">
        <f>EXP($D132-$D$17)*(($B132*FixedParams!$C$31)^$B$10*(1+FixedParams!$D$25)^(1-$B$10)+(1-$B132)^$B$10*((1+FixedParams!$D$28)/$AT$12)^(1-$B$10))^(1/(1-$B$10))</f>
        <v>6.0032498018231646</v>
      </c>
      <c r="AU132" s="24">
        <f>EXP($D132-$D$17)*(($B132*FixedParams!$C$30)^$B$10*(1+FixedParams!$D$23)^(1-$B$10)+(1-$B132)^$B$10*((1+FixedParams!$D$26)/$AT$12)^(1-$B$10))^(1/(1-$B$10))</f>
        <v>5.9330005965427626</v>
      </c>
      <c r="AV132">
        <f>IF(FixedParams!$I$6=1,IF(AT132&lt;=MIN(AS132:AU132),1,0),$H132)</f>
        <v>0</v>
      </c>
      <c r="AW132">
        <f>IF(FixedParams!$I$6=1,IF(AU132&lt;=MIN(AS132:AU132),1,0),IF(AU132&lt;=AS132,1,0)*(1-$H132))</f>
        <v>1</v>
      </c>
      <c r="AX132" s="24">
        <f>$AT$13*IF(AV132=1,1,IF(AW132=1,FixedParams!$D$52,FixedParams!$D$53))</f>
        <v>0.3451899269505756</v>
      </c>
      <c r="AY132">
        <f>EXP($C132*FixedParams!$B$47)*EXP(IF(AV132+AW132=1,(1-FixedParams!$B$47)*$D132,0))*($B132^((FixedParams!$B$47-1)*$B$10/($B$10-1)))*((1/$B132-1)^$B$10*(AX132)^($B$10-1)+1)^((FixedParams!$B$47-$B$10)/($B$10-1))/((1+IF(AV132=1,FixedParams!$D$25,IF(AW132=1,FixedParams!$D$23,FixedParams!$D$24)))^FixedParams!$B$47)</f>
        <v>6.067631921012652E-2</v>
      </c>
      <c r="AZ132">
        <f t="shared" si="52"/>
        <v>1.6338664935726102</v>
      </c>
      <c r="BA132">
        <f t="shared" si="72"/>
        <v>41.107862460274653</v>
      </c>
      <c r="BB132">
        <f t="shared" si="53"/>
        <v>35.787783541260303</v>
      </c>
      <c r="BC132">
        <f t="shared" si="73"/>
        <v>76.895646001534956</v>
      </c>
      <c r="BD132" s="24">
        <f t="shared" si="74"/>
        <v>0.87058244820791875</v>
      </c>
      <c r="BE132" s="24">
        <f t="shared" si="75"/>
        <v>2.0090786924755655</v>
      </c>
      <c r="BF132" s="23">
        <f>IF(AV132=1,BA132*(1+FixedParams!$C$25)+BB132*(1+FixedParams!$C$28)/$AT$12,IF(AW132=1,BA132*(1+FixedParams!$C$23)+BB132*(1+FixedParams!$C$26)/$AT$12,BA132*(1+FixedParams!$C$24)+BB132*(1+FixedParams!$C$27)/$AT$12))</f>
        <v>165.04160288176573</v>
      </c>
      <c r="BG132" s="24">
        <f t="shared" si="76"/>
        <v>27.817560473184116</v>
      </c>
      <c r="BH132" s="24">
        <f>BG132^((FixedParams!$B$47-1)/FixedParams!$B$47)*EXP($C132)</f>
        <v>0.23686552261336627</v>
      </c>
      <c r="BI132" s="7"/>
      <c r="BJ132" s="24">
        <f>EXP(-$D$17)*(($B132*FixedParams!$B$30)^$B$10*(1+FixedParams!$C$24)^(1-$B$10)+(1-$B132)^$B$10*((1+FixedParams!$C$27)/$BK$12)^(1-$B$10))^(1/(1-$B$10))</f>
        <v>6.9251002050702466</v>
      </c>
      <c r="BK132" s="24">
        <f>EXP($D132-$D$17)*(($B132*FixedParams!$C$31)^$B$10*(1+FixedParams!$C$25)^(1-$B$10)+(1-$B132)^$B$10*((1+FixedParams!$C$28)/$BK$12)^(1-$B$10))^(1/(1-$B$10))</f>
        <v>6.4178864386345316</v>
      </c>
      <c r="BL132" s="24">
        <f>EXP($D132-$D$17)*(($B132*FixedParams!$C$30)^$B$10*(1+FixedParams!$C$23)^(1-$B$10)+(1-$B132)^$B$10*((1+FixedParams!$C$26)/$BK$12)^(1-$B$10))^(1/(1-$B$10))</f>
        <v>6.3475362912972093</v>
      </c>
      <c r="BM132">
        <f>IF(FixedParams!$I$6=1,IF(BK132&lt;=MIN(BJ132:BL132),1,0),$H132)</f>
        <v>0</v>
      </c>
      <c r="BN132">
        <f>IF(FixedParams!$I$6=1,IF(BL132&lt;=MIN(BJ132:BL132),1,0),IF(BL132&lt;=BJ132,1,0)*(1-$H132))</f>
        <v>1</v>
      </c>
      <c r="BO132" s="24">
        <f>$BK$13*IF(BM132=1,1,IF(BN132=1,FixedParams!$C$52,FixedParams!$C$53))</f>
        <v>0.33006170822567266</v>
      </c>
      <c r="BP132">
        <f>EXP($C132*FixedParams!$B$47)*EXP(IF(BM132+BN132=1,(1-FixedParams!$B$47)*$D132,0))*($B132^((FixedParams!$B$47-1)*$B$10/($B$10-1)))*((1/$B132-1)^$B$10*(BO132)^($B$10-1)+1)^((FixedParams!$B$47-$B$10)/($B$10-1))/((1+IF(BM132=1,FixedParams!$C$25,IF(BN132=1,FixedParams!$C$23,FixedParams!$C$24)))^FixedParams!$B$47)</f>
        <v>5.9505405742820018E-2</v>
      </c>
      <c r="BQ132">
        <f t="shared" si="77"/>
        <v>1.7118367693760934</v>
      </c>
      <c r="BR132">
        <f t="shared" si="78"/>
        <v>43.658956892324092</v>
      </c>
      <c r="BS132">
        <f t="shared" si="54"/>
        <v>35.537658189632253</v>
      </c>
      <c r="BT132">
        <f t="shared" si="79"/>
        <v>79.196615081956338</v>
      </c>
      <c r="BU132" s="24">
        <f t="shared" si="80"/>
        <v>0.81398321717302213</v>
      </c>
      <c r="BV132" s="24">
        <f t="shared" si="81"/>
        <v>2.0160167527917037</v>
      </c>
      <c r="BW132" s="23">
        <f>IF(BM132=1,BR132*(1+FixedParams!$C$25)+BS132*(1+FixedParams!$C$28)/$BK$12,IF(BN132=1,BR132*(1+FixedParams!$C$23)+BS132*(1+FixedParams!$C$26)/$BK$12,BR132*(1+FixedParams!$C$24)+BS132*(1+FixedParams!$C$27)/$BK$12))</f>
        <v>174.89331932569428</v>
      </c>
      <c r="BX132" s="24">
        <f t="shared" si="82"/>
        <v>27.552945158499021</v>
      </c>
      <c r="BY132" s="24">
        <f>BX132^((FixedParams!$B$47-1)/FixedParams!$B$47)*EXP($C132)</f>
        <v>0.23686778886551146</v>
      </c>
      <c r="BZ132" s="24">
        <f t="shared" si="83"/>
        <v>3.7481164146643223E-2</v>
      </c>
      <c r="CA132" s="24">
        <f t="shared" si="84"/>
        <v>-9.1448691145011324E-3</v>
      </c>
      <c r="CB132" s="24">
        <f t="shared" si="85"/>
        <v>8.1835868049061188E-3</v>
      </c>
      <c r="CC132" s="24"/>
      <c r="CD132" s="24">
        <f>EXP(-$D$17)*(($B132*FixedParams!$B$30)^$B$10*(1+FixedParams!$D$24)^(1-$B$10)+(1-$B132)^$B$10*((1+FixedParams!$D$27)/$CE$12)^(1-$B$10))^(1/(1-$B$10))</f>
        <v>6.4490139047679005</v>
      </c>
      <c r="CE132" s="24">
        <f>EXP($D132-$D$17)*(($B132*FixedParams!$D$31)^$B$10*(1+FixedParams!$D$25)^(1-$B$10)+(1-$B132)^$B$10*((1+FixedParams!$D$28)/$CE$12)^(1-$B$10))^(1/(1-$B$10))</f>
        <v>6.2132483502214297</v>
      </c>
      <c r="CF132" s="24">
        <f>EXP($D132-$D$17)*(($B132*FixedParams!$D$30)^$B$10*(1+FixedParams!$D$23)^(1-$B$10)+(1-$B132)^$B$10*((1+FixedParams!$D$26)/$CE$12)^(1-$B$10))^(1/(1-$B$10))</f>
        <v>6.1355004015424326</v>
      </c>
      <c r="CG132">
        <f>IF(FixedParams!$I$6=1,IF(CE132&lt;=MIN(CD132:CF132),1,0),$H132)</f>
        <v>0</v>
      </c>
      <c r="CH132">
        <f>IF(FixedParams!$I$6=1,IF(CF132&lt;=MIN(CD132:CF132),1,0),IF(CF132&lt;=CD132,1,0)*(1-$H132))</f>
        <v>1</v>
      </c>
      <c r="CI132" s="24">
        <f>$CE$13*IF(CG132=1,1,IF(CH132=1,FixedParams!$D$52,FixedParams!$D$53))</f>
        <v>0.32933267593211629</v>
      </c>
      <c r="CJ132">
        <f>EXP($C132*FixedParams!$B$47)*EXP(IF(CG132+CH132=1,(1-FixedParams!$B$47)*$D132,0))*($B132^((FixedParams!$B$47-1)*$B$10/($B$10-1)))*((1/$B132-1)^$B$10*(CI132)^($B$10-1)+1)^((FixedParams!$B$47-$B$10)/($B$10-1))/((1+IF(CG132=1,FixedParams!$D$25,IF(CH132=1,FixedParams!$D$23,FixedParams!$D$24)))^FixedParams!$B$47)</f>
        <v>6.1705176864498265E-2</v>
      </c>
      <c r="CK132">
        <f t="shared" si="86"/>
        <v>1.6247195325070105</v>
      </c>
      <c r="CL132">
        <f t="shared" si="88"/>
        <v>44.38779543938351</v>
      </c>
      <c r="CM132">
        <f t="shared" si="55"/>
        <v>36.011279010093425</v>
      </c>
      <c r="CN132">
        <f t="shared" si="89"/>
        <v>80.399074449476927</v>
      </c>
      <c r="CO132" s="24">
        <f t="shared" si="90"/>
        <v>0.81128784733792081</v>
      </c>
      <c r="CP132" s="24">
        <f t="shared" si="91"/>
        <v>1.9822081321320113</v>
      </c>
      <c r="CQ132" s="23">
        <f>IF(CG132=1,CL132*(1+FixedParams!$D$25)+CM132*(1+FixedParams!$D$28)/$CE$12,IF(CH132=1,CL132*(1+FixedParams!$D$23)+CM132*(1+FixedParams!$D$26)/$CE$12,CL132*(1+FixedParams!$D$24)+CM132*(1+FixedParams!$D$27)/$CE$12))</f>
        <v>171.46816697333952</v>
      </c>
      <c r="CR132" s="24">
        <f t="shared" si="92"/>
        <v>27.946891981334289</v>
      </c>
      <c r="CS132" s="24">
        <f>CR132^((FixedParams!$B$47-1)/FixedParams!$B$47)*EXP($C132)</f>
        <v>0.23686442281510592</v>
      </c>
      <c r="CT132" s="24"/>
    </row>
    <row r="133" spans="1:98" x14ac:dyDescent="0.15">
      <c r="A133">
        <v>0.57999999999999996</v>
      </c>
      <c r="B133">
        <f t="shared" si="56"/>
        <v>0.27692794281615174</v>
      </c>
      <c r="C133">
        <f>(D133-$D$17)*FixedParams!$B$47+$A133*$B$9</f>
        <v>-1.4494287933365317</v>
      </c>
      <c r="D133">
        <f>(A133-$B$6)*FixedParams!$B$46/(FixedParams!$B$45*Sectors!$B$6)</f>
        <v>4.3468114391424631E-2</v>
      </c>
      <c r="E133">
        <f t="shared" si="57"/>
        <v>0.23470431448014684</v>
      </c>
      <c r="F133" s="24">
        <f>EXP(-$D$17)*(($B133*FixedParams!$B$30)^$B$10*(1+FixedParams!$B$23)^(1-$B$10)+(1-$B133)^$B$10*((1+FixedParams!$B$26)/$B$11)^(1-$B$10))^(1/(1-$B$10))</f>
        <v>5.0247162495899405</v>
      </c>
      <c r="G133" s="24">
        <f>EXP($D133-$D$17)*(($B133*FixedParams!$B$31)^$B$10*(1+FixedParams!$B$25)^(1-$B$10)+(1-$B133)^$B$10*((1+FixedParams!$B$28)/$B$11)^(1-$B$10))^(1/(1-$B$10))</f>
        <v>5.0374217912596082</v>
      </c>
      <c r="H133">
        <f t="shared" si="58"/>
        <v>0</v>
      </c>
      <c r="I133" s="24">
        <f>$B$12*IF(H133=1,1,FixedParams!$B$52)</f>
        <v>0.39101505882574561</v>
      </c>
      <c r="J133">
        <f>EXP($C133*FixedParams!$B$47)*EXP(IF(H133=1,(1-FixedParams!$B$47)*$D133,0))*($B133^((FixedParams!$B$47-1)*$B$10/($B$10-1)))*((1/$B133-1)^$B$10*(I133)^($B$10-1)+1)^((FixedParams!$B$47-$B$10)/($B$10-1))/((1+IF(H133=1,FixedParams!$B$25,FixedParams!$B$24))^FixedParams!$B$47)</f>
        <v>6.0093144961546614E-2</v>
      </c>
      <c r="K133">
        <f t="shared" si="87"/>
        <v>1.2116329879515144</v>
      </c>
      <c r="L133">
        <f>K133*FixedParams!$B$8/K$15</f>
        <v>35.225962654287542</v>
      </c>
      <c r="M133">
        <f t="shared" si="47"/>
        <v>36.33919430927633</v>
      </c>
      <c r="N133">
        <f t="shared" si="59"/>
        <v>71.565156963563879</v>
      </c>
      <c r="O133" s="24">
        <f t="shared" si="60"/>
        <v>1.0316025899963104</v>
      </c>
      <c r="P133" s="24">
        <f t="shared" si="48"/>
        <v>1.9647397199160905</v>
      </c>
      <c r="Q133" s="23">
        <f>IF(H133=1,L133*(1+FixedParams!$B$25)+M133*FixedParams!$B$33*(1+FixedParams!$B$28)/FixedParams!$B$32,L133*(1+FixedParams!$B$23)+M133*FixedParams!$B$33*(1+FixedParams!$B$26)/FixedParams!$B$32)</f>
        <v>137.9658539434553</v>
      </c>
      <c r="R133" s="24">
        <f t="shared" si="49"/>
        <v>27.45744179180555</v>
      </c>
      <c r="S133" s="24">
        <f>R133^((FixedParams!$B$47-1)/FixedParams!$B$47)*EXP($C133)</f>
        <v>0.23392733488624931</v>
      </c>
      <c r="T133" s="7">
        <f>(L133*FixedParams!$B$32*(FixedParams!$C$25-FixedParams!$C$23)+FixedParams!$B$33*(FixedParams!$C$28-FixedParams!$C$26)*M133)/N133</f>
        <v>1126.3675742147216</v>
      </c>
      <c r="U133" s="7">
        <f>(L133*FixedParams!$B$32*(FixedParams!$C$25-FixedParams!$C$23)*$Z$12/$B$11+FixedParams!$B$33*(FixedParams!$C$28-FixedParams!$C$26)*M133)/N133</f>
        <v>632.01228549850214</v>
      </c>
      <c r="V133" s="14">
        <f t="shared" si="50"/>
        <v>-0.97012271179894105</v>
      </c>
      <c r="W133" s="14">
        <f t="shared" si="93"/>
        <v>0.79098626165698349</v>
      </c>
      <c r="X133" s="73">
        <f t="shared" si="62"/>
        <v>0.9667428344097434</v>
      </c>
      <c r="Y133" s="24">
        <f>EXP(-$D$17)*(($B133*FixedParams!$B$30)^$B$10*(1+FixedParams!$C$24)^(1-$B$10)+(1-$B133)^$B$10*((1+FixedParams!$C$27)/$Z$12)^(1-$B$10))^(1/(1-$B$10))</f>
        <v>6.6752317291208731</v>
      </c>
      <c r="Z133" s="24">
        <f>EXP($D133-$D$17)*(($B133*FixedParams!$C$31)^$B$10*(1+FixedParams!$C$25)^(1-$B$10)+(1-$B133)^$B$10*((1+FixedParams!$C$28)/$Z$12)^(1-$B$10))^(1/(1-$B$10))</f>
        <v>6.2041158234144449</v>
      </c>
      <c r="AA133" s="24">
        <f>EXP($D133-$D$17)*(($B133*FixedParams!$C$30)^$B$10*(1+FixedParams!$C$23)^(1-$B$10)+(1-$B133)^$B$10*((1+FixedParams!$C$26)/$Z$12)^(1-$B$10))^(1/(1-$B$10))</f>
        <v>6.1382248101865367</v>
      </c>
      <c r="AB133">
        <f>IF(FixedParams!$I$6=1,IF(Z133&lt;=MIN(Y133:AA133),1,0),$H133)</f>
        <v>0</v>
      </c>
      <c r="AC133">
        <f>IF(FixedParams!$I$6=1,IF(AA133&lt;=MIN(Y133:AA133),1,0),IF(AA133&lt;=Y133,1,0)*(1-$H133))</f>
        <v>1</v>
      </c>
      <c r="AD133" s="24">
        <f>$Z$13*IF(AB133=1,1,IF(AC133=1,FixedParams!$C$52,FixedParams!$C$53))</f>
        <v>0.34709202255780691</v>
      </c>
      <c r="AE133">
        <f>EXP($C133*FixedParams!$B$47)*EXP(IF(AB133+AC133=1,(1-FixedParams!$B$47)*$D133,0))*($B133^((FixedParams!$B$47-1)*$B$10/($B$10-1)))*((1/$B133-1)^$B$10*(AD133)^($B$10-1)+1)^((FixedParams!$B$47-$B$10)/($B$10-1))/((1+IF(AB133=1,FixedParams!$C$25,IF(AC133=1,FixedParams!$C$23,FixedParams!$C$24)))^FixedParams!$B$47)</f>
        <v>5.8436159436614947E-2</v>
      </c>
      <c r="AF133">
        <f t="shared" si="63"/>
        <v>1.7219488900929654</v>
      </c>
      <c r="AG133">
        <f t="shared" si="64"/>
        <v>40.445935162293587</v>
      </c>
      <c r="AH133">
        <f t="shared" si="51"/>
        <v>34.895066341219334</v>
      </c>
      <c r="AI133">
        <f t="shared" si="65"/>
        <v>75.341001503512928</v>
      </c>
      <c r="AJ133" s="24">
        <f t="shared" si="66"/>
        <v>0.86275830194552783</v>
      </c>
      <c r="AK133" s="24">
        <f t="shared" si="67"/>
        <v>2.0501291629170275</v>
      </c>
      <c r="AL133" s="23">
        <f>IF(AB133=1,AG133*(1+FixedParams!$C$25)+AH133*(1+FixedParams!$C$28)/$Z$12,IF(AC133=1,AG133*(1+FixedParams!$C$23)+AH133*(1+FixedParams!$C$26)/$Z$12,AG133*(1+FixedParams!$C$24)+AH133*(1+FixedParams!$C$27)/$Z$12))</f>
        <v>162.93478939066563</v>
      </c>
      <c r="AM133" s="24">
        <f t="shared" si="68"/>
        <v>26.54428510345064</v>
      </c>
      <c r="AN133" s="24">
        <f>AM133^((FixedParams!$B$47-1)/FixedParams!$B$47)*EXP($C133)</f>
        <v>0.233935255008548</v>
      </c>
      <c r="AO133" s="24">
        <f t="shared" si="69"/>
        <v>5.1416174359114837E-2</v>
      </c>
      <c r="AP133" s="24">
        <f t="shared" si="70"/>
        <v>-3.3822760562806677E-2</v>
      </c>
      <c r="AQ133" s="14">
        <f t="shared" si="71"/>
        <v>-0.91054464510668132</v>
      </c>
      <c r="AS133" s="24">
        <f>EXP(-$D$17)*(($B133*FixedParams!$B$30)^$B$10*(1+FixedParams!$D$24)^(1-$B$10)+(1-$B133)^$B$10*((1+FixedParams!$D$27)/$AT$12)^(1-$B$10))^(1/(1-$B$10))</f>
        <v>6.2321413344981327</v>
      </c>
      <c r="AT133" s="24">
        <f>EXP($D133-$D$17)*(($B133*FixedParams!$C$31)^$B$10*(1+FixedParams!$D$25)^(1-$B$10)+(1-$B133)^$B$10*((1+FixedParams!$D$28)/$AT$12)^(1-$B$10))^(1/(1-$B$10))</f>
        <v>6.0211476098549079</v>
      </c>
      <c r="AU133" s="24">
        <f>EXP($D133-$D$17)*(($B133*FixedParams!$C$30)^$B$10*(1+FixedParams!$D$23)^(1-$B$10)+(1-$B133)^$B$10*((1+FixedParams!$D$26)/$AT$12)^(1-$B$10))^(1/(1-$B$10))</f>
        <v>5.9471051125149179</v>
      </c>
      <c r="AV133">
        <f>IF(FixedParams!$I$6=1,IF(AT133&lt;=MIN(AS133:AU133),1,0),$H133)</f>
        <v>0</v>
      </c>
      <c r="AW133">
        <f>IF(FixedParams!$I$6=1,IF(AU133&lt;=MIN(AS133:AU133),1,0),IF(AU133&lt;=AS133,1,0)*(1-$H133))</f>
        <v>1</v>
      </c>
      <c r="AX133" s="24">
        <f>$AT$13*IF(AV133=1,1,IF(AW133=1,FixedParams!$D$52,FixedParams!$D$53))</f>
        <v>0.3451899269505756</v>
      </c>
      <c r="AY133">
        <f>EXP($C133*FixedParams!$B$47)*EXP(IF(AV133+AW133=1,(1-FixedParams!$B$47)*$D133,0))*($B133^((FixedParams!$B$47-1)*$B$10/($B$10-1)))*((1/$B133-1)^$B$10*(AX133)^($B$10-1)+1)^((FixedParams!$B$47-$B$10)/($B$10-1))/((1+IF(AV133=1,FixedParams!$D$25,IF(AW133=1,FixedParams!$D$23,FixedParams!$D$24)))^FixedParams!$B$47)</f>
        <v>6.0667608847548682E-2</v>
      </c>
      <c r="AZ133">
        <f t="shared" si="52"/>
        <v>1.6336319445797236</v>
      </c>
      <c r="BA133">
        <f t="shared" si="72"/>
        <v>41.101961238982888</v>
      </c>
      <c r="BB133">
        <f t="shared" si="53"/>
        <v>35.169963305567634</v>
      </c>
      <c r="BC133">
        <f t="shared" si="73"/>
        <v>76.271924544550529</v>
      </c>
      <c r="BD133" s="24">
        <f t="shared" si="74"/>
        <v>0.85567603699190176</v>
      </c>
      <c r="BE133" s="24">
        <f t="shared" si="75"/>
        <v>2.0138548731022539</v>
      </c>
      <c r="BF133" s="23">
        <f>IF(AV133=1,BA133*(1+FixedParams!$C$25)+BB133*(1+FixedParams!$C$28)/$AT$12,IF(AW133=1,BA133*(1+FixedParams!$C$23)+BB133*(1+FixedParams!$C$26)/$AT$12,BA133*(1+FixedParams!$C$24)+BB133*(1+FixedParams!$C$27)/$AT$12))</f>
        <v>163.00576752027118</v>
      </c>
      <c r="BG133" s="24">
        <f t="shared" si="76"/>
        <v>27.409262899565455</v>
      </c>
      <c r="BH133" s="24">
        <f>BG133^((FixedParams!$B$47-1)/FixedParams!$B$47)*EXP($C133)</f>
        <v>0.23392774612488232</v>
      </c>
      <c r="BI133" s="7"/>
      <c r="BJ133" s="24">
        <f>EXP(-$D$17)*(($B133*FixedParams!$B$30)^$B$10*(1+FixedParams!$C$24)^(1-$B$10)+(1-$B133)^$B$10*((1+FixedParams!$C$27)/$BK$12)^(1-$B$10))^(1/(1-$B$10))</f>
        <v>6.9292703392044812</v>
      </c>
      <c r="BK133" s="24">
        <f>EXP($D133-$D$17)*(($B133*FixedParams!$C$31)^$B$10*(1+FixedParams!$C$25)^(1-$B$10)+(1-$B133)^$B$10*((1+FixedParams!$C$28)/$BK$12)^(1-$B$10))^(1/(1-$B$10))</f>
        <v>6.437009293617364</v>
      </c>
      <c r="BL133" s="24">
        <f>EXP($D133-$D$17)*(($B133*FixedParams!$C$30)^$B$10*(1+FixedParams!$C$23)^(1-$B$10)+(1-$B133)^$B$10*((1+FixedParams!$C$26)/$BK$12)^(1-$B$10))^(1/(1-$B$10))</f>
        <v>6.3616166030863734</v>
      </c>
      <c r="BM133">
        <f>IF(FixedParams!$I$6=1,IF(BK133&lt;=MIN(BJ133:BL133),1,0),$H133)</f>
        <v>0</v>
      </c>
      <c r="BN133">
        <f>IF(FixedParams!$I$6=1,IF(BL133&lt;=MIN(BJ133:BL133),1,0),IF(BL133&lt;=BJ133,1,0)*(1-$H133))</f>
        <v>1</v>
      </c>
      <c r="BO133" s="24">
        <f>$BK$13*IF(BM133=1,1,IF(BN133=1,FixedParams!$C$52,FixedParams!$C$53))</f>
        <v>0.33006170822567266</v>
      </c>
      <c r="BP133">
        <f>EXP($C133*FixedParams!$B$47)*EXP(IF(BM133+BN133=1,(1-FixedParams!$B$47)*$D133,0))*($B133^((FixedParams!$B$47-1)*$B$10/($B$10-1)))*((1/$B133-1)^$B$10*(BO133)^($B$10-1)+1)^((FixedParams!$B$47-$B$10)/($B$10-1))/((1+IF(BM133=1,FixedParams!$C$25,IF(BN133=1,FixedParams!$C$23,FixedParams!$C$24)))^FixedParams!$B$47)</f>
        <v>5.9492133089516758E-2</v>
      </c>
      <c r="BQ133">
        <f t="shared" si="77"/>
        <v>1.711454944974292</v>
      </c>
      <c r="BR133">
        <f t="shared" si="78"/>
        <v>43.649218782127548</v>
      </c>
      <c r="BS133">
        <f t="shared" si="54"/>
        <v>34.921379284324892</v>
      </c>
      <c r="BT133">
        <f t="shared" si="79"/>
        <v>78.570598066452447</v>
      </c>
      <c r="BU133" s="24">
        <f t="shared" si="80"/>
        <v>0.80004591739964137</v>
      </c>
      <c r="BV133" s="24">
        <f t="shared" si="81"/>
        <v>2.020488746829832</v>
      </c>
      <c r="BW133" s="23">
        <f>IF(BM133=1,BR133*(1+FixedParams!$C$25)+BS133*(1+FixedParams!$C$28)/$BK$12,IF(BN133=1,BR133*(1+FixedParams!$C$23)+BS133*(1+FixedParams!$C$26)/$BK$12,BR133*(1+FixedParams!$C$24)+BS133*(1+FixedParams!$C$27)/$BK$12))</f>
        <v>172.72415103429066</v>
      </c>
      <c r="BX133" s="24">
        <f t="shared" si="82"/>
        <v>27.150984067554873</v>
      </c>
      <c r="BY133" s="24">
        <f>BX133^((FixedParams!$B$47-1)/FixedParams!$B$47)*EXP($C133)</f>
        <v>0.23392996311640368</v>
      </c>
      <c r="BZ133" s="24">
        <f t="shared" si="83"/>
        <v>9.3389238117542475E-2</v>
      </c>
      <c r="CA133" s="24">
        <f t="shared" si="84"/>
        <v>-1.1223943435012035E-2</v>
      </c>
      <c r="CB133" s="24">
        <f t="shared" si="85"/>
        <v>6.1045124843952161E-3</v>
      </c>
      <c r="CC133" s="24"/>
      <c r="CD133" s="24">
        <f>EXP(-$D$17)*(($B133*FixedParams!$B$30)^$B$10*(1+FixedParams!$D$24)^(1-$B$10)+(1-$B133)^$B$10*((1+FixedParams!$D$27)/$CE$12)^(1-$B$10))^(1/(1-$B$10))</f>
        <v>6.4511746296819537</v>
      </c>
      <c r="CE133" s="24">
        <f>EXP($D133-$D$17)*(($B133*FixedParams!$D$31)^$B$10*(1+FixedParams!$D$25)^(1-$B$10)+(1-$B133)^$B$10*((1+FixedParams!$D$28)/$CE$12)^(1-$B$10))^(1/(1-$B$10))</f>
        <v>6.2307734469590059</v>
      </c>
      <c r="CF133" s="24">
        <f>EXP($D133-$D$17)*(($B133*FixedParams!$D$30)^$B$10*(1+FixedParams!$D$23)^(1-$B$10)+(1-$B133)^$B$10*((1+FixedParams!$D$26)/$CE$12)^(1-$B$10))^(1/(1-$B$10))</f>
        <v>6.1490619786119725</v>
      </c>
      <c r="CG133">
        <f>IF(FixedParams!$I$6=1,IF(CE133&lt;=MIN(CD133:CF133),1,0),$H133)</f>
        <v>0</v>
      </c>
      <c r="CH133">
        <f>IF(FixedParams!$I$6=1,IF(CF133&lt;=MIN(CD133:CF133),1,0),IF(CF133&lt;=CD133,1,0)*(1-$H133))</f>
        <v>1</v>
      </c>
      <c r="CI133" s="24">
        <f>$CE$13*IF(CG133=1,1,IF(CH133=1,FixedParams!$D$52,FixedParams!$D$53))</f>
        <v>0.32933267593211629</v>
      </c>
      <c r="CJ133">
        <f>EXP($C133*FixedParams!$B$47)*EXP(IF(CG133+CH133=1,(1-FixedParams!$B$47)*$D133,0))*($B133^((FixedParams!$B$47-1)*$B$10/($B$10-1)))*((1/$B133-1)^$B$10*(CI133)^($B$10-1)+1)^((FixedParams!$B$47-$B$10)/($B$10-1))/((1+IF(CG133=1,FixedParams!$D$25,IF(CH133=1,FixedParams!$D$23,FixedParams!$D$24)))^FixedParams!$B$47)</f>
        <v>6.1691170330143277E-2</v>
      </c>
      <c r="CK133">
        <f t="shared" si="86"/>
        <v>1.6243507354124125</v>
      </c>
      <c r="CL133">
        <f t="shared" si="88"/>
        <v>44.377719798839941</v>
      </c>
      <c r="CM133">
        <f t="shared" si="55"/>
        <v>35.386647259485443</v>
      </c>
      <c r="CN133">
        <f t="shared" si="89"/>
        <v>79.764367058325377</v>
      </c>
      <c r="CO133" s="24">
        <f t="shared" si="90"/>
        <v>0.79739669861114559</v>
      </c>
      <c r="CP133" s="24">
        <f t="shared" si="91"/>
        <v>1.9865894973984888</v>
      </c>
      <c r="CQ133" s="23">
        <f>IF(CG133=1,CL133*(1+FixedParams!$D$25)+CM133*(1+FixedParams!$D$28)/$CE$12,IF(CH133=1,CL133*(1+FixedParams!$D$23)+CM133*(1+FixedParams!$D$26)/$CE$12,CL133*(1+FixedParams!$D$24)+CM133*(1+FixedParams!$D$27)/$CE$12))</f>
        <v>169.34147885692545</v>
      </c>
      <c r="CR133" s="24">
        <f t="shared" si="92"/>
        <v>27.539400228187471</v>
      </c>
      <c r="CS133" s="24">
        <f>CR133^((FixedParams!$B$47-1)/FixedParams!$B$47)*EXP($C133)</f>
        <v>0.23392663697360641</v>
      </c>
      <c r="CT133" s="24"/>
    </row>
    <row r="134" spans="1:98" x14ac:dyDescent="0.15">
      <c r="A134">
        <v>0.58499999999999996</v>
      </c>
      <c r="B134">
        <f t="shared" si="56"/>
        <v>0.27923935408370426</v>
      </c>
      <c r="C134">
        <f>(D134-$D$17)*FixedParams!$B$47+$A134*$B$9</f>
        <v>-1.4619238691411571</v>
      </c>
      <c r="D134">
        <f>(A134-$B$6)*FixedParams!$B$46/(FixedParams!$B$45*Sectors!$B$6)</f>
        <v>4.618487154088867E-2</v>
      </c>
      <c r="E134">
        <f t="shared" si="57"/>
        <v>0.23178991203673022</v>
      </c>
      <c r="F134" s="24">
        <f>EXP(-$D$17)*(($B134*FixedParams!$B$30)^$B$10*(1+FixedParams!$B$23)^(1-$B$10)+(1-$B134)^$B$10*((1+FixedParams!$B$26)/$B$11)^(1-$B$10))^(1/(1-$B$10))</f>
        <v>5.0249767805292356</v>
      </c>
      <c r="G134" s="24">
        <f>EXP($D134-$D$17)*(($B134*FixedParams!$B$31)^$B$10*(1+FixedParams!$B$25)^(1-$B$10)+(1-$B134)^$B$10*((1+FixedParams!$B$28)/$B$11)^(1-$B$10))^(1/(1-$B$10))</f>
        <v>5.0506352802702583</v>
      </c>
      <c r="H134">
        <f t="shared" si="58"/>
        <v>0</v>
      </c>
      <c r="I134" s="24">
        <f>$B$12*IF(H134=1,1,FixedParams!$B$52)</f>
        <v>0.39101505882574561</v>
      </c>
      <c r="J134">
        <f>EXP($C134*FixedParams!$B$47)*EXP(IF(H134=1,(1-FixedParams!$B$47)*$D134,0))*($B134^((FixedParams!$B$47-1)*$B$10/($B$10-1)))*((1/$B134-1)^$B$10*(I134)^($B$10-1)+1)^((FixedParams!$B$47-$B$10)/($B$10-1))/((1+IF(H134=1,FixedParams!$B$25,FixedParams!$B$24))^FixedParams!$B$47)</f>
        <v>6.0093827574908096E-2</v>
      </c>
      <c r="K134">
        <f t="shared" si="87"/>
        <v>1.2116467511996738</v>
      </c>
      <c r="L134">
        <f>K134*FixedParams!$B$8/K$15</f>
        <v>35.226362794982364</v>
      </c>
      <c r="M134">
        <f t="shared" si="47"/>
        <v>35.717387881284402</v>
      </c>
      <c r="N134">
        <f t="shared" si="59"/>
        <v>70.943750676266774</v>
      </c>
      <c r="O134" s="24">
        <f t="shared" si="60"/>
        <v>1.0139391366959969</v>
      </c>
      <c r="P134" s="24">
        <f t="shared" si="48"/>
        <v>1.9648415914366448</v>
      </c>
      <c r="Q134" s="23">
        <f>IF(H134=1,L134*(1+FixedParams!$B$25)+M134*FixedParams!$B$33*(1+FixedParams!$B$28)/FixedParams!$B$32,L134*(1+FixedParams!$B$23)+M134*FixedParams!$B$33*(1+FixedParams!$B$26)/FixedParams!$B$32)</f>
        <v>136.2543950767909</v>
      </c>
      <c r="R134" s="24">
        <f t="shared" si="49"/>
        <v>27.115427797547046</v>
      </c>
      <c r="S134" s="24">
        <f>R134^((FixedParams!$B$47-1)/FixedParams!$B$47)*EXP($C134)</f>
        <v>0.23102547910090163</v>
      </c>
      <c r="T134" s="7">
        <f>(L134*FixedParams!$B$32*(FixedParams!$C$25-FixedParams!$C$23)+FixedParams!$B$33*(FixedParams!$C$28-FixedParams!$C$26)*M134)/N134</f>
        <v>1175.3446263156875</v>
      </c>
      <c r="U134" s="7">
        <f>(L134*FixedParams!$B$32*(FixedParams!$C$25-FixedParams!$C$23)*$Z$12/$B$11+FixedParams!$B$33*(FixedParams!$C$28-FixedParams!$C$26)*M134)/N134</f>
        <v>676.65354542139494</v>
      </c>
      <c r="V134" s="14">
        <f t="shared" si="50"/>
        <v>-0.95285208650285758</v>
      </c>
      <c r="W134" s="14">
        <f t="shared" si="93"/>
        <v>0.79446590164828768</v>
      </c>
      <c r="X134" s="73">
        <f t="shared" si="62"/>
        <v>0.96452450780920174</v>
      </c>
      <c r="Y134" s="24">
        <f>EXP(-$D$17)*(($B134*FixedParams!$B$30)^$B$10*(1+FixedParams!$C$24)^(1-$B$10)+(1-$B134)^$B$10*((1+FixedParams!$C$27)/$Z$12)^(1-$B$10))^(1/(1-$B$10))</f>
        <v>6.6801312261573909</v>
      </c>
      <c r="Z134" s="24">
        <f>EXP($D134-$D$17)*(($B134*FixedParams!$C$31)^$B$10*(1+FixedParams!$C$25)^(1-$B$10)+(1-$B134)^$B$10*((1+FixedParams!$C$28)/$Z$12)^(1-$B$10))^(1/(1-$B$10))</f>
        <v>6.223429389584493</v>
      </c>
      <c r="AA134" s="24">
        <f>EXP($D134-$D$17)*(($B134*FixedParams!$C$30)^$B$10*(1+FixedParams!$C$23)^(1-$B$10)+(1-$B134)^$B$10*((1+FixedParams!$C$26)/$Z$12)^(1-$B$10))^(1/(1-$B$10))</f>
        <v>6.152675366351489</v>
      </c>
      <c r="AB134">
        <f>IF(FixedParams!$I$6=1,IF(Z134&lt;=MIN(Y134:AA134),1,0),$H134)</f>
        <v>0</v>
      </c>
      <c r="AC134">
        <f>IF(FixedParams!$I$6=1,IF(AA134&lt;=MIN(Y134:AA134),1,0),IF(AA134&lt;=Y134,1,0)*(1-$H134))</f>
        <v>1</v>
      </c>
      <c r="AD134" s="24">
        <f>$Z$13*IF(AB134=1,1,IF(AC134=1,FixedParams!$C$52,FixedParams!$C$53))</f>
        <v>0.34709202255780691</v>
      </c>
      <c r="AE134">
        <f>EXP($C134*FixedParams!$B$47)*EXP(IF(AB134+AC134=1,(1-FixedParams!$B$47)*$D134,0))*($B134^((FixedParams!$B$47-1)*$B$10/($B$10-1)))*((1/$B134-1)^$B$10*(AD134)^($B$10-1)+1)^((FixedParams!$B$47-$B$10)/($B$10-1))/((1+IF(AB134=1,FixedParams!$C$25,IF(AC134=1,FixedParams!$C$23,FixedParams!$C$24)))^FixedParams!$B$47)</f>
        <v>5.842476948387719E-2</v>
      </c>
      <c r="AF134">
        <f t="shared" si="63"/>
        <v>1.7216132602934699</v>
      </c>
      <c r="AG134">
        <f t="shared" si="64"/>
        <v>40.438051733704611</v>
      </c>
      <c r="AH134">
        <f t="shared" si="51"/>
        <v>34.290896013242794</v>
      </c>
      <c r="AI134">
        <f t="shared" si="65"/>
        <v>74.728947746947398</v>
      </c>
      <c r="AJ134" s="24">
        <f t="shared" si="66"/>
        <v>0.84798585844485086</v>
      </c>
      <c r="AK134" s="24">
        <f t="shared" si="67"/>
        <v>2.054955559396507</v>
      </c>
      <c r="AL134" s="23">
        <f>IF(AB134=1,AG134*(1+FixedParams!$C$25)+AH134*(1+FixedParams!$C$28)/$Z$12,IF(AC134=1,AG134*(1+FixedParams!$C$23)+AH134*(1+FixedParams!$C$26)/$Z$12,AG134*(1+FixedParams!$C$24)+AH134*(1+FixedParams!$C$27)/$Z$12))</f>
        <v>160.91396227992149</v>
      </c>
      <c r="AM134" s="24">
        <f t="shared" si="68"/>
        <v>26.15349465046501</v>
      </c>
      <c r="AN134" s="24">
        <f>AM134^((FixedParams!$B$47-1)/FixedParams!$B$47)*EXP($C134)</f>
        <v>0.23103383225378787</v>
      </c>
      <c r="AO134" s="24">
        <f t="shared" si="69"/>
        <v>5.1980218057781441E-2</v>
      </c>
      <c r="AP134" s="24">
        <f t="shared" si="70"/>
        <v>-3.6120037099974828E-2</v>
      </c>
      <c r="AQ134" s="14">
        <f t="shared" si="71"/>
        <v>-0.89327401981059784</v>
      </c>
      <c r="AS134" s="24">
        <f>EXP(-$D$17)*(($B134*FixedParams!$B$30)^$B$10*(1+FixedParams!$D$24)^(1-$B$10)+(1-$B134)^$B$10*((1+FixedParams!$D$27)/$AT$12)^(1-$B$10))^(1/(1-$B$10))</f>
        <v>6.2349880273544942</v>
      </c>
      <c r="AT134" s="24">
        <f>EXP($D134-$D$17)*(($B134*FixedParams!$C$31)^$B$10*(1+FixedParams!$D$25)^(1-$B$10)+(1-$B134)^$B$10*((1+FixedParams!$D$28)/$AT$12)^(1-$B$10))^(1/(1-$B$10))</f>
        <v>6.0388697259768103</v>
      </c>
      <c r="AU134" s="24">
        <f>EXP($D134-$D$17)*(($B134*FixedParams!$C$30)^$B$10*(1+FixedParams!$D$23)^(1-$B$10)+(1-$B134)^$B$10*((1+FixedParams!$D$26)/$AT$12)^(1-$B$10))^(1/(1-$B$10))</f>
        <v>5.9609895047558732</v>
      </c>
      <c r="AV134">
        <f>IF(FixedParams!$I$6=1,IF(AT134&lt;=MIN(AS134:AU134),1,0),$H134)</f>
        <v>0</v>
      </c>
      <c r="AW134">
        <f>IF(FixedParams!$I$6=1,IF(AU134&lt;=MIN(AS134:AU134),1,0),IF(AU134&lt;=AS134,1,0)*(1-$H134))</f>
        <v>1</v>
      </c>
      <c r="AX134" s="24">
        <f>$AT$13*IF(AV134=1,1,IF(AW134=1,FixedParams!$D$52,FixedParams!$D$53))</f>
        <v>0.3451899269505756</v>
      </c>
      <c r="AY134">
        <f>EXP($C134*FixedParams!$B$47)*EXP(IF(AV134+AW134=1,(1-FixedParams!$B$47)*$D134,0))*($B134^((FixedParams!$B$47-1)*$B$10/($B$10-1)))*((1/$B134-1)^$B$10*(AX134)^($B$10-1)+1)^((FixedParams!$B$47-$B$10)/($B$10-1))/((1+IF(AV134=1,FixedParams!$D$25,IF(AW134=1,FixedParams!$D$23,FixedParams!$D$24)))^FixedParams!$B$47)</f>
        <v>6.065519142822403E-2</v>
      </c>
      <c r="AZ134">
        <f t="shared" si="52"/>
        <v>1.6332975735164275</v>
      </c>
      <c r="BA134">
        <f t="shared" si="72"/>
        <v>41.0935485077501</v>
      </c>
      <c r="BB134">
        <f t="shared" si="53"/>
        <v>34.560695817365776</v>
      </c>
      <c r="BC134">
        <f t="shared" si="73"/>
        <v>75.654244325115883</v>
      </c>
      <c r="BD134" s="24">
        <f t="shared" si="74"/>
        <v>0.84102485846039188</v>
      </c>
      <c r="BE134" s="24">
        <f t="shared" si="75"/>
        <v>2.0185565137232797</v>
      </c>
      <c r="BF134" s="23">
        <f>IF(AV134=1,BA134*(1+FixedParams!$C$25)+BB134*(1+FixedParams!$C$28)/$AT$12,IF(AW134=1,BA134*(1+FixedParams!$C$23)+BB134*(1+FixedParams!$C$26)/$AT$12,BA134*(1+FixedParams!$C$24)+BB134*(1+FixedParams!$C$27)/$AT$12))</f>
        <v>160.99511807912168</v>
      </c>
      <c r="BG134" s="24">
        <f t="shared" si="76"/>
        <v>27.008119700709841</v>
      </c>
      <c r="BH134" s="24">
        <f>BG134^((FixedParams!$B$47-1)/FixedParams!$B$47)*EXP($C134)</f>
        <v>0.2310263961066456</v>
      </c>
      <c r="BI134" s="7"/>
      <c r="BJ134" s="24">
        <f>EXP(-$D$17)*(($B134*FixedParams!$B$30)^$B$10*(1+FixedParams!$C$24)^(1-$B$10)+(1-$B134)^$B$10*((1+FixedParams!$C$27)/$BK$12)^(1-$B$10))^(1/(1-$B$10))</f>
        <v>6.9331993299602637</v>
      </c>
      <c r="BK134" s="24">
        <f>EXP($D134-$D$17)*(($B134*FixedParams!$C$31)^$B$10*(1+FixedParams!$C$25)^(1-$B$10)+(1-$B134)^$B$10*((1+FixedParams!$C$28)/$BK$12)^(1-$B$10))^(1/(1-$B$10))</f>
        <v>6.4559441673159554</v>
      </c>
      <c r="BL134" s="24">
        <f>EXP($D134-$D$17)*(($B134*FixedParams!$C$30)^$B$10*(1+FixedParams!$C$23)^(1-$B$10)+(1-$B134)^$B$10*((1+FixedParams!$C$26)/$BK$12)^(1-$B$10))^(1/(1-$B$10))</f>
        <v>6.3754494829974737</v>
      </c>
      <c r="BM134">
        <f>IF(FixedParams!$I$6=1,IF(BK134&lt;=MIN(BJ134:BL134),1,0),$H134)</f>
        <v>0</v>
      </c>
      <c r="BN134">
        <f>IF(FixedParams!$I$6=1,IF(BL134&lt;=MIN(BJ134:BL134),1,0),IF(BL134&lt;=BJ134,1,0)*(1-$H134))</f>
        <v>1</v>
      </c>
      <c r="BO134" s="24">
        <f>$BK$13*IF(BM134=1,1,IF(BN134=1,FixedParams!$C$52,FixedParams!$C$53))</f>
        <v>0.33006170822567266</v>
      </c>
      <c r="BP134">
        <f>EXP($C134*FixedParams!$B$47)*EXP(IF(BM134+BN134=1,(1-FixedParams!$B$47)*$D134,0))*($B134^((FixedParams!$B$47-1)*$B$10/($B$10-1)))*((1/$B134-1)^$B$10*(BO134)^($B$10-1)+1)^((FixedParams!$B$47-$B$10)/($B$10-1))/((1+IF(BM134=1,FixedParams!$C$25,IF(BN134=1,FixedParams!$C$23,FixedParams!$C$24)))^FixedParams!$B$47)</f>
        <v>5.947519276406095E-2</v>
      </c>
      <c r="BQ134">
        <f t="shared" si="77"/>
        <v>1.710967609888707</v>
      </c>
      <c r="BR134">
        <f t="shared" si="78"/>
        <v>43.63678971069136</v>
      </c>
      <c r="BS134">
        <f t="shared" si="54"/>
        <v>34.313669886843769</v>
      </c>
      <c r="BT134">
        <f t="shared" si="79"/>
        <v>77.950459597535129</v>
      </c>
      <c r="BU134" s="24">
        <f t="shared" si="80"/>
        <v>0.78634725685232176</v>
      </c>
      <c r="BV134" s="24">
        <f t="shared" si="81"/>
        <v>2.0248821549744016</v>
      </c>
      <c r="BW134" s="23">
        <f>IF(BM134=1,BR134*(1+FixedParams!$C$25)+BS134*(1+FixedParams!$C$28)/$BK$12,IF(BN134=1,BR134*(1+FixedParams!$C$23)+BS134*(1+FixedParams!$C$26)/$BK$12,BR134*(1+FixedParams!$C$24)+BS134*(1+FixedParams!$C$27)/$BK$12))</f>
        <v>170.58187906529255</v>
      </c>
      <c r="BX134" s="24">
        <f t="shared" si="82"/>
        <v>26.756055321309201</v>
      </c>
      <c r="BY134" s="24">
        <f>BX134^((FixedParams!$B$47-1)/FixedParams!$B$47)*EXP($C134)</f>
        <v>0.23102856455869095</v>
      </c>
      <c r="BZ134" s="24">
        <f t="shared" si="83"/>
        <v>9.4186172488069389E-2</v>
      </c>
      <c r="CA134" s="24">
        <f t="shared" si="84"/>
        <v>-1.3342042446584908E-2</v>
      </c>
      <c r="CB134" s="24">
        <f t="shared" si="85"/>
        <v>3.9864134728223432E-3</v>
      </c>
      <c r="CC134" s="24"/>
      <c r="CD134" s="24">
        <f>EXP(-$D$17)*(($B134*FixedParams!$B$30)^$B$10*(1+FixedParams!$D$24)^(1-$B$10)+(1-$B134)^$B$10*((1+FixedParams!$D$27)/$CE$12)^(1-$B$10))^(1/(1-$B$10))</f>
        <v>6.4530951864639308</v>
      </c>
      <c r="CE134" s="24">
        <f>EXP($D134-$D$17)*(($B134*FixedParams!$D$31)^$B$10*(1+FixedParams!$D$25)^(1-$B$10)+(1-$B134)^$B$10*((1+FixedParams!$D$28)/$CE$12)^(1-$B$10))^(1/(1-$B$10))</f>
        <v>6.2481030783496649</v>
      </c>
      <c r="CF134" s="24">
        <f>EXP($D134-$D$17)*(($B134*FixedParams!$D$30)^$B$10*(1+FixedParams!$D$23)^(1-$B$10)+(1-$B134)^$B$10*((1+FixedParams!$D$26)/$CE$12)^(1-$B$10))^(1/(1-$B$10))</f>
        <v>6.1623838297060356</v>
      </c>
      <c r="CG134">
        <f>IF(FixedParams!$I$6=1,IF(CE134&lt;=MIN(CD134:CF134),1,0),$H134)</f>
        <v>0</v>
      </c>
      <c r="CH134">
        <f>IF(FixedParams!$I$6=1,IF(CF134&lt;=MIN(CD134:CF134),1,0),IF(CF134&lt;=CD134,1,0)*(1-$H134))</f>
        <v>1</v>
      </c>
      <c r="CI134" s="24">
        <f>$CE$13*IF(CG134=1,1,IF(CH134=1,FixedParams!$D$52,FixedParams!$D$53))</f>
        <v>0.32933267593211629</v>
      </c>
      <c r="CJ134">
        <f>EXP($C134*FixedParams!$B$47)*EXP(IF(CG134+CH134=1,(1-FixedParams!$B$47)*$D134,0))*($B134^((FixedParams!$B$47-1)*$B$10/($B$10-1)))*((1/$B134-1)^$B$10*(CI134)^($B$10-1)+1)^((FixedParams!$B$47-$B$10)/($B$10-1))/((1+IF(CG134=1,FixedParams!$D$25,IF(CH134=1,FixedParams!$D$23,FixedParams!$D$24)))^FixedParams!$B$47)</f>
        <v>6.1673358926419564E-2</v>
      </c>
      <c r="CK134">
        <f t="shared" si="86"/>
        <v>1.6238817547368554</v>
      </c>
      <c r="CL134">
        <f t="shared" si="88"/>
        <v>44.364907114634974</v>
      </c>
      <c r="CM134">
        <f t="shared" si="55"/>
        <v>34.770703093746462</v>
      </c>
      <c r="CN134">
        <f t="shared" si="89"/>
        <v>79.135610208381436</v>
      </c>
      <c r="CO134" s="24">
        <f t="shared" si="90"/>
        <v>0.78374339889638578</v>
      </c>
      <c r="CP134" s="24">
        <f t="shared" si="91"/>
        <v>1.9908934139245256</v>
      </c>
      <c r="CQ134" s="23">
        <f>IF(CG134=1,CL134*(1+FixedParams!$D$25)+CM134*(1+FixedParams!$D$28)/$CE$12,IF(CH134=1,CL134*(1+FixedParams!$D$23)+CM134*(1+FixedParams!$D$26)/$CE$12,CL134*(1+FixedParams!$D$24)+CM134*(1+FixedParams!$D$27)/$CE$12))</f>
        <v>167.24116034251873</v>
      </c>
      <c r="CR134" s="24">
        <f t="shared" si="92"/>
        <v>27.139036607282648</v>
      </c>
      <c r="CS134" s="24">
        <f>CR134^((FixedParams!$B$47-1)/FixedParams!$B$47)*EXP($C134)</f>
        <v>0.23102527783841373</v>
      </c>
      <c r="CT134" s="24"/>
    </row>
    <row r="135" spans="1:98" x14ac:dyDescent="0.15">
      <c r="A135">
        <v>0.59</v>
      </c>
      <c r="B135">
        <f t="shared" si="56"/>
        <v>0.28156254537479397</v>
      </c>
      <c r="C135">
        <f>(D135-$D$17)*FixedParams!$B$47+$A135*$B$9</f>
        <v>-1.4744189449457825</v>
      </c>
      <c r="D135">
        <f>(A135-$B$6)*FixedParams!$B$46/(FixedParams!$B$45*Sectors!$B$6)</f>
        <v>4.8901628690352722E-2</v>
      </c>
      <c r="E135">
        <f t="shared" si="57"/>
        <v>0.22891169870905698</v>
      </c>
      <c r="F135" s="24">
        <f>EXP(-$D$17)*(($B135*FixedParams!$B$30)^$B$10*(1+FixedParams!$B$23)^(1-$B$10)+(1-$B135)^$B$10*((1+FixedParams!$B$26)/$B$11)^(1-$B$10))^(1/(1-$B$10))</f>
        <v>5.025037444478393</v>
      </c>
      <c r="G135" s="24">
        <f>EXP($D135-$D$17)*(($B135*FixedParams!$B$31)^$B$10*(1+FixedParams!$B$25)^(1-$B$10)+(1-$B135)^$B$10*((1+FixedParams!$B$28)/$B$11)^(1-$B$10))^(1/(1-$B$10))</f>
        <v>5.0636762698421434</v>
      </c>
      <c r="H135">
        <f t="shared" si="58"/>
        <v>0</v>
      </c>
      <c r="I135" s="24">
        <f>$B$12*IF(H135=1,1,FixedParams!$B$52)</f>
        <v>0.39101505882574561</v>
      </c>
      <c r="J135">
        <f>EXP($C135*FixedParams!$B$47)*EXP(IF(H135=1,(1-FixedParams!$B$47)*$D135,0))*($B135^((FixedParams!$B$47-1)*$B$10/($B$10-1)))*((1/$B135-1)^$B$10*(I135)^($B$10-1)+1)^((FixedParams!$B$47-$B$10)/($B$10-1))/((1+IF(H135=1,FixedParams!$B$25,FixedParams!$B$24))^FixedParams!$B$47)</f>
        <v>6.0090907687814971E-2</v>
      </c>
      <c r="K135">
        <f t="shared" si="87"/>
        <v>1.2115878787355119</v>
      </c>
      <c r="L135">
        <f>K135*FixedParams!$B$8/K$15</f>
        <v>35.224651188213187</v>
      </c>
      <c r="M135">
        <f t="shared" si="47"/>
        <v>35.104116768008552</v>
      </c>
      <c r="N135">
        <f t="shared" si="59"/>
        <v>70.328767956221739</v>
      </c>
      <c r="O135" s="24">
        <f t="shared" si="60"/>
        <v>0.996578123100195</v>
      </c>
      <c r="P135" s="24">
        <f t="shared" si="48"/>
        <v>1.9648653119542931</v>
      </c>
      <c r="Q135" s="23">
        <f>IF(H135=1,L135*(1+FixedParams!$B$25)+M135*FixedParams!$B$33*(1+FixedParams!$B$28)/FixedParams!$B$32,L135*(1+FixedParams!$B$23)+M135*FixedParams!$B$33*(1+FixedParams!$B$26)/FixedParams!$B$32)</f>
        <v>134.56416141125021</v>
      </c>
      <c r="R135" s="24">
        <f t="shared" si="49"/>
        <v>26.778738048830238</v>
      </c>
      <c r="S135" s="24">
        <f>R135^((FixedParams!$B$47-1)/FixedParams!$B$47)*EXP($C135)</f>
        <v>0.22815961160243362</v>
      </c>
      <c r="T135" s="7">
        <f>(L135*FixedParams!$B$32*(FixedParams!$C$25-FixedParams!$C$23)+FixedParams!$B$33*(FixedParams!$C$28-FixedParams!$C$26)*M135)/N135</f>
        <v>1224.3275331268303</v>
      </c>
      <c r="U135" s="7">
        <f>(L135*FixedParams!$B$32*(FixedParams!$C$25-FixedParams!$C$23)*$Z$12/$B$11+FixedParams!$B$33*(FixedParams!$C$28-FixedParams!$C$26)*M135)/N135</f>
        <v>721.30014175445467</v>
      </c>
      <c r="V135" s="14">
        <f t="shared" si="50"/>
        <v>-0.93558146120677355</v>
      </c>
      <c r="W135" s="14">
        <f t="shared" si="93"/>
        <v>0.79791537804595281</v>
      </c>
      <c r="X135" s="73">
        <f t="shared" si="62"/>
        <v>0.96231426964258238</v>
      </c>
      <c r="Y135" s="24">
        <f>EXP(-$D$17)*(($B135*FixedParams!$B$30)^$B$10*(1+FixedParams!$C$24)^(1-$B$10)+(1-$B135)^$B$10*((1+FixedParams!$C$27)/$Z$12)^(1-$B$10))^(1/(1-$B$10))</f>
        <v>6.6848050289133099</v>
      </c>
      <c r="Z135" s="24">
        <f>EXP($D135-$D$17)*(($B135*FixedParams!$C$31)^$B$10*(1+FixedParams!$C$25)^(1-$B$10)+(1-$B135)^$B$10*((1+FixedParams!$C$28)/$Z$12)^(1-$B$10))^(1/(1-$B$10))</f>
        <v>6.2425714286202902</v>
      </c>
      <c r="AA135" s="24">
        <f>EXP($D135-$D$17)*(($B135*FixedParams!$C$30)^$B$10*(1+FixedParams!$C$23)^(1-$B$10)+(1-$B135)^$B$10*((1+FixedParams!$C$26)/$Z$12)^(1-$B$10))^(1/(1-$B$10))</f>
        <v>6.166895408249383</v>
      </c>
      <c r="AB135">
        <f>IF(FixedParams!$I$6=1,IF(Z135&lt;=MIN(Y135:AA135),1,0),$H135)</f>
        <v>0</v>
      </c>
      <c r="AC135">
        <f>IF(FixedParams!$I$6=1,IF(AA135&lt;=MIN(Y135:AA135),1,0),IF(AA135&lt;=Y135,1,0)*(1-$H135))</f>
        <v>1</v>
      </c>
      <c r="AD135" s="24">
        <f>$Z$13*IF(AB135=1,1,IF(AC135=1,FixedParams!$C$52,FixedParams!$C$53))</f>
        <v>0.34709202255780691</v>
      </c>
      <c r="AE135">
        <f>EXP($C135*FixedParams!$B$47)*EXP(IF(AB135+AC135=1,(1-FixedParams!$B$47)*$D135,0))*($B135^((FixedParams!$B$47-1)*$B$10/($B$10-1)))*((1/$B135-1)^$B$10*(AD135)^($B$10-1)+1)^((FixedParams!$B$47-$B$10)/($B$10-1))/((1+IF(AB135=1,FixedParams!$C$25,IF(AC135=1,FixedParams!$C$23,FixedParams!$C$24)))^FixedParams!$B$47)</f>
        <v>5.8409788758383756E-2</v>
      </c>
      <c r="AF135">
        <f t="shared" si="63"/>
        <v>1.7211718205430671</v>
      </c>
      <c r="AG135">
        <f t="shared" si="64"/>
        <v>40.427682991853104</v>
      </c>
      <c r="AH135">
        <f t="shared" si="51"/>
        <v>33.695113535297502</v>
      </c>
      <c r="AI135">
        <f t="shared" si="65"/>
        <v>74.122796527150598</v>
      </c>
      <c r="AJ135" s="24">
        <f t="shared" si="66"/>
        <v>0.83346635378751899</v>
      </c>
      <c r="AK135" s="24">
        <f t="shared" si="67"/>
        <v>2.0597049655349715</v>
      </c>
      <c r="AL135" s="23">
        <f>IF(AB135=1,AG135*(1+FixedParams!$C$25)+AH135*(1+FixedParams!$C$28)/$Z$12,IF(AC135=1,AG135*(1+FixedParams!$C$23)+AH135*(1+FixedParams!$C$26)/$Z$12,AG135*(1+FixedParams!$C$24)+AH135*(1+FixedParams!$C$27)/$Z$12))</f>
        <v>158.91819201270229</v>
      </c>
      <c r="AM135" s="24">
        <f t="shared" si="68"/>
        <v>25.769561747410101</v>
      </c>
      <c r="AN135" s="24">
        <f>AM135^((FixedParams!$B$47-1)/FixedParams!$B$47)*EXP($C135)</f>
        <v>0.22816838511296289</v>
      </c>
      <c r="AO135" s="24">
        <f t="shared" si="69"/>
        <v>5.2542198303387126E-2</v>
      </c>
      <c r="AP135" s="24">
        <f t="shared" si="70"/>
        <v>-3.8414198045757783E-2</v>
      </c>
      <c r="AQ135" s="14">
        <f t="shared" si="71"/>
        <v>-0.87600339451451414</v>
      </c>
      <c r="AS135" s="24">
        <f>EXP(-$D$17)*(($B135*FixedParams!$B$30)^$B$10*(1+FixedParams!$D$24)^(1-$B$10)+(1-$B135)^$B$10*((1+FixedParams!$D$27)/$AT$12)^(1-$B$10))^(1/(1-$B$10))</f>
        <v>6.2376078353267612</v>
      </c>
      <c r="AT135" s="24">
        <f>EXP($D135-$D$17)*(($B135*FixedParams!$C$31)^$B$10*(1+FixedParams!$D$25)^(1-$B$10)+(1-$B135)^$B$10*((1+FixedParams!$D$28)/$AT$12)^(1-$B$10))^(1/(1-$B$10))</f>
        <v>6.0564111196220738</v>
      </c>
      <c r="AU135" s="24">
        <f>EXP($D135-$D$17)*(($B135*FixedParams!$C$30)^$B$10*(1+FixedParams!$D$23)^(1-$B$10)+(1-$B135)^$B$10*((1+FixedParams!$D$26)/$AT$12)^(1-$B$10))^(1/(1-$B$10))</f>
        <v>5.9746491798495711</v>
      </c>
      <c r="AV135">
        <f>IF(FixedParams!$I$6=1,IF(AT135&lt;=MIN(AS135:AU135),1,0),$H135)</f>
        <v>0</v>
      </c>
      <c r="AW135">
        <f>IF(FixedParams!$I$6=1,IF(AU135&lt;=MIN(AS135:AU135),1,0),IF(AU135&lt;=AS135,1,0)*(1-$H135))</f>
        <v>1</v>
      </c>
      <c r="AX135" s="24">
        <f>$AT$13*IF(AV135=1,1,IF(AW135=1,FixedParams!$D$52,FixedParams!$D$53))</f>
        <v>0.3451899269505756</v>
      </c>
      <c r="AY135">
        <f>EXP($C135*FixedParams!$B$47)*EXP(IF(AV135+AW135=1,(1-FixedParams!$B$47)*$D135,0))*($B135^((FixedParams!$B$47-1)*$B$10/($B$10-1)))*((1/$B135-1)^$B$10*(AX135)^($B$10-1)+1)^((FixedParams!$B$47-$B$10)/($B$10-1))/((1+IF(AV135=1,FixedParams!$D$25,IF(AW135=1,FixedParams!$D$23,FixedParams!$D$24)))^FixedParams!$B$47)</f>
        <v>6.0639042130585956E-2</v>
      </c>
      <c r="AZ135">
        <f t="shared" si="52"/>
        <v>1.6328627119979788</v>
      </c>
      <c r="BA135">
        <f t="shared" si="72"/>
        <v>41.08260745010557</v>
      </c>
      <c r="BB135">
        <f t="shared" si="53"/>
        <v>33.959891585350476</v>
      </c>
      <c r="BC135">
        <f t="shared" si="73"/>
        <v>75.042499035456046</v>
      </c>
      <c r="BD135" s="24">
        <f t="shared" si="74"/>
        <v>0.82662454243184147</v>
      </c>
      <c r="BE135" s="24">
        <f t="shared" si="75"/>
        <v>2.0231820588804603</v>
      </c>
      <c r="BF135" s="23">
        <f>IF(AV135=1,BA135*(1+FixedParams!$C$25)+BB135*(1+FixedParams!$C$28)/$AT$12,IF(AW135=1,BA135*(1+FixedParams!$C$23)+BB135*(1+FixedParams!$C$26)/$AT$12,BA135*(1+FixedParams!$C$24)+BB135*(1+FixedParams!$C$27)/$AT$12))</f>
        <v>159.00934122022181</v>
      </c>
      <c r="BG135" s="24">
        <f t="shared" si="76"/>
        <v>26.614004677714874</v>
      </c>
      <c r="BH135" s="24">
        <f>BG135^((FixedParams!$B$47-1)/FixedParams!$B$47)*EXP($C135)</f>
        <v>0.22816102090859597</v>
      </c>
      <c r="BI135" s="7"/>
      <c r="BJ135" s="24">
        <f>EXP(-$D$17)*(($B135*FixedParams!$B$30)^$B$10*(1+FixedParams!$C$24)^(1-$B$10)+(1-$B135)^$B$10*((1+FixedParams!$C$27)/$BK$12)^(1-$B$10))^(1/(1-$B$10))</f>
        <v>6.9368830132562822</v>
      </c>
      <c r="BK135" s="24">
        <f>EXP($D135-$D$17)*(($B135*FixedParams!$C$31)^$B$10*(1+FixedParams!$C$25)^(1-$B$10)+(1-$B135)^$B$10*((1+FixedParams!$C$28)/$BK$12)^(1-$B$10))^(1/(1-$B$10))</f>
        <v>6.4746856825658972</v>
      </c>
      <c r="BL135" s="24">
        <f>EXP($D135-$D$17)*(($B135*FixedParams!$C$30)^$B$10*(1+FixedParams!$C$23)^(1-$B$10)+(1-$B135)^$B$10*((1+FixedParams!$C$26)/$BK$12)^(1-$B$10))^(1/(1-$B$10))</f>
        <v>6.3890301579432922</v>
      </c>
      <c r="BM135">
        <f>IF(FixedParams!$I$6=1,IF(BK135&lt;=MIN(BJ135:BL135),1,0),$H135)</f>
        <v>0</v>
      </c>
      <c r="BN135">
        <f>IF(FixedParams!$I$6=1,IF(BL135&lt;=MIN(BJ135:BL135),1,0),IF(BL135&lt;=BJ135,1,0)*(1-$H135))</f>
        <v>1</v>
      </c>
      <c r="BO135" s="24">
        <f>$BK$13*IF(BM135=1,1,IF(BN135=1,FixedParams!$C$52,FixedParams!$C$53))</f>
        <v>0.33006170822567266</v>
      </c>
      <c r="BP135">
        <f>EXP($C135*FixedParams!$B$47)*EXP(IF(BM135+BN135=1,(1-FixedParams!$B$47)*$D135,0))*($B135^((FixedParams!$B$47-1)*$B$10/($B$10-1)))*((1/$B135-1)^$B$10*(BO135)^($B$10-1)+1)^((FixedParams!$B$47-$B$10)/($B$10-1))/((1+IF(BM135=1,FixedParams!$C$25,IF(BN135=1,FixedParams!$C$23,FixedParams!$C$24)))^FixedParams!$B$47)</f>
        <v>5.9454561672113923E-2</v>
      </c>
      <c r="BQ135">
        <f t="shared" si="77"/>
        <v>1.7103740997471253</v>
      </c>
      <c r="BR135">
        <f t="shared" si="78"/>
        <v>43.621652733761067</v>
      </c>
      <c r="BS135">
        <f t="shared" si="54"/>
        <v>33.714440349886154</v>
      </c>
      <c r="BT135">
        <f t="shared" si="79"/>
        <v>77.336093083647228</v>
      </c>
      <c r="BU135" s="24">
        <f t="shared" si="80"/>
        <v>0.77288314946840131</v>
      </c>
      <c r="BV135" s="24">
        <f t="shared" si="81"/>
        <v>2.0291954612634142</v>
      </c>
      <c r="BW135" s="23">
        <f>IF(BM135=1,BR135*(1+FixedParams!$C$25)+BS135*(1+FixedParams!$C$28)/$BK$12,IF(BN135=1,BR135*(1+FixedParams!$C$23)+BS135*(1+FixedParams!$C$26)/$BK$12,BR135*(1+FixedParams!$C$24)+BS135*(1+FixedParams!$C$27)/$BK$12))</f>
        <v>168.46616993396793</v>
      </c>
      <c r="BX135" s="24">
        <f t="shared" si="82"/>
        <v>26.368034861209559</v>
      </c>
      <c r="BY135" s="24">
        <f>BX135^((FixedParams!$B$47-1)/FixedParams!$B$47)*EXP($C135)</f>
        <v>0.22816314153537826</v>
      </c>
      <c r="BZ135" s="24">
        <f t="shared" si="83"/>
        <v>9.4979836661799724E-2</v>
      </c>
      <c r="CA135" s="24">
        <f t="shared" si="84"/>
        <v>-1.5455740427053855E-2</v>
      </c>
      <c r="CB135" s="24">
        <f t="shared" si="85"/>
        <v>1.8727154923533964E-3</v>
      </c>
      <c r="CC135" s="24"/>
      <c r="CD135" s="24">
        <f>EXP(-$D$17)*(($B135*FixedParams!$B$30)^$B$10*(1+FixedParams!$D$24)^(1-$B$10)+(1-$B135)^$B$10*((1+FixedParams!$D$27)/$CE$12)^(1-$B$10))^(1/(1-$B$10))</f>
        <v>6.4547719580104168</v>
      </c>
      <c r="CE135" s="24">
        <f>EXP($D135-$D$17)*(($B135*FixedParams!$D$31)^$B$10*(1+FixedParams!$D$25)^(1-$B$10)+(1-$B135)^$B$10*((1+FixedParams!$D$28)/$CE$12)^(1-$B$10))^(1/(1-$B$10))</f>
        <v>6.2652321225072019</v>
      </c>
      <c r="CF135" s="24">
        <f>EXP($D135-$D$17)*(($B135*FixedParams!$D$30)^$B$10*(1+FixedParams!$D$23)^(1-$B$10)+(1-$B135)^$B$10*((1+FixedParams!$D$26)/$CE$12)^(1-$B$10))^(1/(1-$B$10))</f>
        <v>6.1754613482944531</v>
      </c>
      <c r="CG135">
        <f>IF(FixedParams!$I$6=1,IF(CE135&lt;=MIN(CD135:CF135),1,0),$H135)</f>
        <v>0</v>
      </c>
      <c r="CH135">
        <f>IF(FixedParams!$I$6=1,IF(CF135&lt;=MIN(CD135:CF135),1,0),IF(CF135&lt;=CD135,1,0)*(1-$H135))</f>
        <v>1</v>
      </c>
      <c r="CI135" s="24">
        <f>$CE$13*IF(CG135=1,1,IF(CH135=1,FixedParams!$D$52,FixedParams!$D$53))</f>
        <v>0.32933267593211629</v>
      </c>
      <c r="CJ135">
        <f>EXP($C135*FixedParams!$B$47)*EXP(IF(CG135+CH135=1,(1-FixedParams!$B$47)*$D135,0))*($B135^((FixedParams!$B$47-1)*$B$10/($B$10-1)))*((1/$B135-1)^$B$10*(CI135)^($B$10-1)+1)^((FixedParams!$B$47-$B$10)/($B$10-1))/((1+IF(CG135=1,FixedParams!$D$25,IF(CH135=1,FixedParams!$D$23,FixedParams!$D$24)))^FixedParams!$B$47)</f>
        <v>6.1651718770269169E-2</v>
      </c>
      <c r="CK135">
        <f t="shared" si="86"/>
        <v>1.6233119616308207</v>
      </c>
      <c r="CL135">
        <f t="shared" si="88"/>
        <v>44.349340206422568</v>
      </c>
      <c r="CM135">
        <f t="shared" si="55"/>
        <v>34.163355630832733</v>
      </c>
      <c r="CN135">
        <f t="shared" si="89"/>
        <v>78.512695837255308</v>
      </c>
      <c r="CO135" s="24">
        <f t="shared" si="90"/>
        <v>0.77032387566129512</v>
      </c>
      <c r="CP135" s="24">
        <f t="shared" si="91"/>
        <v>1.9951183934693972</v>
      </c>
      <c r="CQ135" s="23">
        <f>IF(CG135=1,CL135*(1+FixedParams!$D$25)+CM135*(1+FixedParams!$D$28)/$CE$12,IF(CH135=1,CL135*(1+FixedParams!$D$23)+CM135*(1+FixedParams!$D$26)/$CE$12,CL135*(1+FixedParams!$D$24)+CM135*(1+FixedParams!$D$27)/$CE$12))</f>
        <v>165.16688447626541</v>
      </c>
      <c r="CR135" s="24">
        <f t="shared" si="92"/>
        <v>26.745675369157873</v>
      </c>
      <c r="CS135" s="24">
        <f>CR135^((FixedParams!$B$47-1)/FixedParams!$B$47)*EXP($C135)</f>
        <v>0.22815989375872156</v>
      </c>
      <c r="CT135" s="24"/>
    </row>
    <row r="136" spans="1:98" x14ac:dyDescent="0.15">
      <c r="A136">
        <v>0.59499999999999997</v>
      </c>
      <c r="B136">
        <f t="shared" si="56"/>
        <v>0.28389745181195986</v>
      </c>
      <c r="C136">
        <f>(D136-$D$17)*FixedParams!$B$47+$A136*$B$9</f>
        <v>-1.4869140207504077</v>
      </c>
      <c r="D136">
        <f>(A136-$B$6)*FixedParams!$B$46/(FixedParams!$B$45*Sectors!$B$6)</f>
        <v>5.1618385839816754E-2</v>
      </c>
      <c r="E136">
        <f t="shared" si="57"/>
        <v>0.22606922512470048</v>
      </c>
      <c r="F136" s="24">
        <f>EXP(-$D$17)*(($B136*FixedParams!$B$30)^$B$10*(1+FixedParams!$B$23)^(1-$B$10)+(1-$B136)^$B$10*((1+FixedParams!$B$26)/$B$11)^(1-$B$10))^(1/(1-$B$10))</f>
        <v>5.0248956817537191</v>
      </c>
      <c r="G136" s="24">
        <f>EXP($D136-$D$17)*(($B136*FixedParams!$B$31)^$B$10*(1+FixedParams!$B$25)^(1-$B$10)+(1-$B136)^$B$10*((1+FixedParams!$B$28)/$B$11)^(1-$B$10))^(1/(1-$B$10))</f>
        <v>5.0765407164917775</v>
      </c>
      <c r="H136">
        <f t="shared" si="58"/>
        <v>0</v>
      </c>
      <c r="I136" s="24">
        <f>$B$12*IF(H136=1,1,FixedParams!$B$52)</f>
        <v>0.39101505882574561</v>
      </c>
      <c r="J136">
        <f>EXP($C136*FixedParams!$B$47)*EXP(IF(H136=1,(1-FixedParams!$B$47)*$D136,0))*($B136^((FixedParams!$B$47-1)*$B$10/($B$10-1)))*((1/$B136-1)^$B$10*(I136)^($B$10-1)+1)^((FixedParams!$B$47-$B$10)/($B$10-1))/((1+IF(H136=1,FixedParams!$B$25,FixedParams!$B$24))^FixedParams!$B$47)</f>
        <v>6.0084358344042618E-2</v>
      </c>
      <c r="K136">
        <f t="shared" si="87"/>
        <v>1.211455827051928</v>
      </c>
      <c r="L136">
        <f>K136*FixedParams!$B$8/K$15</f>
        <v>35.220812032527746</v>
      </c>
      <c r="M136">
        <f t="shared" si="47"/>
        <v>34.499291534731661</v>
      </c>
      <c r="N136">
        <f t="shared" si="59"/>
        <v>69.7201035672594</v>
      </c>
      <c r="O136" s="24">
        <f t="shared" si="60"/>
        <v>0.9795143707325733</v>
      </c>
      <c r="P136" s="24">
        <f t="shared" si="48"/>
        <v>1.9648098805941656</v>
      </c>
      <c r="Q136" s="23">
        <f>IF(H136=1,L136*(1+FixedParams!$B$25)+M136*FixedParams!$B$33*(1+FixedParams!$B$28)/FixedParams!$B$32,L136*(1+FixedParams!$B$23)+M136*FixedParams!$B$33*(1+FixedParams!$B$26)/FixedParams!$B$32)</f>
        <v>132.89488971466417</v>
      </c>
      <c r="R136" s="24">
        <f t="shared" si="49"/>
        <v>26.447293263664939</v>
      </c>
      <c r="S136" s="24">
        <f>R136^((FixedParams!$B$47-1)/FixedParams!$B$47)*EXP($C136)</f>
        <v>0.22532928606881664</v>
      </c>
      <c r="T136" s="7">
        <f>(L136*FixedParams!$B$32*(FixedParams!$C$25-FixedParams!$C$23)+FixedParams!$B$33*(FixedParams!$C$28-FixedParams!$C$26)*M136)/N136</f>
        <v>1273.3089901200378</v>
      </c>
      <c r="U136" s="7">
        <f>(L136*FixedParams!$B$32*(FixedParams!$C$25-FixedParams!$C$23)*$Z$12/$B$11+FixedParams!$B$33*(FixedParams!$C$28-FixedParams!$C$26)*M136)/N136</f>
        <v>765.94541661763139</v>
      </c>
      <c r="V136" s="14">
        <f t="shared" si="50"/>
        <v>-0.91831083591069018</v>
      </c>
      <c r="W136" s="14">
        <f t="shared" si="93"/>
        <v>0.8013350007506721</v>
      </c>
      <c r="X136" s="73">
        <f t="shared" si="62"/>
        <v>0.96011206050365772</v>
      </c>
      <c r="Y136" s="24">
        <f>EXP(-$D$17)*(($B136*FixedParams!$B$30)^$B$10*(1+FixedParams!$C$24)^(1-$B$10)+(1-$B136)^$B$10*((1+FixedParams!$C$27)/$Z$12)^(1-$B$10))^(1/(1-$B$10))</f>
        <v>6.6892490103463675</v>
      </c>
      <c r="Z136" s="24">
        <f>EXP($D136-$D$17)*(($B136*FixedParams!$C$31)^$B$10*(1+FixedParams!$C$25)^(1-$B$10)+(1-$B136)^$B$10*((1+FixedParams!$C$28)/$Z$12)^(1-$B$10))^(1/(1-$B$10))</f>
        <v>6.2615366839602737</v>
      </c>
      <c r="AA136" s="24">
        <f>EXP($D136-$D$17)*(($B136*FixedParams!$C$30)^$B$10*(1+FixedParams!$C$23)^(1-$B$10)+(1-$B136)^$B$10*((1+FixedParams!$C$26)/$Z$12)^(1-$B$10))^(1/(1-$B$10))</f>
        <v>6.180880216891679</v>
      </c>
      <c r="AB136">
        <f>IF(FixedParams!$I$6=1,IF(Z136&lt;=MIN(Y136:AA136),1,0),$H136)</f>
        <v>0</v>
      </c>
      <c r="AC136">
        <f>IF(FixedParams!$I$6=1,IF(AA136&lt;=MIN(Y136:AA136),1,0),IF(AA136&lt;=Y136,1,0)*(1-$H136))</f>
        <v>1</v>
      </c>
      <c r="AD136" s="24">
        <f>$Z$13*IF(AB136=1,1,IF(AC136=1,FixedParams!$C$52,FixedParams!$C$53))</f>
        <v>0.34709202255780691</v>
      </c>
      <c r="AE136">
        <f>EXP($C136*FixedParams!$B$47)*EXP(IF(AB136+AC136=1,(1-FixedParams!$B$47)*$D136,0))*($B136^((FixedParams!$B$47-1)*$B$10/($B$10-1)))*((1/$B136-1)^$B$10*(AD136)^($B$10-1)+1)^((FixedParams!$B$47-$B$10)/($B$10-1))/((1+IF(AB136=1,FixedParams!$C$25,IF(AC136=1,FixedParams!$C$23,FixedParams!$C$24)))^FixedParams!$B$47)</f>
        <v>5.8391194143607619E-2</v>
      </c>
      <c r="AF136">
        <f t="shared" si="63"/>
        <v>1.7206238896628694</v>
      </c>
      <c r="AG136">
        <f t="shared" si="64"/>
        <v>40.414812936893057</v>
      </c>
      <c r="AH136">
        <f t="shared" si="51"/>
        <v>33.107631156152578</v>
      </c>
      <c r="AI136">
        <f t="shared" si="65"/>
        <v>73.522444093045635</v>
      </c>
      <c r="AJ136" s="24">
        <f t="shared" si="66"/>
        <v>0.81919545706791963</v>
      </c>
      <c r="AK136" s="24">
        <f t="shared" si="67"/>
        <v>2.0643758052194037</v>
      </c>
      <c r="AL136" s="23">
        <f>IF(AB136=1,AG136*(1+FixedParams!$C$25)+AH136*(1+FixedParams!$C$28)/$Z$12,IF(AC136=1,AG136*(1+FixedParams!$C$23)+AH136*(1+FixedParams!$C$26)/$Z$12,AG136*(1+FixedParams!$C$24)+AH136*(1+FixedParams!$C$27)/$Z$12))</f>
        <v>156.94716791094828</v>
      </c>
      <c r="AM136" s="24">
        <f t="shared" si="68"/>
        <v>25.39236523012185</v>
      </c>
      <c r="AN136" s="24">
        <f>AM136^((FixedParams!$B$47-1)/FixedParams!$B$47)*EXP($C136)</f>
        <v>0.22533846752693854</v>
      </c>
      <c r="AO136" s="24">
        <f t="shared" si="69"/>
        <v>5.3102015290616575E-2</v>
      </c>
      <c r="AP136" s="24">
        <f t="shared" si="70"/>
        <v>-4.0705271641325293E-2</v>
      </c>
      <c r="AQ136" s="14">
        <f t="shared" si="71"/>
        <v>-0.85873276921843045</v>
      </c>
      <c r="AS136" s="24">
        <f>EXP(-$D$17)*(($B136*FixedParams!$B$30)^$B$10*(1+FixedParams!$D$24)^(1-$B$10)+(1-$B136)^$B$10*((1+FixedParams!$D$27)/$AT$12)^(1-$B$10))^(1/(1-$B$10))</f>
        <v>6.2399971544768018</v>
      </c>
      <c r="AT136" s="24">
        <f>EXP($D136-$D$17)*(($B136*FixedParams!$C$31)^$B$10*(1+FixedParams!$D$25)^(1-$B$10)+(1-$B136)^$B$10*((1+FixedParams!$D$28)/$AT$12)^(1-$B$10))^(1/(1-$B$10))</f>
        <v>6.0737667664918416</v>
      </c>
      <c r="AU136" s="24">
        <f>EXP($D136-$D$17)*(($B136*FixedParams!$C$30)^$B$10*(1+FixedParams!$D$23)^(1-$B$10)+(1-$B136)^$B$10*((1+FixedParams!$D$26)/$AT$12)^(1-$B$10))^(1/(1-$B$10))</f>
        <v>5.9880795818623227</v>
      </c>
      <c r="AV136">
        <f>IF(FixedParams!$I$6=1,IF(AT136&lt;=MIN(AS136:AU136),1,0),$H136)</f>
        <v>0</v>
      </c>
      <c r="AW136">
        <f>IF(FixedParams!$I$6=1,IF(AU136&lt;=MIN(AS136:AU136),1,0),IF(AU136&lt;=AS136,1,0)*(1-$H136))</f>
        <v>1</v>
      </c>
      <c r="AX136" s="24">
        <f>$AT$13*IF(AV136=1,1,IF(AW136=1,FixedParams!$D$52,FixedParams!$D$53))</f>
        <v>0.3451899269505756</v>
      </c>
      <c r="AY136">
        <f>EXP($C136*FixedParams!$B$47)*EXP(IF(AV136+AW136=1,(1-FixedParams!$B$47)*$D136,0))*($B136^((FixedParams!$B$47-1)*$B$10/($B$10-1)))*((1/$B136-1)^$B$10*(AX136)^($B$10-1)+1)^((FixedParams!$B$47-$B$10)/($B$10-1))/((1+IF(AV136=1,FixedParams!$D$25,IF(AW136=1,FixedParams!$D$23,FixedParams!$D$24)))^FixedParams!$B$47)</f>
        <v>6.0619137112552096E-2</v>
      </c>
      <c r="AZ136">
        <f t="shared" si="52"/>
        <v>1.6323267180147767</v>
      </c>
      <c r="BA136">
        <f t="shared" si="72"/>
        <v>41.069121913173582</v>
      </c>
      <c r="BB136">
        <f t="shared" si="53"/>
        <v>33.367462071298441</v>
      </c>
      <c r="BC136">
        <f t="shared" si="73"/>
        <v>74.436583984472023</v>
      </c>
      <c r="BD136" s="24">
        <f t="shared" si="74"/>
        <v>0.81247079355244967</v>
      </c>
      <c r="BE136" s="24">
        <f t="shared" si="75"/>
        <v>2.0277299658081831</v>
      </c>
      <c r="BF136" s="23">
        <f>IF(AV136=1,BA136*(1+FixedParams!$C$25)+BB136*(1+FixedParams!$C$28)/$AT$12,IF(AW136=1,BA136*(1+FixedParams!$C$23)+BB136*(1+FixedParams!$C$26)/$AT$12,BA136*(1+FixedParams!$C$24)+BB136*(1+FixedParams!$C$27)/$AT$12))</f>
        <v>157.04812750246714</v>
      </c>
      <c r="BG136" s="24">
        <f t="shared" si="76"/>
        <v>26.226793641514096</v>
      </c>
      <c r="BH136" s="24">
        <f>BG136^((FixedParams!$B$47-1)/FixedParams!$B$47)*EXP($C136)</f>
        <v>0.2253311744833687</v>
      </c>
      <c r="BI136" s="7"/>
      <c r="BJ136" s="24">
        <f>EXP(-$D$17)*(($B136*FixedParams!$B$30)^$B$10*(1+FixedParams!$C$24)^(1-$B$10)+(1-$B136)^$B$10*((1+FixedParams!$C$27)/$BK$12)^(1-$B$10))^(1/(1-$B$10))</f>
        <v>6.940317266812122</v>
      </c>
      <c r="BK136" s="24">
        <f>EXP($D136-$D$17)*(($B136*FixedParams!$C$31)^$B$10*(1+FixedParams!$C$25)^(1-$B$10)+(1-$B136)^$B$10*((1+FixedParams!$C$28)/$BK$12)^(1-$B$10))^(1/(1-$B$10))</f>
        <v>6.4932284690011572</v>
      </c>
      <c r="BL136" s="24">
        <f>EXP($D136-$D$17)*(($B136*FixedParams!$C$30)^$B$10*(1+FixedParams!$C$23)^(1-$B$10)+(1-$B136)^$B$10*((1+FixedParams!$C$26)/$BK$12)^(1-$B$10))^(1/(1-$B$10))</f>
        <v>6.4023539036133972</v>
      </c>
      <c r="BM136">
        <f>IF(FixedParams!$I$6=1,IF(BK136&lt;=MIN(BJ136:BL136),1,0),$H136)</f>
        <v>0</v>
      </c>
      <c r="BN136">
        <f>IF(FixedParams!$I$6=1,IF(BL136&lt;=MIN(BJ136:BL136),1,0),IF(BL136&lt;=BJ136,1,0)*(1-$H136))</f>
        <v>1</v>
      </c>
      <c r="BO136" s="24">
        <f>$BK$13*IF(BM136=1,1,IF(BN136=1,FixedParams!$C$52,FixedParams!$C$53))</f>
        <v>0.33006170822567266</v>
      </c>
      <c r="BP136">
        <f>EXP($C136*FixedParams!$B$47)*EXP(IF(BM136+BN136=1,(1-FixedParams!$B$47)*$D136,0))*($B136^((FixedParams!$B$47-1)*$B$10/($B$10-1)))*((1/$B136-1)^$B$10*(BO136)^($B$10-1)+1)^((FixedParams!$B$47-$B$10)/($B$10-1))/((1+IF(BM136=1,FixedParams!$C$25,IF(BN136=1,FixedParams!$C$23,FixedParams!$C$24)))^FixedParams!$B$47)</f>
        <v>5.9430217714638092E-2</v>
      </c>
      <c r="BQ136">
        <f t="shared" si="77"/>
        <v>1.7096737788099088</v>
      </c>
      <c r="BR136">
        <f t="shared" si="78"/>
        <v>43.603791637331952</v>
      </c>
      <c r="BS136">
        <f t="shared" si="54"/>
        <v>33.12360196656433</v>
      </c>
      <c r="BT136">
        <f t="shared" si="79"/>
        <v>76.727393603896274</v>
      </c>
      <c r="BU136" s="24">
        <f t="shared" si="80"/>
        <v>0.75964957914818421</v>
      </c>
      <c r="BV136" s="24">
        <f t="shared" si="81"/>
        <v>2.0334271652266818</v>
      </c>
      <c r="BW136" s="23">
        <f>IF(BM136=1,BR136*(1+FixedParams!$C$25)+BS136*(1+FixedParams!$C$28)/$BK$12,IF(BN136=1,BR136*(1+FixedParams!$C$23)+BS136*(1+FixedParams!$C$26)/$BK$12,BR136*(1+FixedParams!$C$24)+BS136*(1+FixedParams!$C$27)/$BK$12))</f>
        <v>166.37669429243107</v>
      </c>
      <c r="BX136" s="24">
        <f t="shared" si="82"/>
        <v>25.986800604466811</v>
      </c>
      <c r="BY136" s="24">
        <f>BX136^((FixedParams!$B$47-1)/FixedParams!$B$47)*EXP($C136)</f>
        <v>0.22533324799223209</v>
      </c>
      <c r="BZ136" s="24">
        <f t="shared" si="83"/>
        <v>9.5770091077686054E-2</v>
      </c>
      <c r="CA136" s="24">
        <f t="shared" si="84"/>
        <v>-1.7565078935933096E-2</v>
      </c>
      <c r="CB136" s="24">
        <f t="shared" si="85"/>
        <v>-2.3662301652584497E-4</v>
      </c>
      <c r="CC136" s="24"/>
      <c r="CD136" s="24">
        <f>EXP(-$D$17)*(($B136*FixedParams!$B$30)^$B$10*(1+FixedParams!$D$24)^(1-$B$10)+(1-$B136)^$B$10*((1+FixedParams!$D$27)/$CE$12)^(1-$B$10))^(1/(1-$B$10))</f>
        <v>6.4562013790251038</v>
      </c>
      <c r="CE136" s="24">
        <f>EXP($D136-$D$17)*(($B136*FixedParams!$D$31)^$B$10*(1+FixedParams!$D$25)^(1-$B$10)+(1-$B136)^$B$10*((1+FixedParams!$D$28)/$CE$12)^(1-$B$10))^(1/(1-$B$10))</f>
        <v>6.2821554727871209</v>
      </c>
      <c r="CF136" s="24">
        <f>EXP($D136-$D$17)*(($B136*FixedParams!$D$30)^$B$10*(1+FixedParams!$D$23)^(1-$B$10)+(1-$B136)^$B$10*((1+FixedParams!$D$26)/$CE$12)^(1-$B$10))^(1/(1-$B$10))</f>
        <v>6.1882899754077689</v>
      </c>
      <c r="CG136">
        <f>IF(FixedParams!$I$6=1,IF(CE136&lt;=MIN(CD136:CF136),1,0),$H136)</f>
        <v>0</v>
      </c>
      <c r="CH136">
        <f>IF(FixedParams!$I$6=1,IF(CF136&lt;=MIN(CD136:CF136),1,0),IF(CF136&lt;=CD136,1,0)*(1-$H136))</f>
        <v>1</v>
      </c>
      <c r="CI136" s="24">
        <f>$CE$13*IF(CG136=1,1,IF(CH136=1,FixedParams!$D$52,FixedParams!$D$53))</f>
        <v>0.32933267593211629</v>
      </c>
      <c r="CJ136">
        <f>EXP($C136*FixedParams!$B$47)*EXP(IF(CG136+CH136=1,(1-FixedParams!$B$47)*$D136,0))*($B136^((FixedParams!$B$47-1)*$B$10/($B$10-1)))*((1/$B136-1)^$B$10*(CI136)^($B$10-1)+1)^((FixedParams!$B$47-$B$10)/($B$10-1))/((1+IF(CG136=1,FixedParams!$D$25,IF(CH136=1,FixedParams!$D$23,FixedParams!$D$24)))^FixedParams!$B$47)</f>
        <v>6.1626227012491437E-2</v>
      </c>
      <c r="CK136">
        <f t="shared" si="86"/>
        <v>1.6226407544666248</v>
      </c>
      <c r="CL136">
        <f t="shared" si="88"/>
        <v>44.331002637564879</v>
      </c>
      <c r="CM136">
        <f t="shared" si="55"/>
        <v>33.564514941343255</v>
      </c>
      <c r="CN136">
        <f t="shared" si="89"/>
        <v>77.895517578908141</v>
      </c>
      <c r="CO136" s="24">
        <f t="shared" si="90"/>
        <v>0.75713412610482222</v>
      </c>
      <c r="CP136" s="24">
        <f t="shared" si="91"/>
        <v>1.9992629631579122</v>
      </c>
      <c r="CQ136" s="23">
        <f>IF(CG136=1,CL136*(1+FixedParams!$D$25)+CM136*(1+FixedParams!$D$28)/$CE$12,IF(CH136=1,CL136*(1+FixedParams!$D$23)+CM136*(1+FixedParams!$D$26)/$CE$12,CL136*(1+FixedParams!$D$24)+CM136*(1+FixedParams!$D$27)/$CE$12))</f>
        <v>163.11832836014136</v>
      </c>
      <c r="CR136" s="24">
        <f t="shared" si="92"/>
        <v>26.359192767044323</v>
      </c>
      <c r="CS136" s="24">
        <f>CR136^((FixedParams!$B$47-1)/FixedParams!$B$47)*EXP($C136)</f>
        <v>0.2253300386864065</v>
      </c>
      <c r="CT136" s="24"/>
    </row>
    <row r="137" spans="1:98" x14ac:dyDescent="0.15">
      <c r="A137">
        <v>0.6</v>
      </c>
      <c r="B137">
        <f t="shared" si="56"/>
        <v>0.28624400630099434</v>
      </c>
      <c r="C137">
        <f>(D137-$D$17)*FixedParams!$B$47+$A137*$B$9</f>
        <v>-1.4994090965550328</v>
      </c>
      <c r="D137">
        <f>(A137-$B$6)*FixedParams!$B$46/(FixedParams!$B$45*Sectors!$B$6)</f>
        <v>5.4335142989280799E-2</v>
      </c>
      <c r="E137">
        <f t="shared" si="57"/>
        <v>0.22326204749124265</v>
      </c>
      <c r="F137" s="24">
        <f>EXP(-$D$17)*(($B137*FixedParams!$B$30)^$B$10*(1+FixedParams!$B$23)^(1-$B$10)+(1-$B137)^$B$10*((1+FixedParams!$B$26)/$B$11)^(1-$B$10))^(1/(1-$B$10))</f>
        <v>5.0245489845465174</v>
      </c>
      <c r="G137" s="24">
        <f>EXP($D137-$D$17)*(($B137*FixedParams!$B$31)^$B$10*(1+FixedParams!$B$25)^(1-$B$10)+(1-$B137)^$B$10*((1+FixedParams!$B$28)/$B$11)^(1-$B$10))^(1/(1-$B$10))</f>
        <v>5.0892245990889702</v>
      </c>
      <c r="H137">
        <f t="shared" si="58"/>
        <v>0</v>
      </c>
      <c r="I137" s="24">
        <f>$B$12*IF(H137=1,1,FixedParams!$B$52)</f>
        <v>0.39101505882574561</v>
      </c>
      <c r="J137">
        <f>EXP($C137*FixedParams!$B$47)*EXP(IF(H137=1,(1-FixedParams!$B$47)*$D137,0))*($B137^((FixedParams!$B$47-1)*$B$10/($B$10-1)))*((1/$B137-1)^$B$10*(I137)^($B$10-1)+1)^((FixedParams!$B$47-$B$10)/($B$10-1))/((1+IF(H137=1,FixedParams!$B$25,FixedParams!$B$24))^FixedParams!$B$47)</f>
        <v>6.0074153485835793E-2</v>
      </c>
      <c r="K137">
        <f t="shared" si="87"/>
        <v>1.2112500707572846</v>
      </c>
      <c r="L137">
        <f>K137*FixedParams!$B$8/K$15</f>
        <v>35.214830053146969</v>
      </c>
      <c r="M137">
        <f t="shared" si="47"/>
        <v>33.902823727151876</v>
      </c>
      <c r="N137">
        <f t="shared" si="59"/>
        <v>69.117653780298838</v>
      </c>
      <c r="O137" s="24">
        <f t="shared" si="60"/>
        <v>0.96274278978444638</v>
      </c>
      <c r="P137" s="24">
        <f t="shared" si="48"/>
        <v>1.9646743167652969</v>
      </c>
      <c r="Q137" s="23">
        <f>IF(H137=1,L137*(1+FixedParams!$B$25)+M137*FixedParams!$B$33*(1+FixedParams!$B$28)/FixedParams!$B$32,L137*(1+FixedParams!$B$23)+M137*FixedParams!$B$33*(1+FixedParams!$B$26)/FixedParams!$B$32)</f>
        <v>131.24632002099958</v>
      </c>
      <c r="R137" s="24">
        <f t="shared" si="49"/>
        <v>26.121015124871949</v>
      </c>
      <c r="S137" s="24">
        <f>R137^((FixedParams!$B$47-1)/FixedParams!$B$47)*EXP($C137)</f>
        <v>0.22253406171590362</v>
      </c>
      <c r="T137" s="7">
        <f>(L137*FixedParams!$B$32*(FixedParams!$C$25-FixedParams!$C$23)+FixedParams!$B$33*(FixedParams!$C$28-FixedParams!$C$26)*M137)/N137</f>
        <v>1322.2816936319432</v>
      </c>
      <c r="U137" s="7">
        <f>(L137*FixedParams!$B$32*(FixedParams!$C$25-FixedParams!$C$23)*$Z$12/$B$11+FixedParams!$B$33*(FixedParams!$C$28-FixedParams!$C$26)*M137)/N137</f>
        <v>810.5827129190684</v>
      </c>
      <c r="V137" s="14">
        <f t="shared" si="50"/>
        <v>-0.90104021061460704</v>
      </c>
      <c r="W137" s="14">
        <f t="shared" si="93"/>
        <v>0.80472507457544806</v>
      </c>
      <c r="X137" s="73">
        <f t="shared" si="62"/>
        <v>0.95791782009569915</v>
      </c>
      <c r="Y137" s="24">
        <f>EXP(-$D$17)*(($B137*FixedParams!$B$30)^$B$10*(1+FixedParams!$C$24)^(1-$B$10)+(1-$B137)^$B$10*((1+FixedParams!$C$27)/$Z$12)^(1-$B$10))^(1/(1-$B$10))</f>
        <v>6.69345907865842</v>
      </c>
      <c r="Z137" s="24">
        <f>EXP($D137-$D$17)*(($B137*FixedParams!$C$31)^$B$10*(1+FixedParams!$C$25)^(1-$B$10)+(1-$B137)^$B$10*((1+FixedParams!$C$28)/$Z$12)^(1-$B$10))^(1/(1-$B$10))</f>
        <v>6.2803198999425369</v>
      </c>
      <c r="AA137" s="24">
        <f>EXP($D137-$D$17)*(($B137*FixedParams!$C$30)^$B$10*(1+FixedParams!$C$23)^(1-$B$10)+(1-$B137)^$B$10*((1+FixedParams!$C$26)/$Z$12)^(1-$B$10))^(1/(1-$B$10))</f>
        <v>6.1946251148413731</v>
      </c>
      <c r="AB137">
        <f>IF(FixedParams!$I$6=1,IF(Z137&lt;=MIN(Y137:AA137),1,0),$H137)</f>
        <v>0</v>
      </c>
      <c r="AC137">
        <f>IF(FixedParams!$I$6=1,IF(AA137&lt;=MIN(Y137:AA137),1,0),IF(AA137&lt;=Y137,1,0)*(1-$H137))</f>
        <v>1</v>
      </c>
      <c r="AD137" s="24">
        <f>$Z$13*IF(AB137=1,1,IF(AC137=1,FixedParams!$C$52,FixedParams!$C$53))</f>
        <v>0.34709202255780691</v>
      </c>
      <c r="AE137">
        <f>EXP($C137*FixedParams!$B$47)*EXP(IF(AB137+AC137=1,(1-FixedParams!$B$47)*$D137,0))*($B137^((FixedParams!$B$47-1)*$B$10/($B$10-1)))*((1/$B137-1)^$B$10*(AD137)^($B$10-1)+1)^((FixedParams!$B$47-$B$10)/($B$10-1))/((1+IF(AB137=1,FixedParams!$C$25,IF(AC137=1,FixedParams!$C$23,FixedParams!$C$24)))^FixedParams!$B$47)</f>
        <v>5.8368963488478268E-2</v>
      </c>
      <c r="AF137">
        <f t="shared" si="63"/>
        <v>1.7199688149232717</v>
      </c>
      <c r="AG137">
        <f t="shared" si="64"/>
        <v>40.399426237208374</v>
      </c>
      <c r="AH137">
        <f t="shared" si="51"/>
        <v>32.528362050079515</v>
      </c>
      <c r="AI137">
        <f t="shared" si="65"/>
        <v>72.927788287287882</v>
      </c>
      <c r="AJ137" s="24">
        <f t="shared" si="66"/>
        <v>0.80516891153569126</v>
      </c>
      <c r="AK137" s="24">
        <f t="shared" si="67"/>
        <v>2.0689665162147426</v>
      </c>
      <c r="AL137" s="23">
        <f>IF(AB137=1,AG137*(1+FixedParams!$C$25)+AH137*(1+FixedParams!$C$28)/$Z$12,IF(AC137=1,AG137*(1+FixedParams!$C$23)+AH137*(1+FixedParams!$C$26)/$Z$12,AG137*(1+FixedParams!$C$24)+AH137*(1+FixedParams!$C$27)/$Z$12))</f>
        <v>155.00058315054613</v>
      </c>
      <c r="AM137" s="24">
        <f t="shared" si="68"/>
        <v>25.021785867104125</v>
      </c>
      <c r="AN137" s="24">
        <f>AM137^((FixedParams!$B$47-1)/FixedParams!$B$47)*EXP($C137)</f>
        <v>0.2225436389699226</v>
      </c>
      <c r="AO137" s="24">
        <f t="shared" si="69"/>
        <v>5.3659570252736197E-2</v>
      </c>
      <c r="AP137" s="24">
        <f t="shared" si="70"/>
        <v>-4.2993287471937071E-2</v>
      </c>
      <c r="AQ137" s="14">
        <f t="shared" si="71"/>
        <v>-0.84146214392234719</v>
      </c>
      <c r="AS137" s="24">
        <f>EXP(-$D$17)*(($B137*FixedParams!$B$30)^$B$10*(1+FixedParams!$D$24)^(1-$B$10)+(1-$B137)^$B$10*((1+FixedParams!$D$27)/$AT$12)^(1-$B$10))^(1/(1-$B$10))</f>
        <v>6.2421524267983024</v>
      </c>
      <c r="AT137" s="24">
        <f>EXP($D137-$D$17)*(($B137*FixedParams!$C$31)^$B$10*(1+FixedParams!$D$25)^(1-$B$10)+(1-$B137)^$B$10*((1+FixedParams!$D$28)/$AT$12)^(1-$B$10))^(1/(1-$B$10))</f>
        <v>6.0909316521174404</v>
      </c>
      <c r="AU137" s="24">
        <f>EXP($D137-$D$17)*(($B137*FixedParams!$C$30)^$B$10*(1+FixedParams!$D$23)^(1-$B$10)+(1-$B137)^$B$10*((1+FixedParams!$D$26)/$AT$12)^(1-$B$10))^(1/(1-$B$10))</f>
        <v>6.0012761961180079</v>
      </c>
      <c r="AV137">
        <f>IF(FixedParams!$I$6=1,IF(AT137&lt;=MIN(AS137:AU137),1,0),$H137)</f>
        <v>0</v>
      </c>
      <c r="AW137">
        <f>IF(FixedParams!$I$6=1,IF(AU137&lt;=MIN(AS137:AU137),1,0),IF(AU137&lt;=AS137,1,0)*(1-$H137))</f>
        <v>1</v>
      </c>
      <c r="AX137" s="24">
        <f>$AT$13*IF(AV137=1,1,IF(AW137=1,FixedParams!$D$52,FixedParams!$D$53))</f>
        <v>0.3451899269505756</v>
      </c>
      <c r="AY137">
        <f>EXP($C137*FixedParams!$B$47)*EXP(IF(AV137+AW137=1,(1-FixedParams!$B$47)*$D137,0))*($B137^((FixedParams!$B$47-1)*$B$10/($B$10-1)))*((1/$B137-1)^$B$10*(AX137)^($B$10-1)+1)^((FixedParams!$B$47-$B$10)/($B$10-1))/((1+IF(AV137=1,FixedParams!$D$25,IF(AW137=1,FixedParams!$D$23,FixedParams!$D$24)))^FixedParams!$B$47)</f>
        <v>6.0595453538690912E-2</v>
      </c>
      <c r="AZ137">
        <f t="shared" si="52"/>
        <v>1.6316889766638909</v>
      </c>
      <c r="BA137">
        <f t="shared" si="72"/>
        <v>41.053076426078661</v>
      </c>
      <c r="BB137">
        <f t="shared" si="53"/>
        <v>32.783319669045959</v>
      </c>
      <c r="BC137">
        <f t="shared" si="73"/>
        <v>73.836396095124627</v>
      </c>
      <c r="BD137" s="24">
        <f t="shared" si="74"/>
        <v>0.79855939001493681</v>
      </c>
      <c r="BE137" s="24">
        <f t="shared" si="75"/>
        <v>2.0321987057117936</v>
      </c>
      <c r="BF137" s="23">
        <f>IF(AV137=1,BA137*(1+FixedParams!$C$25)+BB137*(1+FixedParams!$C$28)/$AT$12,IF(AW137=1,BA137*(1+FixedParams!$C$23)+BB137*(1+FixedParams!$C$26)/$AT$12,BA137*(1+FixedParams!$C$24)+BB137*(1+FixedParams!$C$27)/$AT$12))</f>
        <v>155.11117133397806</v>
      </c>
      <c r="BG137" s="24">
        <f t="shared" si="76"/>
        <v>25.846364384014432</v>
      </c>
      <c r="BH137" s="24">
        <f>BG137^((FixedParams!$B$47-1)/FixedParams!$B$47)*EXP($C137)</f>
        <v>0.22253641631677543</v>
      </c>
      <c r="BI137" s="7"/>
      <c r="BJ137" s="24">
        <f>EXP(-$D$17)*(($B137*FixedParams!$B$30)^$B$10*(1+FixedParams!$C$24)^(1-$B$10)+(1-$B137)^$B$10*((1+FixedParams!$C$27)/$BK$12)^(1-$B$10))^(1/(1-$B$10))</f>
        <v>6.9434980136930591</v>
      </c>
      <c r="BK137" s="24">
        <f>EXP($D137-$D$17)*(($B137*FixedParams!$C$31)^$B$10*(1+FixedParams!$C$25)^(1-$B$10)+(1-$B137)^$B$10*((1+FixedParams!$C$28)/$BK$12)^(1-$B$10))^(1/(1-$B$10))</f>
        <v>6.5115671668635446</v>
      </c>
      <c r="BL137" s="24">
        <f>EXP($D137-$D$17)*(($B137*FixedParams!$C$30)^$B$10*(1+FixedParams!$C$23)^(1-$B$10)+(1-$B137)^$B$10*((1+FixedParams!$C$26)/$BK$12)^(1-$B$10))^(1/(1-$B$10))</f>
        <v>6.4154160485392495</v>
      </c>
      <c r="BM137">
        <f>IF(FixedParams!$I$6=1,IF(BK137&lt;=MIN(BJ137:BL137),1,0),$H137)</f>
        <v>0</v>
      </c>
      <c r="BN137">
        <f>IF(FixedParams!$I$6=1,IF(BL137&lt;=MIN(BJ137:BL137),1,0),IF(BL137&lt;=BJ137,1,0)*(1-$H137))</f>
        <v>1</v>
      </c>
      <c r="BO137" s="24">
        <f>$BK$13*IF(BM137=1,1,IF(BN137=1,FixedParams!$C$52,FixedParams!$C$53))</f>
        <v>0.33006170822567266</v>
      </c>
      <c r="BP137">
        <f>EXP($C137*FixedParams!$B$47)*EXP(IF(BM137+BN137=1,(1-FixedParams!$B$47)*$D137,0))*($B137^((FixedParams!$B$47-1)*$B$10/($B$10-1)))*((1/$B137-1)^$B$10*(BO137)^($B$10-1)+1)^((FixedParams!$B$47-$B$10)/($B$10-1))/((1+IF(BM137=1,FixedParams!$C$25,IF(BN137=1,FixedParams!$C$23,FixedParams!$C$24)))^FixedParams!$B$47)</f>
        <v>5.9402139814040952E-2</v>
      </c>
      <c r="BQ137">
        <f t="shared" si="77"/>
        <v>1.7088660407220986</v>
      </c>
      <c r="BR137">
        <f t="shared" si="78"/>
        <v>43.583190956830833</v>
      </c>
      <c r="BS137">
        <f t="shared" si="54"/>
        <v>32.541066949414571</v>
      </c>
      <c r="BT137">
        <f t="shared" si="79"/>
        <v>76.124257906245404</v>
      </c>
      <c r="BU137" s="24">
        <f t="shared" si="80"/>
        <v>0.74664259855701043</v>
      </c>
      <c r="BV137" s="24">
        <f t="shared" si="81"/>
        <v>2.0375757831769277</v>
      </c>
      <c r="BW137" s="23">
        <f>IF(BM137=1,BR137*(1+FixedParams!$C$25)+BS137*(1+FixedParams!$C$28)/$BK$12,IF(BN137=1,BR137*(1+FixedParams!$C$23)+BS137*(1+FixedParams!$C$26)/$BK$12,BR137*(1+FixedParams!$C$24)+BS137*(1+FixedParams!$C$27)/$BK$12))</f>
        <v>164.31312687831053</v>
      </c>
      <c r="BX137" s="24">
        <f t="shared" si="82"/>
        <v>25.61223241565504</v>
      </c>
      <c r="BY137" s="24">
        <f>BX137^((FixedParams!$B$47-1)/FixedParams!$B$47)*EXP($C137)</f>
        <v>0.2225384434082594</v>
      </c>
      <c r="BZ137" s="24">
        <f t="shared" si="83"/>
        <v>9.6556797855606044E-2</v>
      </c>
      <c r="CA137" s="24">
        <f t="shared" si="84"/>
        <v>-1.9670101447299051E-2</v>
      </c>
      <c r="CB137" s="24">
        <f t="shared" si="85"/>
        <v>-2.3416455278917996E-3</v>
      </c>
      <c r="CC137" s="24"/>
      <c r="CD137" s="24">
        <f>EXP(-$D$17)*(($B137*FixedParams!$B$30)^$B$10*(1+FixedParams!$D$24)^(1-$B$10)+(1-$B137)^$B$10*((1+FixedParams!$D$27)/$CE$12)^(1-$B$10))^(1/(1-$B$10))</f>
        <v>6.4573799393510098</v>
      </c>
      <c r="CE137" s="24">
        <f>EXP($D137-$D$17)*(($B137*FixedParams!$D$31)^$B$10*(1+FixedParams!$D$25)^(1-$B$10)+(1-$B137)^$B$10*((1+FixedParams!$D$28)/$CE$12)^(1-$B$10))^(1/(1-$B$10))</f>
        <v>6.2988680415703815</v>
      </c>
      <c r="CF137" s="24">
        <f>EXP($D137-$D$17)*(($B137*FixedParams!$D$30)^$B$10*(1+FixedParams!$D$23)^(1-$B$10)+(1-$B137)^$B$10*((1+FixedParams!$D$26)/$CE$12)^(1-$B$10))^(1/(1-$B$10))</f>
        <v>6.2008652035673562</v>
      </c>
      <c r="CG137">
        <f>IF(FixedParams!$I$6=1,IF(CE137&lt;=MIN(CD137:CF137),1,0),$H137)</f>
        <v>0</v>
      </c>
      <c r="CH137">
        <f>IF(FixedParams!$I$6=1,IF(CF137&lt;=MIN(CD137:CF137),1,0),IF(CF137&lt;=CD137,1,0)*(1-$H137))</f>
        <v>1</v>
      </c>
      <c r="CI137" s="24">
        <f>$CE$13*IF(CG137=1,1,IF(CH137=1,FixedParams!$D$52,FixedParams!$D$53))</f>
        <v>0.32933267593211629</v>
      </c>
      <c r="CJ137">
        <f>EXP($C137*FixedParams!$B$47)*EXP(IF(CG137+CH137=1,(1-FixedParams!$B$47)*$D137,0))*($B137^((FixedParams!$B$47-1)*$B$10/($B$10-1)))*((1/$B137-1)^$B$10*(CI137)^($B$10-1)+1)^((FixedParams!$B$47-$B$10)/($B$10-1))/((1+IF(CG137=1,FixedParams!$D$25,IF(CH137=1,FixedParams!$D$23,FixedParams!$D$24)))^FixedParams!$B$47)</f>
        <v>6.1596861864826429E-2</v>
      </c>
      <c r="CK137">
        <f t="shared" si="86"/>
        <v>1.6218675595515359</v>
      </c>
      <c r="CL137">
        <f t="shared" si="88"/>
        <v>44.30987873461482</v>
      </c>
      <c r="CM137">
        <f t="shared" si="55"/>
        <v>32.974092027243699</v>
      </c>
      <c r="CN137">
        <f t="shared" si="89"/>
        <v>77.283970761858512</v>
      </c>
      <c r="CO137" s="24">
        <f t="shared" si="90"/>
        <v>0.74417021596324928</v>
      </c>
      <c r="CP137" s="24">
        <f t="shared" si="91"/>
        <v>2.0033256667501216</v>
      </c>
      <c r="CQ137" s="23">
        <f>IF(CG137=1,CL137*(1+FixedParams!$D$25)+CM137*(1+FixedParams!$D$28)/$CE$12,IF(CH137=1,CL137*(1+FixedParams!$D$23)+CM137*(1+FixedParams!$D$26)/$CE$12,CL137*(1+FixedParams!$D$24)+CM137*(1+FixedParams!$D$27)/$CE$12))</f>
        <v>161.09517310162607</v>
      </c>
      <c r="CR137" s="24">
        <f t="shared" si="92"/>
        <v>25.979467028076673</v>
      </c>
      <c r="CS137" s="24">
        <f>CR137^((FixedParams!$B$47-1)/FixedParams!$B$47)*EXP($C137)</f>
        <v>0.22253527210650792</v>
      </c>
      <c r="CT137" s="24"/>
    </row>
    <row r="138" spans="1:98" x14ac:dyDescent="0.15">
      <c r="A138">
        <v>0.60499999999999998</v>
      </c>
      <c r="B138">
        <f t="shared" si="56"/>
        <v>0.28860213952484071</v>
      </c>
      <c r="C138">
        <f>(D138-$D$17)*FixedParams!$B$47+$A138*$B$9</f>
        <v>-1.511904172359658</v>
      </c>
      <c r="D138">
        <f>(A138-$B$6)*FixedParams!$B$46/(FixedParams!$B$45*Sectors!$B$6)</f>
        <v>5.7051900138744838E-2</v>
      </c>
      <c r="E138">
        <f t="shared" si="57"/>
        <v>0.22048972752698523</v>
      </c>
      <c r="F138" s="24">
        <f>EXP(-$D$17)*(($B138*FixedParams!$B$30)^$B$10*(1+FixedParams!$B$23)^(1-$B$10)+(1-$B138)^$B$10*((1+FixedParams!$B$26)/$B$11)^(1-$B$10))^(1/(1-$B$10))</f>
        <v>5.0239948995057926</v>
      </c>
      <c r="G138" s="24">
        <f>EXP($D138-$D$17)*(($B138*FixedParams!$B$31)^$B$10*(1+FixedParams!$B$25)^(1-$B$10)+(1-$B138)^$B$10*((1+FixedParams!$B$28)/$B$11)^(1-$B$10))^(1/(1-$B$10))</f>
        <v>5.1017239220170216</v>
      </c>
      <c r="H138">
        <f t="shared" si="58"/>
        <v>0</v>
      </c>
      <c r="I138" s="24">
        <f>$B$12*IF(H138=1,1,FixedParams!$B$52)</f>
        <v>0.39101505882574561</v>
      </c>
      <c r="J138">
        <f>EXP($C138*FixedParams!$B$47)*EXP(IF(H138=1,(1-FixedParams!$B$47)*$D138,0))*($B138^((FixedParams!$B$47-1)*$B$10/($B$10-1)))*((1/$B138-1)^$B$10*(I138)^($B$10-1)+1)^((FixedParams!$B$47-$B$10)/($B$10-1))/((1+IF(H138=1,FixedParams!$B$25,FixedParams!$B$24))^FixedParams!$B$47)</f>
        <v>6.0060267981624005E-2</v>
      </c>
      <c r="K138">
        <f t="shared" si="87"/>
        <v>1.2109701031342204</v>
      </c>
      <c r="L138">
        <f>K138*FixedParams!$B$8/K$15</f>
        <v>35.206690518211445</v>
      </c>
      <c r="M138">
        <f t="shared" si="47"/>
        <v>33.314625850307607</v>
      </c>
      <c r="N138">
        <f t="shared" si="59"/>
        <v>68.521316368519052</v>
      </c>
      <c r="O138" s="24">
        <f t="shared" si="60"/>
        <v>0.94625837759657849</v>
      </c>
      <c r="P138" s="24">
        <f t="shared" si="48"/>
        <v>1.9644576611705034</v>
      </c>
      <c r="Q138" s="23">
        <f>IF(H138=1,L138*(1+FixedParams!$B$25)+M138*FixedParams!$B$33*(1+FixedParams!$B$28)/FixedParams!$B$32,L138*(1+FixedParams!$B$23)+M138*FixedParams!$B$33*(1+FixedParams!$B$26)/FixedParams!$B$32)</f>
        <v>129.61819558982734</v>
      </c>
      <c r="R138" s="24">
        <f t="shared" si="49"/>
        <v>25.799826270241201</v>
      </c>
      <c r="S138" s="24">
        <f>R138^((FixedParams!$B$47-1)/FixedParams!$B$47)*EXP($C138)</f>
        <v>0.21977350322870418</v>
      </c>
      <c r="T138" s="7">
        <f>(L138*FixedParams!$B$32*(FixedParams!$C$25-FixedParams!$C$23)+FixedParams!$B$33*(FixedParams!$C$28-FixedParams!$C$26)*M138)/N138</f>
        <v>1371.238345219381</v>
      </c>
      <c r="U138" s="7">
        <f>(L138*FixedParams!$B$32*(FixedParams!$C$25-FixedParams!$C$23)*$Z$12/$B$11+FixedParams!$B$33*(FixedParams!$C$28-FixedParams!$C$26)*M138)/N138</f>
        <v>855.20537832498042</v>
      </c>
      <c r="V138" s="14">
        <f t="shared" si="50"/>
        <v>-0.88376958531852323</v>
      </c>
      <c r="W138" s="14">
        <f t="shared" si="93"/>
        <v>0.80808589931927532</v>
      </c>
      <c r="X138" s="73">
        <f t="shared" si="62"/>
        <v>0.95573148723986401</v>
      </c>
      <c r="Y138" s="24">
        <f>EXP(-$D$17)*(($B138*FixedParams!$B$30)^$B$10*(1+FixedParams!$C$24)^(1-$B$10)+(1-$B138)^$B$10*((1+FixedParams!$C$27)/$Z$12)^(1-$B$10))^(1/(1-$B$10))</f>
        <v>6.6974311807018774</v>
      </c>
      <c r="Z138" s="24">
        <f>EXP($D138-$D$17)*(($B138*FixedParams!$C$31)^$B$10*(1+FixedParams!$C$25)^(1-$B$10)+(1-$B138)^$B$10*((1+FixedParams!$C$28)/$Z$12)^(1-$B$10))^(1/(1-$B$10))</f>
        <v>6.2989158254280282</v>
      </c>
      <c r="AA138" s="24">
        <f>EXP($D138-$D$17)*(($B138*FixedParams!$C$30)^$B$10*(1+FixedParams!$C$23)^(1-$B$10)+(1-$B138)^$B$10*((1+FixedParams!$C$26)/$Z$12)^(1-$B$10))^(1/(1-$B$10))</f>
        <v>6.2081254701361512</v>
      </c>
      <c r="AB138">
        <f>IF(FixedParams!$I$6=1,IF(Z138&lt;=MIN(Y138:AA138),1,0),$H138)</f>
        <v>0</v>
      </c>
      <c r="AC138">
        <f>IF(FixedParams!$I$6=1,IF(AA138&lt;=MIN(Y138:AA138),1,0),IF(AA138&lt;=Y138,1,0)*(1-$H138))</f>
        <v>1</v>
      </c>
      <c r="AD138" s="24">
        <f>$Z$13*IF(AB138=1,1,IF(AC138=1,FixedParams!$C$52,FixedParams!$C$53))</f>
        <v>0.34709202255780691</v>
      </c>
      <c r="AE138">
        <f>EXP($C138*FixedParams!$B$47)*EXP(IF(AB138+AC138=1,(1-FixedParams!$B$47)*$D138,0))*($B138^((FixedParams!$B$47-1)*$B$10/($B$10-1)))*((1/$B138-1)^$B$10*(AD138)^($B$10-1)+1)^((FixedParams!$B$47-$B$10)/($B$10-1))/((1+IF(AB138=1,FixedParams!$C$25,IF(AC138=1,FixedParams!$C$23,FixedParams!$C$24)))^FixedParams!$B$47)</f>
        <v>5.8343075633235958E-2</v>
      </c>
      <c r="AF138">
        <f t="shared" si="63"/>
        <v>1.7192059728058027</v>
      </c>
      <c r="AG138">
        <f t="shared" si="64"/>
        <v>40.381508247307671</v>
      </c>
      <c r="AH138">
        <f t="shared" si="51"/>
        <v>31.957220296279548</v>
      </c>
      <c r="AI138">
        <f t="shared" si="65"/>
        <v>72.338728543587223</v>
      </c>
      <c r="AJ138" s="24">
        <f t="shared" si="66"/>
        <v>0.79138253332601094</v>
      </c>
      <c r="AK138" s="24">
        <f t="shared" si="67"/>
        <v>2.0734755514741936</v>
      </c>
      <c r="AL138" s="23">
        <f>IF(AB138=1,AG138*(1+FixedParams!$C$25)+AH138*(1+FixedParams!$C$28)/$Z$12,IF(AC138=1,AG138*(1+FixedParams!$C$23)+AH138*(1+FixedParams!$C$26)/$Z$12,AG138*(1+FixedParams!$C$24)+AH138*(1+FixedParams!$C$27)/$Z$12))</f>
        <v>153.07813471350892</v>
      </c>
      <c r="AM138" s="24">
        <f t="shared" si="68"/>
        <v>24.657706331787736</v>
      </c>
      <c r="AN138" s="24">
        <f>AM138^((FixedParams!$B$47-1)/FixedParams!$B$47)*EXP($C138)</f>
        <v>0.21978346438080651</v>
      </c>
      <c r="AO138" s="24">
        <f t="shared" si="69"/>
        <v>5.4214765530111814E-2</v>
      </c>
      <c r="AP138" s="24">
        <f t="shared" si="70"/>
        <v>-4.527827647041556E-2</v>
      </c>
      <c r="AQ138" s="14">
        <f t="shared" si="71"/>
        <v>-0.82419151862626372</v>
      </c>
      <c r="AS138" s="24">
        <f>EXP(-$D$17)*(($B138*FixedParams!$B$30)^$B$10*(1+FixedParams!$D$24)^(1-$B$10)+(1-$B138)^$B$10*((1+FixedParams!$D$27)/$AT$12)^(1-$B$10))^(1/(1-$B$10))</f>
        <v>6.2440701434445165</v>
      </c>
      <c r="AT138" s="24">
        <f>EXP($D138-$D$17)*(($B138*FixedParams!$C$31)^$B$10*(1+FixedParams!$D$25)^(1-$B$10)+(1-$B138)^$B$10*((1+FixedParams!$D$28)/$AT$12)^(1-$B$10))^(1/(1-$B$10))</f>
        <v>6.1079007754861188</v>
      </c>
      <c r="AU138" s="24">
        <f>EXP($D138-$D$17)*(($B138*FixedParams!$C$30)^$B$10*(1+FixedParams!$D$23)^(1-$B$10)+(1-$B138)^$B$10*((1+FixedParams!$D$26)/$AT$12)^(1-$B$10))^(1/(1-$B$10))</f>
        <v>6.0142345530021606</v>
      </c>
      <c r="AV138">
        <f>IF(FixedParams!$I$6=1,IF(AT138&lt;=MIN(AS138:AU138),1,0),$H138)</f>
        <v>0</v>
      </c>
      <c r="AW138">
        <f>IF(FixedParams!$I$6=1,IF(AU138&lt;=MIN(AS138:AU138),1,0),IF(AU138&lt;=AS138,1,0)*(1-$H138))</f>
        <v>1</v>
      </c>
      <c r="AX138" s="24">
        <f>$AT$13*IF(AV138=1,1,IF(AW138=1,FixedParams!$D$52,FixedParams!$D$53))</f>
        <v>0.3451899269505756</v>
      </c>
      <c r="AY138">
        <f>EXP($C138*FixedParams!$B$47)*EXP(IF(AV138+AW138=1,(1-FixedParams!$B$47)*$D138,0))*($B138^((FixedParams!$B$47-1)*$B$10/($B$10-1)))*((1/$B138-1)^$B$10*(AX138)^($B$10-1)+1)^((FixedParams!$B$47-$B$10)/($B$10-1))/((1+IF(AV138=1,FixedParams!$D$25,IF(AW138=1,FixedParams!$D$23,FixedParams!$D$24)))^FixedParams!$B$47)</f>
        <v>6.0567969606999242E-2</v>
      </c>
      <c r="AZ138">
        <f t="shared" si="52"/>
        <v>1.6309489008701179</v>
      </c>
      <c r="BA138">
        <f t="shared" si="72"/>
        <v>41.0344562180872</v>
      </c>
      <c r="BB138">
        <f t="shared" si="53"/>
        <v>32.207377683740354</v>
      </c>
      <c r="BC138">
        <f t="shared" si="73"/>
        <v>73.241833901827562</v>
      </c>
      <c r="BD138" s="24">
        <f t="shared" si="74"/>
        <v>0.78488618229925422</v>
      </c>
      <c r="BE138" s="24">
        <f t="shared" si="75"/>
        <v>2.0365867650557647</v>
      </c>
      <c r="BF138" s="23">
        <f>IF(AV138=1,BA138*(1+FixedParams!$C$25)+BB138*(1+FixedParams!$C$28)/$AT$12,IF(AW138=1,BA138*(1+FixedParams!$C$23)+BB138*(1+FixedParams!$C$26)/$AT$12,BA138*(1+FixedParams!$C$24)+BB138*(1+FixedParams!$C$27)/$AT$12))</f>
        <v>153.19817092492511</v>
      </c>
      <c r="BG138" s="24">
        <f t="shared" si="76"/>
        <v>25.472596649635538</v>
      </c>
      <c r="BH138" s="24">
        <f>BG138^((FixedParams!$B$47-1)/FixedParams!$B$47)*EXP($C138)</f>
        <v>0.21977631135914641</v>
      </c>
      <c r="BI138" s="7"/>
      <c r="BJ138" s="24">
        <f>EXP(-$D$17)*(($B138*FixedParams!$B$30)^$B$10*(1+FixedParams!$C$24)^(1-$B$10)+(1-$B138)^$B$10*((1+FixedParams!$C$27)/$BK$12)^(1-$B$10))^(1/(1-$B$10))</f>
        <v>6.9464212258848281</v>
      </c>
      <c r="BK138" s="24">
        <f>EXP($D138-$D$17)*(($B138*FixedParams!$C$31)^$B$10*(1+FixedParams!$C$25)^(1-$B$10)+(1-$B138)^$B$10*((1+FixedParams!$C$28)/$BK$12)^(1-$B$10))^(1/(1-$B$10))</f>
        <v>6.529696430879965</v>
      </c>
      <c r="BL138" s="24">
        <f>EXP($D138-$D$17)*(($B138*FixedParams!$C$30)^$B$10*(1+FixedParams!$C$23)^(1-$B$10)+(1-$B138)^$B$10*((1+FixedParams!$C$26)/$BK$12)^(1-$B$10))^(1/(1-$B$10))</f>
        <v>6.4282119781798226</v>
      </c>
      <c r="BM138">
        <f>IF(FixedParams!$I$6=1,IF(BK138&lt;=MIN(BJ138:BL138),1,0),$H138)</f>
        <v>0</v>
      </c>
      <c r="BN138">
        <f>IF(FixedParams!$I$6=1,IF(BL138&lt;=MIN(BJ138:BL138),1,0),IF(BL138&lt;=BJ138,1,0)*(1-$H138))</f>
        <v>1</v>
      </c>
      <c r="BO138" s="24">
        <f>$BK$13*IF(BM138=1,1,IF(BN138=1,FixedParams!$C$52,FixedParams!$C$53))</f>
        <v>0.33006170822567266</v>
      </c>
      <c r="BP138">
        <f>EXP($C138*FixedParams!$B$47)*EXP(IF(BM138+BN138=1,(1-FixedParams!$B$47)*$D138,0))*($B138^((FixedParams!$B$47-1)*$B$10/($B$10-1)))*((1/$B138-1)^$B$10*(BO138)^($B$10-1)+1)^((FixedParams!$B$47-$B$10)/($B$10-1))/((1+IF(BM138=1,FixedParams!$C$25,IF(BN138=1,FixedParams!$C$23,FixedParams!$C$24)))^FixedParams!$B$47)</f>
        <v>5.9370307939887047E-2</v>
      </c>
      <c r="BQ138">
        <f t="shared" si="77"/>
        <v>1.7079503092530903</v>
      </c>
      <c r="BR138">
        <f t="shared" si="78"/>
        <v>43.559835995980826</v>
      </c>
      <c r="BS138">
        <f t="shared" si="54"/>
        <v>31.966748409692517</v>
      </c>
      <c r="BT138">
        <f t="shared" si="79"/>
        <v>75.526584405673347</v>
      </c>
      <c r="BU138" s="24">
        <f t="shared" si="80"/>
        <v>0.73385832794783756</v>
      </c>
      <c r="BV138" s="24">
        <f t="shared" si="81"/>
        <v>2.041639849507404</v>
      </c>
      <c r="BW138" s="23">
        <f>IF(BM138=1,BR138*(1+FixedParams!$C$25)+BS138*(1+FixedParams!$C$28)/$BK$12,IF(BN138=1,BR138*(1+FixedParams!$C$23)+BS138*(1+FixedParams!$C$26)/$BK$12,BR138*(1+FixedParams!$C$24)+BS138*(1+FixedParams!$C$27)/$BK$12))</f>
        <v>162.27514646405402</v>
      </c>
      <c r="BX138" s="24">
        <f t="shared" si="82"/>
        <v>25.244212078706678</v>
      </c>
      <c r="BY138" s="24">
        <f>BX138^((FixedParams!$B$47-1)/FixedParams!$B$47)*EXP($C138)</f>
        <v>0.21977829272704785</v>
      </c>
      <c r="BZ138" s="24">
        <f t="shared" si="83"/>
        <v>9.7339820890881654E-2</v>
      </c>
      <c r="CA138" s="24">
        <f t="shared" si="84"/>
        <v>-2.1770853353601505E-2</v>
      </c>
      <c r="CB138" s="24">
        <f t="shared" si="85"/>
        <v>-4.4423974341942542E-3</v>
      </c>
      <c r="CC138" s="24"/>
      <c r="CD138" s="24">
        <f>EXP(-$D$17)*(($B138*FixedParams!$B$30)^$B$10*(1+FixedParams!$D$24)^(1-$B$10)+(1-$B138)^$B$10*((1+FixedParams!$D$27)/$CE$12)^(1-$B$10))^(1/(1-$B$10))</f>
        <v>6.4583041873154414</v>
      </c>
      <c r="CE138" s="24">
        <f>EXP($D138-$D$17)*(($B138*FixedParams!$D$31)^$B$10*(1+FixedParams!$D$25)^(1-$B$10)+(1-$B138)^$B$10*((1+FixedParams!$D$28)/$CE$12)^(1-$B$10))^(1/(1-$B$10))</f>
        <v>6.3153647641040775</v>
      </c>
      <c r="CF138" s="24">
        <f>EXP($D138-$D$17)*(($B138*FixedParams!$D$30)^$B$10*(1+FixedParams!$D$23)^(1-$B$10)+(1-$B138)^$B$10*((1+FixedParams!$D$26)/$CE$12)^(1-$B$10))^(1/(1-$B$10))</f>
        <v>6.2131825807347854</v>
      </c>
      <c r="CG138">
        <f>IF(FixedParams!$I$6=1,IF(CE138&lt;=MIN(CD138:CF138),1,0),$H138)</f>
        <v>0</v>
      </c>
      <c r="CH138">
        <f>IF(FixedParams!$I$6=1,IF(CF138&lt;=MIN(CD138:CF138),1,0),IF(CF138&lt;=CD138,1,0)*(1-$H138))</f>
        <v>1</v>
      </c>
      <c r="CI138" s="24">
        <f>$CE$13*IF(CG138=1,1,IF(CH138=1,FixedParams!$D$52,FixedParams!$D$53))</f>
        <v>0.32933267593211629</v>
      </c>
      <c r="CJ138">
        <f>EXP($C138*FixedParams!$B$47)*EXP(IF(CG138+CH138=1,(1-FixedParams!$B$47)*$D138,0))*($B138^((FixedParams!$B$47-1)*$B$10/($B$10-1)))*((1/$B138-1)^$B$10*(CI138)^($B$10-1)+1)^((FixedParams!$B$47-$B$10)/($B$10-1))/((1+IF(CG138=1,FixedParams!$D$25,IF(CH138=1,FixedParams!$D$23,FixedParams!$D$24)))^FixedParams!$B$47)</f>
        <v>6.1563602626587569E-2</v>
      </c>
      <c r="CK138">
        <f t="shared" si="86"/>
        <v>1.6209918318290202</v>
      </c>
      <c r="CL138">
        <f t="shared" si="88"/>
        <v>44.285953606474308</v>
      </c>
      <c r="CM138">
        <f t="shared" si="55"/>
        <v>32.391998800881133</v>
      </c>
      <c r="CN138">
        <f t="shared" si="89"/>
        <v>76.677952407355434</v>
      </c>
      <c r="CO138" s="24">
        <f t="shared" si="90"/>
        <v>0.73142827833666968</v>
      </c>
      <c r="CP138" s="24">
        <f t="shared" si="91"/>
        <v>2.0073050659172504</v>
      </c>
      <c r="CQ138" s="23">
        <f>IF(CG138=1,CL138*(1+FixedParams!$D$25)+CM138*(1+FixedParams!$D$28)/$CE$12,IF(CH138=1,CL138*(1+FixedParams!$D$23)+CM138*(1+FixedParams!$D$26)/$CE$12,CL138*(1+FixedParams!$D$24)+CM138*(1+FixedParams!$D$27)/$CE$12))</f>
        <v>159.09710376399988</v>
      </c>
      <c r="CR138" s="24">
        <f t="shared" si="92"/>
        <v>25.606378324904252</v>
      </c>
      <c r="CS138" s="24">
        <f>CR138^((FixedParams!$B$47-1)/FixedParams!$B$47)*EXP($C138)</f>
        <v>0.21977515896856911</v>
      </c>
      <c r="CT138" s="24"/>
    </row>
    <row r="139" spans="1:98" x14ac:dyDescent="0.15">
      <c r="A139">
        <v>0.61</v>
      </c>
      <c r="B139">
        <f t="shared" si="56"/>
        <v>0.29097177993824419</v>
      </c>
      <c r="C139">
        <f>(D139-$D$17)*FixedParams!$B$47+$A139*$B$9</f>
        <v>-1.5243992481642834</v>
      </c>
      <c r="D139">
        <f>(A139-$B$6)*FixedParams!$B$46/(FixedParams!$B$45*Sectors!$B$6)</f>
        <v>5.9768657288208883E-2</v>
      </c>
      <c r="E139">
        <f t="shared" si="57"/>
        <v>0.21775183239252119</v>
      </c>
      <c r="F139" s="24">
        <f>EXP(-$D$17)*(($B139*FixedParams!$B$30)^$B$10*(1+FixedParams!$B$23)^(1-$B$10)+(1-$B139)^$B$10*((1+FixedParams!$B$26)/$B$11)^(1-$B$10))^(1/(1-$B$10))</f>
        <v>5.0232310303158547</v>
      </c>
      <c r="G139" s="24">
        <f>EXP($D139-$D$17)*(($B139*FixedParams!$B$31)^$B$10*(1+FixedParams!$B$25)^(1-$B$10)+(1-$B139)^$B$10*((1+FixedParams!$B$28)/$B$11)^(1-$B$10))^(1/(1-$B$10))</f>
        <v>5.1140347183679955</v>
      </c>
      <c r="H139">
        <f t="shared" si="58"/>
        <v>0</v>
      </c>
      <c r="I139" s="24">
        <f>$B$12*IF(H139=1,1,FixedParams!$B$52)</f>
        <v>0.39101505882574561</v>
      </c>
      <c r="J139">
        <f>EXP($C139*FixedParams!$B$47)*EXP(IF(H139=1,(1-FixedParams!$B$47)*$D139,0))*($B139^((FixedParams!$B$47-1)*$B$10/($B$10-1)))*((1/$B139-1)^$B$10*(I139)^($B$10-1)+1)^((FixedParams!$B$47-$B$10)/($B$10-1))/((1+IF(H139=1,FixedParams!$B$25,FixedParams!$B$24))^FixedParams!$B$47)</f>
        <v>6.0042677653451379E-2</v>
      </c>
      <c r="K139">
        <f t="shared" si="87"/>
        <v>1.2106154366927071</v>
      </c>
      <c r="L139">
        <f>K139*FixedParams!$B$8/K$15</f>
        <v>35.196379254860481</v>
      </c>
      <c r="M139">
        <f t="shared" si="47"/>
        <v>32.734611347749961</v>
      </c>
      <c r="N139">
        <f t="shared" si="59"/>
        <v>67.93099060261045</v>
      </c>
      <c r="O139" s="24">
        <f t="shared" si="60"/>
        <v>0.9300562171669815</v>
      </c>
      <c r="P139" s="24">
        <f t="shared" si="48"/>
        <v>1.9641589768142647</v>
      </c>
      <c r="Q139" s="23">
        <f>IF(H139=1,L139*(1+FixedParams!$B$25)+M139*FixedParams!$B$33*(1+FixedParams!$B$28)/FixedParams!$B$32,L139*(1+FixedParams!$B$23)+M139*FixedParams!$B$33*(1+FixedParams!$B$26)/FixedParams!$B$32)</f>
        <v>128.01026286629113</v>
      </c>
      <c r="R139" s="24">
        <f t="shared" si="49"/>
        <v>25.48365028280254</v>
      </c>
      <c r="S139" s="24">
        <f>R139^((FixedParams!$B$47-1)/FixedParams!$B$47)*EXP($C139)</f>
        <v>0.21704718069351106</v>
      </c>
      <c r="T139" s="7">
        <f>(L139*FixedParams!$B$32*(FixedParams!$C$25-FixedParams!$C$23)+FixedParams!$B$33*(FixedParams!$C$28-FixedParams!$C$26)*M139)/N139</f>
        <v>1420.1716560082211</v>
      </c>
      <c r="U139" s="7">
        <f>(L139*FixedParams!$B$32*(FixedParams!$C$25-FixedParams!$C$23)*$Z$12/$B$11+FixedParams!$B$33*(FixedParams!$C$28-FixedParams!$C$26)*M139)/N139</f>
        <v>899.80676922349937</v>
      </c>
      <c r="V139" s="14">
        <f t="shared" si="50"/>
        <v>-0.86649896002243931</v>
      </c>
      <c r="W139" s="14">
        <f t="shared" si="93"/>
        <v>0.81141776984059</v>
      </c>
      <c r="X139" s="73">
        <f t="shared" si="62"/>
        <v>0.9535529998845349</v>
      </c>
      <c r="Y139" s="24">
        <f>EXP(-$D$17)*(($B139*FixedParams!$B$30)^$B$10*(1+FixedParams!$C$24)^(1-$B$10)+(1-$B139)^$B$10*((1+FixedParams!$C$27)/$Z$12)^(1-$B$10))^(1/(1-$B$10))</f>
        <v>6.7011613054204906</v>
      </c>
      <c r="Z139" s="24">
        <f>EXP($D139-$D$17)*(($B139*FixedParams!$C$31)^$B$10*(1+FixedParams!$C$25)^(1-$B$10)+(1-$B139)^$B$10*((1+FixedParams!$C$28)/$Z$12)^(1-$B$10))^(1/(1-$B$10))</f>
        <v>6.3173192174943225</v>
      </c>
      <c r="AA139" s="24">
        <f>EXP($D139-$D$17)*(($B139*FixedParams!$C$30)^$B$10*(1+FixedParams!$C$23)^(1-$B$10)+(1-$B139)^$B$10*((1+FixedParams!$C$26)/$Z$12)^(1-$B$10))^(1/(1-$B$10))</f>
        <v>6.221376700237669</v>
      </c>
      <c r="AB139">
        <f>IF(FixedParams!$I$6=1,IF(Z139&lt;=MIN(Y139:AA139),1,0),$H139)</f>
        <v>0</v>
      </c>
      <c r="AC139">
        <f>IF(FixedParams!$I$6=1,IF(AA139&lt;=MIN(Y139:AA139),1,0),IF(AA139&lt;=Y139,1,0)*(1-$H139))</f>
        <v>1</v>
      </c>
      <c r="AD139" s="24">
        <f>$Z$13*IF(AB139=1,1,IF(AC139=1,FixedParams!$C$52,FixedParams!$C$53))</f>
        <v>0.34709202255780691</v>
      </c>
      <c r="AE139">
        <f>EXP($C139*FixedParams!$B$47)*EXP(IF(AB139+AC139=1,(1-FixedParams!$B$47)*$D139,0))*($B139^((FixedParams!$B$47-1)*$B$10/($B$10-1)))*((1/$B139-1)^$B$10*(AD139)^($B$10-1)+1)^((FixedParams!$B$47-$B$10)/($B$10-1))/((1+IF(AB139=1,FixedParams!$C$25,IF(AC139=1,FixedParams!$C$23,FixedParams!$C$24)))^FixedParams!$B$47)</f>
        <v>5.831351043487825E-2</v>
      </c>
      <c r="AF139">
        <f t="shared" si="63"/>
        <v>1.7183347697529625</v>
      </c>
      <c r="AG139">
        <f t="shared" si="64"/>
        <v>40.361045025436745</v>
      </c>
      <c r="AH139">
        <f t="shared" si="51"/>
        <v>31.394120858586351</v>
      </c>
      <c r="AI139">
        <f t="shared" si="65"/>
        <v>71.7551658840231</v>
      </c>
      <c r="AJ139" s="24">
        <f t="shared" si="66"/>
        <v>0.77783221021162441</v>
      </c>
      <c r="AK139" s="24">
        <f t="shared" si="67"/>
        <v>2.0779013804582607</v>
      </c>
      <c r="AL139" s="23">
        <f>IF(AB139=1,AG139*(1+FixedParams!$C$25)+AH139*(1+FixedParams!$C$28)/$Z$12,IF(AC139=1,AG139*(1+FixedParams!$C$23)+AH139*(1+FixedParams!$C$26)/$Z$12,AG139*(1+FixedParams!$C$24)+AH139*(1+FixedParams!$C$27)/$Z$12))</f>
        <v>151.1795233407471</v>
      </c>
      <c r="AM139" s="24">
        <f t="shared" si="68"/>
        <v>24.300011175174738</v>
      </c>
      <c r="AN139" s="24">
        <f>AM139^((FixedParams!$B$47-1)/FixedParams!$B$47)*EXP($C139)</f>
        <v>0.21705751409535676</v>
      </c>
      <c r="AO139" s="24">
        <f t="shared" si="69"/>
        <v>5.4767504637636626E-2</v>
      </c>
      <c r="AP139" s="24">
        <f t="shared" si="70"/>
        <v>-4.7560270919532549E-2</v>
      </c>
      <c r="AQ139" s="14">
        <f t="shared" si="71"/>
        <v>-0.80692089333017991</v>
      </c>
      <c r="AS139" s="24">
        <f>EXP(-$D$17)*(($B139*FixedParams!$B$30)^$B$10*(1+FixedParams!$D$24)^(1-$B$10)+(1-$B139)^$B$10*((1+FixedParams!$D$27)/$AT$12)^(1-$B$10))^(1/(1-$B$10))</f>
        <v>6.2457468479730602</v>
      </c>
      <c r="AT139" s="24">
        <f>EXP($D139-$D$17)*(($B139*FixedParams!$C$31)^$B$10*(1+FixedParams!$D$25)^(1-$B$10)+(1-$B139)^$B$10*((1+FixedParams!$D$28)/$AT$12)^(1-$B$10))^(1/(1-$B$10))</f>
        <v>6.1246691527266384</v>
      </c>
      <c r="AU139" s="24">
        <f>EXP($D139-$D$17)*(($B139*FixedParams!$C$30)^$B$10*(1+FixedParams!$D$23)^(1-$B$10)+(1-$B139)^$B$10*((1+FixedParams!$D$26)/$AT$12)^(1-$B$10))^(1/(1-$B$10))</f>
        <v>6.0269502317901926</v>
      </c>
      <c r="AV139">
        <f>IF(FixedParams!$I$6=1,IF(AT139&lt;=MIN(AS139:AU139),1,0),$H139)</f>
        <v>0</v>
      </c>
      <c r="AW139">
        <f>IF(FixedParams!$I$6=1,IF(AU139&lt;=MIN(AS139:AU139),1,0),IF(AU139&lt;=AS139,1,0)*(1-$H139))</f>
        <v>1</v>
      </c>
      <c r="AX139" s="24">
        <f>$AT$13*IF(AV139=1,1,IF(AW139=1,FixedParams!$D$52,FixedParams!$D$53))</f>
        <v>0.3451899269505756</v>
      </c>
      <c r="AY139">
        <f>EXP($C139*FixedParams!$B$47)*EXP(IF(AV139+AW139=1,(1-FixedParams!$B$47)*$D139,0))*($B139^((FixedParams!$B$47-1)*$B$10/($B$10-1)))*((1/$B139-1)^$B$10*(AX139)^($B$10-1)+1)^((FixedParams!$B$47-$B$10)/($B$10-1))/((1+IF(AV139=1,FixedParams!$D$25,IF(AW139=1,FixedParams!$D$23,FixedParams!$D$24)))^FixedParams!$B$47)</f>
        <v>6.0536664575250219E-2</v>
      </c>
      <c r="AZ139">
        <f t="shared" si="52"/>
        <v>1.6301059320954661</v>
      </c>
      <c r="BA139">
        <f t="shared" si="72"/>
        <v>41.013247236458035</v>
      </c>
      <c r="BB139">
        <f t="shared" si="53"/>
        <v>31.639550311370947</v>
      </c>
      <c r="BC139">
        <f t="shared" si="73"/>
        <v>72.652797547828982</v>
      </c>
      <c r="BD139" s="24">
        <f t="shared" si="74"/>
        <v>0.77144709193485905</v>
      </c>
      <c r="BE139" s="24">
        <f t="shared" si="75"/>
        <v>2.0408926468600388</v>
      </c>
      <c r="BF139" s="23">
        <f>IF(AV139=1,BA139*(1+FixedParams!$C$25)+BB139*(1+FixedParams!$C$28)/$AT$12,IF(AW139=1,BA139*(1+FixedParams!$C$23)+BB139*(1+FixedParams!$C$26)/$AT$12,BA139*(1+FixedParams!$C$24)+BB139*(1+FixedParams!$C$27)/$AT$12))</f>
        <v>151.30882824093578</v>
      </c>
      <c r="BG139" s="24">
        <f t="shared" si="76"/>
        <v>25.105372107244417</v>
      </c>
      <c r="BH139" s="24">
        <f>BG139^((FixedParams!$B$47-1)/FixedParams!$B$47)*EXP($C139)</f>
        <v>0.21705042995752249</v>
      </c>
      <c r="BI139" s="7"/>
      <c r="BJ139" s="24">
        <f>EXP(-$D$17)*(($B139*FixedParams!$B$30)^$B$10*(1+FixedParams!$C$24)^(1-$B$10)+(1-$B139)^$B$10*((1+FixedParams!$C$27)/$BK$12)^(1-$B$10))^(1/(1-$B$10))</f>
        <v>6.9490829278941293</v>
      </c>
      <c r="BK139" s="24">
        <f>EXP($D139-$D$17)*(($B139*FixedParams!$C$31)^$B$10*(1+FixedParams!$C$25)^(1-$B$10)+(1-$B139)^$B$10*((1+FixedParams!$C$28)/$BK$12)^(1-$B$10))^(1/(1-$B$10))</f>
        <v>6.5476109342035542</v>
      </c>
      <c r="BL139" s="24">
        <f>EXP($D139-$D$17)*(($B139*FixedParams!$C$30)^$B$10*(1+FixedParams!$C$23)^(1-$B$10)+(1-$B139)^$B$10*((1+FixedParams!$C$26)/$BK$12)^(1-$B$10))^(1/(1-$B$10))</f>
        <v>6.4407371390221817</v>
      </c>
      <c r="BM139">
        <f>IF(FixedParams!$I$6=1,IF(BK139&lt;=MIN(BJ139:BL139),1,0),$H139)</f>
        <v>0</v>
      </c>
      <c r="BN139">
        <f>IF(FixedParams!$I$6=1,IF(BL139&lt;=MIN(BJ139:BL139),1,0),IF(BL139&lt;=BJ139,1,0)*(1-$H139))</f>
        <v>1</v>
      </c>
      <c r="BO139" s="24">
        <f>$BK$13*IF(BM139=1,1,IF(BN139=1,FixedParams!$C$52,FixedParams!$C$53))</f>
        <v>0.33006170822567266</v>
      </c>
      <c r="BP139">
        <f>EXP($C139*FixedParams!$B$47)*EXP(IF(BM139+BN139=1,(1-FixedParams!$B$47)*$D139,0))*($B139^((FixedParams!$B$47-1)*$B$10/($B$10-1)))*((1/$B139-1)^$B$10*(BO139)^($B$10-1)+1)^((FixedParams!$B$47-$B$10)/($B$10-1))/((1+IF(BM139=1,FixedParams!$C$25,IF(BN139=1,FixedParams!$C$23,FixedParams!$C$24)))^FixedParams!$B$47)</f>
        <v>5.9334703134138127E-2</v>
      </c>
      <c r="BQ139">
        <f t="shared" si="77"/>
        <v>1.7069260390227365</v>
      </c>
      <c r="BR139">
        <f t="shared" si="78"/>
        <v>43.533712845320025</v>
      </c>
      <c r="BS139">
        <f t="shared" si="54"/>
        <v>31.400560336961995</v>
      </c>
      <c r="BT139">
        <f t="shared" si="79"/>
        <v>74.934273182282027</v>
      </c>
      <c r="BU139" s="24">
        <f t="shared" si="80"/>
        <v>0.72129295400398241</v>
      </c>
      <c r="BV139" s="24">
        <f t="shared" si="81"/>
        <v>2.0456179179942637</v>
      </c>
      <c r="BW139" s="23">
        <f>IF(BM139=1,BR139*(1+FixedParams!$C$25)+BS139*(1+FixedParams!$C$28)/$BK$12,IF(BN139=1,BR139*(1+FixedParams!$C$23)+BS139*(1+FixedParams!$C$26)/$BK$12,BR139*(1+FixedParams!$C$24)+BS139*(1+FixedParams!$C$27)/$BK$12))</f>
        <v>160.26243580686042</v>
      </c>
      <c r="BX139" s="24">
        <f t="shared" si="82"/>
        <v>24.882623269297262</v>
      </c>
      <c r="BY139" s="24">
        <f>BX139^((FixedParams!$B$47-1)/FixedParams!$B$47)*EXP($C139)</f>
        <v>0.21705236628895624</v>
      </c>
      <c r="BZ139" s="24">
        <f t="shared" si="83"/>
        <v>9.8119025947015062E-2</v>
      </c>
      <c r="CA139" s="24">
        <f t="shared" si="84"/>
        <v>-2.3867381967899851E-2</v>
      </c>
      <c r="CB139" s="24">
        <f t="shared" si="85"/>
        <v>-6.5389260484925993E-3</v>
      </c>
      <c r="CC139" s="24"/>
      <c r="CD139" s="24">
        <f>EXP(-$D$17)*(($B139*FixedParams!$B$30)^$B$10*(1+FixedParams!$D$24)^(1-$B$10)+(1-$B139)^$B$10*((1+FixedParams!$D$27)/$CE$12)^(1-$B$10))^(1/(1-$B$10))</f>
        <v>6.4589707330833308</v>
      </c>
      <c r="CE139" s="24">
        <f>EXP($D139-$D$17)*(($B139*FixedParams!$D$31)^$B$10*(1+FixedParams!$D$25)^(1-$B$10)+(1-$B139)^$B$10*((1+FixedParams!$D$28)/$CE$12)^(1-$B$10))^(1/(1-$B$10))</f>
        <v>6.3316406023949359</v>
      </c>
      <c r="CF139" s="24">
        <f>EXP($D139-$D$17)*(($B139*FixedParams!$D$30)^$B$10*(1+FixedParams!$D$23)^(1-$B$10)+(1-$B139)^$B$10*((1+FixedParams!$D$26)/$CE$12)^(1-$B$10))^(1/(1-$B$10))</f>
        <v>6.2252377142752096</v>
      </c>
      <c r="CG139">
        <f>IF(FixedParams!$I$6=1,IF(CE139&lt;=MIN(CD139:CF139),1,0),$H139)</f>
        <v>0</v>
      </c>
      <c r="CH139">
        <f>IF(FixedParams!$I$6=1,IF(CF139&lt;=MIN(CD139:CF139),1,0),IF(CF139&lt;=CD139,1,0)*(1-$H139))</f>
        <v>1</v>
      </c>
      <c r="CI139" s="24">
        <f>$CE$13*IF(CG139=1,1,IF(CH139=1,FixedParams!$D$52,FixedParams!$D$53))</f>
        <v>0.32933267593211629</v>
      </c>
      <c r="CJ139">
        <f>EXP($C139*FixedParams!$B$47)*EXP(IF(CG139+CH139=1,(1-FixedParams!$B$47)*$D139,0))*($B139^((FixedParams!$B$47-1)*$B$10/($B$10-1)))*((1/$B139-1)^$B$10*(CI139)^($B$10-1)+1)^((FixedParams!$B$47-$B$10)/($B$10-1))/((1+IF(CG139=1,FixedParams!$D$25,IF(CH139=1,FixedParams!$D$23,FixedParams!$D$24)))^FixedParams!$B$47)</f>
        <v>6.1526429710802459E-2</v>
      </c>
      <c r="CK139">
        <f t="shared" si="86"/>
        <v>1.6200130555670391</v>
      </c>
      <c r="CL139">
        <f t="shared" si="88"/>
        <v>44.259213163198723</v>
      </c>
      <c r="CM139">
        <f t="shared" si="55"/>
        <v>31.81814806429696</v>
      </c>
      <c r="CN139">
        <f t="shared" si="89"/>
        <v>76.077361227495686</v>
      </c>
      <c r="CO139" s="24">
        <f t="shared" si="90"/>
        <v>0.7189045125355632</v>
      </c>
      <c r="CP139" s="24">
        <f t="shared" si="91"/>
        <v>2.0111997415221543</v>
      </c>
      <c r="CQ139" s="23">
        <f>IF(CG139=1,CL139*(1+FixedParams!$D$25)+CM139*(1+FixedParams!$D$28)/$CE$12,IF(CH139=1,CL139*(1+FixedParams!$D$23)+CM139*(1+FixedParams!$D$26)/$CE$12,CL139*(1+FixedParams!$D$24)+CM139*(1+FixedParams!$D$27)/$CE$12))</f>
        <v>157.1238093172563</v>
      </c>
      <c r="CR139" s="24">
        <f t="shared" si="92"/>
        <v>25.239808747696934</v>
      </c>
      <c r="CS139" s="24">
        <f>CR139^((FixedParams!$B$47-1)/FixedParams!$B$47)*EXP($C139)</f>
        <v>0.21704926961882851</v>
      </c>
      <c r="CT139" s="24"/>
    </row>
    <row r="140" spans="1:98" x14ac:dyDescent="0.15">
      <c r="A140">
        <v>0.61499999999999999</v>
      </c>
      <c r="B140">
        <f t="shared" si="56"/>
        <v>0.29335285376316966</v>
      </c>
      <c r="C140">
        <f>(D140-$D$17)*FixedParams!$B$47+$A140*$B$9</f>
        <v>-1.5368943239689088</v>
      </c>
      <c r="D140">
        <f>(A140-$B$6)*FixedParams!$B$46/(FixedParams!$B$45*Sectors!$B$6)</f>
        <v>6.2485414437672929E-2</v>
      </c>
      <c r="E140">
        <f t="shared" si="57"/>
        <v>0.21504793462315619</v>
      </c>
      <c r="F140" s="24">
        <f>EXP(-$D$17)*(($B140*FixedParams!$B$30)^$B$10*(1+FixedParams!$B$23)^(1-$B$10)+(1-$B140)^$B$10*((1+FixedParams!$B$26)/$B$11)^(1-$B$10))^(1/(1-$B$10))</f>
        <v>5.0222550402652049</v>
      </c>
      <c r="G140" s="24">
        <f>EXP($D140-$D$17)*(($B140*FixedParams!$B$31)^$B$10*(1+FixedParams!$B$25)^(1-$B$10)+(1-$B140)^$B$10*((1+FixedParams!$B$28)/$B$11)^(1-$B$10))^(1/(1-$B$10))</f>
        <v>5.1261530531694772</v>
      </c>
      <c r="H140">
        <f t="shared" si="58"/>
        <v>0</v>
      </c>
      <c r="I140" s="24">
        <f>$B$12*IF(H140=1,1,FixedParams!$B$52)</f>
        <v>0.39101505882574561</v>
      </c>
      <c r="J140">
        <f>EXP($C140*FixedParams!$B$47)*EXP(IF(H140=1,(1-FixedParams!$B$47)*$D140,0))*($B140^((FixedParams!$B$47-1)*$B$10/($B$10-1)))*((1/$B140-1)^$B$10*(I140)^($B$10-1)+1)^((FixedParams!$B$47-$B$10)/($B$10-1))/((1+IF(H140=1,FixedParams!$B$25,FixedParams!$B$24))^FixedParams!$B$47)</f>
        <v>6.0021359304083401E-2</v>
      </c>
      <c r="K140">
        <f t="shared" si="87"/>
        <v>1.2101856037165923</v>
      </c>
      <c r="L140">
        <f>K140*FixedParams!$B$8/K$15</f>
        <v>35.183882665121871</v>
      </c>
      <c r="M140">
        <f t="shared" si="47"/>
        <v>32.16269458096977</v>
      </c>
      <c r="N140">
        <f t="shared" si="59"/>
        <v>67.346577246091641</v>
      </c>
      <c r="O140" s="24">
        <f t="shared" si="60"/>
        <v>0.91413147568426167</v>
      </c>
      <c r="P140" s="24">
        <f t="shared" si="48"/>
        <v>1.9637773500071964</v>
      </c>
      <c r="Q140" s="23">
        <f>IF(H140=1,L140*(1+FixedParams!$B$25)+M140*FixedParams!$B$33*(1+FixedParams!$B$28)/FixedParams!$B$32,L140*(1+FixedParams!$B$23)+M140*FixedParams!$B$33*(1+FixedParams!$B$26)/FixedParams!$B$32)</f>
        <v>126.42227144157366</v>
      </c>
      <c r="R140" s="24">
        <f t="shared" si="49"/>
        <v>25.172411681207215</v>
      </c>
      <c r="S140" s="24">
        <f>R140^((FixedParams!$B$47-1)/FixedParams!$B$47)*EXP($C140)</f>
        <v>0.21435466953086771</v>
      </c>
      <c r="T140" s="7">
        <f>(L140*FixedParams!$B$32*(FixedParams!$C$25-FixedParams!$C$23)+FixedParams!$B$33*(FixedParams!$C$28-FixedParams!$C$26)*M140)/N140</f>
        <v>1469.0743510300958</v>
      </c>
      <c r="U140" s="7">
        <f>(L140*FixedParams!$B$32*(FixedParams!$C$25-FixedParams!$C$23)*$Z$12/$B$11+FixedParams!$B$33*(FixedParams!$C$28-FixedParams!$C$26)*M140)/N140</f>
        <v>944.38025467748389</v>
      </c>
      <c r="V140" s="14">
        <f t="shared" si="50"/>
        <v>-0.8492283347263555</v>
      </c>
      <c r="W140" s="14">
        <f t="shared" si="93"/>
        <v>0.81472097613049022</v>
      </c>
      <c r="X140" s="73">
        <f t="shared" si="62"/>
        <v>0.95138229511560413</v>
      </c>
      <c r="Y140" s="24">
        <f>EXP(-$D$17)*(($B140*FixedParams!$B$30)^$B$10*(1+FixedParams!$C$24)^(1-$B$10)+(1-$B140)^$B$10*((1+FixedParams!$C$27)/$Z$12)^(1-$B$10))^(1/(1-$B$10))</f>
        <v>6.7046454873205494</v>
      </c>
      <c r="Z140" s="24">
        <f>EXP($D140-$D$17)*(($B140*FixedParams!$C$31)^$B$10*(1+FixedParams!$C$25)^(1-$B$10)+(1-$B140)^$B$10*((1+FixedParams!$C$28)/$Z$12)^(1-$B$10))^(1/(1-$B$10))</f>
        <v>6.3355248451967263</v>
      </c>
      <c r="AA140" s="24">
        <f>EXP($D140-$D$17)*(($B140*FixedParams!$C$30)^$B$10*(1+FixedParams!$C$23)^(1-$B$10)+(1-$B140)^$B$10*((1+FixedParams!$C$26)/$Z$12)^(1-$B$10))^(1/(1-$B$10))</f>
        <v>6.2343742760020362</v>
      </c>
      <c r="AB140">
        <f>IF(FixedParams!$I$6=1,IF(Z140&lt;=MIN(Y140:AA140),1,0),$H140)</f>
        <v>0</v>
      </c>
      <c r="AC140">
        <f>IF(FixedParams!$I$6=1,IF(AA140&lt;=MIN(Y140:AA140),1,0),IF(AA140&lt;=Y140,1,0)*(1-$H140))</f>
        <v>1</v>
      </c>
      <c r="AD140" s="24">
        <f>$Z$13*IF(AB140=1,1,IF(AC140=1,FixedParams!$C$52,FixedParams!$C$53))</f>
        <v>0.34709202255780691</v>
      </c>
      <c r="AE140">
        <f>EXP($C140*FixedParams!$B$47)*EXP(IF(AB140+AC140=1,(1-FixedParams!$B$47)*$D140,0))*($B140^((FixedParams!$B$47-1)*$B$10/($B$10-1)))*((1/$B140-1)^$B$10*(AD140)^($B$10-1)+1)^((FixedParams!$B$47-$B$10)/($B$10-1))/((1+IF(AB140=1,FixedParams!$C$25,IF(AC140=1,FixedParams!$C$23,FixedParams!$C$24)))^FixedParams!$B$47)</f>
        <v>5.8280248792161718E-2</v>
      </c>
      <c r="AF140">
        <f t="shared" si="63"/>
        <v>1.7173546429049529</v>
      </c>
      <c r="AG140">
        <f t="shared" si="64"/>
        <v>40.338023350883283</v>
      </c>
      <c r="AH140">
        <f t="shared" si="51"/>
        <v>30.838979565451741</v>
      </c>
      <c r="AI140">
        <f t="shared" si="65"/>
        <v>71.177002916335027</v>
      </c>
      <c r="AJ140" s="24">
        <f t="shared" si="66"/>
        <v>0.76451390037624289</v>
      </c>
      <c r="AK140" s="24">
        <f t="shared" si="67"/>
        <v>2.0822424904608683</v>
      </c>
      <c r="AL140" s="23">
        <f>IF(AB140=1,AG140*(1+FixedParams!$C$25)+AH140*(1+FixedParams!$C$28)/$Z$12,IF(AC140=1,AG140*(1+FixedParams!$C$23)+AH140*(1+FixedParams!$C$26)/$Z$12,AG140*(1+FixedParams!$C$24)+AH140*(1+FixedParams!$C$27)/$Z$12))</f>
        <v>149.30445348542577</v>
      </c>
      <c r="AM140" s="24">
        <f t="shared" si="68"/>
        <v>23.948586798861765</v>
      </c>
      <c r="AN140" s="24">
        <f>AM140^((FixedParams!$B$47-1)/FixedParams!$B$47)*EXP($C140)</f>
        <v>0.21436536377924656</v>
      </c>
      <c r="AO140" s="24">
        <f t="shared" si="69"/>
        <v>5.5317692330991514E-2</v>
      </c>
      <c r="AP140" s="24">
        <f t="shared" si="70"/>
        <v>-4.9839304453301793E-2</v>
      </c>
      <c r="AQ140" s="14">
        <f t="shared" si="71"/>
        <v>-0.7896502680340961</v>
      </c>
      <c r="AS140" s="24">
        <f>EXP(-$D$17)*(($B140*FixedParams!$B$30)^$B$10*(1+FixedParams!$D$24)^(1-$B$10)+(1-$B140)^$B$10*((1+FixedParams!$D$27)/$AT$12)^(1-$B$10))^(1/(1-$B$10))</f>
        <v>6.247179139603821</v>
      </c>
      <c r="AT140" s="24">
        <f>EXP($D140-$D$17)*(($B140*FixedParams!$C$31)^$B$10*(1+FixedParams!$D$25)^(1-$B$10)+(1-$B140)^$B$10*((1+FixedParams!$D$28)/$AT$12)^(1-$B$10))^(1/(1-$B$10))</f>
        <v>6.1412318208510879</v>
      </c>
      <c r="AU140" s="24">
        <f>EXP($D140-$D$17)*(($B140*FixedParams!$C$30)^$B$10*(1+FixedParams!$D$23)^(1-$B$10)+(1-$B140)^$B$10*((1+FixedParams!$D$26)/$AT$12)^(1-$B$10))^(1/(1-$B$10))</f>
        <v>6.0394188644949081</v>
      </c>
      <c r="AV140">
        <f>IF(FixedParams!$I$6=1,IF(AT140&lt;=MIN(AS140:AU140),1,0),$H140)</f>
        <v>0</v>
      </c>
      <c r="AW140">
        <f>IF(FixedParams!$I$6=1,IF(AU140&lt;=MIN(AS140:AU140),1,0),IF(AU140&lt;=AS140,1,0)*(1-$H140))</f>
        <v>1</v>
      </c>
      <c r="AX140" s="24">
        <f>$AT$13*IF(AV140=1,1,IF(AW140=1,FixedParams!$D$52,FixedParams!$D$53))</f>
        <v>0.3451899269505756</v>
      </c>
      <c r="AY140">
        <f>EXP($C140*FixedParams!$B$47)*EXP(IF(AV140+AW140=1,(1-FixedParams!$B$47)*$D140,0))*($B140^((FixedParams!$B$47-1)*$B$10/($B$10-1)))*((1/$B140-1)^$B$10*(AX140)^($B$10-1)+1)^((FixedParams!$B$47-$B$10)/($B$10-1))/((1+IF(AV140=1,FixedParams!$D$25,IF(AW140=1,FixedParams!$D$23,FixedParams!$D$24)))^FixedParams!$B$47)</f>
        <v>6.0501518786873244E-2</v>
      </c>
      <c r="AZ140">
        <f t="shared" si="52"/>
        <v>1.6291595410360402</v>
      </c>
      <c r="BA140">
        <f t="shared" si="72"/>
        <v>40.989436163975945</v>
      </c>
      <c r="BB140">
        <f t="shared" si="53"/>
        <v>31.079752618587154</v>
      </c>
      <c r="BC140">
        <f t="shared" si="73"/>
        <v>72.069188782563103</v>
      </c>
      <c r="BD140" s="24">
        <f t="shared" si="74"/>
        <v>0.75823811028418009</v>
      </c>
      <c r="BE140" s="24">
        <f t="shared" si="75"/>
        <v>2.0451148720029022</v>
      </c>
      <c r="BF140" s="23">
        <f>IF(AV140=1,BA140*(1+FixedParams!$C$25)+BB140*(1+FixedParams!$C$28)/$AT$12,IF(AW140=1,BA140*(1+FixedParams!$C$23)+BB140*(1+FixedParams!$C$26)/$AT$12,BA140*(1+FixedParams!$C$24)+BB140*(1+FixedParams!$C$27)/$AT$12))</f>
        <v>149.4428489570777</v>
      </c>
      <c r="BG140" s="24">
        <f t="shared" si="76"/>
        <v>24.744574322479284</v>
      </c>
      <c r="BH140" s="24">
        <f>BG140^((FixedParams!$B$47-1)/FixedParams!$B$47)*EXP($C140)</f>
        <v>0.21435834778868837</v>
      </c>
      <c r="BI140" s="7"/>
      <c r="BJ140" s="24">
        <f>EXP(-$D$17)*(($B140*FixedParams!$B$30)^$B$10*(1+FixedParams!$C$24)^(1-$B$10)+(1-$B140)^$B$10*((1+FixedParams!$C$27)/$BK$12)^(1-$B$10))^(1/(1-$B$10))</f>
        <v>6.9514792003705965</v>
      </c>
      <c r="BK140" s="24">
        <f>EXP($D140-$D$17)*(($B140*FixedParams!$C$31)^$B$10*(1+FixedParams!$C$25)^(1-$B$10)+(1-$B140)^$B$10*((1+FixedParams!$C$28)/$BK$12)^(1-$B$10))^(1/(1-$B$10))</f>
        <v>6.5653053724148176</v>
      </c>
      <c r="BL140" s="24">
        <f>EXP($D140-$D$17)*(($B140*FixedParams!$C$30)^$B$10*(1+FixedParams!$C$23)^(1-$B$10)+(1-$B140)^$B$10*((1+FixedParams!$C$26)/$BK$12)^(1-$B$10))^(1/(1-$B$10))</f>
        <v>6.4529870426917304</v>
      </c>
      <c r="BM140">
        <f>IF(FixedParams!$I$6=1,IF(BK140&lt;=MIN(BJ140:BL140),1,0),$H140)</f>
        <v>0</v>
      </c>
      <c r="BN140">
        <f>IF(FixedParams!$I$6=1,IF(BL140&lt;=MIN(BJ140:BL140),1,0),IF(BL140&lt;=BJ140,1,0)*(1-$H140))</f>
        <v>1</v>
      </c>
      <c r="BO140" s="24">
        <f>$BK$13*IF(BM140=1,1,IF(BN140=1,FixedParams!$C$52,FixedParams!$C$53))</f>
        <v>0.33006170822567266</v>
      </c>
      <c r="BP140">
        <f>EXP($C140*FixedParams!$B$47)*EXP(IF(BM140+BN140=1,(1-FixedParams!$B$47)*$D140,0))*($B140^((FixedParams!$B$47-1)*$B$10/($B$10-1)))*((1/$B140-1)^$B$10*(BO140)^($B$10-1)+1)^((FixedParams!$B$47-$B$10)/($B$10-1))/((1+IF(BM140=1,FixedParams!$C$25,IF(BN140=1,FixedParams!$C$23,FixedParams!$C$24)))^FixedParams!$B$47)</f>
        <v>5.929530753588276E-2</v>
      </c>
      <c r="BQ140">
        <f t="shared" si="77"/>
        <v>1.7057927162127624</v>
      </c>
      <c r="BR140">
        <f t="shared" si="78"/>
        <v>43.504808400345532</v>
      </c>
      <c r="BS140">
        <f t="shared" si="54"/>
        <v>30.842417578984673</v>
      </c>
      <c r="BT140">
        <f t="shared" si="79"/>
        <v>74.347225979330204</v>
      </c>
      <c r="BU140" s="24">
        <f t="shared" si="80"/>
        <v>0.70894272870167863</v>
      </c>
      <c r="BV140" s="24">
        <f t="shared" si="81"/>
        <v>2.0495085631019969</v>
      </c>
      <c r="BW140" s="23">
        <f>IF(BM140=1,BR140*(1+FixedParams!$C$25)+BS140*(1+FixedParams!$C$28)/$BK$12,IF(BN140=1,BR140*(1+FixedParams!$C$23)+BS140*(1+FixedParams!$C$26)/$BK$12,BR140*(1+FixedParams!$C$24)+BS140*(1+FixedParams!$C$27)/$BK$12))</f>
        <v>158.27468159923257</v>
      </c>
      <c r="BX140" s="24">
        <f t="shared" si="82"/>
        <v>24.527351527613099</v>
      </c>
      <c r="BY140" s="24">
        <f>BX140^((FixedParams!$B$47-1)/FixedParams!$B$47)*EXP($C140)</f>
        <v>0.21436023976414542</v>
      </c>
      <c r="BZ140" s="24">
        <f t="shared" si="83"/>
        <v>9.889428074649359E-2</v>
      </c>
      <c r="CA140" s="24">
        <f t="shared" si="84"/>
        <v>-2.5959736524525046E-2</v>
      </c>
      <c r="CB140" s="24">
        <f t="shared" si="85"/>
        <v>-8.6312806051177943E-3</v>
      </c>
      <c r="CC140" s="24"/>
      <c r="CD140" s="24">
        <f>EXP(-$D$17)*(($B140*FixedParams!$B$30)^$B$10*(1+FixedParams!$D$24)^(1-$B$10)+(1-$B140)^$B$10*((1+FixedParams!$D$27)/$CE$12)^(1-$B$10))^(1/(1-$B$10))</f>
        <v>6.4593762520145264</v>
      </c>
      <c r="CE140" s="24">
        <f>EXP($D140-$D$17)*(($B140*FixedParams!$D$31)^$B$10*(1+FixedParams!$D$25)^(1-$B$10)+(1-$B140)^$B$10*((1+FixedParams!$D$28)/$CE$12)^(1-$B$10))^(1/(1-$B$10))</f>
        <v>6.3476905491514461</v>
      </c>
      <c r="CF140" s="24">
        <f>EXP($D140-$D$17)*(($B140*FixedParams!$D$30)^$B$10*(1+FixedParams!$D$23)^(1-$B$10)+(1-$B140)^$B$10*((1+FixedParams!$D$26)/$CE$12)^(1-$B$10))^(1/(1-$B$10))</f>
        <v>6.2370262749294811</v>
      </c>
      <c r="CG140">
        <f>IF(FixedParams!$I$6=1,IF(CE140&lt;=MIN(CD140:CF140),1,0),$H140)</f>
        <v>0</v>
      </c>
      <c r="CH140">
        <f>IF(FixedParams!$I$6=1,IF(CF140&lt;=MIN(CD140:CF140),1,0),IF(CF140&lt;=CD140,1,0)*(1-$H140))</f>
        <v>1</v>
      </c>
      <c r="CI140" s="24">
        <f>$CE$13*IF(CG140=1,1,IF(CH140=1,FixedParams!$D$52,FixedParams!$D$53))</f>
        <v>0.32933267593211629</v>
      </c>
      <c r="CJ140">
        <f>EXP($C140*FixedParams!$B$47)*EXP(IF(CG140+CH140=1,(1-FixedParams!$B$47)*$D140,0))*($B140^((FixedParams!$B$47-1)*$B$10/($B$10-1)))*((1/$B140-1)^$B$10*(CI140)^($B$10-1)+1)^((FixedParams!$B$47-$B$10)/($B$10-1))/((1+IF(CG140=1,FixedParams!$D$25,IF(CH140=1,FixedParams!$D$23,FixedParams!$D$24)))^FixedParams!$B$47)</f>
        <v>6.1485324669821761E-2</v>
      </c>
      <c r="CK140">
        <f t="shared" si="86"/>
        <v>1.6189307450323414</v>
      </c>
      <c r="CL140">
        <f t="shared" si="88"/>
        <v>44.22964413441877</v>
      </c>
      <c r="CM140">
        <f t="shared" si="55"/>
        <v>31.252453488845624</v>
      </c>
      <c r="CN140">
        <f t="shared" si="89"/>
        <v>75.482097623264394</v>
      </c>
      <c r="CO140" s="24">
        <f t="shared" si="90"/>
        <v>0.70659518294711954</v>
      </c>
      <c r="CP140" s="24">
        <f t="shared" si="91"/>
        <v>2.0150082949026014</v>
      </c>
      <c r="CQ140" s="23">
        <f>IF(CG140=1,CL140*(1+FixedParams!$D$25)+CM140*(1+FixedParams!$D$28)/$CE$12,IF(CH140=1,CL140*(1+FixedParams!$D$23)+CM140*(1+FixedParams!$D$26)/$CE$12,CL140*(1+FixedParams!$D$24)+CM140*(1+FixedParams!$D$27)/$CE$12))</f>
        <v>155.1749825896236</v>
      </c>
      <c r="CR140" s="24">
        <f t="shared" si="92"/>
        <v>24.879642276539567</v>
      </c>
      <c r="CS140" s="24">
        <f>CR140^((FixedParams!$B$47-1)/FixedParams!$B$47)*EXP($C140)</f>
        <v>0.21435717973325136</v>
      </c>
      <c r="CT140" s="24"/>
    </row>
    <row r="141" spans="1:98" x14ac:dyDescent="0.15">
      <c r="A141">
        <v>0.62</v>
      </c>
      <c r="B141">
        <f t="shared" si="56"/>
        <v>0.2957452849849993</v>
      </c>
      <c r="C141">
        <f>(D141-$D$17)*FixedParams!$B$47+$A141*$B$9</f>
        <v>-1.549389399773534</v>
      </c>
      <c r="D141">
        <f>(A141-$B$6)*FixedParams!$B$46/(FixedParams!$B$45*Sectors!$B$6)</f>
        <v>6.5202171587136967E-2</v>
      </c>
      <c r="E141">
        <f t="shared" si="57"/>
        <v>0.21237761206216879</v>
      </c>
      <c r="F141" s="24">
        <f>EXP(-$D$17)*(($B141*FixedParams!$B$30)^$B$10*(1+FixedParams!$B$23)^(1-$B$10)+(1-$B141)^$B$10*((1+FixedParams!$B$26)/$B$11)^(1-$B$10))^(1/(1-$B$10))</f>
        <v>5.0210646548028652</v>
      </c>
      <c r="G141" s="24">
        <f>EXP($D141-$D$17)*(($B141*FixedParams!$B$31)^$B$10*(1+FixedParams!$B$25)^(1-$B$10)+(1-$B141)^$B$10*((1+FixedParams!$B$28)/$B$11)^(1-$B$10))^(1/(1-$B$10))</f>
        <v>5.1380750266389112</v>
      </c>
      <c r="H141">
        <f t="shared" si="58"/>
        <v>0</v>
      </c>
      <c r="I141" s="24">
        <f>$B$12*IF(H141=1,1,FixedParams!$B$52)</f>
        <v>0.39101505882574561</v>
      </c>
      <c r="J141">
        <f>EXP($C141*FixedParams!$B$47)*EXP(IF(H141=1,(1-FixedParams!$B$47)*$D141,0))*($B141^((FixedParams!$B$47-1)*$B$10/($B$10-1)))*((1/$B141-1)^$B$10*(I141)^($B$10-1)+1)^((FixedParams!$B$47-$B$10)/($B$10-1))/((1+IF(H141=1,FixedParams!$B$25,FixedParams!$B$24))^FixedParams!$B$47)</f>
        <v>5.9996290743751395E-2</v>
      </c>
      <c r="K141">
        <f t="shared" si="87"/>
        <v>1.2096801568028364</v>
      </c>
      <c r="L141">
        <f>K141*FixedParams!$B$8/K$15</f>
        <v>35.169187741589134</v>
      </c>
      <c r="M141">
        <f t="shared" si="47"/>
        <v>31.598790809085251</v>
      </c>
      <c r="N141">
        <f t="shared" si="59"/>
        <v>66.767978550674385</v>
      </c>
      <c r="O141" s="24">
        <f t="shared" si="60"/>
        <v>0.89847940308607899</v>
      </c>
      <c r="P141" s="24">
        <f t="shared" si="48"/>
        <v>1.9633118913656145</v>
      </c>
      <c r="Q141" s="23">
        <f>IF(H141=1,L141*(1+FixedParams!$B$25)+M141*FixedParams!$B$33*(1+FixedParams!$B$28)/FixedParams!$B$32,L141*(1+FixedParams!$B$23)+M141*FixedParams!$B$33*(1+FixedParams!$B$26)/FixedParams!$B$32)</f>
        <v>124.85397401385141</v>
      </c>
      <c r="R141" s="24">
        <f t="shared" si="49"/>
        <v>24.866035910217409</v>
      </c>
      <c r="S141" s="24">
        <f>R141^((FixedParams!$B$47-1)/FixedParams!$B$47)*EXP($C141)</f>
        <v>0.21169555042936603</v>
      </c>
      <c r="T141" s="7">
        <f>(L141*FixedParams!$B$32*(FixedParams!$C$25-FixedParams!$C$23)+FixedParams!$B$33*(FixedParams!$C$28-FixedParams!$C$26)*M141)/N141</f>
        <v>1517.939173541527</v>
      </c>
      <c r="U141" s="7">
        <f>(L141*FixedParams!$B$32*(FixedParams!$C$25-FixedParams!$C$23)*$Z$12/$B$11+FixedParams!$B$33*(FixedParams!$C$28-FixedParams!$C$26)*M141)/N141</f>
        <v>988.91922036128847</v>
      </c>
      <c r="V141" s="14">
        <f t="shared" si="50"/>
        <v>-0.83195770943027214</v>
      </c>
      <c r="W141" s="14">
        <f t="shared" si="93"/>
        <v>0.81799580338572853</v>
      </c>
      <c r="X141" s="73">
        <f t="shared" si="62"/>
        <v>0.94921930916773012</v>
      </c>
      <c r="Y141" s="24">
        <f>EXP(-$D$17)*(($B141*FixedParams!$B$30)^$B$10*(1+FixedParams!$C$24)^(1-$B$10)+(1-$B141)^$B$10*((1+FixedParams!$C$27)/$Z$12)^(1-$B$10))^(1/(1-$B$10))</f>
        <v>6.7078798099685919</v>
      </c>
      <c r="Z141" s="24">
        <f>EXP($D141-$D$17)*(($B141*FixedParams!$C$31)^$B$10*(1+FixedParams!$C$25)^(1-$B$10)+(1-$B141)^$B$10*((1+FixedParams!$C$28)/$Z$12)^(1-$B$10))^(1/(1-$B$10))</f>
        <v>6.3535274933929795</v>
      </c>
      <c r="AA141" s="24">
        <f>EXP($D141-$D$17)*(($B141*FixedParams!$C$30)^$B$10*(1+FixedParams!$C$23)^(1-$B$10)+(1-$B141)^$B$10*((1+FixedParams!$C$26)/$Z$12)^(1-$B$10))^(1/(1-$B$10))</f>
        <v>6.2471137256662974</v>
      </c>
      <c r="AB141">
        <f>IF(FixedParams!$I$6=1,IF(Z141&lt;=MIN(Y141:AA141),1,0),$H141)</f>
        <v>0</v>
      </c>
      <c r="AC141">
        <f>IF(FixedParams!$I$6=1,IF(AA141&lt;=MIN(Y141:AA141),1,0),IF(AA141&lt;=Y141,1,0)*(1-$H141))</f>
        <v>1</v>
      </c>
      <c r="AD141" s="24">
        <f>$Z$13*IF(AB141=1,1,IF(AC141=1,FixedParams!$C$52,FixedParams!$C$53))</f>
        <v>0.34709202255780691</v>
      </c>
      <c r="AE141">
        <f>EXP($C141*FixedParams!$B$47)*EXP(IF(AB141+AC141=1,(1-FixedParams!$B$47)*$D141,0))*($B141^((FixedParams!$B$47-1)*$B$10/($B$10-1)))*((1/$B141-1)^$B$10*(AD141)^($B$10-1)+1)^((FixedParams!$B$47-$B$10)/($B$10-1))/((1+IF(AB141=1,FixedParams!$C$25,IF(AC141=1,FixedParams!$C$23,FixedParams!$C$24)))^FixedParams!$B$47)</f>
        <v>5.8243272670119653E-2</v>
      </c>
      <c r="AF141">
        <f t="shared" si="63"/>
        <v>1.7162650608221444</v>
      </c>
      <c r="AG141">
        <f t="shared" si="64"/>
        <v>40.312430740946475</v>
      </c>
      <c r="AH141">
        <f t="shared" si="51"/>
        <v>30.291713090220991</v>
      </c>
      <c r="AI141">
        <f t="shared" si="65"/>
        <v>70.604143831167463</v>
      </c>
      <c r="AJ141" s="24">
        <f t="shared" si="66"/>
        <v>0.75142363120894229</v>
      </c>
      <c r="AK141" s="24">
        <f t="shared" si="67"/>
        <v>2.086497387940816</v>
      </c>
      <c r="AL141" s="23">
        <f>IF(AB141=1,AG141*(1+FixedParams!$C$25)+AH141*(1+FixedParams!$C$28)/$Z$12,IF(AC141=1,AG141*(1+FixedParams!$C$23)+AH141*(1+FixedParams!$C$26)/$Z$12,AG141*(1+FixedParams!$C$24)+AH141*(1+FixedParams!$C$27)/$Z$12))</f>
        <v>147.45263326689934</v>
      </c>
      <c r="AM141" s="24">
        <f t="shared" si="68"/>
        <v>23.603321428436537</v>
      </c>
      <c r="AN141" s="24">
        <f>AM141^((FixedParams!$B$47-1)/FixedParams!$B$47)*EXP($C141)</f>
        <v>0.21170659436191691</v>
      </c>
      <c r="AO141" s="24">
        <f t="shared" si="69"/>
        <v>5.5865234671635684E-2</v>
      </c>
      <c r="AP141" s="24">
        <f t="shared" si="70"/>
        <v>-5.2115412057134401E-2</v>
      </c>
      <c r="AQ141" s="14">
        <f t="shared" si="71"/>
        <v>-0.77237964273801274</v>
      </c>
      <c r="AS141" s="24">
        <f>EXP(-$D$17)*(($B141*FixedParams!$B$30)^$B$10*(1+FixedParams!$D$24)^(1-$B$10)+(1-$B141)^$B$10*((1+FixedParams!$D$27)/$AT$12)^(1-$B$10))^(1/(1-$B$10))</f>
        <v>6.2483636764856776</v>
      </c>
      <c r="AT141" s="24">
        <f>EXP($D141-$D$17)*(($B141*FixedParams!$C$31)^$B$10*(1+FixedParams!$D$25)^(1-$B$10)+(1-$B141)^$B$10*((1+FixedParams!$D$28)/$AT$12)^(1-$B$10))^(1/(1-$B$10))</f>
        <v>6.1575838415489299</v>
      </c>
      <c r="AU141" s="24">
        <f>EXP($D141-$D$17)*(($B141*FixedParams!$C$30)^$B$10*(1+FixedParams!$D$23)^(1-$B$10)+(1-$B141)^$B$10*((1+FixedParams!$D$26)/$AT$12)^(1-$B$10))^(1/(1-$B$10))</f>
        <v>6.0516361397282399</v>
      </c>
      <c r="AV141">
        <f>IF(FixedParams!$I$6=1,IF(AT141&lt;=MIN(AS141:AU141),1,0),$H141)</f>
        <v>0</v>
      </c>
      <c r="AW141">
        <f>IF(FixedParams!$I$6=1,IF(AU141&lt;=MIN(AS141:AU141),1,0),IF(AU141&lt;=AS141,1,0)*(1-$H141))</f>
        <v>1</v>
      </c>
      <c r="AX141" s="24">
        <f>$AT$13*IF(AV141=1,1,IF(AW141=1,FixedParams!$D$52,FixedParams!$D$53))</f>
        <v>0.3451899269505756</v>
      </c>
      <c r="AY141">
        <f>EXP($C141*FixedParams!$B$47)*EXP(IF(AV141+AW141=1,(1-FixedParams!$B$47)*$D141,0))*($B141^((FixedParams!$B$47-1)*$B$10/($B$10-1)))*((1/$B141-1)^$B$10*(AX141)^($B$10-1)+1)^((FixedParams!$B$47-$B$10)/($B$10-1))/((1+IF(AV141=1,FixedParams!$D$25,IF(AW141=1,FixedParams!$D$23,FixedParams!$D$24)))^FixedParams!$B$47)</f>
        <v>6.0462513696324778E-2</v>
      </c>
      <c r="AZ141">
        <f t="shared" si="52"/>
        <v>1.6281092283052168</v>
      </c>
      <c r="BA141">
        <f t="shared" si="72"/>
        <v>40.96301043614028</v>
      </c>
      <c r="BB141">
        <f t="shared" si="53"/>
        <v>30.52790052281042</v>
      </c>
      <c r="BC141">
        <f t="shared" si="73"/>
        <v>71.490910958950707</v>
      </c>
      <c r="BD141" s="24">
        <f t="shared" si="74"/>
        <v>0.74525529734691287</v>
      </c>
      <c r="BE141" s="24">
        <f t="shared" si="75"/>
        <v>2.0492519805286791</v>
      </c>
      <c r="BF141" s="23">
        <f>IF(AV141=1,BA141*(1+FixedParams!$C$25)+BB141*(1+FixedParams!$C$28)/$AT$12,IF(AW141=1,BA141*(1+FixedParams!$C$23)+BB141*(1+FixedParams!$C$26)/$AT$12,BA141*(1+FixedParams!$C$24)+BB141*(1+FixedParams!$C$27)/$AT$12))</f>
        <v>147.59994241240869</v>
      </c>
      <c r="BG141" s="24">
        <f t="shared" si="76"/>
        <v>24.390088730456448</v>
      </c>
      <c r="BH141" s="24">
        <f>BG141^((FixedParams!$B$47-1)/FixedParams!$B$47)*EXP($C141)</f>
        <v>0.2116996457930341</v>
      </c>
      <c r="BI141" s="7"/>
      <c r="BJ141" s="24">
        <f>EXP(-$D$17)*(($B141*FixedParams!$B$30)^$B$10*(1+FixedParams!$C$24)^(1-$B$10)+(1-$B141)^$B$10*((1+FixedParams!$C$27)/$BK$12)^(1-$B$10))^(1/(1-$B$10))</f>
        <v>6.9536061837457233</v>
      </c>
      <c r="BK141" s="24">
        <f>EXP($D141-$D$17)*(($B141*FixedParams!$C$31)^$B$10*(1+FixedParams!$C$25)^(1-$B$10)+(1-$B141)^$B$10*((1+FixedParams!$C$28)/$BK$12)^(1-$B$10))^(1/(1-$B$10))</f>
        <v>6.582774467578516</v>
      </c>
      <c r="BL141" s="24">
        <f>EXP($D141-$D$17)*(($B141*FixedParams!$C$30)^$B$10*(1+FixedParams!$C$23)^(1-$B$10)+(1-$B141)^$B$10*((1+FixedParams!$C$26)/$BK$12)^(1-$B$10))^(1/(1-$B$10))</f>
        <v>6.4649572700663391</v>
      </c>
      <c r="BM141">
        <f>IF(FixedParams!$I$6=1,IF(BK141&lt;=MIN(BJ141:BL141),1,0),$H141)</f>
        <v>0</v>
      </c>
      <c r="BN141">
        <f>IF(FixedParams!$I$6=1,IF(BL141&lt;=MIN(BJ141:BL141),1,0),IF(BL141&lt;=BJ141,1,0)*(1-$H141))</f>
        <v>1</v>
      </c>
      <c r="BO141" s="24">
        <f>$BK$13*IF(BM141=1,1,IF(BN141=1,FixedParams!$C$52,FixedParams!$C$53))</f>
        <v>0.33006170822567266</v>
      </c>
      <c r="BP141">
        <f>EXP($C141*FixedParams!$B$47)*EXP(IF(BM141+BN141=1,(1-FixedParams!$B$47)*$D141,0))*($B141^((FixedParams!$B$47-1)*$B$10/($B$10-1)))*((1/$B141-1)^$B$10*(BO141)^($B$10-1)+1)^((FixedParams!$B$47-$B$10)/($B$10-1))/((1+IF(BM141=1,FixedParams!$C$25,IF(BN141=1,FixedParams!$C$23,FixedParams!$C$24)))^FixedParams!$B$47)</f>
        <v>5.9252104405516419E-2</v>
      </c>
      <c r="BQ141">
        <f t="shared" si="77"/>
        <v>1.7045498592623722</v>
      </c>
      <c r="BR141">
        <f t="shared" si="78"/>
        <v>43.473110379254315</v>
      </c>
      <c r="BS141">
        <f t="shared" si="54"/>
        <v>30.292235821917881</v>
      </c>
      <c r="BT141">
        <f t="shared" si="79"/>
        <v>73.765346201172193</v>
      </c>
      <c r="BU141" s="24">
        <f t="shared" si="80"/>
        <v>0.69680396819210699</v>
      </c>
      <c r="BV141" s="24">
        <f t="shared" si="81"/>
        <v>2.0533103812901059</v>
      </c>
      <c r="BW141" s="23">
        <f>IF(BM141=1,BR141*(1+FixedParams!$C$25)+BS141*(1+FixedParams!$C$28)/$BK$12,IF(BN141=1,BR141*(1+FixedParams!$C$23)+BS141*(1+FixedParams!$C$26)/$BK$12,BR141*(1+FixedParams!$C$24)+BS141*(1+FixedParams!$C$27)/$BK$12))</f>
        <v>156.3115744201427</v>
      </c>
      <c r="BX141" s="24">
        <f t="shared" si="82"/>
        <v>24.17828423149636</v>
      </c>
      <c r="BY141" s="24">
        <f>BX141^((FixedParams!$B$47-1)/FixedParams!$B$47)*EXP($C141)</f>
        <v>0.21170149408643835</v>
      </c>
      <c r="BZ141" s="24">
        <f t="shared" si="83"/>
        <v>9.9665455059566463E-2</v>
      </c>
      <c r="CA141" s="24">
        <f t="shared" si="84"/>
        <v>-2.8047968178101058E-2</v>
      </c>
      <c r="CB141" s="24">
        <f t="shared" si="85"/>
        <v>-1.0719512258693806E-2</v>
      </c>
      <c r="CC141" s="24"/>
      <c r="CD141" s="24">
        <f>EXP(-$D$17)*(($B141*FixedParams!$B$30)^$B$10*(1+FixedParams!$D$24)^(1-$B$10)+(1-$B141)^$B$10*((1+FixedParams!$D$27)/$CE$12)^(1-$B$10))^(1/(1-$B$10))</f>
        <v>6.4595174880204809</v>
      </c>
      <c r="CE141" s="24">
        <f>EXP($D141-$D$17)*(($B141*FixedParams!$D$31)^$B$10*(1+FixedParams!$D$25)^(1-$B$10)+(1-$B141)^$B$10*((1+FixedParams!$D$28)/$CE$12)^(1-$B$10))^(1/(1-$B$10))</f>
        <v>6.3635096317701985</v>
      </c>
      <c r="CF141" s="24">
        <f>EXP($D141-$D$17)*(($B141*FixedParams!$D$30)^$B$10*(1+FixedParams!$D$23)^(1-$B$10)+(1-$B141)^$B$10*((1+FixedParams!$D$26)/$CE$12)^(1-$B$10))^(1/(1-$B$10))</f>
        <v>6.2485440007895283</v>
      </c>
      <c r="CG141">
        <f>IF(FixedParams!$I$6=1,IF(CE141&lt;=MIN(CD141:CF141),1,0),$H141)</f>
        <v>0</v>
      </c>
      <c r="CH141">
        <f>IF(FixedParams!$I$6=1,IF(CF141&lt;=MIN(CD141:CF141),1,0),IF(CF141&lt;=CD141,1,0)*(1-$H141))</f>
        <v>1</v>
      </c>
      <c r="CI141" s="24">
        <f>$CE$13*IF(CG141=1,1,IF(CH141=1,FixedParams!$D$52,FixedParams!$D$53))</f>
        <v>0.32933267593211629</v>
      </c>
      <c r="CJ141">
        <f>EXP($C141*FixedParams!$B$47)*EXP(IF(CG141+CH141=1,(1-FixedParams!$B$47)*$D141,0))*($B141^((FixedParams!$B$47-1)*$B$10/($B$10-1)))*((1/$B141-1)^$B$10*(CI141)^($B$10-1)+1)^((FixedParams!$B$47-$B$10)/($B$10-1))/((1+IF(CG141=1,FixedParams!$D$25,IF(CH141=1,FixedParams!$D$23,FixedParams!$D$24)))^FixedParams!$B$47)</f>
        <v>6.1440270220355371E-2</v>
      </c>
      <c r="CK141">
        <f t="shared" si="86"/>
        <v>1.6177444451496727</v>
      </c>
      <c r="CL141">
        <f t="shared" si="88"/>
        <v>44.197234087350274</v>
      </c>
      <c r="CM141">
        <f t="shared" si="55"/>
        <v>30.694829595126251</v>
      </c>
      <c r="CN141">
        <f t="shared" si="89"/>
        <v>74.892063682476532</v>
      </c>
      <c r="CO141" s="24">
        <f t="shared" si="90"/>
        <v>0.69449661792097173</v>
      </c>
      <c r="CP141" s="24">
        <f t="shared" si="91"/>
        <v>2.0187293491556031</v>
      </c>
      <c r="CQ141" s="23">
        <f>IF(CG141=1,CL141*(1+FixedParams!$D$25)+CM141*(1+FixedParams!$D$28)/$CE$12,IF(CH141=1,CL141*(1+FixedParams!$D$23)+CM141*(1+FixedParams!$D$26)/$CE$12,CL141*(1+FixedParams!$D$24)+CM141*(1+FixedParams!$D$27)/$CE$12))</f>
        <v>153.25032021968582</v>
      </c>
      <c r="CR141" s="24">
        <f t="shared" si="92"/>
        <v>24.525764754208666</v>
      </c>
      <c r="CS141" s="24">
        <f>CR141^((FixedParams!$B$47-1)/FixedParams!$B$47)*EXP($C141)</f>
        <v>0.21169847025139091</v>
      </c>
      <c r="CT141" s="24"/>
    </row>
    <row r="142" spans="1:98" x14ac:dyDescent="0.15">
      <c r="A142">
        <v>0.625</v>
      </c>
      <c r="B142">
        <f t="shared" si="56"/>
        <v>0.29814899534952272</v>
      </c>
      <c r="C142">
        <f>(D142-$D$17)*FixedParams!$B$47+$A142*$B$9</f>
        <v>-1.5618844755781593</v>
      </c>
      <c r="D142">
        <f>(A142-$B$6)*FixedParams!$B$46/(FixedParams!$B$45*Sectors!$B$6)</f>
        <v>6.791892873660102E-2</v>
      </c>
      <c r="E142">
        <f t="shared" si="57"/>
        <v>0.20974044779489953</v>
      </c>
      <c r="F142" s="24">
        <f>EXP(-$D$17)*(($B142*FixedParams!$B$30)^$B$10*(1+FixedParams!$B$23)^(1-$B$10)+(1-$B142)^$B$10*((1+FixedParams!$B$26)/$B$11)^(1-$B$10))^(1/(1-$B$10))</f>
        <v>5.0196576640783039</v>
      </c>
      <c r="G142" s="24">
        <f>EXP($D142-$D$17)*(($B142*FixedParams!$B$31)^$B$10*(1+FixedParams!$B$25)^(1-$B$10)+(1-$B142)^$B$10*((1+FixedParams!$B$28)/$B$11)^(1-$B$10))^(1/(1-$B$10))</f>
        <v>5.149796777461491</v>
      </c>
      <c r="H142">
        <f t="shared" si="58"/>
        <v>0</v>
      </c>
      <c r="I142" s="24">
        <f>$B$12*IF(H142=1,1,FixedParams!$B$52)</f>
        <v>0.39101505882574561</v>
      </c>
      <c r="J142">
        <f>EXP($C142*FixedParams!$B$47)*EXP(IF(H142=1,(1-FixedParams!$B$47)*$D142,0))*($B142^((FixedParams!$B$47-1)*$B$10/($B$10-1)))*((1/$B142-1)^$B$10*(I142)^($B$10-1)+1)^((FixedParams!$B$47-$B$10)/($B$10-1))/((1+IF(H142=1,FixedParams!$B$25,FixedParams!$B$24))^FixedParams!$B$47)</f>
        <v>5.9967450816495703E-2</v>
      </c>
      <c r="K142">
        <f t="shared" si="87"/>
        <v>1.2090986693926586</v>
      </c>
      <c r="L142">
        <f>K142*FixedParams!$B$8/K$15</f>
        <v>35.152282082863636</v>
      </c>
      <c r="M142">
        <f t="shared" si="47"/>
        <v>31.042816168797479</v>
      </c>
      <c r="N142">
        <f t="shared" si="59"/>
        <v>66.195098251661108</v>
      </c>
      <c r="O142" s="24">
        <f t="shared" si="60"/>
        <v>0.88309533064228918</v>
      </c>
      <c r="P142" s="24">
        <f t="shared" si="48"/>
        <v>1.9627617368046828</v>
      </c>
      <c r="Q142" s="23">
        <f>IF(H142=1,L142*(1+FixedParams!$B$25)+M142*FixedParams!$B$33*(1+FixedParams!$B$28)/FixedParams!$B$32,L142*(1+FixedParams!$B$23)+M142*FixedParams!$B$33*(1+FixedParams!$B$26)/FixedParams!$B$32)</f>
        <v>123.30512634973368</v>
      </c>
      <c r="R142" s="24">
        <f t="shared" si="49"/>
        <v>24.564449331302086</v>
      </c>
      <c r="S142" s="24">
        <f>R142^((FixedParams!$B$47-1)/FixedParams!$B$47)*EXP($C142)</f>
        <v>0.20906940928026449</v>
      </c>
      <c r="T142" s="7">
        <f>(L142*FixedParams!$B$32*(FixedParams!$C$25-FixedParams!$C$23)+FixedParams!$B$33*(FixedParams!$C$28-FixedParams!$C$26)*M142)/N142</f>
        <v>1566.7588893200266</v>
      </c>
      <c r="U142" s="7">
        <f>(L142*FixedParams!$B$32*(FixedParams!$C$25-FixedParams!$C$23)*$Z$12/$B$11+FixedParams!$B$33*(FixedParams!$C$28-FixedParams!$C$26)*M142)/N142</f>
        <v>1033.4170724765397</v>
      </c>
      <c r="V142" s="14">
        <f t="shared" si="50"/>
        <v>-0.81468708413418878</v>
      </c>
      <c r="W142" s="14">
        <f t="shared" si="93"/>
        <v>0.8212425320814789</v>
      </c>
      <c r="X142" s="73">
        <f t="shared" si="62"/>
        <v>0.94706397743654769</v>
      </c>
      <c r="Y142" s="24">
        <f>EXP(-$D$17)*(($B142*FixedParams!$B$30)^$B$10*(1+FixedParams!$C$24)^(1-$B$10)+(1-$B142)^$B$10*((1+FixedParams!$C$27)/$Z$12)^(1-$B$10))^(1/(1-$B$10))</f>
        <v>6.7108604095113584</v>
      </c>
      <c r="Z142" s="24">
        <f>EXP($D142-$D$17)*(($B142*FixedParams!$C$31)^$B$10*(1+FixedParams!$C$25)^(1-$B$10)+(1-$B142)^$B$10*((1+FixedParams!$C$28)/$Z$12)^(1-$B$10))^(1/(1-$B$10))</f>
        <v>6.3713219666276899</v>
      </c>
      <c r="AA142" s="24">
        <f>EXP($D142-$D$17)*(($B142*FixedParams!$C$30)^$B$10*(1+FixedParams!$C$23)^(1-$B$10)+(1-$B142)^$B$10*((1+FixedParams!$C$26)/$Z$12)^(1-$B$10))^(1/(1-$B$10))</f>
        <v>6.2595906388455722</v>
      </c>
      <c r="AB142">
        <f>IF(FixedParams!$I$6=1,IF(Z142&lt;=MIN(Y142:AA142),1,0),$H142)</f>
        <v>0</v>
      </c>
      <c r="AC142">
        <f>IF(FixedParams!$I$6=1,IF(AA142&lt;=MIN(Y142:AA142),1,0),IF(AA142&lt;=Y142,1,0)*(1-$H142))</f>
        <v>1</v>
      </c>
      <c r="AD142" s="24">
        <f>$Z$13*IF(AB142=1,1,IF(AC142=1,FixedParams!$C$52,FixedParams!$C$53))</f>
        <v>0.34709202255780691</v>
      </c>
      <c r="AE142">
        <f>EXP($C142*FixedParams!$B$47)*EXP(IF(AB142+AC142=1,(1-FixedParams!$B$47)*$D142,0))*($B142^((FixedParams!$B$47-1)*$B$10/($B$10-1)))*((1/$B142-1)^$B$10*(AD142)^($B$10-1)+1)^((FixedParams!$B$47-$B$10)/($B$10-1))/((1+IF(AB142=1,FixedParams!$C$25,IF(AC142=1,FixedParams!$C$23,FixedParams!$C$24)))^FixedParams!$B$47)</f>
        <v>5.8202565124057352E-2</v>
      </c>
      <c r="AF142">
        <f t="shared" si="63"/>
        <v>1.7150655241921504</v>
      </c>
      <c r="AG142">
        <f t="shared" si="64"/>
        <v>40.284255467545115</v>
      </c>
      <c r="AH142">
        <f t="shared" si="51"/>
        <v>29.752238931704987</v>
      </c>
      <c r="AI142">
        <f t="shared" si="65"/>
        <v>70.036494399250103</v>
      </c>
      <c r="AJ142" s="24">
        <f t="shared" si="66"/>
        <v>0.73855749811920401</v>
      </c>
      <c r="AK142" s="24">
        <f t="shared" si="67"/>
        <v>2.0906645998568028</v>
      </c>
      <c r="AL142" s="23">
        <f>IF(AB142=1,AG142*(1+FixedParams!$C$25)+AH142*(1+FixedParams!$C$28)/$Z$12,IF(AC142=1,AG142*(1+FixedParams!$C$23)+AH142*(1+FixedParams!$C$26)/$Z$12,AG142*(1+FixedParams!$C$24)+AH142*(1+FixedParams!$C$27)/$Z$12))</f>
        <v>145.62377442521654</v>
      </c>
      <c r="AM142" s="24">
        <f t="shared" si="68"/>
        <v>23.264105087241497</v>
      </c>
      <c r="AN142" s="24">
        <f>AM142^((FixedParams!$B$47-1)/FixedParams!$B$47)*EXP($C142)</f>
        <v>0.20908079197125676</v>
      </c>
      <c r="AO142" s="24">
        <f t="shared" si="69"/>
        <v>5.6410039090441025E-2</v>
      </c>
      <c r="AP142" s="24">
        <f t="shared" si="70"/>
        <v>-5.4388630066860462E-2</v>
      </c>
      <c r="AQ142" s="14">
        <f t="shared" si="71"/>
        <v>-0.75510901744192915</v>
      </c>
      <c r="AS142" s="24">
        <f>EXP(-$D$17)*(($B142*FixedParams!$B$30)^$B$10*(1+FixedParams!$D$24)^(1-$B$10)+(1-$B142)^$B$10*((1+FixedParams!$D$27)/$AT$12)^(1-$B$10))^(1/(1-$B$10))</f>
        <v>6.2492971789677538</v>
      </c>
      <c r="AT142" s="24">
        <f>EXP($D142-$D$17)*(($B142*FixedParams!$C$31)^$B$10*(1+FixedParams!$D$25)^(1-$B$10)+(1-$B142)^$B$10*((1+FixedParams!$D$28)/$AT$12)^(1-$B$10))^(1/(1-$B$10))</f>
        <v>6.1737203050291631</v>
      </c>
      <c r="AU142" s="24">
        <f>EXP($D142-$D$17)*(($B142*FixedParams!$C$30)^$B$10*(1+FixedParams!$D$23)^(1-$B$10)+(1-$B142)^$B$10*((1+FixedParams!$D$26)/$AT$12)^(1-$B$10))^(1/(1-$B$10))</f>
        <v>6.063597806572032</v>
      </c>
      <c r="AV142">
        <f>IF(FixedParams!$I$6=1,IF(AT142&lt;=MIN(AS142:AU142),1,0),$H142)</f>
        <v>0</v>
      </c>
      <c r="AW142">
        <f>IF(FixedParams!$I$6=1,IF(AU142&lt;=MIN(AS142:AU142),1,0),IF(AU142&lt;=AS142,1,0)*(1-$H142))</f>
        <v>1</v>
      </c>
      <c r="AX142" s="24">
        <f>$AT$13*IF(AV142=1,1,IF(AW142=1,FixedParams!$D$52,FixedParams!$D$53))</f>
        <v>0.3451899269505756</v>
      </c>
      <c r="AY142">
        <f>EXP($C142*FixedParams!$B$47)*EXP(IF(AV142+AW142=1,(1-FixedParams!$B$47)*$D142,0))*($B142^((FixedParams!$B$47-1)*$B$10/($B$10-1)))*((1/$B142-1)^$B$10*(AX142)^($B$10-1)+1)^((FixedParams!$B$47-$B$10)/($B$10-1))/((1+IF(AV142=1,FixedParams!$D$25,IF(AW142=1,FixedParams!$D$23,FixedParams!$D$24)))^FixedParams!$B$47)</f>
        <v>6.0419631893910565E-2</v>
      </c>
      <c r="AZ142">
        <f t="shared" si="52"/>
        <v>1.6269545251020452</v>
      </c>
      <c r="BA142">
        <f t="shared" si="72"/>
        <v>40.933958257981814</v>
      </c>
      <c r="BB142">
        <f t="shared" si="53"/>
        <v>29.983910772647292</v>
      </c>
      <c r="BC142">
        <f t="shared" si="73"/>
        <v>70.917869030629106</v>
      </c>
      <c r="BD142" s="24">
        <f t="shared" si="74"/>
        <v>0.73249478058478878</v>
      </c>
      <c r="BE142" s="24">
        <f t="shared" si="75"/>
        <v>2.0533025329584831</v>
      </c>
      <c r="BF142" s="23">
        <f>IF(AV142=1,BA142*(1+FixedParams!$C$25)+BB142*(1+FixedParams!$C$28)/$AT$12,IF(AW142=1,BA142*(1+FixedParams!$C$23)+BB142*(1+FixedParams!$C$26)/$AT$12,BA142*(1+FixedParams!$C$24)+BB142*(1+FixedParams!$C$27)/$AT$12))</f>
        <v>145.77982156508568</v>
      </c>
      <c r="BG142" s="24">
        <f t="shared" si="76"/>
        <v>24.04180260885413</v>
      </c>
      <c r="BH142" s="24">
        <f>BG142^((FixedParams!$B$47-1)/FixedParams!$B$47)*EXP($C142)</f>
        <v>0.20907391010923665</v>
      </c>
      <c r="BI142" s="7"/>
      <c r="BJ142" s="24">
        <f>EXP(-$D$17)*(($B142*FixedParams!$B$30)^$B$10*(1+FixedParams!$C$24)^(1-$B$10)+(1-$B142)^$B$10*((1+FixedParams!$C$27)/$BK$12)^(1-$B$10))^(1/(1-$B$10))</f>
        <v>6.9554600818841203</v>
      </c>
      <c r="BK142" s="24">
        <f>EXP($D142-$D$17)*(($B142*FixedParams!$C$31)^$B$10*(1+FixedParams!$C$25)^(1-$B$10)+(1-$B142)^$B$10*((1+FixedParams!$C$28)/$BK$12)^(1-$B$10))^(1/(1-$B$10))</f>
        <v>6.6000129723518475</v>
      </c>
      <c r="BL142" s="24">
        <f>EXP($D142-$D$17)*(($B142*FixedParams!$C$30)^$B$10*(1+FixedParams!$C$23)^(1-$B$10)+(1-$B142)^$B$10*((1+FixedParams!$C$26)/$BK$12)^(1-$B$10))^(1/(1-$B$10))</f>
        <v>6.4766434753886539</v>
      </c>
      <c r="BM142">
        <f>IF(FixedParams!$I$6=1,IF(BK142&lt;=MIN(BJ142:BL142),1,0),$H142)</f>
        <v>0</v>
      </c>
      <c r="BN142">
        <f>IF(FixedParams!$I$6=1,IF(BL142&lt;=MIN(BJ142:BL142),1,0),IF(BL142&lt;=BJ142,1,0)*(1-$H142))</f>
        <v>1</v>
      </c>
      <c r="BO142" s="24">
        <f>$BK$13*IF(BM142=1,1,IF(BN142=1,FixedParams!$C$52,FixedParams!$C$53))</f>
        <v>0.33006170822567266</v>
      </c>
      <c r="BP142">
        <f>EXP($C142*FixedParams!$B$47)*EXP(IF(BM142+BN142=1,(1-FixedParams!$B$47)*$D142,0))*($B142^((FixedParams!$B$47-1)*$B$10/($B$10-1)))*((1/$B142-1)^$B$10*(BO142)^($B$10-1)+1)^((FixedParams!$B$47-$B$10)/($B$10-1))/((1+IF(BM142=1,FixedParams!$C$25,IF(BN142=1,FixedParams!$C$23,FixedParams!$C$24)))^FixedParams!$B$47)</f>
        <v>5.920507814833173E-2</v>
      </c>
      <c r="BQ142">
        <f t="shared" si="77"/>
        <v>1.703197019546888</v>
      </c>
      <c r="BR142">
        <f t="shared" si="78"/>
        <v>43.438607340251316</v>
      </c>
      <c r="BS142">
        <f t="shared" si="54"/>
        <v>29.749931570827648</v>
      </c>
      <c r="BT142">
        <f t="shared" si="79"/>
        <v>73.188538911078965</v>
      </c>
      <c r="BU142" s="24">
        <f t="shared" si="80"/>
        <v>0.68487305170257162</v>
      </c>
      <c r="BV142" s="24">
        <f t="shared" si="81"/>
        <v>2.0570219923191995</v>
      </c>
      <c r="BW142" s="23">
        <f>IF(BM142=1,BR142*(1+FixedParams!$C$25)+BS142*(1+FixedParams!$C$28)/$BK$12,IF(BN142=1,BR142*(1+FixedParams!$C$23)+BS142*(1+FixedParams!$C$26)/$BK$12,BR142*(1+FixedParams!$C$24)+BS142*(1+FixedParams!$C$27)/$BK$12))</f>
        <v>154.37280868680193</v>
      </c>
      <c r="BX142" s="24">
        <f t="shared" si="82"/>
        <v>23.835310569961283</v>
      </c>
      <c r="BY142" s="24">
        <f>BX142^((FixedParams!$B$47-1)/FixedParams!$B$47)*EXP($C142)</f>
        <v>0.20907571538799963</v>
      </c>
      <c r="BZ142" s="24">
        <f t="shared" si="83"/>
        <v>0.10043242079084233</v>
      </c>
      <c r="CA142" s="24">
        <f t="shared" si="84"/>
        <v>-3.0132130000933378E-2</v>
      </c>
      <c r="CB142" s="24">
        <f t="shared" si="85"/>
        <v>-1.2803674081526127E-2</v>
      </c>
      <c r="CC142" s="24"/>
      <c r="CD142" s="24">
        <f>EXP(-$D$17)*(($B142*FixedParams!$B$30)^$B$10*(1+FixedParams!$D$24)^(1-$B$10)+(1-$B142)^$B$10*((1+FixedParams!$D$27)/$CE$12)^(1-$B$10))^(1/(1-$B$10))</f>
        <v>6.4593912569156187</v>
      </c>
      <c r="CE142" s="24">
        <f>EXP($D142-$D$17)*(($B142*FixedParams!$D$31)^$B$10*(1+FixedParams!$D$25)^(1-$B$10)+(1-$B142)^$B$10*((1+FixedParams!$D$28)/$CE$12)^(1-$B$10))^(1/(1-$B$10))</f>
        <v>6.379092916361742</v>
      </c>
      <c r="CF142" s="24">
        <f>EXP($D142-$D$17)*(($B142*FixedParams!$D$30)^$B$10*(1+FixedParams!$D$23)^(1-$B$10)+(1-$B142)^$B$10*((1+FixedParams!$D$26)/$CE$12)^(1-$B$10))^(1/(1-$B$10))</f>
        <v>6.2597867012713859</v>
      </c>
      <c r="CG142">
        <f>IF(FixedParams!$I$6=1,IF(CE142&lt;=MIN(CD142:CF142),1,0),$H142)</f>
        <v>0</v>
      </c>
      <c r="CH142">
        <f>IF(FixedParams!$I$6=1,IF(CF142&lt;=MIN(CD142:CF142),1,0),IF(CF142&lt;=CD142,1,0)*(1-$H142))</f>
        <v>1</v>
      </c>
      <c r="CI142" s="24">
        <f>$CE$13*IF(CG142=1,1,IF(CH142=1,FixedParams!$D$52,FixedParams!$D$53))</f>
        <v>0.32933267593211629</v>
      </c>
      <c r="CJ142">
        <f>EXP($C142*FixedParams!$B$47)*EXP(IF(CG142+CH142=1,(1-FixedParams!$B$47)*$D142,0))*($B142^((FixedParams!$B$47-1)*$B$10/($B$10-1)))*((1/$B142-1)^$B$10*(CI142)^($B$10-1)+1)^((FixedParams!$B$47-$B$10)/($B$10-1))/((1+IF(CG142=1,FixedParams!$D$25,IF(CH142=1,FixedParams!$D$23,FixedParams!$D$24)))^FixedParams!$B$47)</f>
        <v>6.1391250267894826E-2</v>
      </c>
      <c r="CK142">
        <f t="shared" si="86"/>
        <v>1.6164537321448287</v>
      </c>
      <c r="CL142">
        <f t="shared" si="88"/>
        <v>44.161971444362557</v>
      </c>
      <c r="CM142">
        <f t="shared" si="55"/>
        <v>30.145191733234729</v>
      </c>
      <c r="CN142">
        <f t="shared" si="89"/>
        <v>74.307163177597289</v>
      </c>
      <c r="CO142" s="24">
        <f t="shared" si="90"/>
        <v>0.68260520867400898</v>
      </c>
      <c r="CP142" s="24">
        <f t="shared" si="91"/>
        <v>2.0223615504209898</v>
      </c>
      <c r="CQ142" s="23">
        <f>IF(CG142=1,CL142*(1+FixedParams!$D$25)+CM142*(1+FixedParams!$D$28)/$CE$12,IF(CH142=1,CL142*(1+FixedParams!$D$23)+CM142*(1+FixedParams!$D$26)/$CE$12,CL142*(1+FixedParams!$D$24)+CM142*(1+FixedParams!$D$27)/$CE$12))</f>
        <v>151.34952260909776</v>
      </c>
      <c r="CR142" s="24">
        <f t="shared" si="92"/>
        <v>24.178063859325764</v>
      </c>
      <c r="CS142" s="24">
        <f>CR142^((FixedParams!$B$47-1)/FixedParams!$B$47)*EXP($C142)</f>
        <v>0.20907272731106846</v>
      </c>
      <c r="CT142" s="24"/>
    </row>
    <row r="143" spans="1:98" x14ac:dyDescent="0.15">
      <c r="A143">
        <v>0.63</v>
      </c>
      <c r="B143">
        <f t="shared" si="56"/>
        <v>0.30056390436073144</v>
      </c>
      <c r="C143">
        <f>(D143-$D$17)*FixedParams!$B$47+$A143*$B$9</f>
        <v>-1.5743795513827845</v>
      </c>
      <c r="D143">
        <f>(A143-$B$6)*FixedParams!$B$46/(FixedParams!$B$45*Sectors!$B$6)</f>
        <v>7.0635685886065058E-2</v>
      </c>
      <c r="E143">
        <f t="shared" si="57"/>
        <v>0.20713603008365866</v>
      </c>
      <c r="F143" s="24">
        <f>EXP(-$D$17)*(($B143*FixedParams!$B$30)^$B$10*(1+FixedParams!$B$23)^(1-$B$10)+(1-$B143)^$B$10*((1+FixedParams!$B$26)/$B$11)^(1-$B$10))^(1/(1-$B$10))</f>
        <v>5.0180319254611039</v>
      </c>
      <c r="G143" s="24">
        <f>EXP($D143-$D$17)*(($B143*FixedParams!$B$31)^$B$10*(1+FixedParams!$B$25)^(1-$B$10)+(1-$B143)^$B$10*((1+FixedParams!$B$28)/$B$11)^(1-$B$10))^(1/(1-$B$10))</f>
        <v>5.1613144860875728</v>
      </c>
      <c r="H143">
        <f t="shared" si="58"/>
        <v>0</v>
      </c>
      <c r="I143" s="24">
        <f>$B$12*IF(H143=1,1,FixedParams!$B$52)</f>
        <v>0.39101505882574561</v>
      </c>
      <c r="J143">
        <f>EXP($C143*FixedParams!$B$47)*EXP(IF(H143=1,(1-FixedParams!$B$47)*$D143,0))*($B143^((FixedParams!$B$47-1)*$B$10/($B$10-1)))*((1/$B143-1)^$B$10*(I143)^($B$10-1)+1)^((FixedParams!$B$47-$B$10)/($B$10-1))/((1+IF(H143=1,FixedParams!$B$25,FixedParams!$B$24))^FixedParams!$B$47)</f>
        <v>5.9934819426068646E-2</v>
      </c>
      <c r="K143">
        <f t="shared" si="87"/>
        <v>1.2084407362938094</v>
      </c>
      <c r="L143">
        <f>K143*FixedParams!$B$8/K$15</f>
        <v>35.133153908738684</v>
      </c>
      <c r="M143">
        <f t="shared" si="47"/>
        <v>30.494687654620517</v>
      </c>
      <c r="N143">
        <f t="shared" si="59"/>
        <v>65.627841563359198</v>
      </c>
      <c r="O143" s="24">
        <f t="shared" si="60"/>
        <v>0.86797466956234637</v>
      </c>
      <c r="P143" s="24">
        <f t="shared" si="48"/>
        <v>1.9621260485236431</v>
      </c>
      <c r="Q143" s="23">
        <f>IF(H143=1,L143*(1+FixedParams!$B$25)+M143*FixedParams!$B$33*(1+FixedParams!$B$28)/FixedParams!$B$32,L143*(1+FixedParams!$B$23)+M143*FixedParams!$B$33*(1+FixedParams!$B$26)/FixedParams!$B$32)</f>
        <v>121.77548724618002</v>
      </c>
      <c r="R143" s="24">
        <f t="shared" si="49"/>
        <v>24.267579213336738</v>
      </c>
      <c r="S143" s="24">
        <f>R143^((FixedParams!$B$47-1)/FixedParams!$B$47)*EXP($C143)</f>
        <v>0.2064758371129167</v>
      </c>
      <c r="T143" s="7">
        <f>(L143*FixedParams!$B$32*(FixedParams!$C$25-FixedParams!$C$23)+FixedParams!$B$33*(FixedParams!$C$28-FixedParams!$C$26)*M143)/N143</f>
        <v>1615.526290931761</v>
      </c>
      <c r="U143" s="7">
        <f>(L143*FixedParams!$B$32*(FixedParams!$C$25-FixedParams!$C$23)*$Z$12/$B$11+FixedParams!$B$33*(FixedParams!$C$28-FixedParams!$C$26)*M143)/N143</f>
        <v>1077.8672416420009</v>
      </c>
      <c r="V143" s="14">
        <f t="shared" si="50"/>
        <v>-0.79741645883810464</v>
      </c>
      <c r="W143" s="14">
        <f t="shared" si="93"/>
        <v>0.82446143804387872</v>
      </c>
      <c r="X143" s="73">
        <f t="shared" si="62"/>
        <v>0.94491623449185391</v>
      </c>
      <c r="Y143" s="24">
        <f>EXP(-$D$17)*(($B143*FixedParams!$B$30)^$B$10*(1+FixedParams!$C$24)^(1-$B$10)+(1-$B143)^$B$10*((1+FixedParams!$C$27)/$Z$12)^(1-$B$10))^(1/(1-$B$10))</f>
        <v>6.7135834782136561</v>
      </c>
      <c r="Z143" s="24">
        <f>EXP($D143-$D$17)*(($B143*FixedParams!$C$31)^$B$10*(1+FixedParams!$C$25)^(1-$B$10)+(1-$B143)^$B$10*((1+FixedParams!$C$28)/$Z$12)^(1-$B$10))^(1/(1-$B$10))</f>
        <v>6.3889030930725195</v>
      </c>
      <c r="AA143" s="24">
        <f>EXP($D143-$D$17)*(($B143*FixedParams!$C$30)^$B$10*(1+FixedParams!$C$23)^(1-$B$10)+(1-$B143)^$B$10*((1+FixedParams!$C$26)/$Z$12)^(1-$B$10))^(1/(1-$B$10))</f>
        <v>6.2718006705354377</v>
      </c>
      <c r="AB143">
        <f>IF(FixedParams!$I$6=1,IF(Z143&lt;=MIN(Y143:AA143),1,0),$H143)</f>
        <v>0</v>
      </c>
      <c r="AC143">
        <f>IF(FixedParams!$I$6=1,IF(AA143&lt;=MIN(Y143:AA143),1,0),IF(AA143&lt;=Y143,1,0)*(1-$H143))</f>
        <v>1</v>
      </c>
      <c r="AD143" s="24">
        <f>$Z$13*IF(AB143=1,1,IF(AC143=1,FixedParams!$C$52,FixedParams!$C$53))</f>
        <v>0.34709202255780691</v>
      </c>
      <c r="AE143">
        <f>EXP($C143*FixedParams!$B$47)*EXP(IF(AB143+AC143=1,(1-FixedParams!$B$47)*$D143,0))*($B143^((FixedParams!$B$47-1)*$B$10/($B$10-1)))*((1/$B143-1)^$B$10*(AD143)^($B$10-1)+1)^((FixedParams!$B$47-$B$10)/($B$10-1))/((1+IF(AB143=1,FixedParams!$C$25,IF(AC143=1,FixedParams!$C$23,FixedParams!$C$24)))^FixedParams!$B$47)</f>
        <v>5.815811032298656E-2</v>
      </c>
      <c r="AF143">
        <f t="shared" si="63"/>
        <v>1.7137555665203739</v>
      </c>
      <c r="AG143">
        <f t="shared" si="64"/>
        <v>40.253486573437485</v>
      </c>
      <c r="AH143">
        <f t="shared" si="51"/>
        <v>29.22047539505645</v>
      </c>
      <c r="AI143">
        <f t="shared" si="65"/>
        <v>69.473961968493938</v>
      </c>
      <c r="AJ143" s="24">
        <f t="shared" si="66"/>
        <v>0.72591166337224788</v>
      </c>
      <c r="AK143" s="24">
        <f t="shared" si="67"/>
        <v>2.0947426750041958</v>
      </c>
      <c r="AL143" s="23">
        <f>IF(AB143=1,AG143*(1+FixedParams!$C$25)+AH143*(1+FixedParams!$C$28)/$Z$12,IF(AC143=1,AG143*(1+FixedParams!$C$23)+AH143*(1+FixedParams!$C$26)/$Z$12,AG143*(1+FixedParams!$C$24)+AH143*(1+FixedParams!$C$27)/$Z$12))</f>
        <v>143.81759227618906</v>
      </c>
      <c r="AM143" s="24">
        <f t="shared" si="68"/>
        <v>22.930829570498936</v>
      </c>
      <c r="AN143" s="24">
        <f>AM143^((FixedParams!$B$47-1)/FixedParams!$B$47)*EXP($C143)</f>
        <v>0.20648754786909307</v>
      </c>
      <c r="AO143" s="24">
        <f t="shared" si="69"/>
        <v>5.6952014449874216E-2</v>
      </c>
      <c r="AP143" s="24">
        <f t="shared" si="70"/>
        <v>-5.6658996166578629E-2</v>
      </c>
      <c r="AQ143" s="14">
        <f t="shared" si="71"/>
        <v>-0.73783839214584512</v>
      </c>
      <c r="AS143" s="24">
        <f>EXP(-$D$17)*(($B143*FixedParams!$B$30)^$B$10*(1+FixedParams!$D$24)^(1-$B$10)+(1-$B143)^$B$10*((1+FixedParams!$D$27)/$AT$12)^(1-$B$10))^(1/(1-$B$10))</f>
        <v>6.249976432870767</v>
      </c>
      <c r="AT143" s="24">
        <f>EXP($D143-$D$17)*(($B143*FixedParams!$C$31)^$B$10*(1+FixedParams!$D$25)^(1-$B$10)+(1-$B143)^$B$10*((1+FixedParams!$D$28)/$AT$12)^(1-$B$10))^(1/(1-$B$10))</f>
        <v>6.1896363339062823</v>
      </c>
      <c r="AU143" s="24">
        <f>EXP($D143-$D$17)*(($B143*FixedParams!$C$30)^$B$10*(1+FixedParams!$D$23)^(1-$B$10)+(1-$B143)^$B$10*((1+FixedParams!$D$26)/$AT$12)^(1-$B$10))^(1/(1-$B$10))</f>
        <v>6.0752996784525513</v>
      </c>
      <c r="AV143">
        <f>IF(FixedParams!$I$6=1,IF(AT143&lt;=MIN(AS143:AU143),1,0),$H143)</f>
        <v>0</v>
      </c>
      <c r="AW143">
        <f>IF(FixedParams!$I$6=1,IF(AU143&lt;=MIN(AS143:AU143),1,0),IF(AU143&lt;=AS143,1,0)*(1-$H143))</f>
        <v>1</v>
      </c>
      <c r="AX143" s="24">
        <f>$AT$13*IF(AV143=1,1,IF(AW143=1,FixedParams!$D$52,FixedParams!$D$53))</f>
        <v>0.3451899269505756</v>
      </c>
      <c r="AY143">
        <f>EXP($C143*FixedParams!$B$47)*EXP(IF(AV143+AW143=1,(1-FixedParams!$B$47)*$D143,0))*($B143^((FixedParams!$B$47-1)*$B$10/($B$10-1)))*((1/$B143-1)^$B$10*(AX143)^($B$10-1)+1)^((FixedParams!$B$47-$B$10)/($B$10-1))/((1+IF(AV143=1,FixedParams!$D$25,IF(AW143=1,FixedParams!$D$23,FixedParams!$D$24)))^FixedParams!$B$47)</f>
        <v>6.0372857130019303E-2</v>
      </c>
      <c r="AZ143">
        <f t="shared" si="52"/>
        <v>1.6256949938638032</v>
      </c>
      <c r="BA143">
        <f t="shared" si="72"/>
        <v>40.902268620480982</v>
      </c>
      <c r="BB143">
        <f t="shared" si="53"/>
        <v>29.447700928611063</v>
      </c>
      <c r="BC143">
        <f t="shared" si="73"/>
        <v>70.349969549092037</v>
      </c>
      <c r="BD143" s="24">
        <f t="shared" si="74"/>
        <v>0.71995275376646772</v>
      </c>
      <c r="BE143" s="24">
        <f t="shared" si="75"/>
        <v>2.0572651116022351</v>
      </c>
      <c r="BF143" s="23">
        <f>IF(AV143=1,BA143*(1+FixedParams!$C$25)+BB143*(1+FixedParams!$C$28)/$AT$12,IF(AW143=1,BA143*(1+FixedParams!$C$23)+BB143*(1+FixedParams!$C$26)/$AT$12,BA143*(1+FixedParams!$C$24)+BB143*(1+FixedParams!$C$27)/$AT$12))</f>
        <v>143.98220294802661</v>
      </c>
      <c r="BG143" s="24">
        <f t="shared" si="76"/>
        <v>23.699605051367698</v>
      </c>
      <c r="BH143" s="24">
        <f>BG143^((FixedParams!$B$47-1)/FixedParams!$B$47)*EXP($C143)</f>
        <v>0.2064807320097502</v>
      </c>
      <c r="BI143" s="7"/>
      <c r="BJ143" s="24">
        <f>EXP(-$D$17)*(($B143*FixedParams!$B$30)^$B$10*(1+FixedParams!$C$24)^(1-$B$10)+(1-$B143)^$B$10*((1+FixedParams!$C$27)/$BK$12)^(1-$B$10))^(1/(1-$B$10))</f>
        <v>6.9570371657423227</v>
      </c>
      <c r="BK143" s="24">
        <f>EXP($D143-$D$17)*(($B143*FixedParams!$C$31)^$B$10*(1+FixedParams!$C$25)^(1-$B$10)+(1-$B143)^$B$10*((1+FixedParams!$C$28)/$BK$12)^(1-$B$10))^(1/(1-$B$10))</f>
        <v>6.617015674139366</v>
      </c>
      <c r="BL143" s="24">
        <f>EXP($D143-$D$17)*(($B143*FixedParams!$C$30)^$B$10*(1+FixedParams!$C$23)^(1-$B$10)+(1-$B143)^$B$10*((1+FixedParams!$C$26)/$BK$12)^(1-$B$10))^(1/(1-$B$10))</f>
        <v>6.4880413903706788</v>
      </c>
      <c r="BM143">
        <f>IF(FixedParams!$I$6=1,IF(BK143&lt;=MIN(BJ143:BL143),1,0),$H143)</f>
        <v>0</v>
      </c>
      <c r="BN143">
        <f>IF(FixedParams!$I$6=1,IF(BL143&lt;=MIN(BJ143:BL143),1,0),IF(BL143&lt;=BJ143,1,0)*(1-$H143))</f>
        <v>1</v>
      </c>
      <c r="BO143" s="24">
        <f>$BK$13*IF(BM143=1,1,IF(BN143=1,FixedParams!$C$52,FixedParams!$C$53))</f>
        <v>0.33006170822567266</v>
      </c>
      <c r="BP143">
        <f>EXP($C143*FixedParams!$B$47)*EXP(IF(BM143+BN143=1,(1-FixedParams!$B$47)*$D143,0))*($B143^((FixedParams!$B$47-1)*$B$10/($B$10-1)))*((1/$B143-1)^$B$10*(BO143)^($B$10-1)+1)^((FixedParams!$B$47-$B$10)/($B$10-1))/((1+IF(BM143=1,FixedParams!$C$25,IF(BN143=1,FixedParams!$C$23,FixedParams!$C$24)))^FixedParams!$B$47)</f>
        <v>5.915421433748131E-2</v>
      </c>
      <c r="BQ143">
        <f t="shared" si="77"/>
        <v>1.7017337820383387</v>
      </c>
      <c r="BR143">
        <f t="shared" si="78"/>
        <v>43.401288698397238</v>
      </c>
      <c r="BS143">
        <f t="shared" si="54"/>
        <v>29.215422130524711</v>
      </c>
      <c r="BT143">
        <f t="shared" si="79"/>
        <v>72.616710828921953</v>
      </c>
      <c r="BU143" s="24">
        <f t="shared" si="80"/>
        <v>0.67314642045648765</v>
      </c>
      <c r="BV143" s="24">
        <f t="shared" si="81"/>
        <v>2.0606420405546326</v>
      </c>
      <c r="BW143" s="23">
        <f>IF(BM143=1,BR143*(1+FixedParams!$C$25)+BS143*(1+FixedParams!$C$28)/$BK$12,IF(BN143=1,BR143*(1+FixedParams!$C$23)+BS143*(1+FixedParams!$C$26)/$BK$12,BR143*(1+FixedParams!$C$24)+BS143*(1+FixedParams!$C$27)/$BK$12))</f>
        <v>152.45808260702833</v>
      </c>
      <c r="BX143" s="24">
        <f t="shared" si="82"/>
        <v>23.498321517076203</v>
      </c>
      <c r="BY143" s="24">
        <f>BX143^((FixedParams!$B$47-1)/FixedParams!$B$47)*EXP($C143)</f>
        <v>0.20648249493482435</v>
      </c>
      <c r="BZ143" s="24">
        <f t="shared" si="83"/>
        <v>0.10119505206360865</v>
      </c>
      <c r="CA143" s="24">
        <f t="shared" si="84"/>
        <v>-3.2212276978705212E-2</v>
      </c>
      <c r="CB143" s="24">
        <f t="shared" si="85"/>
        <v>-1.4883821059297961E-2</v>
      </c>
      <c r="CC143" s="24"/>
      <c r="CD143" s="24">
        <f>EXP(-$D$17)*(($B143*FixedParams!$B$30)^$B$10*(1+FixedParams!$D$24)^(1-$B$10)+(1-$B143)^$B$10*((1+FixedParams!$D$27)/$CE$12)^(1-$B$10))^(1/(1-$B$10))</f>
        <v>6.4589944497586238</v>
      </c>
      <c r="CE143" s="24">
        <f>EXP($D143-$D$17)*(($B143*FixedParams!$D$31)^$B$10*(1+FixedParams!$D$25)^(1-$B$10)+(1-$B143)^$B$10*((1+FixedParams!$D$28)/$CE$12)^(1-$B$10))^(1/(1-$B$10))</f>
        <v>6.3944355118112384</v>
      </c>
      <c r="CF143" s="24">
        <f>EXP($D143-$D$17)*(($B143*FixedParams!$D$30)^$B$10*(1+FixedParams!$D$23)^(1-$B$10)+(1-$B143)^$B$10*((1+FixedParams!$D$26)/$CE$12)^(1-$B$10))^(1/(1-$B$10))</f>
        <v>6.2707502610802104</v>
      </c>
      <c r="CG143">
        <f>IF(FixedParams!$I$6=1,IF(CE143&lt;=MIN(CD143:CF143),1,0),$H143)</f>
        <v>0</v>
      </c>
      <c r="CH143">
        <f>IF(FixedParams!$I$6=1,IF(CF143&lt;=MIN(CD143:CF143),1,0),IF(CF143&lt;=CD143,1,0)*(1-$H143))</f>
        <v>1</v>
      </c>
      <c r="CI143" s="24">
        <f>$CE$13*IF(CG143=1,1,IF(CH143=1,FixedParams!$D$52,FixedParams!$D$53))</f>
        <v>0.32933267593211629</v>
      </c>
      <c r="CJ143">
        <f>EXP($C143*FixedParams!$B$47)*EXP(IF(CG143+CH143=1,(1-FixedParams!$B$47)*$D143,0))*($B143^((FixedParams!$B$47-1)*$B$10/($B$10-1)))*((1/$B143-1)^$B$10*(CI143)^($B$10-1)+1)^((FixedParams!$B$47-$B$10)/($B$10-1))/((1+IF(CG143=1,FixedParams!$D$25,IF(CH143=1,FixedParams!$D$23,FixedParams!$D$24)))^FixedParams!$B$47)</f>
        <v>6.1338249930481939E-2</v>
      </c>
      <c r="CK143">
        <f t="shared" si="86"/>
        <v>1.6150582141704897</v>
      </c>
      <c r="CL143">
        <f t="shared" si="88"/>
        <v>44.123845500076428</v>
      </c>
      <c r="CM143">
        <f t="shared" si="55"/>
        <v>29.603456063343714</v>
      </c>
      <c r="CN143">
        <f t="shared" si="89"/>
        <v>73.727301563420141</v>
      </c>
      <c r="CO143" s="24">
        <f t="shared" si="90"/>
        <v>0.67091740821394263</v>
      </c>
      <c r="CP143" s="24">
        <f t="shared" si="91"/>
        <v>2.0259035691623954</v>
      </c>
      <c r="CQ143" s="23">
        <f>IF(CG143=1,CL143*(1+FixedParams!$D$25)+CM143*(1+FixedParams!$D$28)/$CE$12,IF(CH143=1,CL143*(1+FixedParams!$D$23)+CM143*(1+FixedParams!$D$26)/$CE$12,CL143*(1+FixedParams!$D$24)+CM143*(1+FixedParams!$D$27)/$CE$12))</f>
        <v>149.47229387588487</v>
      </c>
      <c r="CR143" s="24">
        <f t="shared" si="92"/>
        <v>23.836429079881189</v>
      </c>
      <c r="CS143" s="24">
        <f>CR143^((FixedParams!$B$47-1)/FixedParams!$B$47)*EXP($C143)</f>
        <v>0.20647954218386327</v>
      </c>
      <c r="CT143" s="24"/>
    </row>
    <row r="144" spans="1:98" x14ac:dyDescent="0.15">
      <c r="A144">
        <v>0.63500000000000001</v>
      </c>
      <c r="B144">
        <f t="shared" si="56"/>
        <v>0.30298992927943008</v>
      </c>
      <c r="C144">
        <f>(D144-$D$17)*FixedParams!$B$47+$A144*$B$9</f>
        <v>-1.5868746271874099</v>
      </c>
      <c r="D144">
        <f>(A144-$B$6)*FixedParams!$B$46/(FixedParams!$B$45*Sectors!$B$6)</f>
        <v>7.3352443035529097E-2</v>
      </c>
      <c r="E144">
        <f t="shared" si="57"/>
        <v>0.20456395230344171</v>
      </c>
      <c r="F144" s="24">
        <f>EXP(-$D$17)*(($B144*FixedParams!$B$30)^$B$10*(1+FixedParams!$B$23)^(1-$B$10)+(1-$B144)^$B$10*((1+FixedParams!$B$26)/$B$11)^(1-$B$10))^(1/(1-$B$10))</f>
        <v>5.0161853660363107</v>
      </c>
      <c r="G144" s="24">
        <f>EXP($D144-$D$17)*(($B144*FixedParams!$B$31)^$B$10*(1+FixedParams!$B$25)^(1-$B$10)+(1-$B144)^$B$10*((1+FixedParams!$B$28)/$B$11)^(1-$B$10))^(1/(1-$B$10))</f>
        <v>5.1726243780452128</v>
      </c>
      <c r="H144">
        <f t="shared" si="58"/>
        <v>0</v>
      </c>
      <c r="I144" s="24">
        <f>$B$12*IF(H144=1,1,FixedParams!$B$52)</f>
        <v>0.39101505882574561</v>
      </c>
      <c r="J144">
        <f>EXP($C144*FixedParams!$B$47)*EXP(IF(H144=1,(1-FixedParams!$B$47)*$D144,0))*($B144^((FixedParams!$B$47-1)*$B$10/($B$10-1)))*((1/$B144-1)^$B$10*(I144)^($B$10-1)+1)^((FixedParams!$B$47-$B$10)/($B$10-1))/((1+IF(H144=1,FixedParams!$B$25,FixedParams!$B$24))^FixedParams!$B$47)</f>
        <v>5.9898377561357019E-2</v>
      </c>
      <c r="K144">
        <f t="shared" si="87"/>
        <v>1.2077059741931517</v>
      </c>
      <c r="L144">
        <f>K144*FixedParams!$B$8/K$15</f>
        <v>35.111792075101818</v>
      </c>
      <c r="M144">
        <f t="shared" si="47"/>
        <v>29.9543230993926</v>
      </c>
      <c r="N144">
        <f t="shared" si="59"/>
        <v>65.066115174494414</v>
      </c>
      <c r="O144" s="24">
        <f t="shared" si="60"/>
        <v>0.8531129096265514</v>
      </c>
      <c r="P144" s="24">
        <f t="shared" si="48"/>
        <v>1.9614040159815322</v>
      </c>
      <c r="Q144" s="23">
        <f>IF(H144=1,L144*(1+FixedParams!$B$25)+M144*FixedParams!$B$33*(1+FixedParams!$B$28)/FixedParams!$B$32,L144*(1+FixedParams!$B$23)+M144*FixedParams!$B$33*(1+FixedParams!$B$26)/FixedParams!$B$32)</f>
        <v>120.26481849288808</v>
      </c>
      <c r="R144" s="24">
        <f t="shared" si="49"/>
        <v>23.97535372340495</v>
      </c>
      <c r="S144" s="24">
        <f>R144^((FixedParams!$B$47-1)/FixedParams!$B$47)*EXP($C144)</f>
        <v>0.2039144300309996</v>
      </c>
      <c r="T144" s="7">
        <f>(L144*FixedParams!$B$32*(FixedParams!$C$25-FixedParams!$C$23)+FixedParams!$B$33*(FixedParams!$C$28-FixedParams!$C$26)*M144)/N144</f>
        <v>1664.2342019654698</v>
      </c>
      <c r="U144" s="7">
        <f>(L144*FixedParams!$B$32*(FixedParams!$C$25-FixedParams!$C$23)*$Z$12/$B$11+FixedParams!$B$33*(FixedParams!$C$28-FixedParams!$C$26)*M144)/N144</f>
        <v>1122.2631867526709</v>
      </c>
      <c r="V144" s="14">
        <f t="shared" si="50"/>
        <v>-0.78014583354202127</v>
      </c>
      <c r="W144" s="14">
        <f t="shared" si="93"/>
        <v>0.82765279252234614</v>
      </c>
      <c r="X144" s="73">
        <f t="shared" si="62"/>
        <v>0.94277601409177514</v>
      </c>
      <c r="Y144" s="24">
        <f>EXP(-$D$17)*(($B144*FixedParams!$B$30)^$B$10*(1+FixedParams!$C$24)^(1-$B$10)+(1-$B144)^$B$10*((1+FixedParams!$C$27)/$Z$12)^(1-$B$10))^(1/(1-$B$10))</f>
        <v>6.7160452680097071</v>
      </c>
      <c r="Z144" s="24">
        <f>EXP($D144-$D$17)*(($B144*FixedParams!$C$31)^$B$10*(1+FixedParams!$C$25)^(1-$B$10)+(1-$B144)^$B$10*((1+FixedParams!$C$28)/$Z$12)^(1-$B$10))^(1/(1-$B$10))</f>
        <v>6.4062657285177007</v>
      </c>
      <c r="AA144" s="24">
        <f>EXP($D144-$D$17)*(($B144*FixedParams!$C$30)^$B$10*(1+FixedParams!$C$23)^(1-$B$10)+(1-$B144)^$B$10*((1+FixedParams!$C$26)/$Z$12)^(1-$B$10))^(1/(1-$B$10))</f>
        <v>6.2837395451138969</v>
      </c>
      <c r="AB144">
        <f>IF(FixedParams!$I$6=1,IF(Z144&lt;=MIN(Y144:AA144),1,0),$H144)</f>
        <v>0</v>
      </c>
      <c r="AC144">
        <f>IF(FixedParams!$I$6=1,IF(AA144&lt;=MIN(Y144:AA144),1,0),IF(AA144&lt;=Y144,1,0)*(1-$H144))</f>
        <v>1</v>
      </c>
      <c r="AD144" s="24">
        <f>$Z$13*IF(AB144=1,1,IF(AC144=1,FixedParams!$C$52,FixedParams!$C$53))</f>
        <v>0.34709202255780691</v>
      </c>
      <c r="AE144">
        <f>EXP($C144*FixedParams!$B$47)*EXP(IF(AB144+AC144=1,(1-FixedParams!$B$47)*$D144,0))*($B144^((FixedParams!$B$47-1)*$B$10/($B$10-1)))*((1/$B144-1)^$B$10*(AD144)^($B$10-1)+1)^((FixedParams!$B$47-$B$10)/($B$10-1))/((1+IF(AB144=1,FixedParams!$C$25,IF(AC144=1,FixedParams!$C$23,FixedParams!$C$24)))^FixedParams!$B$47)</f>
        <v>5.8109893572460651E-2</v>
      </c>
      <c r="AF144">
        <f t="shared" si="63"/>
        <v>1.7123347548028953</v>
      </c>
      <c r="AG144">
        <f t="shared" si="64"/>
        <v>40.220113888026439</v>
      </c>
      <c r="AH144">
        <f t="shared" si="51"/>
        <v>28.696341572957259</v>
      </c>
      <c r="AI144">
        <f t="shared" si="65"/>
        <v>68.916455460983698</v>
      </c>
      <c r="AJ144" s="24">
        <f t="shared" si="66"/>
        <v>0.71348235494430523</v>
      </c>
      <c r="AK144" s="24">
        <f t="shared" si="67"/>
        <v>2.0987301853516644</v>
      </c>
      <c r="AL144" s="23">
        <f>IF(AB144=1,AG144*(1+FixedParams!$C$25)+AH144*(1+FixedParams!$C$28)/$Z$12,IF(AC144=1,AG144*(1+FixedParams!$C$23)+AH144*(1+FixedParams!$C$26)/$Z$12,AG144*(1+FixedParams!$C$24)+AH144*(1+FixedParams!$C$27)/$Z$12))</f>
        <v>142.03380566701725</v>
      </c>
      <c r="AM144" s="24">
        <f t="shared" si="68"/>
        <v>22.603388419792118</v>
      </c>
      <c r="AN144" s="24">
        <f>AM144^((FixedParams!$B$47-1)/FixedParams!$B$47)*EXP($C144)</f>
        <v>0.20392645838747894</v>
      </c>
      <c r="AO144" s="24">
        <f t="shared" si="69"/>
        <v>5.7491071104660861E-2</v>
      </c>
      <c r="AP144" s="24">
        <f t="shared" si="70"/>
        <v>-5.8926549385312124E-2</v>
      </c>
      <c r="AQ144" s="14">
        <f t="shared" si="71"/>
        <v>-0.72056776684976165</v>
      </c>
      <c r="AS144" s="24">
        <f>EXP(-$D$17)*(($B144*FixedParams!$B$30)^$B$10*(1+FixedParams!$D$24)^(1-$B$10)+(1-$B144)^$B$10*((1+FixedParams!$D$27)/$AT$12)^(1-$B$10))^(1/(1-$B$10))</f>
        <v>6.2503982927538537</v>
      </c>
      <c r="AT144" s="24">
        <f>EXP($D144-$D$17)*(($B144*FixedParams!$C$31)^$B$10*(1+FixedParams!$D$25)^(1-$B$10)+(1-$B144)^$B$10*((1+FixedParams!$D$28)/$AT$12)^(1-$B$10))^(1/(1-$B$10))</f>
        <v>6.2053270871255064</v>
      </c>
      <c r="AU144" s="24">
        <f>EXP($D144-$D$17)*(($B144*FixedParams!$C$30)^$B$10*(1+FixedParams!$D$23)^(1-$B$10)+(1-$B144)^$B$10*((1+FixedParams!$D$26)/$AT$12)^(1-$B$10))^(1/(1-$B$10))</f>
        <v>6.086737637013262</v>
      </c>
      <c r="AV144">
        <f>IF(FixedParams!$I$6=1,IF(AT144&lt;=MIN(AS144:AU144),1,0),$H144)</f>
        <v>0</v>
      </c>
      <c r="AW144">
        <f>IF(FixedParams!$I$6=1,IF(AU144&lt;=MIN(AS144:AU144),1,0),IF(AU144&lt;=AS144,1,0)*(1-$H144))</f>
        <v>1</v>
      </c>
      <c r="AX144" s="24">
        <f>$AT$13*IF(AV144=1,1,IF(AW144=1,FixedParams!$D$52,FixedParams!$D$53))</f>
        <v>0.3451899269505756</v>
      </c>
      <c r="AY144">
        <f>EXP($C144*FixedParams!$B$47)*EXP(IF(AV144+AW144=1,(1-FixedParams!$B$47)*$D144,0))*($B144^((FixedParams!$B$47-1)*$B$10/($B$10-1)))*((1/$B144-1)^$B$10*(AX144)^($B$10-1)+1)^((FixedParams!$B$47-$B$10)/($B$10-1))/((1+IF(AV144=1,FixedParams!$D$25,IF(AW144=1,FixedParams!$D$23,FixedParams!$D$24)))^FixedParams!$B$47)</f>
        <v>6.0322174338727608E-2</v>
      </c>
      <c r="AZ144">
        <f t="shared" si="52"/>
        <v>1.6243302289016197</v>
      </c>
      <c r="BA144">
        <f t="shared" si="72"/>
        <v>40.867931316560046</v>
      </c>
      <c r="BB144">
        <f t="shared" si="53"/>
        <v>28.919189344158827</v>
      </c>
      <c r="BC144">
        <f t="shared" si="73"/>
        <v>69.78712066071887</v>
      </c>
      <c r="BD144" s="24">
        <f t="shared" si="74"/>
        <v>0.70762547583220869</v>
      </c>
      <c r="BE144" s="24">
        <f t="shared" si="75"/>
        <v>2.0611383218700943</v>
      </c>
      <c r="BF144" s="23">
        <f>IF(AV144=1,BA144*(1+FixedParams!$C$25)+BB144*(1+FixedParams!$C$28)/$AT$12,IF(AW144=1,BA144*(1+FixedParams!$C$23)+BB144*(1+FixedParams!$C$26)/$AT$12,BA144*(1+FixedParams!$C$24)+BB144*(1+FixedParams!$C$27)/$AT$12))</f>
        <v>142.2068066251156</v>
      </c>
      <c r="BG144" s="24">
        <f t="shared" si="76"/>
        <v>23.363386941530131</v>
      </c>
      <c r="BH144" s="24">
        <f>BG144^((FixedParams!$B$47-1)/FixedParams!$B$47)*EXP($C144)</f>
        <v>0.20391970783709623</v>
      </c>
      <c r="BI144" s="7"/>
      <c r="BJ144" s="24">
        <f>EXP(-$D$17)*(($B144*FixedParams!$B$30)^$B$10*(1+FixedParams!$C$24)^(1-$B$10)+(1-$B144)^$B$10*((1+FixedParams!$C$27)/$BK$12)^(1-$B$10))^(1/(1-$B$10))</f>
        <v>6.9583337770302043</v>
      </c>
      <c r="BK144" s="24">
        <f>EXP($D144-$D$17)*(($B144*FixedParams!$C$31)^$B$10*(1+FixedParams!$C$25)^(1-$B$10)+(1-$B144)^$B$10*((1+FixedParams!$C$28)/$BK$12)^(1-$B$10))^(1/(1-$B$10))</f>
        <v>6.6337773992897544</v>
      </c>
      <c r="BL144" s="24">
        <f>EXP($D144-$D$17)*(($B144*FixedParams!$C$30)^$B$10*(1+FixedParams!$C$23)^(1-$B$10)+(1-$B144)^$B$10*((1+FixedParams!$C$26)/$BK$12)^(1-$B$10))^(1/(1-$B$10))</f>
        <v>6.4991468282845908</v>
      </c>
      <c r="BM144">
        <f>IF(FixedParams!$I$6=1,IF(BK144&lt;=MIN(BJ144:BL144),1,0),$H144)</f>
        <v>0</v>
      </c>
      <c r="BN144">
        <f>IF(FixedParams!$I$6=1,IF(BL144&lt;=MIN(BJ144:BL144),1,0),IF(BL144&lt;=BJ144,1,0)*(1-$H144))</f>
        <v>1</v>
      </c>
      <c r="BO144" s="24">
        <f>$BK$13*IF(BM144=1,1,IF(BN144=1,FixedParams!$C$52,FixedParams!$C$53))</f>
        <v>0.33006170822567266</v>
      </c>
      <c r="BP144">
        <f>EXP($C144*FixedParams!$B$47)*EXP(IF(BM144+BN144=1,(1-FixedParams!$B$47)*$D144,0))*($B144^((FixedParams!$B$47-1)*$B$10/($B$10-1)))*((1/$B144-1)^$B$10*(BO144)^($B$10-1)+1)^((FixedParams!$B$47-$B$10)/($B$10-1))/((1+IF(BM144=1,FixedParams!$C$25,IF(BN144=1,FixedParams!$C$23,FixedParams!$C$24)))^FixedParams!$B$47)</f>
        <v>5.9099499736273167E-2</v>
      </c>
      <c r="BQ144">
        <f t="shared" si="77"/>
        <v>1.7001597659468486</v>
      </c>
      <c r="BR144">
        <f t="shared" si="78"/>
        <v>43.361144741966605</v>
      </c>
      <c r="BS144">
        <f t="shared" si="54"/>
        <v>28.688625586730456</v>
      </c>
      <c r="BT144">
        <f t="shared" si="79"/>
        <v>72.049770328697065</v>
      </c>
      <c r="BU144" s="24">
        <f t="shared" si="80"/>
        <v>0.66162057661186435</v>
      </c>
      <c r="BV144" s="24">
        <f t="shared" si="81"/>
        <v>2.0641691962657753</v>
      </c>
      <c r="BW144" s="23">
        <f>IF(BM144=1,BR144*(1+FixedParams!$C$25)+BS144*(1+FixedParams!$C$28)/$BK$12,IF(BN144=1,BR144*(1+FixedParams!$C$23)+BS144*(1+FixedParams!$C$26)/$BK$12,BR144*(1+FixedParams!$C$24)+BS144*(1+FixedParams!$C$27)/$BK$12))</f>
        <v>150.56709813220431</v>
      </c>
      <c r="BX144" s="24">
        <f t="shared" si="82"/>
        <v>23.167209806205527</v>
      </c>
      <c r="BY144" s="24">
        <f>BX144^((FixedParams!$B$47-1)/FixedParams!$B$47)*EXP($C144)</f>
        <v>0.20392142906302588</v>
      </c>
      <c r="BZ144" s="24">
        <f t="shared" si="83"/>
        <v>0.10195322530176468</v>
      </c>
      <c r="CA144" s="24">
        <f t="shared" si="84"/>
        <v>-3.4288466004467569E-2</v>
      </c>
      <c r="CB144" s="24">
        <f t="shared" si="85"/>
        <v>-1.6960010085060317E-2</v>
      </c>
      <c r="CC144" s="24"/>
      <c r="CD144" s="24">
        <f>EXP(-$D$17)*(($B144*FixedParams!$B$30)^$B$10*(1+FixedParams!$D$24)^(1-$B$10)+(1-$B144)^$B$10*((1+FixedParams!$D$27)/$CE$12)^(1-$B$10))^(1/(1-$B$10))</f>
        <v>6.4583240361787064</v>
      </c>
      <c r="CE144" s="24">
        <f>EXP($D144-$D$17)*(($B144*FixedParams!$D$31)^$B$10*(1+FixedParams!$D$25)^(1-$B$10)+(1-$B144)^$B$10*((1+FixedParams!$D$28)/$CE$12)^(1-$B$10))^(1/(1-$B$10))</f>
        <v>6.4095325738688107</v>
      </c>
      <c r="CF144" s="24">
        <f>EXP($D144-$D$17)*(($B144*FixedParams!$D$30)^$B$10*(1+FixedParams!$D$23)^(1-$B$10)+(1-$B144)^$B$10*((1+FixedParams!$D$26)/$CE$12)^(1-$B$10))^(1/(1-$B$10))</f>
        <v>6.2814306441614081</v>
      </c>
      <c r="CG144">
        <f>IF(FixedParams!$I$6=1,IF(CE144&lt;=MIN(CD144:CF144),1,0),$H144)</f>
        <v>0</v>
      </c>
      <c r="CH144">
        <f>IF(FixedParams!$I$6=1,IF(CF144&lt;=MIN(CD144:CF144),1,0),IF(CF144&lt;=CD144,1,0)*(1-$H144))</f>
        <v>1</v>
      </c>
      <c r="CI144" s="24">
        <f>$CE$13*IF(CG144=1,1,IF(CH144=1,FixedParams!$D$52,FixedParams!$D$53))</f>
        <v>0.32933267593211629</v>
      </c>
      <c r="CJ144">
        <f>EXP($C144*FixedParams!$B$47)*EXP(IF(CG144+CH144=1,(1-FixedParams!$B$47)*$D144,0))*($B144^((FixedParams!$B$47-1)*$B$10/($B$10-1)))*((1/$B144-1)^$B$10*(CI144)^($B$10-1)+1)^((FixedParams!$B$47-$B$10)/($B$10-1))/((1+IF(CG144=1,FixedParams!$D$25,IF(CH144=1,FixedParams!$D$23,FixedParams!$D$24)))^FixedParams!$B$47)</f>
        <v>6.1281255561783134E-2</v>
      </c>
      <c r="CK144">
        <f t="shared" si="86"/>
        <v>1.6135575319137772</v>
      </c>
      <c r="CL144">
        <f t="shared" si="88"/>
        <v>44.082846437962807</v>
      </c>
      <c r="CM144">
        <f t="shared" si="55"/>
        <v>29.069539536617924</v>
      </c>
      <c r="CN144">
        <f t="shared" si="89"/>
        <v>73.152385974580739</v>
      </c>
      <c r="CO144" s="24">
        <f t="shared" si="90"/>
        <v>0.65942973028130325</v>
      </c>
      <c r="CP144" s="24">
        <f t="shared" si="91"/>
        <v>2.0293541014437584</v>
      </c>
      <c r="CQ144" s="23">
        <f>IF(CG144=1,CL144*(1+FixedParams!$D$25)+CM144*(1+FixedParams!$D$28)/$CE$12,IF(CH144=1,CL144*(1+FixedParams!$D$23)+CM144*(1+FixedParams!$D$26)/$CE$12,CL144*(1+FixedParams!$D$24)+CM144*(1+FixedParams!$D$27)/$CE$12))</f>
        <v>147.61834180832238</v>
      </c>
      <c r="CR144" s="24">
        <f t="shared" si="92"/>
        <v>23.500751687123007</v>
      </c>
      <c r="CS144" s="24">
        <f>CR144^((FixedParams!$B$47-1)/FixedParams!$B$47)*EXP($C144)</f>
        <v>0.20391851121140087</v>
      </c>
      <c r="CT144" s="24"/>
    </row>
    <row r="145" spans="1:98" x14ac:dyDescent="0.15">
      <c r="A145">
        <v>0.64</v>
      </c>
      <c r="B145">
        <f t="shared" si="56"/>
        <v>0.30542698512267624</v>
      </c>
      <c r="C145">
        <f>(D145-$D$17)*FixedParams!$B$47+$A145*$B$9</f>
        <v>-1.5993697029920351</v>
      </c>
      <c r="D145">
        <f>(A145-$B$6)*FixedParams!$B$46/(FixedParams!$B$45*Sectors!$B$6)</f>
        <v>7.6069200184993149E-2</v>
      </c>
      <c r="E145">
        <f t="shared" si="57"/>
        <v>0.20202381287844393</v>
      </c>
      <c r="F145" s="24">
        <f>EXP(-$D$17)*(($B145*FixedParams!$B$30)^$B$10*(1+FixedParams!$B$23)^(1-$B$10)+(1-$B145)^$B$10*((1+FixedParams!$B$26)/$B$11)^(1-$B$10))^(1/(1-$B$10))</f>
        <v>5.01411598507155</v>
      </c>
      <c r="G145" s="24">
        <f>EXP($D145-$D$17)*(($B145*FixedParams!$B$31)^$B$10*(1+FixedParams!$B$25)^(1-$B$10)+(1-$B145)^$B$10*((1+FixedParams!$B$28)/$B$11)^(1-$B$10))^(1/(1-$B$10))</f>
        <v>5.183722727263552</v>
      </c>
      <c r="H145">
        <f t="shared" si="58"/>
        <v>0</v>
      </c>
      <c r="I145" s="24">
        <f>$B$12*IF(H145=1,1,FixedParams!$B$52)</f>
        <v>0.39101505882574561</v>
      </c>
      <c r="J145">
        <f>EXP($C145*FixedParams!$B$47)*EXP(IF(H145=1,(1-FixedParams!$B$47)*$D145,0))*($B145^((FixedParams!$B$47-1)*$B$10/($B$10-1)))*((1/$B145-1)^$B$10*(I145)^($B$10-1)+1)^((FixedParams!$B$47-$B$10)/($B$10-1))/((1+IF(H145=1,FixedParams!$B$25,FixedParams!$B$24))^FixedParams!$B$47)</f>
        <v>5.9858107321285658E-2</v>
      </c>
      <c r="K145">
        <f t="shared" si="87"/>
        <v>1.2068940221587823</v>
      </c>
      <c r="L145">
        <f>K145*FixedParams!$B$8/K$15</f>
        <v>35.088186088533121</v>
      </c>
      <c r="M145">
        <f t="shared" ref="M145:M208" si="94">(I145*(1/$B145-1))^$B$10*L145</f>
        <v>29.421641155076038</v>
      </c>
      <c r="N145">
        <f t="shared" si="59"/>
        <v>64.509827243609152</v>
      </c>
      <c r="O145" s="24">
        <f t="shared" si="60"/>
        <v>0.83850561784073185</v>
      </c>
      <c r="P145" s="24">
        <f t="shared" ref="P145:P208" si="95">(H145*(G145-F145)+F145)*$B$11</f>
        <v>1.9605948568618634</v>
      </c>
      <c r="Q145" s="23">
        <f>IF(H145=1,L145*(1+FixedParams!$B$25)+M145*FixedParams!$B$33*(1+FixedParams!$B$28)/FixedParams!$B$32,L145*(1+FixedParams!$B$23)+M145*FixedParams!$B$33*(1+FixedParams!$B$26)/FixedParams!$B$32)</f>
        <v>118.77288483514909</v>
      </c>
      <c r="R145" s="24">
        <f t="shared" ref="R145:R208" si="96">Q145*$B$11/P145</f>
        <v>23.687701917699904</v>
      </c>
      <c r="S145" s="24">
        <f>R145^((FixedParams!$B$47-1)/FixedParams!$B$47)*EXP($C145)</f>
        <v>0.20138478914953178</v>
      </c>
      <c r="T145" s="7">
        <f>(L145*FixedParams!$B$32*(FixedParams!$C$25-FixedParams!$C$23)+FixedParams!$B$33*(FixedParams!$C$28-FixedParams!$C$26)*M145)/N145</f>
        <v>1712.875481227391</v>
      </c>
      <c r="U145" s="7">
        <f>(L145*FixedParams!$B$32*(FixedParams!$C$25-FixedParams!$C$23)*$Z$12/$B$11+FixedParams!$B$33*(FixedParams!$C$28-FixedParams!$C$26)*M145)/N145</f>
        <v>1166.5983988033493</v>
      </c>
      <c r="V145" s="14">
        <f t="shared" ref="V145:V208" si="97">LN(I145/O145)</f>
        <v>-0.76287520824593757</v>
      </c>
      <c r="W145" s="14">
        <f t="shared" si="93"/>
        <v>0.83081686226167106</v>
      </c>
      <c r="X145" s="73">
        <f t="shared" si="62"/>
        <v>0.94064324919790443</v>
      </c>
      <c r="Y145" s="24">
        <f>EXP(-$D$17)*(($B145*FixedParams!$B$30)^$B$10*(1+FixedParams!$C$24)^(1-$B$10)+(1-$B145)^$B$10*((1+FixedParams!$C$27)/$Z$12)^(1-$B$10))^(1/(1-$B$10))</f>
        <v>6.7182420940633039</v>
      </c>
      <c r="Z145" s="24">
        <f>EXP($D145-$D$17)*(($B145*FixedParams!$C$31)^$B$10*(1+FixedParams!$C$25)^(1-$B$10)+(1-$B145)^$B$10*((1+FixedParams!$C$28)/$Z$12)^(1-$B$10))^(1/(1-$B$10))</f>
        <v>6.4234047604105715</v>
      </c>
      <c r="AA145" s="24">
        <f>EXP($D145-$D$17)*(($B145*FixedParams!$C$30)^$B$10*(1+FixedParams!$C$23)^(1-$B$10)+(1-$B145)^$B$10*((1+FixedParams!$C$26)/$Z$12)^(1-$B$10))^(1/(1-$B$10))</f>
        <v>6.2954030603372733</v>
      </c>
      <c r="AB145">
        <f>IF(FixedParams!$I$6=1,IF(Z145&lt;=MIN(Y145:AA145),1,0),$H145)</f>
        <v>0</v>
      </c>
      <c r="AC145">
        <f>IF(FixedParams!$I$6=1,IF(AA145&lt;=MIN(Y145:AA145),1,0),IF(AA145&lt;=Y145,1,0)*(1-$H145))</f>
        <v>1</v>
      </c>
      <c r="AD145" s="24">
        <f>$Z$13*IF(AB145=1,1,IF(AC145=1,FixedParams!$C$52,FixedParams!$C$53))</f>
        <v>0.34709202255780691</v>
      </c>
      <c r="AE145">
        <f>EXP($C145*FixedParams!$B$47)*EXP(IF(AB145+AC145=1,(1-FixedParams!$B$47)*$D145,0))*($B145^((FixedParams!$B$47-1)*$B$10/($B$10-1)))*((1/$B145-1)^$B$10*(AD145)^($B$10-1)+1)^((FixedParams!$B$47-$B$10)/($B$10-1))/((1+IF(AB145=1,FixedParams!$C$25,IF(AC145=1,FixedParams!$C$23,FixedParams!$C$24)))^FixedParams!$B$47)</f>
        <v>5.8057901336772418E-2</v>
      </c>
      <c r="AF145">
        <f t="shared" si="63"/>
        <v>1.7108026901805802</v>
      </c>
      <c r="AG145">
        <f t="shared" si="64"/>
        <v>40.184128042723415</v>
      </c>
      <c r="AH145">
        <f t="shared" ref="AH145:AH208" si="98">(AD145*(1/$B145-1))^$B$10*AG145</f>
        <v>28.179757327124022</v>
      </c>
      <c r="AI145">
        <f t="shared" si="65"/>
        <v>68.363885369847438</v>
      </c>
      <c r="AJ145" s="24">
        <f t="shared" si="66"/>
        <v>0.70126586539749103</v>
      </c>
      <c r="AK145" s="24">
        <f t="shared" si="67"/>
        <v>2.1026257273757833</v>
      </c>
      <c r="AL145" s="23">
        <f>IF(AB145=1,AG145*(1+FixedParams!$C$25)+AH145*(1+FixedParams!$C$28)/$Z$12,IF(AC145=1,AG145*(1+FixedParams!$C$23)+AH145*(1+FixedParams!$C$26)/$Z$12,AG145*(1+FixedParams!$C$24)+AH145*(1+FixedParams!$C$27)/$Z$12))</f>
        <v>140.272136932465</v>
      </c>
      <c r="AM145" s="24">
        <f t="shared" si="68"/>
        <v>22.28167689789667</v>
      </c>
      <c r="AN145" s="24">
        <f>AM145^((FixedParams!$B$47-1)/FixedParams!$B$47)*EXP($C145)</f>
        <v>0.2013971248657721</v>
      </c>
      <c r="AO145" s="24">
        <f t="shared" si="69"/>
        <v>5.802712096082497E-2</v>
      </c>
      <c r="AP145" s="24">
        <f t="shared" si="70"/>
        <v>-6.1191330092466904E-2</v>
      </c>
      <c r="AQ145" s="14">
        <f t="shared" si="71"/>
        <v>-0.70329714155367817</v>
      </c>
      <c r="AS145" s="24">
        <f>EXP(-$D$17)*(($B145*FixedParams!$B$30)^$B$10*(1+FixedParams!$D$24)^(1-$B$10)+(1-$B145)^$B$10*((1+FixedParams!$D$27)/$AT$12)^(1-$B$10))^(1/(1-$B$10))</f>
        <v>6.2505596851723144</v>
      </c>
      <c r="AT145" s="24">
        <f>EXP($D145-$D$17)*(($B145*FixedParams!$C$31)^$B$10*(1+FixedParams!$D$25)^(1-$B$10)+(1-$B145)^$B$10*((1+FixedParams!$D$28)/$AT$12)^(1-$B$10))^(1/(1-$B$10))</f>
        <v>6.2207877639226288</v>
      </c>
      <c r="AU145" s="24">
        <f>EXP($D145-$D$17)*(($B145*FixedParams!$C$30)^$B$10*(1+FixedParams!$D$23)^(1-$B$10)+(1-$B145)^$B$10*((1+FixedParams!$D$26)/$AT$12)^(1-$B$10))^(1/(1-$B$10))</f>
        <v>6.0979076359803601</v>
      </c>
      <c r="AV145">
        <f>IF(FixedParams!$I$6=1,IF(AT145&lt;=MIN(AS145:AU145),1,0),$H145)</f>
        <v>0</v>
      </c>
      <c r="AW145">
        <f>IF(FixedParams!$I$6=1,IF(AU145&lt;=MIN(AS145:AU145),1,0),IF(AU145&lt;=AS145,1,0)*(1-$H145))</f>
        <v>1</v>
      </c>
      <c r="AX145" s="24">
        <f>$AT$13*IF(AV145=1,1,IF(AW145=1,FixedParams!$D$52,FixedParams!$D$53))</f>
        <v>0.3451899269505756</v>
      </c>
      <c r="AY145">
        <f>EXP($C145*FixedParams!$B$47)*EXP(IF(AV145+AW145=1,(1-FixedParams!$B$47)*$D145,0))*($B145^((FixedParams!$B$47-1)*$B$10/($B$10-1)))*((1/$B145-1)^$B$10*(AX145)^($B$10-1)+1)^((FixedParams!$B$47-$B$10)/($B$10-1))/((1+IF(AV145=1,FixedParams!$D$25,IF(AW145=1,FixedParams!$D$23,FixedParams!$D$24)))^FixedParams!$B$47)</f>
        <v>6.0267569660737097E-2</v>
      </c>
      <c r="AZ145">
        <f t="shared" ref="AZ145:AZ208" si="99">AY145/AY$17</f>
        <v>1.622859857018117</v>
      </c>
      <c r="BA145">
        <f t="shared" si="72"/>
        <v>40.830936956622885</v>
      </c>
      <c r="BB145">
        <f t="shared" ref="BB145:BB208" si="100">(AX145*(1/$B145-1))^$B$10*BA145</f>
        <v>28.398295147051396</v>
      </c>
      <c r="BC145">
        <f t="shared" si="73"/>
        <v>69.229232103674278</v>
      </c>
      <c r="BD145" s="24">
        <f t="shared" si="74"/>
        <v>0.695509269777977</v>
      </c>
      <c r="BE145" s="24">
        <f t="shared" si="75"/>
        <v>2.0649207935814315</v>
      </c>
      <c r="BF145" s="23">
        <f>IF(AV145=1,BA145*(1+FixedParams!$C$25)+BB145*(1+FixedParams!$C$28)/$AT$12,IF(AW145=1,BA145*(1+FixedParams!$C$23)+BB145*(1+FixedParams!$C$26)/$AT$12,BA145*(1+FixedParams!$C$24)+BB145*(1+FixedParams!$C$27)/$AT$12))</f>
        <v>140.45335614794584</v>
      </c>
      <c r="BG145" s="24">
        <f t="shared" si="76"/>
        <v>23.033040926892486</v>
      </c>
      <c r="BH145" s="24">
        <f>BG145^((FixedParams!$B$47-1)/FixedParams!$B$47)*EXP($C145)</f>
        <v>0.20139043894094208</v>
      </c>
      <c r="BI145" s="7"/>
      <c r="BJ145" s="24">
        <f>EXP(-$D$17)*(($B145*FixedParams!$B$30)^$B$10*(1+FixedParams!$C$24)^(1-$B$10)+(1-$B145)^$B$10*((1+FixedParams!$C$27)/$BK$12)^(1-$B$10))^(1/(1-$B$10))</f>
        <v>6.9593463318700435</v>
      </c>
      <c r="BK145" s="24">
        <f>EXP($D145-$D$17)*(($B145*FixedParams!$C$31)^$B$10*(1+FixedParams!$C$25)^(1-$B$10)+(1-$B145)^$B$10*((1+FixedParams!$C$28)/$BK$12)^(1-$B$10))^(1/(1-$B$10))</f>
        <v>6.6502930173294708</v>
      </c>
      <c r="BL145" s="24">
        <f>EXP($D145-$D$17)*(($B145*FixedParams!$C$30)^$B$10*(1+FixedParams!$C$23)^(1-$B$10)+(1-$B145)^$B$10*((1+FixedParams!$C$26)/$BK$12)^(1-$B$10))^(1/(1-$B$10))</f>
        <v>6.5099556880337266</v>
      </c>
      <c r="BM145">
        <f>IF(FixedParams!$I$6=1,IF(BK145&lt;=MIN(BJ145:BL145),1,0),$H145)</f>
        <v>0</v>
      </c>
      <c r="BN145">
        <f>IF(FixedParams!$I$6=1,IF(BL145&lt;=MIN(BJ145:BL145),1,0),IF(BL145&lt;=BJ145,1,0)*(1-$H145))</f>
        <v>1</v>
      </c>
      <c r="BO145" s="24">
        <f>$BK$13*IF(BM145=1,1,IF(BN145=1,FixedParams!$C$52,FixedParams!$C$53))</f>
        <v>0.33006170822567266</v>
      </c>
      <c r="BP145">
        <f>EXP($C145*FixedParams!$B$47)*EXP(IF(BM145+BN145=1,(1-FixedParams!$B$47)*$D145,0))*($B145^((FixedParams!$B$47-1)*$B$10/($B$10-1)))*((1/$B145-1)^$B$10*(BO145)^($B$10-1)+1)^((FixedParams!$B$47-$B$10)/($B$10-1))/((1+IF(BM145=1,FixedParams!$C$25,IF(BN145=1,FixedParams!$C$23,FixedParams!$C$24)))^FixedParams!$B$47)</f>
        <v>5.9040922319760943E-2</v>
      </c>
      <c r="BQ145">
        <f t="shared" si="77"/>
        <v>1.69847462534174</v>
      </c>
      <c r="BR145">
        <f t="shared" si="78"/>
        <v>43.318166648288461</v>
      </c>
      <c r="BS145">
        <f t="shared" ref="BS145:BS208" si="101">(BO145*(1/$B145-1))^$B$10*BR145</f>
        <v>28.1694607875801</v>
      </c>
      <c r="BT145">
        <f t="shared" si="79"/>
        <v>71.487627435868561</v>
      </c>
      <c r="BU145" s="24">
        <f t="shared" si="80"/>
        <v>0.6502920822179602</v>
      </c>
      <c r="BV145" s="24">
        <f t="shared" si="81"/>
        <v>2.0676021569189835</v>
      </c>
      <c r="BW145" s="23">
        <f>IF(BM145=1,BR145*(1+FixedParams!$C$25)+BS145*(1+FixedParams!$C$28)/$BK$12,IF(BN145=1,BR145*(1+FixedParams!$C$23)+BS145*(1+FixedParams!$C$26)/$BK$12,BR145*(1+FixedParams!$C$24)+BS145*(1+FixedParams!$C$27)/$BK$12))</f>
        <v>148.69956091081713</v>
      </c>
      <c r="BX145" s="24">
        <f t="shared" si="82"/>
        <v>22.841869904606138</v>
      </c>
      <c r="BY145" s="24">
        <f>BX145^((FixedParams!$B$47-1)/FixedParams!$B$47)*EXP($C145)</f>
        <v>0.20139211911591332</v>
      </c>
      <c r="BZ145" s="24">
        <f t="shared" si="83"/>
        <v>0.1027068193092362</v>
      </c>
      <c r="CA145" s="24">
        <f t="shared" si="84"/>
        <v>-3.6360755870907945E-2</v>
      </c>
      <c r="CB145" s="24">
        <f t="shared" si="85"/>
        <v>-1.9032299951500693E-2</v>
      </c>
      <c r="CC145" s="24"/>
      <c r="CD145" s="24">
        <f>EXP(-$D$17)*(($B145*FixedParams!$B$30)^$B$10*(1+FixedParams!$D$24)^(1-$B$10)+(1-$B145)^$B$10*((1+FixedParams!$D$27)/$CE$12)^(1-$B$10))^(1/(1-$B$10))</f>
        <v>6.4573770676819473</v>
      </c>
      <c r="CE145" s="24">
        <f>EXP($D145-$D$17)*(($B145*FixedParams!$D$31)^$B$10*(1+FixedParams!$D$25)^(1-$B$10)+(1-$B145)^$B$10*((1+FixedParams!$D$28)/$CE$12)^(1-$B$10))^(1/(1-$B$10))</f>
        <v>6.4243793092645305</v>
      </c>
      <c r="CF145" s="24">
        <f>EXP($D145-$D$17)*(($B145*FixedParams!$D$30)^$B$10*(1+FixedParams!$D$23)^(1-$B$10)+(1-$B145)^$B$10*((1+FixedParams!$D$26)/$CE$12)^(1-$B$10))^(1/(1-$B$10))</f>
        <v>6.2918238976320078</v>
      </c>
      <c r="CG145">
        <f>IF(FixedParams!$I$6=1,IF(CE145&lt;=MIN(CD145:CF145),1,0),$H145)</f>
        <v>0</v>
      </c>
      <c r="CH145">
        <f>IF(FixedParams!$I$6=1,IF(CF145&lt;=MIN(CD145:CF145),1,0),IF(CF145&lt;=CD145,1,0)*(1-$H145))</f>
        <v>1</v>
      </c>
      <c r="CI145" s="24">
        <f>$CE$13*IF(CG145=1,1,IF(CH145=1,FixedParams!$D$52,FixedParams!$D$53))</f>
        <v>0.32933267593211629</v>
      </c>
      <c r="CJ145">
        <f>EXP($C145*FixedParams!$B$47)*EXP(IF(CG145+CH145=1,(1-FixedParams!$B$47)*$D145,0))*($B145^((FixedParams!$B$47-1)*$B$10/($B$10-1)))*((1/$B145-1)^$B$10*(CI145)^($B$10-1)+1)^((FixedParams!$B$47-$B$10)/($B$10-1))/((1+IF(CG145=1,FixedParams!$D$25,IF(CH145=1,FixedParams!$D$23,FixedParams!$D$24)))^FixedParams!$B$47)</f>
        <v>6.1220254773429815E-2</v>
      </c>
      <c r="CK145">
        <f t="shared" si="86"/>
        <v>1.6119513591844841</v>
      </c>
      <c r="CL145">
        <f t="shared" si="88"/>
        <v>44.03896534641332</v>
      </c>
      <c r="CM145">
        <f t="shared" ref="CM145:CM208" si="102">(CI145*(1/$B145-1))^$B$10*CL145</f>
        <v>28.543359876471982</v>
      </c>
      <c r="CN145">
        <f t="shared" si="89"/>
        <v>72.582325222885302</v>
      </c>
      <c r="CO145" s="24">
        <f t="shared" si="90"/>
        <v>0.64813874830955009</v>
      </c>
      <c r="CP145" s="24">
        <f t="shared" si="91"/>
        <v>2.0327118701994333</v>
      </c>
      <c r="CQ145" s="23">
        <f>IF(CG145=1,CL145*(1+FixedParams!$D$25)+CM145*(1+FixedParams!$D$28)/$CE$12,IF(CH145=1,CL145*(1+FixedParams!$D$23)+CM145*(1+FixedParams!$D$26)/$CE$12,CL145*(1+FixedParams!$D$24)+CM145*(1+FixedParams!$D$27)/$CE$12))</f>
        <v>145.78737781938531</v>
      </c>
      <c r="CR145" s="24">
        <f t="shared" si="92"/>
        <v>23.170924709805355</v>
      </c>
      <c r="CS145" s="24">
        <f>CR145^((FixedParams!$B$47-1)/FixedParams!$B$47)*EXP($C145)</f>
        <v>0.20138923574243153</v>
      </c>
      <c r="CT145" s="24"/>
    </row>
    <row r="146" spans="1:98" x14ac:dyDescent="0.15">
      <c r="A146">
        <v>0.64500000000000002</v>
      </c>
      <c r="B146">
        <f t="shared" ref="B146:B209" si="103">1/(1+EXP(-($A146-$B$7)/$B$8))</f>
        <v>0.30787498466405872</v>
      </c>
      <c r="C146">
        <f>(D146-$D$17)*FixedParams!$B$47+$A146*$B$9</f>
        <v>-1.6118647787966605</v>
      </c>
      <c r="D146">
        <f>(A146-$B$6)*FixedParams!$B$46/(FixedParams!$B$45*Sectors!$B$6)</f>
        <v>7.8785957334457188E-2</v>
      </c>
      <c r="E146">
        <f t="shared" ref="E146:E209" si="104">EXP(C146)</f>
        <v>0.19951521521936219</v>
      </c>
      <c r="F146" s="24">
        <f>EXP(-$D$17)*(($B146*FixedParams!$B$30)^$B$10*(1+FixedParams!$B$23)^(1-$B$10)+(1-$B146)^$B$10*((1+FixedParams!$B$26)/$B$11)^(1-$B$10))^(1/(1-$B$10))</f>
        <v>5.0118218564517667</v>
      </c>
      <c r="G146" s="24">
        <f>EXP($D146-$D$17)*(($B146*FixedParams!$B$31)^$B$10*(1+FixedParams!$B$25)^(1-$B$10)+(1-$B146)^$B$10*((1+FixedParams!$B$28)/$B$11)^(1-$B$10))^(1/(1-$B$10))</f>
        <v>5.1946058594024569</v>
      </c>
      <c r="H146">
        <f t="shared" ref="H146:H209" si="105">IF(G146&lt;=F146,1,0)</f>
        <v>0</v>
      </c>
      <c r="I146" s="24">
        <f>$B$12*IF(H146=1,1,FixedParams!$B$52)</f>
        <v>0.39101505882574561</v>
      </c>
      <c r="J146">
        <f>EXP($C146*FixedParams!$B$47)*EXP(IF(H146=1,(1-FixedParams!$B$47)*$D146,0))*($B146^((FixedParams!$B$47-1)*$B$10/($B$10-1)))*((1/$B146-1)^$B$10*(I146)^($B$10-1)+1)^((FixedParams!$B$47-$B$10)/($B$10-1))/((1+IF(H146=1,FixedParams!$B$25,FixedParams!$B$24))^FixedParams!$B$47)</f>
        <v>5.9813991939161315E-2</v>
      </c>
      <c r="K146">
        <f t="shared" si="87"/>
        <v>1.2060045421308665</v>
      </c>
      <c r="L146">
        <f>K146*FixedParams!$B$8/K$15</f>
        <v>35.062326120575278</v>
      </c>
      <c r="M146">
        <f t="shared" si="94"/>
        <v>28.896561273852189</v>
      </c>
      <c r="N146">
        <f t="shared" ref="N146:N209" si="106">L146+M146</f>
        <v>63.958887394427464</v>
      </c>
      <c r="O146" s="24">
        <f t="shared" ref="O146:O209" si="107">M146/L146</f>
        <v>0.8241484371139628</v>
      </c>
      <c r="P146" s="24">
        <f t="shared" si="95"/>
        <v>1.9596978180246452</v>
      </c>
      <c r="Q146" s="23">
        <f>IF(H146=1,L146*(1+FixedParams!$B$25)+M146*FixedParams!$B$33*(1+FixedParams!$B$28)/FixedParams!$B$32,L146*(1+FixedParams!$B$23)+M146*FixedParams!$B$33*(1+FixedParams!$B$26)/FixedParams!$B$32)</f>
        <v>117.29945393716223</v>
      </c>
      <c r="R146" s="24">
        <f t="shared" si="96"/>
        <v>23.404553732523734</v>
      </c>
      <c r="S146" s="24">
        <f>R146^((FixedParams!$B$47-1)/FixedParams!$B$47)*EXP($C146)</f>
        <v>0.1988865205326725</v>
      </c>
      <c r="T146" s="7">
        <f>(L146*FixedParams!$B$32*(FixedParams!$C$25-FixedParams!$C$23)+FixedParams!$B$33*(FixedParams!$C$28-FixedParams!$C$26)*M146)/N146</f>
        <v>1761.4430268919914</v>
      </c>
      <c r="U146" s="7">
        <f>(L146*FixedParams!$B$32*(FixedParams!$C$25-FixedParams!$C$23)*$Z$12/$B$11+FixedParams!$B$33*(FixedParams!$C$28-FixedParams!$C$26)*M146)/N146</f>
        <v>1210.8664046719107</v>
      </c>
      <c r="V146" s="14">
        <f t="shared" si="97"/>
        <v>-0.74560458294985432</v>
      </c>
      <c r="W146" s="14">
        <f t="shared" ref="W146:W177" si="108">N146/(N$15*COUNT($N$17:$N$217))+W145</f>
        <v>0.8339539095738796</v>
      </c>
      <c r="X146" s="73">
        <f t="shared" ref="X146:X209" si="109">AM146/R146</f>
        <v>0.9385178719914179</v>
      </c>
      <c r="Y146" s="24">
        <f>EXP(-$D$17)*(($B146*FixedParams!$B$30)^$B$10*(1+FixedParams!$C$24)^(1-$B$10)+(1-$B146)^$B$10*((1+FixedParams!$C$27)/$Z$12)^(1-$B$10))^(1/(1-$B$10))</f>
        <v>6.7201703383320481</v>
      </c>
      <c r="Z146" s="24">
        <f>EXP($D146-$D$17)*(($B146*FixedParams!$C$31)^$B$10*(1+FixedParams!$C$25)^(1-$B$10)+(1-$B146)^$B$10*((1+FixedParams!$C$28)/$Z$12)^(1-$B$10))^(1/(1-$B$10))</f>
        <v>6.440315111936342</v>
      </c>
      <c r="AA146" s="24">
        <f>EXP($D146-$D$17)*(($B146*FixedParams!$C$30)^$B$10*(1+FixedParams!$C$23)^(1-$B$10)+(1-$B146)^$B$10*((1+FixedParams!$C$26)/$Z$12)^(1-$B$10))^(1/(1-$B$10))</f>
        <v>6.3067870913241775</v>
      </c>
      <c r="AB146">
        <f>IF(FixedParams!$I$6=1,IF(Z146&lt;=MIN(Y146:AA146),1,0),$H146)</f>
        <v>0</v>
      </c>
      <c r="AC146">
        <f>IF(FixedParams!$I$6=1,IF(AA146&lt;=MIN(Y146:AA146),1,0),IF(AA146&lt;=Y146,1,0)*(1-$H146))</f>
        <v>1</v>
      </c>
      <c r="AD146" s="24">
        <f>$Z$13*IF(AB146=1,1,IF(AC146=1,FixedParams!$C$52,FixedParams!$C$53))</f>
        <v>0.34709202255780691</v>
      </c>
      <c r="AE146">
        <f>EXP($C146*FixedParams!$B$47)*EXP(IF(AB146+AC146=1,(1-FixedParams!$B$47)*$D146,0))*($B146^((FixedParams!$B$47-1)*$B$10/($B$10-1)))*((1/$B146-1)^$B$10*(AD146)^($B$10-1)+1)^((FixedParams!$B$47-$B$10)/($B$10-1))/((1+IF(AB146=1,FixedParams!$C$25,IF(AC146=1,FixedParams!$C$23,FixedParams!$C$24)))^FixedParams!$B$47)</f>
        <v>5.8002121260476214E-2</v>
      </c>
      <c r="AF146">
        <f t="shared" ref="AF146:AF209" si="110">AE146/AE$17</f>
        <v>1.7091590085732746</v>
      </c>
      <c r="AG146">
        <f t="shared" ref="AG146:AG209" si="111">AF146*$Z$9/$AF$15</f>
        <v>40.145520485844685</v>
      </c>
      <c r="AH146">
        <f t="shared" si="98"/>
        <v>27.670643270138957</v>
      </c>
      <c r="AI146">
        <f t="shared" ref="AI146:AI209" si="112">AG146+AH146</f>
        <v>67.816163755983638</v>
      </c>
      <c r="AJ146" s="24">
        <f t="shared" ref="AJ146:AJ209" si="113">AH146/AG146</f>
        <v>0.68925855077394327</v>
      </c>
      <c r="AK146" s="24">
        <f t="shared" ref="AK146:AK209" si="114">IF(AB146=1,Z146,IF(AC146=1,AA146,Y146))*$Z$12</f>
        <v>2.106427923391653</v>
      </c>
      <c r="AL146" s="23">
        <f>IF(AB146=1,AG146*(1+FixedParams!$C$25)+AH146*(1+FixedParams!$C$28)/$Z$12,IF(AC146=1,AG146*(1+FixedParams!$C$23)+AH146*(1+FixedParams!$C$26)/$Z$12,AG146*(1+FixedParams!$C$24)+AH146*(1+FixedParams!$C$27)/$Z$12))</f>
        <v>138.5323118515779</v>
      </c>
      <c r="AM146" s="24">
        <f t="shared" ref="AM146:AM209" si="115">AL146*$Z$12/AK146</f>
        <v>21.965591963956971</v>
      </c>
      <c r="AN146" s="24">
        <f>AM146^((FixedParams!$B$47-1)/FixedParams!$B$47)*EXP($C146)</f>
        <v>0.19889915358849181</v>
      </c>
      <c r="AO146" s="24">
        <f t="shared" ref="AO146:AO209" si="116">LN(AI146/$N146)</f>
        <v>5.8560077533042376E-2</v>
      </c>
      <c r="AP146" s="24">
        <f t="shared" ref="AP146:AP209" si="117">LN(AM146/$R146)</f>
        <v>-6.3453379992067308E-2</v>
      </c>
      <c r="AQ146" s="14">
        <f t="shared" ref="AQ146:AQ209" si="118">LN(AD146/AJ146)</f>
        <v>-0.68602651625759481</v>
      </c>
      <c r="AS146" s="24">
        <f>EXP(-$D$17)*(($B146*FixedParams!$B$30)^$B$10*(1+FixedParams!$D$24)^(1-$B$10)+(1-$B146)^$B$10*((1+FixedParams!$D$27)/$AT$12)^(1-$B$10))^(1/(1-$B$10))</f>
        <v>6.2504576119214041</v>
      </c>
      <c r="AT146" s="24">
        <f>EXP($D146-$D$17)*(($B146*FixedParams!$C$31)^$B$10*(1+FixedParams!$D$25)^(1-$B$10)+(1-$B146)^$B$10*((1+FixedParams!$D$28)/$AT$12)^(1-$B$10))^(1/(1-$B$10))</f>
        <v>6.2360136078135504</v>
      </c>
      <c r="AU146" s="24">
        <f>EXP($D146-$D$17)*(($B146*FixedParams!$C$30)^$B$10*(1+FixedParams!$D$23)^(1-$B$10)+(1-$B146)^$B$10*((1+FixedParams!$D$26)/$AT$12)^(1-$B$10))^(1/(1-$B$10))</f>
        <v>6.1088057050153104</v>
      </c>
      <c r="AV146">
        <f>IF(FixedParams!$I$6=1,IF(AT146&lt;=MIN(AS146:AU146),1,0),$H146)</f>
        <v>0</v>
      </c>
      <c r="AW146">
        <f>IF(FixedParams!$I$6=1,IF(AU146&lt;=MIN(AS146:AU146),1,0),IF(AU146&lt;=AS146,1,0)*(1-$H146))</f>
        <v>1</v>
      </c>
      <c r="AX146" s="24">
        <f>$AT$13*IF(AV146=1,1,IF(AW146=1,FixedParams!$D$52,FixedParams!$D$53))</f>
        <v>0.3451899269505756</v>
      </c>
      <c r="AY146">
        <f>EXP($C146*FixedParams!$B$47)*EXP(IF(AV146+AW146=1,(1-FixedParams!$B$47)*$D146,0))*($B146^((FixedParams!$B$47-1)*$B$10/($B$10-1)))*((1/$B146-1)^$B$10*(AX146)^($B$10-1)+1)^((FixedParams!$B$47-$B$10)/($B$10-1))/((1+IF(AV146=1,FixedParams!$D$25,IF(AW146=1,FixedParams!$D$23,FixedParams!$D$24)))^FixedParams!$B$47)</f>
        <v>6.0209030465603587E-2</v>
      </c>
      <c r="AZ146">
        <f t="shared" si="99"/>
        <v>1.6212835381059869</v>
      </c>
      <c r="BA146">
        <f t="shared" ref="BA146:BA209" si="119">AZ146*$AT$9/$AZ$15</f>
        <v>40.791276983615127</v>
      </c>
      <c r="BB146">
        <f t="shared" si="100"/>
        <v>27.884938221043178</v>
      </c>
      <c r="BC146">
        <f t="shared" ref="BC146:BC209" si="120">BA146+BB146</f>
        <v>68.676215204658305</v>
      </c>
      <c r="BD146" s="24">
        <f t="shared" ref="BD146:BD209" si="121">BB146/BA146</f>
        <v>0.6836005215586628</v>
      </c>
      <c r="BE146" s="24">
        <f t="shared" ref="BE146:BE209" si="122">IF(AV146=1,AT146,IF(AW146=1,AU146,AS146))*$AT$12</f>
        <v>2.0686111822694095</v>
      </c>
      <c r="BF146" s="23">
        <f>IF(AV146=1,BA146*(1+FixedParams!$C$25)+BB146*(1+FixedParams!$C$28)/$AT$12,IF(AW146=1,BA146*(1+FixedParams!$C$23)+BB146*(1+FixedParams!$C$26)/$AT$12,BA146*(1+FixedParams!$C$24)+BB146*(1+FixedParams!$C$27)/$AT$12))</f>
        <v>138.72157851309154</v>
      </c>
      <c r="BG146" s="24">
        <f t="shared" ref="BG146:BG209" si="123">BF146*$AT$12/BE146</f>
        <v>22.708461393558736</v>
      </c>
      <c r="BH146" s="24">
        <f>BG146^((FixedParams!$B$47-1)/FixedParams!$B$47)*EXP($C146)</f>
        <v>0.19889253161595916</v>
      </c>
      <c r="BI146" s="7"/>
      <c r="BJ146" s="24">
        <f>EXP(-$D$17)*(($B146*FixedParams!$B$30)^$B$10*(1+FixedParams!$C$24)^(1-$B$10)+(1-$B146)^$B$10*((1+FixedParams!$C$27)/$BK$12)^(1-$B$10))^(1/(1-$B$10))</f>
        <v>6.9600713244479229</v>
      </c>
      <c r="BK146" s="24">
        <f>EXP($D146-$D$17)*(($B146*FixedParams!$C$31)^$B$10*(1+FixedParams!$C$25)^(1-$B$10)+(1-$B146)^$B$10*((1+FixedParams!$C$28)/$BK$12)^(1-$B$10))^(1/(1-$B$10))</f>
        <v>6.6665574452280261</v>
      </c>
      <c r="BL146" s="24">
        <f>EXP($D146-$D$17)*(($B146*FixedParams!$C$30)^$B$10*(1+FixedParams!$C$23)^(1-$B$10)+(1-$B146)^$B$10*((1+FixedParams!$C$26)/$BK$12)^(1-$B$10))^(1/(1-$B$10))</f>
        <v>6.5204639581974808</v>
      </c>
      <c r="BM146">
        <f>IF(FixedParams!$I$6=1,IF(BK146&lt;=MIN(BJ146:BL146),1,0),$H146)</f>
        <v>0</v>
      </c>
      <c r="BN146">
        <f>IF(FixedParams!$I$6=1,IF(BL146&lt;=MIN(BJ146:BL146),1,0),IF(BL146&lt;=BJ146,1,0)*(1-$H146))</f>
        <v>1</v>
      </c>
      <c r="BO146" s="24">
        <f>$BK$13*IF(BM146=1,1,IF(BN146=1,FixedParams!$C$52,FixedParams!$C$53))</f>
        <v>0.33006170822567266</v>
      </c>
      <c r="BP146">
        <f>EXP($C146*FixedParams!$B$47)*EXP(IF(BM146+BN146=1,(1-FixedParams!$B$47)*$D146,0))*($B146^((FixedParams!$B$47-1)*$B$10/($B$10-1)))*((1/$B146-1)^$B$10*(BO146)^($B$10-1)+1)^((FixedParams!$B$47-$B$10)/($B$10-1))/((1+IF(BM146=1,FixedParams!$C$25,IF(BN146=1,FixedParams!$C$23,FixedParams!$C$24)))^FixedParams!$B$47)</f>
        <v>5.8978471295590286E-2</v>
      </c>
      <c r="BQ146">
        <f t="shared" ref="BQ146:BQ209" si="124">BP146/BP$17</f>
        <v>1.696678049751237</v>
      </c>
      <c r="BR146">
        <f t="shared" ref="BR146:BR209" si="125">BQ146*$BK$9/$BQ$15</f>
        <v>43.272346499041305</v>
      </c>
      <c r="BS146">
        <f t="shared" si="101"/>
        <v>27.657847325470428</v>
      </c>
      <c r="BT146">
        <f t="shared" ref="BT146:BT209" si="126">BR146+BS146</f>
        <v>70.930193824511733</v>
      </c>
      <c r="BU146" s="24">
        <f t="shared" ref="BU146:BU209" si="127">BS146/BR146</f>
        <v>0.63915755818980569</v>
      </c>
      <c r="BV146" s="24">
        <f t="shared" ref="BV146:BV209" si="128">IF(BM146=1,BK146,IF(BN146=1,BL146,BJ146))*$BK$12</f>
        <v>2.0709396484622826</v>
      </c>
      <c r="BW146" s="23">
        <f>IF(BM146=1,BR146*(1+FixedParams!$C$25)+BS146*(1+FixedParams!$C$28)/$BK$12,IF(BN146=1,BR146*(1+FixedParams!$C$23)+BS146*(1+FixedParams!$C$26)/$BK$12,BR146*(1+FixedParams!$C$24)+BS146*(1+FixedParams!$C$27)/$BK$12))</f>
        <v>146.8551802425749</v>
      </c>
      <c r="BX146" s="24">
        <f t="shared" ref="BX146:BX209" si="129">BW146*$BK$12/BV146</f>
        <v>22.522197988373147</v>
      </c>
      <c r="BY146" s="24">
        <f>BX146^((FixedParams!$B$47-1)/FixedParams!$B$47)*EXP($C146)</f>
        <v>0.19889417138184773</v>
      </c>
      <c r="BZ146" s="24">
        <f t="shared" ref="BZ146:BZ209" si="130">LN(BT146/$N146)</f>
        <v>0.10345571534679328</v>
      </c>
      <c r="CA146" s="24">
        <f t="shared" ref="CA146:CA209" si="131">LN(BX146/$R146)</f>
        <v>-3.842920726085769E-2</v>
      </c>
      <c r="CB146" s="24">
        <f t="shared" ref="CB146:CB209" si="132">CA146-LN($BY$15/$S$15)</f>
        <v>-2.1100751341450438E-2</v>
      </c>
      <c r="CC146" s="24"/>
      <c r="CD146" s="24">
        <f>EXP(-$D$17)*(($B146*FixedParams!$B$30)^$B$10*(1+FixedParams!$D$24)^(1-$B$10)+(1-$B146)^$B$10*((1+FixedParams!$D$27)/$CE$12)^(1-$B$10))^(1/(1-$B$10))</f>
        <v>6.456150680932538</v>
      </c>
      <c r="CE146" s="24">
        <f>EXP($D146-$D$17)*(($B146*FixedParams!$D$31)^$B$10*(1+FixedParams!$D$25)^(1-$B$10)+(1-$B146)^$B$10*((1+FixedParams!$D$28)/$CE$12)^(1-$B$10))^(1/(1-$B$10))</f>
        <v>6.438970979842626</v>
      </c>
      <c r="CF146" s="24">
        <f>EXP($D146-$D$17)*(($B146*FixedParams!$D$30)^$B$10*(1+FixedParams!$D$23)^(1-$B$10)+(1-$B146)^$B$10*((1+FixedParams!$D$26)/$CE$12)^(1-$B$10))^(1/(1-$B$10))</f>
        <v>6.3019261556862505</v>
      </c>
      <c r="CG146">
        <f>IF(FixedParams!$I$6=1,IF(CE146&lt;=MIN(CD146:CF146),1,0),$H146)</f>
        <v>0</v>
      </c>
      <c r="CH146">
        <f>IF(FixedParams!$I$6=1,IF(CF146&lt;=MIN(CD146:CF146),1,0),IF(CF146&lt;=CD146,1,0)*(1-$H146))</f>
        <v>1</v>
      </c>
      <c r="CI146" s="24">
        <f>$CE$13*IF(CG146=1,1,IF(CH146=1,FixedParams!$D$52,FixedParams!$D$53))</f>
        <v>0.32933267593211629</v>
      </c>
      <c r="CJ146">
        <f>EXP($C146*FixedParams!$B$47)*EXP(IF(CG146+CH146=1,(1-FixedParams!$B$47)*$D146,0))*($B146^((FixedParams!$B$47-1)*$B$10/($B$10-1)))*((1/$B146-1)^$B$10*(CI146)^($B$10-1)+1)^((FixedParams!$B$47-$B$10)/($B$10-1))/((1+IF(CG146=1,FixedParams!$D$25,IF(CH146=1,FixedParams!$D$23,FixedParams!$D$24)))^FixedParams!$B$47)</f>
        <v>6.1155236456585098E-2</v>
      </c>
      <c r="CK146">
        <f t="shared" ref="CK146:CK209" si="133">CJ146/CJ$17</f>
        <v>1.6102394034829339</v>
      </c>
      <c r="CL146">
        <f t="shared" si="88"/>
        <v>43.992194234254391</v>
      </c>
      <c r="CM146">
        <f t="shared" si="102"/>
        <v>28.024835560178357</v>
      </c>
      <c r="CN146">
        <f t="shared" si="89"/>
        <v>72.017029794432744</v>
      </c>
      <c r="CO146" s="24">
        <f t="shared" si="90"/>
        <v>0.63704109440299073</v>
      </c>
      <c r="CP146" s="24">
        <f t="shared" si="91"/>
        <v>2.0359756264959827</v>
      </c>
      <c r="CQ146" s="23">
        <f>IF(CG146=1,CL146*(1+FixedParams!$D$25)+CM146*(1+FixedParams!$D$28)/$CE$12,IF(CH146=1,CL146*(1+FixedParams!$D$23)+CM146*(1+FixedParams!$D$26)/$CE$12,CL146*(1+FixedParams!$D$24)+CM146*(1+FixedParams!$D$27)/$CE$12))</f>
        <v>143.97911690176355</v>
      </c>
      <c r="CR146" s="24">
        <f t="shared" si="92"/>
        <v>22.846842908790784</v>
      </c>
      <c r="CS146" s="24">
        <f>CR146^((FixedParams!$B$47-1)/FixedParams!$B$47)*EXP($C146)</f>
        <v>0.19889132207068744</v>
      </c>
      <c r="CT146" s="24"/>
    </row>
    <row r="147" spans="1:98" x14ac:dyDescent="0.15">
      <c r="A147">
        <v>0.65</v>
      </c>
      <c r="B147">
        <f t="shared" si="103"/>
        <v>0.31033383843482637</v>
      </c>
      <c r="C147">
        <f>(D147-$D$17)*FixedParams!$B$47+$A147*$B$9</f>
        <v>-1.6243598546012858</v>
      </c>
      <c r="D147">
        <f>(A147-$B$6)*FixedParams!$B$46/(FixedParams!$B$45*Sectors!$B$6)</f>
        <v>8.1502714483921226E-2</v>
      </c>
      <c r="E147">
        <f t="shared" si="104"/>
        <v>0.19703776766147638</v>
      </c>
      <c r="F147" s="24">
        <f>EXP(-$D$17)*(($B147*FixedParams!$B$30)^$B$10*(1+FixedParams!$B$23)^(1-$B$10)+(1-$B147)^$B$10*((1+FixedParams!$B$26)/$B$11)^(1-$B$10))^(1/(1-$B$10))</f>
        <v>5.0093011310775779</v>
      </c>
      <c r="G147" s="24">
        <f>EXP($D147-$D$17)*(($B147*FixedParams!$B$31)^$B$10*(1+FixedParams!$B$25)^(1-$B$10)+(1-$B147)^$B$10*((1+FixedParams!$B$28)/$B$11)^(1-$B$10))^(1/(1-$B$10))</f>
        <v>5.2052701551838298</v>
      </c>
      <c r="H147">
        <f t="shared" si="105"/>
        <v>0</v>
      </c>
      <c r="I147" s="24">
        <f>$B$12*IF(H147=1,1,FixedParams!$B$52)</f>
        <v>0.39101505882574561</v>
      </c>
      <c r="J147">
        <f>EXP($C147*FixedParams!$B$47)*EXP(IF(H147=1,(1-FixedParams!$B$47)*$D147,0))*($B147^((FixedParams!$B$47-1)*$B$10/($B$10-1)))*((1/$B147-1)^$B$10*(I147)^($B$10-1)+1)^((FixedParams!$B$47-$B$10)/($B$10-1))/((1+IF(H147=1,FixedParams!$B$25,FixedParams!$B$24))^FixedParams!$B$47)</f>
        <v>5.9766015806418167E-2</v>
      </c>
      <c r="K147">
        <f t="shared" ref="K147:K210" si="134">J147/J$17</f>
        <v>1.2050372194004098</v>
      </c>
      <c r="L147">
        <f>K147*FixedParams!$B$8/K$15</f>
        <v>35.034203021652957</v>
      </c>
      <c r="M147">
        <f t="shared" si="94"/>
        <v>28.379003689518857</v>
      </c>
      <c r="N147">
        <f t="shared" si="106"/>
        <v>63.41320671117181</v>
      </c>
      <c r="O147" s="24">
        <f t="shared" si="107"/>
        <v>0.81003708495892313</v>
      </c>
      <c r="P147" s="24">
        <f t="shared" si="95"/>
        <v>1.9587121764441731</v>
      </c>
      <c r="Q147" s="23">
        <f>IF(H147=1,L147*(1+FixedParams!$B$25)+M147*FixedParams!$B$33*(1+FixedParams!$B$28)/FixedParams!$B$32,L147*(1+FixedParams!$B$23)+M147*FixedParams!$B$33*(1+FixedParams!$B$26)/FixedParams!$B$32)</f>
        <v>115.84429634580434</v>
      </c>
      <c r="R147" s="24">
        <f t="shared" si="96"/>
        <v>23.125839975382842</v>
      </c>
      <c r="S147" s="24">
        <f>R147^((FixedParams!$B$47-1)/FixedParams!$B$47)*EXP($C147)</f>
        <v>0.19641923513229112</v>
      </c>
      <c r="T147" s="7">
        <f>(L147*FixedParams!$B$32*(FixedParams!$C$25-FixedParams!$C$23)+FixedParams!$B$33*(FixedParams!$C$28-FixedParams!$C$26)*M147)/N147</f>
        <v>1809.9297806034554</v>
      </c>
      <c r="U147" s="7">
        <f>(L147*FixedParams!$B$32*(FixedParams!$C$25-FixedParams!$C$23)*$Z$12/$B$11+FixedParams!$B$33*(FixedParams!$C$28-FixedParams!$C$26)*M147)/N147</f>
        <v>1255.0607708577036</v>
      </c>
      <c r="V147" s="14">
        <f t="shared" si="97"/>
        <v>-0.72833395765377074</v>
      </c>
      <c r="W147" s="14">
        <f t="shared" si="108"/>
        <v>0.83706419240986807</v>
      </c>
      <c r="X147" s="73">
        <f t="shared" si="109"/>
        <v>0.93639981389017213</v>
      </c>
      <c r="Y147" s="24">
        <f>EXP(-$D$17)*(($B147*FixedParams!$B$30)^$B$10*(1+FixedParams!$C$24)^(1-$B$10)+(1-$B147)^$B$10*((1+FixedParams!$C$27)/$Z$12)^(1-$B$10))^(1/(1-$B$10))</f>
        <v>6.7218264531307774</v>
      </c>
      <c r="Z147" s="24">
        <f>EXP($D147-$D$17)*(($B147*FixedParams!$C$31)^$B$10*(1+FixedParams!$C$25)^(1-$B$10)+(1-$B147)^$B$10*((1+FixedParams!$C$28)/$Z$12)^(1-$B$10))^(1/(1-$B$10))</f>
        <v>6.4569917461362634</v>
      </c>
      <c r="AA147" s="24">
        <f>EXP($D147-$D$17)*(($B147*FixedParams!$C$30)^$B$10*(1+FixedParams!$C$23)^(1-$B$10)+(1-$B147)^$B$10*((1+FixedParams!$C$26)/$Z$12)^(1-$B$10))^(1/(1-$B$10))</f>
        <v>6.3178875945215944</v>
      </c>
      <c r="AB147">
        <f>IF(FixedParams!$I$6=1,IF(Z147&lt;=MIN(Y147:AA147),1,0),$H147)</f>
        <v>0</v>
      </c>
      <c r="AC147">
        <f>IF(FixedParams!$I$6=1,IF(AA147&lt;=MIN(Y147:AA147),1,0),IF(AA147&lt;=Y147,1,0)*(1-$H147))</f>
        <v>1</v>
      </c>
      <c r="AD147" s="24">
        <f>$Z$13*IF(AB147=1,1,IF(AC147=1,FixedParams!$C$52,FixedParams!$C$53))</f>
        <v>0.34709202255780691</v>
      </c>
      <c r="AE147">
        <f>EXP($C147*FixedParams!$B$47)*EXP(IF(AB147+AC147=1,(1-FixedParams!$B$47)*$D147,0))*($B147^((FixedParams!$B$47-1)*$B$10/($B$10-1)))*((1/$B147-1)^$B$10*(AD147)^($B$10-1)+1)^((FixedParams!$B$47-$B$10)/($B$10-1))/((1+IF(AB147=1,FixedParams!$C$25,IF(AC147=1,FixedParams!$C$23,FixedParams!$C$24)))^FixedParams!$B$47)</f>
        <v>5.7942542189197019E-2</v>
      </c>
      <c r="AF147">
        <f t="shared" si="110"/>
        <v>1.7074033812929901</v>
      </c>
      <c r="AG147">
        <f t="shared" si="111"/>
        <v>40.104283497014137</v>
      </c>
      <c r="AH147">
        <f t="shared" si="98"/>
        <v>27.168920747613136</v>
      </c>
      <c r="AI147">
        <f t="shared" si="112"/>
        <v>67.273204244627266</v>
      </c>
      <c r="AJ147" s="24">
        <f t="shared" si="113"/>
        <v>0.67745682950889596</v>
      </c>
      <c r="AK147" s="24">
        <f t="shared" si="114"/>
        <v>2.1101354228775486</v>
      </c>
      <c r="AL147" s="23">
        <f>IF(AB147=1,AG147*(1+FixedParams!$C$25)+AH147*(1+FixedParams!$C$28)/$Z$12,IF(AC147=1,AG147*(1+FixedParams!$C$23)+AH147*(1+FixedParams!$C$26)/$Z$12,AG147*(1+FixedParams!$C$24)+AH147*(1+FixedParams!$C$27)/$Z$12))</f>
        <v>136.81405960493728</v>
      </c>
      <c r="AM147" s="24">
        <f t="shared" si="115"/>
        <v>21.655032249002396</v>
      </c>
      <c r="AN147" s="24">
        <f>AM147^((FixedParams!$B$47-1)/FixedParams!$B$47)*EXP($C147)</f>
        <v>0.19643215572394665</v>
      </c>
      <c r="AO147" s="24">
        <f t="shared" si="116"/>
        <v>5.9089856000224407E-2</v>
      </c>
      <c r="AP147" s="24">
        <f t="shared" si="117"/>
        <v>-6.5712742115751246E-2</v>
      </c>
      <c r="AQ147" s="14">
        <f t="shared" si="118"/>
        <v>-0.66875589096151111</v>
      </c>
      <c r="AS147" s="24">
        <f>EXP(-$D$17)*(($B147*FixedParams!$B$30)^$B$10*(1+FixedParams!$D$24)^(1-$B$10)+(1-$B147)^$B$10*((1+FixedParams!$D$27)/$AT$12)^(1-$B$10))^(1/(1-$B$10))</f>
        <v>6.2500891532613956</v>
      </c>
      <c r="AT147" s="24">
        <f>EXP($D147-$D$17)*(($B147*FixedParams!$C$31)^$B$10*(1+FixedParams!$D$25)^(1-$B$10)+(1-$B147)^$B$10*((1+FixedParams!$D$28)/$AT$12)^(1-$B$10))^(1/(1-$B$10))</f>
        <v>6.2509999106085177</v>
      </c>
      <c r="AU147" s="24">
        <f>EXP($D147-$D$17)*(($B147*FixedParams!$C$30)^$B$10*(1+FixedParams!$D$23)^(1-$B$10)+(1-$B147)^$B$10*((1+FixedParams!$D$26)/$AT$12)^(1-$B$10))^(1/(1-$B$10))</f>
        <v>6.119427953548719</v>
      </c>
      <c r="AV147">
        <f>IF(FixedParams!$I$6=1,IF(AT147&lt;=MIN(AS147:AU147),1,0),$H147)</f>
        <v>0</v>
      </c>
      <c r="AW147">
        <f>IF(FixedParams!$I$6=1,IF(AU147&lt;=MIN(AS147:AU147),1,0),IF(AU147&lt;=AS147,1,0)*(1-$H147))</f>
        <v>1</v>
      </c>
      <c r="AX147" s="24">
        <f>$AT$13*IF(AV147=1,1,IF(AW147=1,FixedParams!$D$52,FixedParams!$D$53))</f>
        <v>0.3451899269505756</v>
      </c>
      <c r="AY147">
        <f>EXP($C147*FixedParams!$B$47)*EXP(IF(AV147+AW147=1,(1-FixedParams!$B$47)*$D147,0))*($B147^((FixedParams!$B$47-1)*$B$10/($B$10-1)))*((1/$B147-1)^$B$10*(AX147)^($B$10-1)+1)^((FixedParams!$B$47-$B$10)/($B$10-1))/((1+IF(AV147=1,FixedParams!$D$25,IF(AW147=1,FixedParams!$D$23,FixedParams!$D$24)))^FixedParams!$B$47)</f>
        <v>6.014654537322011E-2</v>
      </c>
      <c r="AZ147">
        <f t="shared" si="99"/>
        <v>1.6196009657264794</v>
      </c>
      <c r="BA147">
        <f t="shared" si="119"/>
        <v>40.748943687578794</v>
      </c>
      <c r="BB147">
        <f t="shared" si="100"/>
        <v>27.379039187909097</v>
      </c>
      <c r="BC147">
        <f t="shared" si="120"/>
        <v>68.127982875487888</v>
      </c>
      <c r="BD147" s="24">
        <f t="shared" si="121"/>
        <v>0.67189567901007585</v>
      </c>
      <c r="BE147" s="24">
        <f t="shared" si="122"/>
        <v>2.0722081704792346</v>
      </c>
      <c r="BF147" s="23">
        <f>IF(AV147=1,BA147*(1+FixedParams!$C$25)+BB147*(1+FixedParams!$C$28)/$AT$12,IF(AW147=1,BA147*(1+FixedParams!$C$23)+BB147*(1+FixedParams!$C$26)/$AT$12,BA147*(1+FixedParams!$C$24)+BB147*(1+FixedParams!$C$27)/$AT$12))</f>
        <v>137.01120411990269</v>
      </c>
      <c r="BG147" s="24">
        <f t="shared" si="123"/>
        <v>22.38954444106961</v>
      </c>
      <c r="BH147" s="24">
        <f>BG147^((FixedParams!$B$47-1)/FixedParams!$B$47)*EXP($C147)</f>
        <v>0.19642559704045173</v>
      </c>
      <c r="BI147" s="7"/>
      <c r="BJ147" s="24">
        <f>EXP(-$D$17)*(($B147*FixedParams!$B$30)^$B$10*(1+FixedParams!$C$24)^(1-$B$10)+(1-$B147)^$B$10*((1+FixedParams!$C$27)/$BK$12)^(1-$B$10))^(1/(1-$B$10))</f>
        <v>6.960505330652361</v>
      </c>
      <c r="BK147" s="24">
        <f>EXP($D147-$D$17)*(($B147*FixedParams!$C$31)^$B$10*(1+FixedParams!$C$25)^(1-$B$10)+(1-$B147)^$B$10*((1+FixedParams!$C$28)/$BK$12)^(1-$B$10))^(1/(1-$B$10))</f>
        <v>6.682565651689516</v>
      </c>
      <c r="BL147" s="24">
        <f>EXP($D147-$D$17)*(($B147*FixedParams!$C$30)^$B$10*(1+FixedParams!$C$23)^(1-$B$10)+(1-$B147)^$B$10*((1+FixedParams!$C$26)/$BK$12)^(1-$B$10))^(1/(1-$B$10))</f>
        <v>6.5306677210438639</v>
      </c>
      <c r="BM147">
        <f>IF(FixedParams!$I$6=1,IF(BK147&lt;=MIN(BJ147:BL147),1,0),$H147)</f>
        <v>0</v>
      </c>
      <c r="BN147">
        <f>IF(FixedParams!$I$6=1,IF(BL147&lt;=MIN(BJ147:BL147),1,0),IF(BL147&lt;=BJ147,1,0)*(1-$H147))</f>
        <v>1</v>
      </c>
      <c r="BO147" s="24">
        <f>$BK$13*IF(BM147=1,1,IF(BN147=1,FixedParams!$C$52,FixedParams!$C$53))</f>
        <v>0.33006170822567266</v>
      </c>
      <c r="BP147">
        <f>EXP($C147*FixedParams!$B$47)*EXP(IF(BM147+BN147=1,(1-FixedParams!$B$47)*$D147,0))*($B147^((FixedParams!$B$47-1)*$B$10/($B$10-1)))*((1/$B147-1)^$B$10*(BO147)^($B$10-1)+1)^((FixedParams!$B$47-$B$10)/($B$10-1))/((1+IF(BM147=1,FixedParams!$C$25,IF(BN147=1,FixedParams!$C$23,FixedParams!$C$24)))^FixedParams!$B$47)</f>
        <v>5.891213712406413E-2</v>
      </c>
      <c r="BQ147">
        <f t="shared" si="124"/>
        <v>1.694769764739698</v>
      </c>
      <c r="BR147">
        <f t="shared" si="125"/>
        <v>43.223677294974955</v>
      </c>
      <c r="BS147">
        <f t="shared" si="101"/>
        <v>27.153705519258988</v>
      </c>
      <c r="BT147">
        <f t="shared" si="126"/>
        <v>70.37738281423394</v>
      </c>
      <c r="BU147" s="24">
        <f t="shared" si="127"/>
        <v>0.62821368330028204</v>
      </c>
      <c r="BV147" s="24">
        <f t="shared" si="128"/>
        <v>2.0741804265997823</v>
      </c>
      <c r="BW147" s="23">
        <f>IF(BM147=1,BR147*(1+FixedParams!$C$25)+BS147*(1+FixedParams!$C$28)/$BK$12,IF(BN147=1,BR147*(1+FixedParams!$C$23)+BS147*(1+FixedParams!$C$26)/$BK$12,BR147*(1+FixedParams!$C$24)+BS147*(1+FixedParams!$C$27)/$BK$12))</f>
        <v>145.03366903309109</v>
      </c>
      <c r="BX147" s="24">
        <f t="shared" si="129"/>
        <v>22.20809191772949</v>
      </c>
      <c r="BY147" s="24">
        <f>BX147^((FixedParams!$B$47-1)/FixedParams!$B$47)*EXP($C147)</f>
        <v>0.19642719703286929</v>
      </c>
      <c r="BZ147" s="24">
        <f t="shared" si="130"/>
        <v>0.10419979720615763</v>
      </c>
      <c r="CA147" s="24">
        <f t="shared" si="131"/>
        <v>-4.0493882736032265E-2</v>
      </c>
      <c r="CB147" s="24">
        <f t="shared" si="132"/>
        <v>-2.3165426816625014E-2</v>
      </c>
      <c r="CC147" s="24"/>
      <c r="CD147" s="24">
        <f>EXP(-$D$17)*(($B147*FixedParams!$B$30)^$B$10*(1+FixedParams!$D$24)^(1-$B$10)+(1-$B147)^$B$10*((1+FixedParams!$D$27)/$CE$12)^(1-$B$10))^(1/(1-$B$10))</f>
        <v>6.4546421010038788</v>
      </c>
      <c r="CE147" s="24">
        <f>EXP($D147-$D$17)*(($B147*FixedParams!$D$31)^$B$10*(1+FixedParams!$D$25)^(1-$B$10)+(1-$B147)^$B$10*((1+FixedParams!$D$28)/$CE$12)^(1-$B$10))^(1/(1-$B$10))</f>
        <v>6.4533029067094549</v>
      </c>
      <c r="CF147" s="24">
        <f>EXP($D147-$D$17)*(($B147*FixedParams!$D$30)^$B$10*(1+FixedParams!$D$23)^(1-$B$10)+(1-$B147)^$B$10*((1+FixedParams!$D$26)/$CE$12)^(1-$B$10))^(1/(1-$B$10))</f>
        <v>6.3117336434693163</v>
      </c>
      <c r="CG147">
        <f>IF(FixedParams!$I$6=1,IF(CE147&lt;=MIN(CD147:CF147),1,0),$H147)</f>
        <v>0</v>
      </c>
      <c r="CH147">
        <f>IF(FixedParams!$I$6=1,IF(CF147&lt;=MIN(CD147:CF147),1,0),IF(CF147&lt;=CD147,1,0)*(1-$H147))</f>
        <v>1</v>
      </c>
      <c r="CI147" s="24">
        <f>$CE$13*IF(CG147=1,1,IF(CH147=1,FixedParams!$D$52,FixedParams!$D$53))</f>
        <v>0.32933267593211629</v>
      </c>
      <c r="CJ147">
        <f>EXP($C147*FixedParams!$B$47)*EXP(IF(CG147+CH147=1,(1-FixedParams!$B$47)*$D147,0))*($B147^((FixedParams!$B$47-1)*$B$10/($B$10-1)))*((1/$B147-1)^$B$10*(CI147)^($B$10-1)+1)^((FixedParams!$B$47-$B$10)/($B$10-1))/((1+IF(CG147=1,FixedParams!$D$25,IF(CH147=1,FixedParams!$D$23,FixedParams!$D$24)))^FixedParams!$B$47)</f>
        <v>6.1086190802697532E-2</v>
      </c>
      <c r="CK147">
        <f t="shared" si="133"/>
        <v>1.608421406546434</v>
      </c>
      <c r="CL147">
        <f t="shared" ref="CL147:CL210" si="135">CK147*$CE$9/$CK$15</f>
        <v>43.942526045676466</v>
      </c>
      <c r="CM147">
        <f t="shared" si="102"/>
        <v>27.513885800832053</v>
      </c>
      <c r="CN147">
        <f t="shared" ref="CN147:CN210" si="136">CL147+CM147</f>
        <v>71.456411846508516</v>
      </c>
      <c r="CO147" s="24">
        <f t="shared" ref="CO147:CO210" si="137">CM147/CL147</f>
        <v>0.62613345833219713</v>
      </c>
      <c r="CP147" s="24">
        <f t="shared" ref="CP147:CP210" si="138">IF(CG147=1,CE147,IF(CH147=1,CF147,CD147))*$CE$12</f>
        <v>2.0391441507836663</v>
      </c>
      <c r="CQ147" s="23">
        <f>IF(CG147=1,CL147*(1+FixedParams!$D$25)+CM147*(1+FixedParams!$D$28)/$CE$12,IF(CH147=1,CL147*(1+FixedParams!$D$23)+CM147*(1+FixedParams!$D$26)/$CE$12,CL147*(1+FixedParams!$D$24)+CM147*(1+FixedParams!$D$27)/$CE$12))</f>
        <v>142.19327758343275</v>
      </c>
      <c r="CR147" s="24">
        <f t="shared" ref="CR147:CR210" si="139">CQ147*$CE$12/CP147</f>
        <v>22.528402752001206</v>
      </c>
      <c r="CS147" s="24">
        <f>CR147^((FixedParams!$B$47-1)/FixedParams!$B$47)*EXP($C147)</f>
        <v>0.19642438137351007</v>
      </c>
      <c r="CT147" s="24"/>
    </row>
    <row r="148" spans="1:98" x14ac:dyDescent="0.15">
      <c r="A148">
        <v>0.65500000000000003</v>
      </c>
      <c r="B148">
        <f t="shared" si="103"/>
        <v>0.31280345472587667</v>
      </c>
      <c r="C148">
        <f>(D148-$D$17)*FixedParams!$B$47+$A148*$B$9</f>
        <v>-1.636854930405911</v>
      </c>
      <c r="D148">
        <f>(A148-$B$6)*FixedParams!$B$46/(FixedParams!$B$45*Sectors!$B$6)</f>
        <v>8.4219471633385279E-2</v>
      </c>
      <c r="E148">
        <f t="shared" si="104"/>
        <v>0.19459108340349895</v>
      </c>
      <c r="F148" s="24">
        <f>EXP(-$D$17)*(($B148*FixedParams!$B$30)^$B$10*(1+FixedParams!$B$23)^(1-$B$10)+(1-$B148)^$B$10*((1+FixedParams!$B$26)/$B$11)^(1-$B$10))^(1/(1-$B$10))</f>
        <v>5.0065520392230649</v>
      </c>
      <c r="G148" s="24">
        <f>EXP($D148-$D$17)*(($B148*FixedParams!$B$31)^$B$10*(1+FixedParams!$B$25)^(1-$B$10)+(1-$B148)^$B$10*((1+FixedParams!$B$28)/$B$11)^(1-$B$10))^(1/(1-$B$10))</f>
        <v>5.2157120537198374</v>
      </c>
      <c r="H148">
        <f t="shared" si="105"/>
        <v>0</v>
      </c>
      <c r="I148" s="24">
        <f>$B$12*IF(H148=1,1,FixedParams!$B$52)</f>
        <v>0.39101505882574561</v>
      </c>
      <c r="J148">
        <f>EXP($C148*FixedParams!$B$47)*EXP(IF(H148=1,(1-FixedParams!$B$47)*$D148,0))*($B148^((FixedParams!$B$47-1)*$B$10/($B$10-1)))*((1/$B148-1)^$B$10*(I148)^($B$10-1)+1)^((FixedParams!$B$47-$B$10)/($B$10-1))/((1+IF(H148=1,FixedParams!$B$25,FixedParams!$B$24))^FixedParams!$B$47)</f>
        <v>5.9714164495725204E-2</v>
      </c>
      <c r="K148">
        <f t="shared" si="134"/>
        <v>1.2039917630751613</v>
      </c>
      <c r="L148">
        <f>K148*FixedParams!$B$8/K$15</f>
        <v>35.003808334618093</v>
      </c>
      <c r="M148">
        <f t="shared" si="94"/>
        <v>27.868889399197048</v>
      </c>
      <c r="N148">
        <f t="shared" si="106"/>
        <v>62.872697733815144</v>
      </c>
      <c r="O148" s="24">
        <f t="shared" si="107"/>
        <v>0.79616735221450896</v>
      </c>
      <c r="P148" s="24">
        <f t="shared" si="95"/>
        <v>1.9576372401309634</v>
      </c>
      <c r="Q148" s="23">
        <f>IF(H148=1,L148*(1+FixedParams!$B$25)+M148*FixedParams!$B$33*(1+FixedParams!$B$28)/FixedParams!$B$32,L148*(1+FixedParams!$B$23)+M148*FixedParams!$B$33*(1+FixedParams!$B$26)/FixedParams!$B$32)</f>
        <v>114.40718545484832</v>
      </c>
      <c r="R148" s="24">
        <f t="shared" si="96"/>
        <v>22.851492316177431</v>
      </c>
      <c r="S148" s="24">
        <f>R148^((FixedParams!$B$47-1)/FixedParams!$B$47)*EXP($C148)</f>
        <v>0.19398254872729764</v>
      </c>
      <c r="T148" s="7">
        <f>(L148*FixedParams!$B$32*(FixedParams!$C$25-FixedParams!$C$23)+FixedParams!$B$33*(FixedParams!$C$28-FixedParams!$C$26)*M148)/N148</f>
        <v>1858.3287315229491</v>
      </c>
      <c r="U148" s="7">
        <f>(L148*FixedParams!$B$32*(FixedParams!$C$25-FixedParams!$C$23)*$Z$12/$B$11+FixedParams!$B$33*(FixedParams!$C$28-FixedParams!$C$26)*M148)/N148</f>
        <v>1299.1751071705223</v>
      </c>
      <c r="V148" s="14">
        <f t="shared" si="97"/>
        <v>-0.71106333235768693</v>
      </c>
      <c r="W148" s="14">
        <f t="shared" si="108"/>
        <v>0.84014796443080453</v>
      </c>
      <c r="X148" s="73">
        <f t="shared" si="109"/>
        <v>0.93428900556677186</v>
      </c>
      <c r="Y148" s="24">
        <f>EXP(-$D$17)*(($B148*FixedParams!$B$30)^$B$10*(1+FixedParams!$C$24)^(1-$B$10)+(1-$B148)^$B$10*((1+FixedParams!$C$27)/$Z$12)^(1-$B$10))^(1/(1-$B$10))</f>
        <v>6.7232069646891492</v>
      </c>
      <c r="Z148" s="24">
        <f>EXP($D148-$D$17)*(($B148*FixedParams!$C$31)^$B$10*(1+FixedParams!$C$25)^(1-$B$10)+(1-$B148)^$B$10*((1+FixedParams!$C$28)/$Z$12)^(1-$B$10))^(1/(1-$B$10))</f>
        <v>6.4734296700581719</v>
      </c>
      <c r="AA148" s="24">
        <f>EXP($D148-$D$17)*(($B148*FixedParams!$C$30)^$B$10*(1+FixedParams!$C$23)^(1-$B$10)+(1-$B148)^$B$10*((1+FixedParams!$C$26)/$Z$12)^(1-$B$10))^(1/(1-$B$10))</f>
        <v>6.3287006116471005</v>
      </c>
      <c r="AB148">
        <f>IF(FixedParams!$I$6=1,IF(Z148&lt;=MIN(Y148:AA148),1,0),$H148)</f>
        <v>0</v>
      </c>
      <c r="AC148">
        <f>IF(FixedParams!$I$6=1,IF(AA148&lt;=MIN(Y148:AA148),1,0),IF(AA148&lt;=Y148,1,0)*(1-$H148))</f>
        <v>1</v>
      </c>
      <c r="AD148" s="24">
        <f>$Z$13*IF(AB148=1,1,IF(AC148=1,FixedParams!$C$52,FixedParams!$C$53))</f>
        <v>0.34709202255780691</v>
      </c>
      <c r="AE148">
        <f>EXP($C148*FixedParams!$B$47)*EXP(IF(AB148+AC148=1,(1-FixedParams!$B$47)*$D148,0))*($B148^((FixedParams!$B$47-1)*$B$10/($B$10-1)))*((1/$B148-1)^$B$10*(AD148)^($B$10-1)+1)^((FixedParams!$B$47-$B$10)/($B$10-1))/((1+IF(AB148=1,FixedParams!$C$25,IF(AC148=1,FixedParams!$C$23,FixedParams!$C$24)))^FixedParams!$B$47)</f>
        <v>5.7879154189689218E-2</v>
      </c>
      <c r="AF148">
        <f t="shared" si="110"/>
        <v>1.7055355156349796</v>
      </c>
      <c r="AG148">
        <f t="shared" si="111"/>
        <v>40.060410201046743</v>
      </c>
      <c r="AH148">
        <f t="shared" si="98"/>
        <v>26.674511820689048</v>
      </c>
      <c r="AI148">
        <f t="shared" si="112"/>
        <v>66.734922021735798</v>
      </c>
      <c r="AJ148" s="24">
        <f t="shared" si="113"/>
        <v>0.66585718136236327</v>
      </c>
      <c r="AK148" s="24">
        <f t="shared" si="114"/>
        <v>2.1137469037915961</v>
      </c>
      <c r="AL148" s="23">
        <f>IF(AB148=1,AG148*(1+FixedParams!$C$25)+AH148*(1+FixedParams!$C$28)/$Z$12,IF(AC148=1,AG148*(1+FixedParams!$C$23)+AH148*(1+FixedParams!$C$26)/$Z$12,AG148*(1+FixedParams!$C$24)+AH148*(1+FixedParams!$C$27)/$Z$12))</f>
        <v>135.11711273244413</v>
      </c>
      <c r="AM148" s="24">
        <f t="shared" si="115"/>
        <v>21.349898031798141</v>
      </c>
      <c r="AN148" s="24">
        <f>AM148^((FixedParams!$B$47-1)/FixedParams!$B$47)*EXP($C148)</f>
        <v>0.19399574726362195</v>
      </c>
      <c r="AO148" s="24">
        <f t="shared" si="116"/>
        <v>5.9616373259256616E-2</v>
      </c>
      <c r="AP148" s="24">
        <f t="shared" si="117"/>
        <v>-6.7969460814520571E-2</v>
      </c>
      <c r="AQ148" s="14">
        <f t="shared" si="118"/>
        <v>-0.6514852656654273</v>
      </c>
      <c r="AS148" s="24">
        <f>EXP(-$D$17)*(($B148*FixedParams!$B$30)^$B$10*(1+FixedParams!$D$24)^(1-$B$10)+(1-$B148)^$B$10*((1+FixedParams!$D$27)/$AT$12)^(1-$B$10))^(1/(1-$B$10))</f>
        <v>6.2494514711189417</v>
      </c>
      <c r="AT148" s="24">
        <f>EXP($D148-$D$17)*(($B148*FixedParams!$C$31)^$B$10*(1+FixedParams!$D$25)^(1-$B$10)+(1-$B148)^$B$10*((1+FixedParams!$D$28)/$AT$12)^(1-$B$10))^(1/(1-$B$10))</f>
        <v>6.2657420164458202</v>
      </c>
      <c r="AU148" s="24">
        <f>EXP($D148-$D$17)*(($B148*FixedParams!$C$30)^$B$10*(1+FixedParams!$D$23)^(1-$B$10)+(1-$B148)^$B$10*((1+FixedParams!$D$26)/$AT$12)^(1-$B$10))^(1/(1-$B$10))</f>
        <v>6.1297705745896227</v>
      </c>
      <c r="AV148">
        <f>IF(FixedParams!$I$6=1,IF(AT148&lt;=MIN(AS148:AU148),1,0),$H148)</f>
        <v>0</v>
      </c>
      <c r="AW148">
        <f>IF(FixedParams!$I$6=1,IF(AU148&lt;=MIN(AS148:AU148),1,0),IF(AU148&lt;=AS148,1,0)*(1-$H148))</f>
        <v>1</v>
      </c>
      <c r="AX148" s="24">
        <f>$AT$13*IF(AV148=1,1,IF(AW148=1,FixedParams!$D$52,FixedParams!$D$53))</f>
        <v>0.3451899269505756</v>
      </c>
      <c r="AY148">
        <f>EXP($C148*FixedParams!$B$47)*EXP(IF(AV148+AW148=1,(1-FixedParams!$B$47)*$D148,0))*($B148^((FixedParams!$B$47-1)*$B$10/($B$10-1)))*((1/$B148-1)^$B$10*(AX148)^($B$10-1)+1)^((FixedParams!$B$47-$B$10)/($B$10-1))/((1+IF(AV148=1,FixedParams!$D$25,IF(AW148=1,FixedParams!$D$23,FixedParams!$D$24)))^FixedParams!$B$47)</f>
        <v>6.0080104274514434E-2</v>
      </c>
      <c r="AZ148">
        <f t="shared" si="99"/>
        <v>1.6178118676667335</v>
      </c>
      <c r="BA148">
        <f t="shared" si="119"/>
        <v>40.703930219674717</v>
      </c>
      <c r="BB148">
        <f t="shared" si="100"/>
        <v>26.880519389815397</v>
      </c>
      <c r="BC148">
        <f t="shared" si="120"/>
        <v>67.584449609490122</v>
      </c>
      <c r="BD148" s="24">
        <f t="shared" si="121"/>
        <v>0.66039125078939886</v>
      </c>
      <c r="BE148" s="24">
        <f t="shared" si="122"/>
        <v>2.0757104690580914</v>
      </c>
      <c r="BF148" s="23">
        <f>IF(AV148=1,BA148*(1+FixedParams!$C$25)+BB148*(1+FixedParams!$C$28)/$AT$12,IF(AW148=1,BA148*(1+FixedParams!$C$23)+BB148*(1+FixedParams!$C$26)/$AT$12,BA148*(1+FixedParams!$C$24)+BB148*(1+FixedParams!$C$27)/$AT$12))</f>
        <v>135.32196672881412</v>
      </c>
      <c r="BG148" s="24">
        <f t="shared" si="123"/>
        <v>22.076187857630167</v>
      </c>
      <c r="BH148" s="24">
        <f>BG148^((FixedParams!$B$47-1)/FixedParams!$B$47)*EXP($C148)</f>
        <v>0.19398925121574503</v>
      </c>
      <c r="BI148" s="7"/>
      <c r="BJ148" s="24">
        <f>EXP(-$D$17)*(($B148*FixedParams!$B$30)^$B$10*(1+FixedParams!$C$24)^(1-$B$10)+(1-$B148)^$B$10*((1+FixedParams!$C$27)/$BK$12)^(1-$B$10))^(1/(1-$B$10))</f>
        <v>6.9606450116946368</v>
      </c>
      <c r="BK148" s="24">
        <f>EXP($D148-$D$17)*(($B148*FixedParams!$C$31)^$B$10*(1+FixedParams!$C$25)^(1-$B$10)+(1-$B148)^$B$10*((1+FixedParams!$C$28)/$BK$12)^(1-$B$10))^(1/(1-$B$10))</f>
        <v>6.6983126614648638</v>
      </c>
      <c r="BL148" s="24">
        <f>EXP($D148-$D$17)*(($B148*FixedParams!$C$30)^$B$10*(1+FixedParams!$C$23)^(1-$B$10)+(1-$B148)^$B$10*((1+FixedParams!$C$26)/$BK$12)^(1-$B$10))^(1/(1-$B$10))</f>
        <v>6.5405631565033939</v>
      </c>
      <c r="BM148">
        <f>IF(FixedParams!$I$6=1,IF(BK148&lt;=MIN(BJ148:BL148),1,0),$H148)</f>
        <v>0</v>
      </c>
      <c r="BN148">
        <f>IF(FixedParams!$I$6=1,IF(BL148&lt;=MIN(BJ148:BL148),1,0),IF(BL148&lt;=BJ148,1,0)*(1-$H148))</f>
        <v>1</v>
      </c>
      <c r="BO148" s="24">
        <f>$BK$13*IF(BM148=1,1,IF(BN148=1,FixedParams!$C$52,FixedParams!$C$53))</f>
        <v>0.33006170822567266</v>
      </c>
      <c r="BP148">
        <f>EXP($C148*FixedParams!$B$47)*EXP(IF(BM148+BN148=1,(1-FixedParams!$B$47)*$D148,0))*($B148^((FixedParams!$B$47-1)*$B$10/($B$10-1)))*((1/$B148-1)^$B$10*(BO148)^($B$10-1)+1)^((FixedParams!$B$47-$B$10)/($B$10-1))/((1+IF(BM148=1,FixedParams!$C$25,IF(BN148=1,FixedParams!$C$23,FixedParams!$C$24)))^FixedParams!$B$47)</f>
        <v>5.8841911537389359E-2</v>
      </c>
      <c r="BQ148">
        <f t="shared" si="124"/>
        <v>1.6927495324612989</v>
      </c>
      <c r="BR148">
        <f t="shared" si="125"/>
        <v>43.172152970031725</v>
      </c>
      <c r="BS148">
        <f t="shared" si="101"/>
        <v>26.656956396821847</v>
      </c>
      <c r="BT148">
        <f t="shared" si="126"/>
        <v>69.829109366853572</v>
      </c>
      <c r="BU148" s="24">
        <f t="shared" si="127"/>
        <v>0.61745719318946113</v>
      </c>
      <c r="BV148" s="24">
        <f t="shared" si="128"/>
        <v>2.0773232780538078</v>
      </c>
      <c r="BW148" s="23">
        <f>IF(BM148=1,BR148*(1+FixedParams!$C$25)+BS148*(1+FixedParams!$C$28)/$BK$12,IF(BN148=1,BR148*(1+FixedParams!$C$23)+BS148*(1+FixedParams!$C$26)/$BK$12,BR148*(1+FixedParams!$C$24)+BS148*(1+FixedParams!$C$27)/$BK$12))</f>
        <v>143.23474374913008</v>
      </c>
      <c r="BX148" s="24">
        <f t="shared" si="129"/>
        <v>21.899451212654267</v>
      </c>
      <c r="BY148" s="24">
        <f>BX148^((FixedParams!$B$47-1)/FixedParams!$B$47)*EXP($C148)</f>
        <v>0.19399081206408392</v>
      </c>
      <c r="BZ148" s="24">
        <f t="shared" si="130"/>
        <v>0.10493895128130161</v>
      </c>
      <c r="CA148" s="24">
        <f t="shared" si="131"/>
        <v>-4.2554846723990285E-2</v>
      </c>
      <c r="CB148" s="24">
        <f t="shared" si="132"/>
        <v>-2.5226390804583033E-2</v>
      </c>
      <c r="CC148" s="24"/>
      <c r="CD148" s="24">
        <f>EXP(-$D$17)*(($B148*FixedParams!$B$30)^$B$10*(1+FixedParams!$D$24)^(1-$B$10)+(1-$B148)^$B$10*((1+FixedParams!$D$27)/$CE$12)^(1-$B$10))^(1/(1-$B$10))</f>
        <v>6.4528486445942903</v>
      </c>
      <c r="CE148" s="24">
        <f>EXP($D148-$D$17)*(($B148*FixedParams!$D$31)^$B$10*(1+FixedParams!$D$25)^(1-$B$10)+(1-$B148)^$B$10*((1+FixedParams!$D$28)/$CE$12)^(1-$B$10))^(1/(1-$B$10))</f>
        <v>6.467370474389619</v>
      </c>
      <c r="CF148" s="24">
        <f>EXP($D148-$D$17)*(($B148*FixedParams!$D$30)^$B$10*(1+FixedParams!$D$23)^(1-$B$10)+(1-$B148)^$B$10*((1+FixedParams!$D$26)/$CE$12)^(1-$B$10))^(1/(1-$B$10))</f>
        <v>6.3212426809130822</v>
      </c>
      <c r="CG148">
        <f>IF(FixedParams!$I$6=1,IF(CE148&lt;=MIN(CD148:CF148),1,0),$H148)</f>
        <v>0</v>
      </c>
      <c r="CH148">
        <f>IF(FixedParams!$I$6=1,IF(CF148&lt;=MIN(CD148:CF148),1,0),IF(CF148&lt;=CD148,1,0)*(1-$H148))</f>
        <v>1</v>
      </c>
      <c r="CI148" s="24">
        <f>$CE$13*IF(CG148=1,1,IF(CH148=1,FixedParams!$D$52,FixedParams!$D$53))</f>
        <v>0.32933267593211629</v>
      </c>
      <c r="CJ148">
        <f>EXP($C148*FixedParams!$B$47)*EXP(IF(CG148+CH148=1,(1-FixedParams!$B$47)*$D148,0))*($B148^((FixedParams!$B$47-1)*$B$10/($B$10-1)))*((1/$B148-1)^$B$10*(CI148)^($B$10-1)+1)^((FixedParams!$B$47-$B$10)/($B$10-1))/((1+IF(CG148=1,FixedParams!$D$25,IF(CH148=1,FixedParams!$D$23,FixedParams!$D$24)))^FixedParams!$B$47)</f>
        <v>6.1013109323404278E-2</v>
      </c>
      <c r="CK148">
        <f t="shared" si="133"/>
        <v>1.6064971448733332</v>
      </c>
      <c r="CL148">
        <f t="shared" si="135"/>
        <v>43.889954674551483</v>
      </c>
      <c r="CM148">
        <f t="shared" si="102"/>
        <v>27.010430529679859</v>
      </c>
      <c r="CN148">
        <f t="shared" si="136"/>
        <v>70.900385204231341</v>
      </c>
      <c r="CO148" s="24">
        <f t="shared" si="137"/>
        <v>0.6154125865466249</v>
      </c>
      <c r="CP148" s="24">
        <f t="shared" si="138"/>
        <v>2.042216254135667</v>
      </c>
      <c r="CQ148" s="23">
        <f>IF(CG148=1,CL148*(1+FixedParams!$D$25)+CM148*(1+FixedParams!$D$28)/$CE$12,IF(CH148=1,CL148*(1+FixedParams!$D$23)+CM148*(1+FixedParams!$D$26)/$CE$12,CL148*(1+FixedParams!$D$24)+CM148*(1+FixedParams!$D$27)/$CE$12))</f>
        <v>140.4295818837777</v>
      </c>
      <c r="CR148" s="24">
        <f t="shared" si="139"/>
        <v>22.215502389712576</v>
      </c>
      <c r="CS148" s="24">
        <f>CR148^((FixedParams!$B$47-1)/FixedParams!$B$47)*EXP($C148)</f>
        <v>0.19398802965123829</v>
      </c>
      <c r="CT148" s="24"/>
    </row>
    <row r="149" spans="1:98" x14ac:dyDescent="0.15">
      <c r="A149">
        <v>0.66</v>
      </c>
      <c r="B149">
        <f t="shared" si="103"/>
        <v>0.31528373959061451</v>
      </c>
      <c r="C149">
        <f>(D149-$D$17)*FixedParams!$B$47+$A149*$B$9</f>
        <v>-1.6493500062105364</v>
      </c>
      <c r="D149">
        <f>(A149-$B$6)*FixedParams!$B$46/(FixedParams!$B$45*Sectors!$B$6)</f>
        <v>8.6936228782849317E-2</v>
      </c>
      <c r="E149">
        <f t="shared" si="104"/>
        <v>0.19217478044718403</v>
      </c>
      <c r="F149" s="24">
        <f>EXP(-$D$17)*(($B149*FixedParams!$B$30)^$B$10*(1+FixedParams!$B$23)^(1-$B$10)+(1-$B149)^$B$10*((1+FixedParams!$B$26)/$B$11)^(1-$B$10))^(1/(1-$B$10))</f>
        <v>5.0035728928489522</v>
      </c>
      <c r="G149" s="24">
        <f>EXP($D149-$D$17)*(($B149*FixedParams!$B$31)^$B$10*(1+FixedParams!$B$25)^(1-$B$10)+(1-$B149)^$B$10*((1+FixedParams!$B$28)/$B$11)^(1-$B$10))^(1/(1-$B$10))</f>
        <v>5.2259280558332515</v>
      </c>
      <c r="H149">
        <f t="shared" si="105"/>
        <v>0</v>
      </c>
      <c r="I149" s="24">
        <f>$B$12*IF(H149=1,1,FixedParams!$B$52)</f>
        <v>0.39101505882574561</v>
      </c>
      <c r="J149">
        <f>EXP($C149*FixedParams!$B$47)*EXP(IF(H149=1,(1-FixedParams!$B$47)*$D149,0))*($B149^((FixedParams!$B$47-1)*$B$10/($B$10-1)))*((1/$B149-1)^$B$10*(I149)^($B$10-1)+1)^((FixedParams!$B$47-$B$10)/($B$10-1))/((1+IF(H149=1,FixedParams!$B$25,FixedParams!$B$24))^FixedParams!$B$47)</f>
        <v>5.9658424783416181E-2</v>
      </c>
      <c r="K149">
        <f t="shared" si="134"/>
        <v>1.2028679065318608</v>
      </c>
      <c r="L149">
        <f>K149*FixedParams!$B$8/K$15</f>
        <v>34.971134307898161</v>
      </c>
      <c r="M149">
        <f t="shared" si="94"/>
        <v>27.366140145353917</v>
      </c>
      <c r="N149">
        <f t="shared" si="106"/>
        <v>62.337274453252078</v>
      </c>
      <c r="O149" s="24">
        <f t="shared" si="107"/>
        <v>0.78253510179031649</v>
      </c>
      <c r="P149" s="24">
        <f t="shared" si="95"/>
        <v>1.9564723490362392</v>
      </c>
      <c r="Q149" s="23">
        <f>IF(H149=1,L149*(1+FixedParams!$B$25)+M149*FixedParams!$B$33*(1+FixedParams!$B$28)/FixedParams!$B$32,L149*(1+FixedParams!$B$23)+M149*FixedParams!$B$33*(1+FixedParams!$B$26)/FixedParams!$B$32)</f>
        <v>112.9878974696249</v>
      </c>
      <c r="R149" s="24">
        <f t="shared" si="96"/>
        <v>22.581443278483238</v>
      </c>
      <c r="S149" s="24">
        <f>R149^((FixedParams!$B$47-1)/FixedParams!$B$47)*EXP($C149)</f>
        <v>0.19157608186372518</v>
      </c>
      <c r="T149" s="7">
        <f>(L149*FixedParams!$B$32*(FixedParams!$C$25-FixedParams!$C$23)+FixedParams!$B$33*(FixedParams!$C$28-FixedParams!$C$26)*M149)/N149</f>
        <v>1906.6329203167986</v>
      </c>
      <c r="U149" s="7">
        <f>(L149*FixedParams!$B$32*(FixedParams!$C$25-FixedParams!$C$23)*$Z$12/$B$11+FixedParams!$B$33*(FixedParams!$C$28-FixedParams!$C$26)*M149)/N149</f>
        <v>1343.2030703657219</v>
      </c>
      <c r="V149" s="14">
        <f t="shared" si="97"/>
        <v>-0.69379270706160334</v>
      </c>
      <c r="W149" s="14">
        <f t="shared" si="108"/>
        <v>0.84320547507929366</v>
      </c>
      <c r="X149" s="73">
        <f t="shared" si="109"/>
        <v>0.93218537696760928</v>
      </c>
      <c r="Y149" s="24">
        <f>EXP(-$D$17)*(($B149*FixedParams!$B$30)^$B$10*(1+FixedParams!$C$24)^(1-$B$10)+(1-$B149)^$B$10*((1+FixedParams!$C$27)/$Z$12)^(1-$B$10))^(1/(1-$B$10))</f>
        <v>6.7243084766983365</v>
      </c>
      <c r="Z149" s="24">
        <f>EXP($D149-$D$17)*(($B149*FixedParams!$C$31)^$B$10*(1+FixedParams!$C$25)^(1-$B$10)+(1-$B149)^$B$10*((1+FixedParams!$C$28)/$Z$12)^(1-$B$10))^(1/(1-$B$10))</f>
        <v>6.4896239389341615</v>
      </c>
      <c r="AA149" s="24">
        <f>EXP($D149-$D$17)*(($B149*FixedParams!$C$30)^$B$10*(1+FixedParams!$C$23)^(1-$B$10)+(1-$B149)^$B$10*((1+FixedParams!$C$26)/$Z$12)^(1-$B$10))^(1/(1-$B$10))</f>
        <v>6.3392222736011332</v>
      </c>
      <c r="AB149">
        <f>IF(FixedParams!$I$6=1,IF(Z149&lt;=MIN(Y149:AA149),1,0),$H149)</f>
        <v>0</v>
      </c>
      <c r="AC149">
        <f>IF(FixedParams!$I$6=1,IF(AA149&lt;=MIN(Y149:AA149),1,0),IF(AA149&lt;=Y149,1,0)*(1-$H149))</f>
        <v>1</v>
      </c>
      <c r="AD149" s="24">
        <f>$Z$13*IF(AB149=1,1,IF(AC149=1,FixedParams!$C$52,FixedParams!$C$53))</f>
        <v>0.34709202255780691</v>
      </c>
      <c r="AE149">
        <f>EXP($C149*FixedParams!$B$47)*EXP(IF(AB149+AC149=1,(1-FixedParams!$B$47)*$D149,0))*($B149^((FixedParams!$B$47-1)*$B$10/($B$10-1)))*((1/$B149-1)^$B$10*(AD149)^($B$10-1)+1)^((FixedParams!$B$47-$B$10)/($B$10-1))/((1+IF(AB149=1,FixedParams!$C$25,IF(AC149=1,FixedParams!$C$23,FixedParams!$C$24)))^FixedParams!$B$47)</f>
        <v>5.7811948569108235E-2</v>
      </c>
      <c r="AF149">
        <f t="shared" si="110"/>
        <v>1.7035551554456185</v>
      </c>
      <c r="AG149">
        <f t="shared" si="111"/>
        <v>40.013894581287232</v>
      </c>
      <c r="AH149">
        <f t="shared" si="98"/>
        <v>26.187339248889295</v>
      </c>
      <c r="AI149">
        <f t="shared" si="112"/>
        <v>66.201233830176534</v>
      </c>
      <c r="AJ149" s="24">
        <f t="shared" si="113"/>
        <v>0.65445614636911598</v>
      </c>
      <c r="AK149" s="24">
        <f t="shared" si="114"/>
        <v>2.1172610738784461</v>
      </c>
      <c r="AL149" s="23">
        <f>IF(AB149=1,AG149*(1+FixedParams!$C$25)+AH149*(1+FixedParams!$C$28)/$Z$12,IF(AC149=1,AG149*(1+FixedParams!$C$23)+AH149*(1+FixedParams!$C$26)/$Z$12,AG149*(1+FixedParams!$C$24)+AH149*(1+FixedParams!$C$27)/$Z$12))</f>
        <v>133.44120709162576</v>
      </c>
      <c r="AM149" s="24">
        <f t="shared" si="115"/>
        <v>21.050091215025585</v>
      </c>
      <c r="AN149" s="24">
        <f>AM149^((FixedParams!$B$47-1)/FixedParams!$B$47)*EXP($C149)</f>
        <v>0.19158954896231817</v>
      </c>
      <c r="AO149" s="24">
        <f t="shared" si="116"/>
        <v>6.0139547976827967E-2</v>
      </c>
      <c r="AP149" s="24">
        <f t="shared" si="117"/>
        <v>-7.0223581749229824E-2</v>
      </c>
      <c r="AQ149" s="14">
        <f t="shared" si="118"/>
        <v>-0.63421464036934394</v>
      </c>
      <c r="AS149" s="24">
        <f>EXP(-$D$17)*(($B149*FixedParams!$B$30)^$B$10*(1+FixedParams!$D$24)^(1-$B$10)+(1-$B149)^$B$10*((1+FixedParams!$D$27)/$AT$12)^(1-$B$10))^(1/(1-$B$10))</f>
        <v>6.2485418122597762</v>
      </c>
      <c r="AT149" s="24">
        <f>EXP($D149-$D$17)*(($B149*FixedParams!$C$31)^$B$10*(1+FixedParams!$D$25)^(1-$B$10)+(1-$B149)^$B$10*((1+FixedParams!$D$28)/$AT$12)^(1-$B$10))^(1/(1-$B$10))</f>
        <v>6.2802353258396266</v>
      </c>
      <c r="AU149" s="24">
        <f>EXP($D149-$D$17)*(($B149*FixedParams!$C$30)^$B$10*(1+FixedParams!$D$23)^(1-$B$10)+(1-$B149)^$B$10*((1+FixedParams!$D$26)/$AT$12)^(1-$B$10))^(1/(1-$B$10))</f>
        <v>6.1398298485043101</v>
      </c>
      <c r="AV149">
        <f>IF(FixedParams!$I$6=1,IF(AT149&lt;=MIN(AS149:AU149),1,0),$H149)</f>
        <v>0</v>
      </c>
      <c r="AW149">
        <f>IF(FixedParams!$I$6=1,IF(AU149&lt;=MIN(AS149:AU149),1,0),IF(AU149&lt;=AS149,1,0)*(1-$H149))</f>
        <v>1</v>
      </c>
      <c r="AX149" s="24">
        <f>$AT$13*IF(AV149=1,1,IF(AW149=1,FixedParams!$D$52,FixedParams!$D$53))</f>
        <v>0.3451899269505756</v>
      </c>
      <c r="AY149">
        <f>EXP($C149*FixedParams!$B$47)*EXP(IF(AV149+AW149=1,(1-FixedParams!$B$47)*$D149,0))*($B149^((FixedParams!$B$47-1)*$B$10/($B$10-1)))*((1/$B149-1)^$B$10*(AX149)^($B$10-1)+1)^((FixedParams!$B$47-$B$10)/($B$10-1))/((1+IF(AV149=1,FixedParams!$D$25,IF(AW149=1,FixedParams!$D$23,FixedParams!$D$24)))^FixedParams!$B$47)</f>
        <v>6.0009698351323679E-2</v>
      </c>
      <c r="AZ149">
        <f t="shared" si="99"/>
        <v>1.6159160064749554</v>
      </c>
      <c r="BA149">
        <f t="shared" si="119"/>
        <v>40.656230605647522</v>
      </c>
      <c r="BB149">
        <f t="shared" si="100"/>
        <v>26.389300872041549</v>
      </c>
      <c r="BC149">
        <f t="shared" si="120"/>
        <v>67.045531477689067</v>
      </c>
      <c r="BD149" s="24">
        <f t="shared" si="121"/>
        <v>0.64908380533378407</v>
      </c>
      <c r="BE149" s="24">
        <f t="shared" si="122"/>
        <v>2.0791168184347546</v>
      </c>
      <c r="BF149" s="23">
        <f>IF(AV149=1,BA149*(1+FixedParams!$C$25)+BB149*(1+FixedParams!$C$28)/$AT$12,IF(AW149=1,BA149*(1+FixedParams!$C$23)+BB149*(1+FixedParams!$C$26)/$AT$12,BA149*(1+FixedParams!$C$24)+BB149*(1+FixedParams!$C$27)/$AT$12))</f>
        <v>133.65360342016331</v>
      </c>
      <c r="BG149" s="24">
        <f t="shared" si="123"/>
        <v>21.768291095676197</v>
      </c>
      <c r="BH149" s="24">
        <f>BG149^((FixedParams!$B$47-1)/FixedParams!$B$47)*EXP($C149)</f>
        <v>0.19158311490632493</v>
      </c>
      <c r="BI149" s="7"/>
      <c r="BJ149" s="24">
        <f>EXP(-$D$17)*(($B149*FixedParams!$B$30)^$B$10*(1+FixedParams!$C$24)^(1-$B$10)+(1-$B149)^$B$10*((1+FixedParams!$C$27)/$BK$12)^(1-$B$10))^(1/(1-$B$10))</f>
        <v>6.9604871177054219</v>
      </c>
      <c r="BK149" s="24">
        <f>EXP($D149-$D$17)*(($B149*FixedParams!$C$31)^$B$10*(1+FixedParams!$C$25)^(1-$B$10)+(1-$B149)^$B$10*((1+FixedParams!$C$28)/$BK$12)^(1-$B$10))^(1/(1-$B$10))</f>
        <v>6.7137935596789875</v>
      </c>
      <c r="BL149" s="24">
        <f>EXP($D149-$D$17)*(($B149*FixedParams!$C$30)^$B$10*(1+FixedParams!$C$23)^(1-$B$10)+(1-$B149)^$B$10*((1+FixedParams!$C$26)/$BK$12)^(1-$B$10))^(1/(1-$B$10))</f>
        <v>6.5501465460978778</v>
      </c>
      <c r="BM149">
        <f>IF(FixedParams!$I$6=1,IF(BK149&lt;=MIN(BJ149:BL149),1,0),$H149)</f>
        <v>0</v>
      </c>
      <c r="BN149">
        <f>IF(FixedParams!$I$6=1,IF(BL149&lt;=MIN(BJ149:BL149),1,0),IF(BL149&lt;=BJ149,1,0)*(1-$H149))</f>
        <v>1</v>
      </c>
      <c r="BO149" s="24">
        <f>$BK$13*IF(BM149=1,1,IF(BN149=1,FixedParams!$C$52,FixedParams!$C$53))</f>
        <v>0.33006170822567266</v>
      </c>
      <c r="BP149">
        <f>EXP($C149*FixedParams!$B$47)*EXP(IF(BM149+BN149=1,(1-FixedParams!$B$47)*$D149,0))*($B149^((FixedParams!$B$47-1)*$B$10/($B$10-1)))*((1/$B149-1)^$B$10*(BO149)^($B$10-1)+1)^((FixedParams!$B$47-$B$10)/($B$10-1))/((1+IF(BM149=1,FixedParams!$C$25,IF(BN149=1,FixedParams!$C$23,FixedParams!$C$24)))^FixedParams!$B$47)</f>
        <v>5.8767787558068926E-2</v>
      </c>
      <c r="BQ149">
        <f t="shared" si="124"/>
        <v>1.6906171521891333</v>
      </c>
      <c r="BR149">
        <f t="shared" si="125"/>
        <v>43.117768404840703</v>
      </c>
      <c r="BS149">
        <f t="shared" si="101"/>
        <v>26.167521677976705</v>
      </c>
      <c r="BT149">
        <f t="shared" si="126"/>
        <v>69.285290082817411</v>
      </c>
      <c r="BU149" s="24">
        <f t="shared" si="127"/>
        <v>0.60688487939090452</v>
      </c>
      <c r="BV149" s="24">
        <f t="shared" si="128"/>
        <v>2.0803670218127048</v>
      </c>
      <c r="BW149" s="23">
        <f>IF(BM149=1,BR149*(1+FixedParams!$C$25)+BS149*(1+FixedParams!$C$28)/$BK$12,IF(BN149=1,BR149*(1+FixedParams!$C$23)+BS149*(1+FixedParams!$C$26)/$BK$12,BR149*(1+FixedParams!$C$24)+BS149*(1+FixedParams!$C$27)/$BK$12))</f>
        <v>141.45812437440784</v>
      </c>
      <c r="BX149" s="24">
        <f t="shared" si="129"/>
        <v>21.596177028845069</v>
      </c>
      <c r="BY149" s="24">
        <f>BX149^((FixedParams!$B$47-1)/FixedParams!$B$47)*EXP($C149)</f>
        <v>0.1915846372338012</v>
      </c>
      <c r="BZ149" s="24">
        <f t="shared" si="130"/>
        <v>0.10567306663686471</v>
      </c>
      <c r="CA149" s="24">
        <f t="shared" si="131"/>
        <v>-4.4612165503278539E-2</v>
      </c>
      <c r="CB149" s="24">
        <f t="shared" si="132"/>
        <v>-2.7283709583871288E-2</v>
      </c>
      <c r="CC149" s="24"/>
      <c r="CD149" s="24">
        <f>EXP(-$D$17)*(($B149*FixedParams!$B$30)^$B$10*(1+FixedParams!$D$24)^(1-$B$10)+(1-$B149)^$B$10*((1+FixedParams!$D$27)/$CE$12)^(1-$B$10))^(1/(1-$B$10))</f>
        <v>6.4507677232020626</v>
      </c>
      <c r="CE149" s="24">
        <f>EXP($D149-$D$17)*(($B149*FixedParams!$D$31)^$B$10*(1+FixedParams!$D$25)^(1-$B$10)+(1-$B149)^$B$10*((1+FixedParams!$D$28)/$CE$12)^(1-$B$10))^(1/(1-$B$10))</f>
        <v>6.481169134984385</v>
      </c>
      <c r="CF149" s="24">
        <f>EXP($D149-$D$17)*(($B149*FixedParams!$D$30)^$B$10*(1+FixedParams!$D$23)^(1-$B$10)+(1-$B149)^$B$10*((1+FixedParams!$D$26)/$CE$12)^(1-$B$10))^(1/(1-$B$10))</f>
        <v>6.3304496865276931</v>
      </c>
      <c r="CG149">
        <f>IF(FixedParams!$I$6=1,IF(CE149&lt;=MIN(CD149:CF149),1,0),$H149)</f>
        <v>0</v>
      </c>
      <c r="CH149">
        <f>IF(FixedParams!$I$6=1,IF(CF149&lt;=MIN(CD149:CF149),1,0),IF(CF149&lt;=CD149,1,0)*(1-$H149))</f>
        <v>1</v>
      </c>
      <c r="CI149" s="24">
        <f>$CE$13*IF(CG149=1,1,IF(CH149=1,FixedParams!$D$52,FixedParams!$D$53))</f>
        <v>0.32933267593211629</v>
      </c>
      <c r="CJ149">
        <f>EXP($C149*FixedParams!$B$47)*EXP(IF(CG149+CH149=1,(1-FixedParams!$B$47)*$D149,0))*($B149^((FixedParams!$B$47-1)*$B$10/($B$10-1)))*((1/$B149-1)^$B$10*(CI149)^($B$10-1)+1)^((FixedParams!$B$47-$B$10)/($B$10-1))/((1+IF(CG149=1,FixedParams!$D$25,IF(CH149=1,FixedParams!$D$23,FixedParams!$D$24)))^FixedParams!$B$47)</f>
        <v>6.0935984869544969E-2</v>
      </c>
      <c r="CK149">
        <f t="shared" si="133"/>
        <v>1.6044664302236642</v>
      </c>
      <c r="CL149">
        <f t="shared" si="135"/>
        <v>43.834474978110471</v>
      </c>
      <c r="CM149">
        <f t="shared" si="102"/>
        <v>26.514390378820323</v>
      </c>
      <c r="CN149">
        <f t="shared" si="136"/>
        <v>70.348865356930787</v>
      </c>
      <c r="CO149" s="24">
        <f t="shared" si="137"/>
        <v>0.60487528120413803</v>
      </c>
      <c r="CP149" s="24">
        <f t="shared" si="138"/>
        <v>2.0451907794730428</v>
      </c>
      <c r="CQ149" s="23">
        <f>IF(CG149=1,CL149*(1+FixedParams!$D$25)+CM149*(1+FixedParams!$D$28)/$CE$12,IF(CH149=1,CL149*(1+FixedParams!$D$23)+CM149*(1+FixedParams!$D$26)/$CE$12,CL149*(1+FixedParams!$D$24)+CM149*(1+FixedParams!$D$27)/$CE$12))</f>
        <v>138.6877552702573</v>
      </c>
      <c r="CR149" s="24">
        <f t="shared" si="139"/>
        <v>21.908041630187689</v>
      </c>
      <c r="CS149" s="24">
        <f>CR149^((FixedParams!$B$47-1)/FixedParams!$B$47)*EXP($C149)</f>
        <v>0.19158188766734655</v>
      </c>
      <c r="CT149" s="24"/>
    </row>
    <row r="150" spans="1:98" x14ac:dyDescent="0.15">
      <c r="A150">
        <v>0.66500000000000004</v>
      </c>
      <c r="B150">
        <f t="shared" si="103"/>
        <v>0.31777459684868992</v>
      </c>
      <c r="C150">
        <f>(D150-$D$17)*FixedParams!$B$47+$A150*$B$9</f>
        <v>-1.6618450820151613</v>
      </c>
      <c r="D150">
        <f>(A150-$B$6)*FixedParams!$B$46/(FixedParams!$B$45*Sectors!$B$6)</f>
        <v>8.9652985932313356E-2</v>
      </c>
      <c r="E150">
        <f t="shared" si="104"/>
        <v>0.18978848153768665</v>
      </c>
      <c r="F150" s="24">
        <f>EXP(-$D$17)*(($B150*FixedParams!$B$30)^$B$10*(1+FixedParams!$B$23)^(1-$B$10)+(1-$B150)^$B$10*((1+FixedParams!$B$26)/$B$11)^(1-$B$10))^(1/(1-$B$10))</f>
        <v>5.0003620878669821</v>
      </c>
      <c r="G150" s="24">
        <f>EXP($D150-$D$17)*(($B150*FixedParams!$B$31)^$B$10*(1+FixedParams!$B$25)^(1-$B$10)+(1-$B150)^$B$10*((1+FixedParams!$B$28)/$B$11)^(1-$B$10))^(1/(1-$B$10))</f>
        <v>5.2359147273649649</v>
      </c>
      <c r="H150">
        <f t="shared" si="105"/>
        <v>0</v>
      </c>
      <c r="I150" s="24">
        <f>$B$12*IF(H150=1,1,FixedParams!$B$52)</f>
        <v>0.39101505882574561</v>
      </c>
      <c r="J150">
        <f>EXP($C150*FixedParams!$B$47)*EXP(IF(H150=1,(1-FixedParams!$B$47)*$D150,0))*($B150^((FixedParams!$B$47-1)*$B$10/($B$10-1)))*((1/$B150-1)^$B$10*(I150)^($B$10-1)+1)^((FixedParams!$B$47-$B$10)/($B$10-1))/((1+IF(H150=1,FixedParams!$B$25,FixedParams!$B$24))^FixedParams!$B$47)</f>
        <v>5.9598784671203768E-2</v>
      </c>
      <c r="K150">
        <f t="shared" si="134"/>
        <v>1.2016654078540512</v>
      </c>
      <c r="L150">
        <f>K150*FixedParams!$B$8/K$15</f>
        <v>34.936173908224688</v>
      </c>
      <c r="M150">
        <f t="shared" si="94"/>
        <v>26.870678398148907</v>
      </c>
      <c r="N150">
        <f t="shared" si="106"/>
        <v>61.8068523063736</v>
      </c>
      <c r="O150" s="24">
        <f t="shared" si="107"/>
        <v>0.76913626743262231</v>
      </c>
      <c r="P150" s="24">
        <f t="shared" si="95"/>
        <v>1.9552168759373361</v>
      </c>
      <c r="Q150" s="23">
        <f>IF(H150=1,L150*(1+FixedParams!$B$25)+M150*FixedParams!$B$33*(1+FixedParams!$B$28)/FixedParams!$B$32,L150*(1+FixedParams!$B$23)+M150*FixedParams!$B$33*(1+FixedParams!$B$26)/FixedParams!$B$32)</f>
        <v>111.58621137212205</v>
      </c>
      <c r="R150" s="24">
        <f t="shared" si="96"/>
        <v>22.315626230923947</v>
      </c>
      <c r="S150" s="24">
        <f>R150^((FixedParams!$B$47-1)/FixedParams!$B$47)*EXP($C150)</f>
        <v>0.189199459795555</v>
      </c>
      <c r="T150" s="7">
        <f>(L150*FixedParams!$B$32*(FixedParams!$C$25-FixedParams!$C$23)+FixedParams!$B$33*(FixedParams!$C$28-FixedParams!$C$26)*M150)/N150</f>
        <v>1954.8354430808715</v>
      </c>
      <c r="U150" s="7">
        <f>(L150*FixedParams!$B$32*(FixedParams!$C$25-FixedParams!$C$23)*$Z$12/$B$11+FixedParams!$B$33*(FixedParams!$C$28-FixedParams!$C$26)*M150)/N150</f>
        <v>1387.1383677211891</v>
      </c>
      <c r="V150" s="14">
        <f t="shared" si="97"/>
        <v>-0.67652208176552031</v>
      </c>
      <c r="W150" s="14">
        <f t="shared" si="108"/>
        <v>0.84623696965029949</v>
      </c>
      <c r="X150" s="73">
        <f t="shared" si="109"/>
        <v>0.93008885733287405</v>
      </c>
      <c r="Y150" s="24">
        <f>EXP(-$D$17)*(($B150*FixedParams!$B$30)^$B$10*(1+FixedParams!$C$24)^(1-$B$10)+(1-$B150)^$B$10*((1+FixedParams!$C$27)/$Z$12)^(1-$B$10))^(1/(1-$B$10))</f>
        <v>6.7251276738414907</v>
      </c>
      <c r="Z150" s="24">
        <f>EXP($D150-$D$17)*(($B150*FixedParams!$C$31)^$B$10*(1+FixedParams!$C$25)^(1-$B$10)+(1-$B150)^$B$10*((1+FixedParams!$C$28)/$Z$12)^(1-$B$10))^(1/(1-$B$10))</f>
        <v>6.5055696603799475</v>
      </c>
      <c r="AA150" s="24">
        <f>EXP($D150-$D$17)*(($B150*FixedParams!$C$30)^$B$10*(1+FixedParams!$C$23)^(1-$B$10)+(1-$B150)^$B$10*((1+FixedParams!$C$26)/$Z$12)^(1-$B$10))^(1/(1-$B$10))</f>
        <v>6.3494488043430604</v>
      </c>
      <c r="AB150">
        <f>IF(FixedParams!$I$6=1,IF(Z150&lt;=MIN(Y150:AA150),1,0),$H150)</f>
        <v>0</v>
      </c>
      <c r="AC150">
        <f>IF(FixedParams!$I$6=1,IF(AA150&lt;=MIN(Y150:AA150),1,0),IF(AA150&lt;=Y150,1,0)*(1-$H150))</f>
        <v>1</v>
      </c>
      <c r="AD150" s="24">
        <f>$Z$13*IF(AB150=1,1,IF(AC150=1,FixedParams!$C$52,FixedParams!$C$53))</f>
        <v>0.34709202255780691</v>
      </c>
      <c r="AE150">
        <f>EXP($C150*FixedParams!$B$47)*EXP(IF(AB150+AC150=1,(1-FixedParams!$B$47)*$D150,0))*($B150^((FixedParams!$B$47-1)*$B$10/($B$10-1)))*((1/$B150-1)^$B$10*(AD150)^($B$10-1)+1)^((FixedParams!$B$47-$B$10)/($B$10-1))/((1+IF(AB150=1,FixedParams!$C$25,IF(AC150=1,FixedParams!$C$23,FixedParams!$C$24)))^FixedParams!$B$47)</f>
        <v>5.7740917893459281E-2</v>
      </c>
      <c r="AF150">
        <f t="shared" si="110"/>
        <v>1.7014620816660362</v>
      </c>
      <c r="AG150">
        <f t="shared" si="111"/>
        <v>39.964731492379109</v>
      </c>
      <c r="AH150">
        <f t="shared" si="98"/>
        <v>25.707326473318108</v>
      </c>
      <c r="AI150">
        <f t="shared" si="112"/>
        <v>65.672057965697221</v>
      </c>
      <c r="AJ150" s="24">
        <f t="shared" si="113"/>
        <v>0.6432503238066356</v>
      </c>
      <c r="AK150" s="24">
        <f t="shared" si="114"/>
        <v>2.1206766719638566</v>
      </c>
      <c r="AL150" s="23">
        <f>IF(AB150=1,AG150*(1+FixedParams!$C$25)+AH150*(1+FixedParams!$C$28)/$Z$12,IF(AC150=1,AG150*(1+FixedParams!$C$23)+AH150*(1+FixedParams!$C$26)/$Z$12,AG150*(1+FixedParams!$C$24)+AH150*(1+FixedParams!$C$27)/$Z$12))</f>
        <v>131.78608181645916</v>
      </c>
      <c r="AM150" s="24">
        <f t="shared" si="115"/>
        <v>20.755515301787565</v>
      </c>
      <c r="AN150" s="24">
        <f>AM150^((FixedParams!$B$47-1)/FixedParams!$B$47)*EXP($C150)</f>
        <v>0.18921318627903119</v>
      </c>
      <c r="AO150" s="24">
        <f t="shared" si="116"/>
        <v>6.0659300639280614E-2</v>
      </c>
      <c r="AP150" s="24">
        <f t="shared" si="117"/>
        <v>-7.2475151879798416E-2</v>
      </c>
      <c r="AQ150" s="14">
        <f t="shared" si="118"/>
        <v>-0.61694401507326058</v>
      </c>
      <c r="AS150" s="24">
        <f>EXP(-$D$17)*(($B150*FixedParams!$B$30)^$B$10*(1+FixedParams!$D$24)^(1-$B$10)+(1-$B150)^$B$10*((1+FixedParams!$D$27)/$AT$12)^(1-$B$10))^(1/(1-$B$10))</f>
        <v>6.2473575114276105</v>
      </c>
      <c r="AT150" s="24">
        <f>EXP($D150-$D$17)*(($B150*FixedParams!$C$31)^$B$10*(1+FixedParams!$D$25)^(1-$B$10)+(1-$B150)^$B$10*((1+FixedParams!$D$28)/$AT$12)^(1-$B$10))^(1/(1-$B$10))</f>
        <v>6.2944752997364191</v>
      </c>
      <c r="AU150" s="24">
        <f>EXP($D150-$D$17)*(($B150*FixedParams!$C$30)^$B$10*(1+FixedParams!$D$23)^(1-$B$10)+(1-$B150)^$B$10*((1+FixedParams!$D$26)/$AT$12)^(1-$B$10))^(1/(1-$B$10))</f>
        <v>6.1496021467587072</v>
      </c>
      <c r="AV150">
        <f>IF(FixedParams!$I$6=1,IF(AT150&lt;=MIN(AS150:AU150),1,0),$H150)</f>
        <v>0</v>
      </c>
      <c r="AW150">
        <f>IF(FixedParams!$I$6=1,IF(AU150&lt;=MIN(AS150:AU150),1,0),IF(AU150&lt;=AS150,1,0)*(1-$H150))</f>
        <v>1</v>
      </c>
      <c r="AX150" s="24">
        <f>$AT$13*IF(AV150=1,1,IF(AW150=1,FixedParams!$D$52,FixedParams!$D$53))</f>
        <v>0.3451899269505756</v>
      </c>
      <c r="AY150">
        <f>EXP($C150*FixedParams!$B$47)*EXP(IF(AV150+AW150=1,(1-FixedParams!$B$47)*$D150,0))*($B150^((FixedParams!$B$47-1)*$B$10/($B$10-1)))*((1/$B150-1)^$B$10*(AX150)^($B$10-1)+1)^((FixedParams!$B$47-$B$10)/($B$10-1))/((1+IF(AV150=1,FixedParams!$D$25,IF(AW150=1,FixedParams!$D$23,FixedParams!$D$24)))^FixedParams!$B$47)</f>
        <v>5.9935320095408584E-2</v>
      </c>
      <c r="AZ150">
        <f t="shared" si="99"/>
        <v>1.6139131799724249</v>
      </c>
      <c r="BA150">
        <f t="shared" si="119"/>
        <v>40.605839758707639</v>
      </c>
      <c r="BB150">
        <f t="shared" si="100"/>
        <v>25.905306366059815</v>
      </c>
      <c r="BC150">
        <f t="shared" si="120"/>
        <v>66.51114612476745</v>
      </c>
      <c r="BD150" s="24">
        <f t="shared" si="121"/>
        <v>0.63796996983677956</v>
      </c>
      <c r="BE150" s="24">
        <f t="shared" si="122"/>
        <v>2.0824259898868633</v>
      </c>
      <c r="BF150" s="23">
        <f>IF(AV150=1,BA150*(1+FixedParams!$C$25)+BB150*(1+FixedParams!$C$28)/$AT$12,IF(AW150=1,BA150*(1+FixedParams!$C$23)+BB150*(1+FixedParams!$C$26)/$AT$12,BA150*(1+FixedParams!$C$24)+BB150*(1+FixedParams!$C$27)/$AT$12))</f>
        <v>132.00585455350915</v>
      </c>
      <c r="BG150" s="24">
        <f t="shared" si="123"/>
        <v>21.465755247774194</v>
      </c>
      <c r="BH150" s="24">
        <f>BG150^((FixedParams!$B$47-1)/FixedParams!$B$47)*EXP($C150)</f>
        <v>0.18920681358071909</v>
      </c>
      <c r="BI150" s="7"/>
      <c r="BJ150" s="24">
        <f>EXP(-$D$17)*(($B150*FixedParams!$B$30)^$B$10*(1+FixedParams!$C$24)^(1-$B$10)+(1-$B150)^$B$10*((1+FixedParams!$C$27)/$BK$12)^(1-$B$10))^(1/(1-$B$10))</f>
        <v>6.9600284913021246</v>
      </c>
      <c r="BK150" s="24">
        <f>EXP($D150-$D$17)*(($B150*FixedParams!$C$31)^$B$10*(1+FixedParams!$C$25)^(1-$B$10)+(1-$B150)^$B$10*((1+FixedParams!$C$28)/$BK$12)^(1-$B$10))^(1/(1-$B$10))</f>
        <v>6.7290034961670644</v>
      </c>
      <c r="BL150" s="24">
        <f>EXP($D150-$D$17)*(($B150*FixedParams!$C$30)^$B$10*(1+FixedParams!$C$23)^(1-$B$10)+(1-$B150)^$B$10*((1+FixedParams!$C$26)/$BK$12)^(1-$B$10))^(1/(1-$B$10))</f>
        <v>6.5594142768176811</v>
      </c>
      <c r="BM150">
        <f>IF(FixedParams!$I$6=1,IF(BK150&lt;=MIN(BJ150:BL150),1,0),$H150)</f>
        <v>0</v>
      </c>
      <c r="BN150">
        <f>IF(FixedParams!$I$6=1,IF(BL150&lt;=MIN(BJ150:BL150),1,0),IF(BL150&lt;=BJ150,1,0)*(1-$H150))</f>
        <v>1</v>
      </c>
      <c r="BO150" s="24">
        <f>$BK$13*IF(BM150=1,1,IF(BN150=1,FixedParams!$C$52,FixedParams!$C$53))</f>
        <v>0.33006170822567266</v>
      </c>
      <c r="BP150">
        <f>EXP($C150*FixedParams!$B$47)*EXP(IF(BM150+BN150=1,(1-FixedParams!$B$47)*$D150,0))*($B150^((FixedParams!$B$47-1)*$B$10/($B$10-1)))*((1/$B150-1)^$B$10*(BO150)^($B$10-1)+1)^((FixedParams!$B$47-$B$10)/($B$10-1))/((1+IF(BM150=1,FixedParams!$C$25,IF(BN150=1,FixedParams!$C$23,FixedParams!$C$24)))^FixedParams!$B$47)</f>
        <v>5.8689759516403296E-2</v>
      </c>
      <c r="BQ150">
        <f t="shared" si="124"/>
        <v>1.6883724608186901</v>
      </c>
      <c r="BR150">
        <f t="shared" si="125"/>
        <v>43.060519439558533</v>
      </c>
      <c r="BS150">
        <f t="shared" si="101"/>
        <v>25.685323757778065</v>
      </c>
      <c r="BT150">
        <f t="shared" si="126"/>
        <v>68.745843197336598</v>
      </c>
      <c r="BU150" s="24">
        <f t="shared" si="127"/>
        <v>0.59649358837463662</v>
      </c>
      <c r="BV150" s="24">
        <f t="shared" si="128"/>
        <v>2.0833105103622862</v>
      </c>
      <c r="BW150" s="23">
        <f>IF(BM150=1,BR150*(1+FixedParams!$C$25)+BS150*(1+FixedParams!$C$28)/$BK$12,IF(BN150=1,BR150*(1+FixedParams!$C$23)+BS150*(1+FixedParams!$C$26)/$BK$12,BR150*(1+FixedParams!$C$24)+BS150*(1+FixedParams!$C$27)/$BK$12))</f>
        <v>139.70353436593993</v>
      </c>
      <c r="BX150" s="24">
        <f t="shared" si="129"/>
        <v>21.298172134009125</v>
      </c>
      <c r="BY150" s="24">
        <f>BX150^((FixedParams!$B$47-1)/FixedParams!$B$47)*EXP($C150)</f>
        <v>0.18920829800441441</v>
      </c>
      <c r="BZ150" s="24">
        <f t="shared" si="130"/>
        <v>0.10640203507358917</v>
      </c>
      <c r="CA150" s="24">
        <f t="shared" si="131"/>
        <v>-4.6665907186771008E-2</v>
      </c>
      <c r="CB150" s="24">
        <f t="shared" si="132"/>
        <v>-2.9337451267363757E-2</v>
      </c>
      <c r="CC150" s="24"/>
      <c r="CD150" s="24">
        <f>EXP(-$D$17)*(($B150*FixedParams!$B$30)^$B$10*(1+FixedParams!$D$24)^(1-$B$10)+(1-$B150)^$B$10*((1+FixedParams!$D$27)/$CE$12)^(1-$B$10))^(1/(1-$B$10))</f>
        <v>6.4483968462545755</v>
      </c>
      <c r="CE150" s="24">
        <f>EXP($D150-$D$17)*(($B150*FixedParams!$D$31)^$B$10*(1+FixedParams!$D$25)^(1-$B$10)+(1-$B150)^$B$10*((1+FixedParams!$D$28)/$CE$12)^(1-$B$10))^(1/(1-$B$10))</f>
        <v>6.4946944123265542</v>
      </c>
      <c r="CF150" s="24">
        <f>EXP($D150-$D$17)*(($B150*FixedParams!$D$30)^$B$10*(1+FixedParams!$D$23)^(1-$B$10)+(1-$B150)^$B$10*((1+FixedParams!$D$26)/$CE$12)^(1-$B$10))^(1/(1-$B$10))</f>
        <v>6.3393511811427397</v>
      </c>
      <c r="CG150">
        <f>IF(FixedParams!$I$6=1,IF(CE150&lt;=MIN(CD150:CF150),1,0),$H150)</f>
        <v>0</v>
      </c>
      <c r="CH150">
        <f>IF(FixedParams!$I$6=1,IF(CF150&lt;=MIN(CD150:CF150),1,0),IF(CF150&lt;=CD150,1,0)*(1-$H150))</f>
        <v>1</v>
      </c>
      <c r="CI150" s="24">
        <f>$CE$13*IF(CG150=1,1,IF(CH150=1,FixedParams!$D$52,FixedParams!$D$53))</f>
        <v>0.32933267593211629</v>
      </c>
      <c r="CJ150">
        <f>EXP($C150*FixedParams!$B$47)*EXP(IF(CG150+CH150=1,(1-FixedParams!$B$47)*$D150,0))*($B150^((FixedParams!$B$47-1)*$B$10/($B$10-1)))*((1/$B150-1)^$B$10*(CI150)^($B$10-1)+1)^((FixedParams!$B$47-$B$10)/($B$10-1))/((1+IF(CG150=1,FixedParams!$D$25,IF(CH150=1,FixedParams!$D$23,FixedParams!$D$24)))^FixedParams!$B$47)</f>
        <v>6.0854811649250079E-2</v>
      </c>
      <c r="CK150">
        <f t="shared" si="133"/>
        <v>1.602329110095416</v>
      </c>
      <c r="CL150">
        <f t="shared" si="135"/>
        <v>43.776082789955531</v>
      </c>
      <c r="CM150">
        <f t="shared" si="102"/>
        <v>26.025686664281785</v>
      </c>
      <c r="CN150">
        <f t="shared" si="136"/>
        <v>69.801769454237316</v>
      </c>
      <c r="CO150" s="24">
        <f t="shared" si="137"/>
        <v>0.59451839921714988</v>
      </c>
      <c r="CP150" s="24">
        <f t="shared" si="138"/>
        <v>2.0480666027733947</v>
      </c>
      <c r="CQ150" s="23">
        <f>IF(CG150=1,CL150*(1+FixedParams!$D$25)+CM150*(1+FixedParams!$D$28)/$CE$12,IF(CH150=1,CL150*(1+FixedParams!$D$23)+CM150*(1+FixedParams!$D$26)/$CE$12,CL150*(1+FixedParams!$D$24)+CM150*(1+FixedParams!$D$27)/$CE$12))</f>
        <v>136.9675266156078</v>
      </c>
      <c r="CR150" s="24">
        <f t="shared" si="139"/>
        <v>21.605921915642771</v>
      </c>
      <c r="CS150" s="24">
        <f>CR150^((FixedParams!$B$47-1)/FixedParams!$B$47)*EXP($C150)</f>
        <v>0.18920558088932571</v>
      </c>
      <c r="CT150" s="24"/>
    </row>
    <row r="151" spans="1:98" x14ac:dyDescent="0.15">
      <c r="A151">
        <v>0.67</v>
      </c>
      <c r="B151">
        <f t="shared" si="103"/>
        <v>0.32027592809062422</v>
      </c>
      <c r="C151">
        <f>(D151-$D$17)*FixedParams!$B$47+$A151*$B$9</f>
        <v>-1.674340157819787</v>
      </c>
      <c r="D151">
        <f>(A151-$B$6)*FixedParams!$B$46/(FixedParams!$B$45*Sectors!$B$6)</f>
        <v>9.2369743081777408E-2</v>
      </c>
      <c r="E151">
        <f t="shared" si="104"/>
        <v>0.18743181410466184</v>
      </c>
      <c r="F151" s="24">
        <f>EXP(-$D$17)*(($B151*FixedParams!$B$30)^$B$10*(1+FixedParams!$B$23)^(1-$B$10)+(1-$B151)^$B$10*((1+FixedParams!$B$26)/$B$11)^(1-$B$10))^(1/(1-$B$10))</f>
        <v>4.9969181063514103</v>
      </c>
      <c r="G151" s="24">
        <f>EXP($D151-$D$17)*(($B151*FixedParams!$B$31)^$B$10*(1+FixedParams!$B$25)^(1-$B$10)+(1-$B151)^$B$10*((1+FixedParams!$B$28)/$B$11)^(1-$B$10))^(1/(1-$B$10))</f>
        <v>5.2456687024637461</v>
      </c>
      <c r="H151">
        <f t="shared" si="105"/>
        <v>0</v>
      </c>
      <c r="I151" s="24">
        <f>$B$12*IF(H151=1,1,FixedParams!$B$52)</f>
        <v>0.39101505882574561</v>
      </c>
      <c r="J151">
        <f>EXP($C151*FixedParams!$B$47)*EXP(IF(H151=1,(1-FixedParams!$B$47)*$D151,0))*($B151^((FixedParams!$B$47-1)*$B$10/($B$10-1)))*((1/$B151-1)^$B$10*(I151)^($B$10-1)+1)^((FixedParams!$B$47-$B$10)/($B$10-1))/((1+IF(H151=1,FixedParams!$B$25,FixedParams!$B$24))^FixedParams!$B$47)</f>
        <v>5.9535233407138906E-2</v>
      </c>
      <c r="K151">
        <f t="shared" si="134"/>
        <v>1.2003840502546732</v>
      </c>
      <c r="L151">
        <f>K151*FixedParams!$B$8/K$15</f>
        <v>34.898920832919444</v>
      </c>
      <c r="M151">
        <f t="shared" si="94"/>
        <v>26.382427338109853</v>
      </c>
      <c r="N151">
        <f t="shared" si="106"/>
        <v>61.281348171029293</v>
      </c>
      <c r="O151" s="24">
        <f t="shared" si="107"/>
        <v>0.75596685251149209</v>
      </c>
      <c r="P151" s="24">
        <f t="shared" si="95"/>
        <v>1.95387022730243</v>
      </c>
      <c r="Q151" s="23">
        <f>IF(H151=1,L151*(1+FixedParams!$B$25)+M151*FixedParams!$B$33*(1+FixedParams!$B$28)/FixedParams!$B$32,L151*(1+FixedParams!$B$23)+M151*FixedParams!$B$33*(1+FixedParams!$B$26)/FixedParams!$B$32)</f>
        <v>110.20190888651692</v>
      </c>
      <c r="R151" s="24">
        <f t="shared" si="96"/>
        <v>22.053975378632497</v>
      </c>
      <c r="S151" s="24">
        <f>R151^((FixedParams!$B$47-1)/FixedParams!$B$47)*EXP($C151)</f>
        <v>0.18685231242627387</v>
      </c>
      <c r="T151" s="7">
        <f>(L151*FixedParams!$B$32*(FixedParams!$C$25-FixedParams!$C$23)+FixedParams!$B$33*(FixedParams!$C$28-FixedParams!$C$26)*M151)/N151</f>
        <v>2002.9294551965561</v>
      </c>
      <c r="U151" s="7">
        <f>(L151*FixedParams!$B$32*(FixedParams!$C$25-FixedParams!$C$23)*$Z$12/$B$11+FixedParams!$B$33*(FixedParams!$C$28-FixedParams!$C$26)*M151)/N151</f>
        <v>1430.9747605519585</v>
      </c>
      <c r="V151" s="14">
        <f t="shared" si="97"/>
        <v>-0.65925145646943639</v>
      </c>
      <c r="W151" s="14">
        <f t="shared" si="108"/>
        <v>0.84924268936182135</v>
      </c>
      <c r="X151" s="73">
        <f t="shared" si="109"/>
        <v>0.92799937521750542</v>
      </c>
      <c r="Y151" s="24">
        <f>EXP(-$D$17)*(($B151*FixedParams!$B$30)^$B$10*(1+FixedParams!$C$24)^(1-$B$10)+(1-$B151)^$B$10*((1+FixedParams!$C$27)/$Z$12)^(1-$B$10))^(1/(1-$B$10))</f>
        <v>6.7256613253028421</v>
      </c>
      <c r="Z151" s="24">
        <f>EXP($D151-$D$17)*(($B151*FixedParams!$C$31)^$B$10*(1+FixedParams!$C$25)^(1-$B$10)+(1-$B151)^$B$10*((1+FixedParams!$C$28)/$Z$12)^(1-$B$10))^(1/(1-$B$10))</f>
        <v>6.5212619986104912</v>
      </c>
      <c r="AA151" s="24">
        <f>EXP($D151-$D$17)*(($B151*FixedParams!$C$30)^$B$10*(1+FixedParams!$C$23)^(1-$B$10)+(1-$B151)^$B$10*((1+FixedParams!$C$26)/$Z$12)^(1-$B$10))^(1/(1-$B$10))</f>
        <v>6.3593765247250067</v>
      </c>
      <c r="AB151">
        <f>IF(FixedParams!$I$6=1,IF(Z151&lt;=MIN(Y151:AA151),1,0),$H151)</f>
        <v>0</v>
      </c>
      <c r="AC151">
        <f>IF(FixedParams!$I$6=1,IF(AA151&lt;=MIN(Y151:AA151),1,0),IF(AA151&lt;=Y151,1,0)*(1-$H151))</f>
        <v>1</v>
      </c>
      <c r="AD151" s="24">
        <f>$Z$13*IF(AB151=1,1,IF(AC151=1,FixedParams!$C$52,FixedParams!$C$53))</f>
        <v>0.34709202255780691</v>
      </c>
      <c r="AE151">
        <f>EXP($C151*FixedParams!$B$47)*EXP(IF(AB151+AC151=1,(1-FixedParams!$B$47)*$D151,0))*($B151^((FixedParams!$B$47-1)*$B$10/($B$10-1)))*((1/$B151-1)^$B$10*(AD151)^($B$10-1)+1)^((FixedParams!$B$47-$B$10)/($B$10-1))/((1+IF(AB151=1,FixedParams!$C$25,IF(AC151=1,FixedParams!$C$23,FixedParams!$C$24)))^FixedParams!$B$47)</f>
        <v>5.7666056005187295E-2</v>
      </c>
      <c r="AF151">
        <f t="shared" si="110"/>
        <v>1.6992561128504429</v>
      </c>
      <c r="AG151">
        <f t="shared" si="111"/>
        <v>39.912916672439408</v>
      </c>
      <c r="AH151">
        <f t="shared" si="98"/>
        <v>25.234397600222358</v>
      </c>
      <c r="AI151">
        <f t="shared" si="112"/>
        <v>65.14731427266176</v>
      </c>
      <c r="AJ151" s="24">
        <f t="shared" si="113"/>
        <v>0.63223637118074028</v>
      </c>
      <c r="AK151" s="24">
        <f t="shared" si="114"/>
        <v>2.1239924692351679</v>
      </c>
      <c r="AL151" s="23">
        <f>IF(AB151=1,AG151*(1+FixedParams!$C$25)+AH151*(1+FixedParams!$C$28)/$Z$12,IF(AC151=1,AG151*(1+FixedParams!$C$23)+AH151*(1+FixedParams!$C$26)/$Z$12,AG151*(1+FixedParams!$C$24)+AH151*(1+FixedParams!$C$27)/$Z$12))</f>
        <v>130.15147927670432</v>
      </c>
      <c r="AM151" s="24">
        <f t="shared" si="115"/>
        <v>20.466075372433206</v>
      </c>
      <c r="AN151" s="24">
        <f>AM151^((FixedParams!$B$47-1)/FixedParams!$B$47)*EXP($C151)</f>
        <v>0.18686628931856492</v>
      </c>
      <c r="AO151" s="24">
        <f t="shared" si="116"/>
        <v>6.1175553600419506E-2</v>
      </c>
      <c r="AP151" s="24">
        <f t="shared" si="117"/>
        <v>-7.4724219453161586E-2</v>
      </c>
      <c r="AQ151" s="14">
        <f t="shared" si="118"/>
        <v>-0.59967338977717666</v>
      </c>
      <c r="AS151" s="24">
        <f>EXP(-$D$17)*(($B151*FixedParams!$B$30)^$B$10*(1+FixedParams!$D$24)^(1-$B$10)+(1-$B151)^$B$10*((1+FixedParams!$D$27)/$AT$12)^(1-$B$10))^(1/(1-$B$10))</f>
        <v>6.245895994444254</v>
      </c>
      <c r="AT151" s="24">
        <f>EXP($D151-$D$17)*(($B151*FixedParams!$C$31)^$B$10*(1+FixedParams!$D$25)^(1-$B$10)+(1-$B151)^$B$10*((1+FixedParams!$D$28)/$AT$12)^(1-$B$10))^(1/(1-$B$10))</f>
        <v>6.3084574635744444</v>
      </c>
      <c r="AU151" s="24">
        <f>EXP($D151-$D$17)*(($B151*FixedParams!$C$30)^$B$10*(1+FixedParams!$D$23)^(1-$B$10)+(1-$B151)^$B$10*((1+FixedParams!$D$26)/$AT$12)^(1-$B$10))^(1/(1-$B$10))</f>
        <v>6.1590839356183062</v>
      </c>
      <c r="AV151">
        <f>IF(FixedParams!$I$6=1,IF(AT151&lt;=MIN(AS151:AU151),1,0),$H151)</f>
        <v>0</v>
      </c>
      <c r="AW151">
        <f>IF(FixedParams!$I$6=1,IF(AU151&lt;=MIN(AS151:AU151),1,0),IF(AU151&lt;=AS151,1,0)*(1-$H151))</f>
        <v>1</v>
      </c>
      <c r="AX151" s="24">
        <f>$AT$13*IF(AV151=1,1,IF(AW151=1,FixedParams!$D$52,FixedParams!$D$53))</f>
        <v>0.3451899269505756</v>
      </c>
      <c r="AY151">
        <f>EXP($C151*FixedParams!$B$47)*EXP(IF(AV151+AW151=1,(1-FixedParams!$B$47)*$D151,0))*($B151^((FixedParams!$B$47-1)*$B$10/($B$10-1)))*((1/$B151-1)^$B$10*(AX151)^($B$10-1)+1)^((FixedParams!$B$47-$B$10)/($B$10-1))/((1+IF(AV151=1,FixedParams!$D$25,IF(AW151=1,FixedParams!$D$23,FixedParams!$D$24)))^FixedParams!$B$47)</f>
        <v>5.9856963326570395E-2</v>
      </c>
      <c r="AZ151">
        <f t="shared" si="99"/>
        <v>1.6118032217413401</v>
      </c>
      <c r="BA151">
        <f t="shared" si="119"/>
        <v>40.55275349180544</v>
      </c>
      <c r="BB151">
        <f t="shared" si="100"/>
        <v>25.42845927297904</v>
      </c>
      <c r="BC151">
        <f t="shared" si="120"/>
        <v>65.981212764784487</v>
      </c>
      <c r="BD151" s="24">
        <f t="shared" si="121"/>
        <v>0.62704642924228093</v>
      </c>
      <c r="BE151" s="24">
        <f t="shared" si="122"/>
        <v>2.0856367867938239</v>
      </c>
      <c r="BF151" s="23">
        <f>IF(AV151=1,BA151*(1+FixedParams!$C$25)+BB151*(1+FixedParams!$C$28)/$AT$12,IF(AW151=1,BA151*(1+FixedParams!$C$23)+BB151*(1+FixedParams!$C$26)/$AT$12,BA151*(1+FixedParams!$C$24)+BB151*(1+FixedParams!$C$27)/$AT$12))</f>
        <v>130.3784637274442</v>
      </c>
      <c r="BG151" s="24">
        <f t="shared" si="123"/>
        <v>21.168483022849983</v>
      </c>
      <c r="BH151" s="24">
        <f>BG151^((FixedParams!$B$47-1)/FixedParams!$B$47)*EXP($C151)</f>
        <v>0.18685997735311011</v>
      </c>
      <c r="BI151" s="7"/>
      <c r="BJ151" s="24">
        <f>EXP(-$D$17)*(($B151*FixedParams!$B$30)^$B$10*(1+FixedParams!$C$24)^(1-$B$10)+(1-$B151)^$B$10*((1+FixedParams!$C$27)/$BK$12)^(1-$B$10))^(1/(1-$B$10))</f>
        <v>6.9592660711213234</v>
      </c>
      <c r="BK151" s="24">
        <f>EXP($D151-$D$17)*(($B151*FixedParams!$C$31)^$B$10*(1+FixedParams!$C$25)^(1-$B$10)+(1-$B151)^$B$10*((1+FixedParams!$C$28)/$BK$12)^(1-$B$10))^(1/(1-$B$10))</f>
        <v>6.7439376898138637</v>
      </c>
      <c r="BL151" s="24">
        <f>EXP($D151-$D$17)*(($B151*FixedParams!$C$30)^$B$10*(1+FixedParams!$C$23)^(1-$B$10)+(1-$B151)^$B$10*((1+FixedParams!$C$26)/$BK$12)^(1-$B$10))^(1/(1-$B$10))</f>
        <v>6.5683628449410847</v>
      </c>
      <c r="BM151">
        <f>IF(FixedParams!$I$6=1,IF(BK151&lt;=MIN(BJ151:BL151),1,0),$H151)</f>
        <v>0</v>
      </c>
      <c r="BN151">
        <f>IF(FixedParams!$I$6=1,IF(BL151&lt;=MIN(BJ151:BL151),1,0),IF(BL151&lt;=BJ151,1,0)*(1-$H151))</f>
        <v>1</v>
      </c>
      <c r="BO151" s="24">
        <f>$BK$13*IF(BM151=1,1,IF(BN151=1,FixedParams!$C$52,FixedParams!$C$53))</f>
        <v>0.33006170822567266</v>
      </c>
      <c r="BP151">
        <f>EXP($C151*FixedParams!$B$47)*EXP(IF(BM151+BN151=1,(1-FixedParams!$B$47)*$D151,0))*($B151^((FixedParams!$B$47-1)*$B$10/($B$10-1)))*((1/$B151-1)^$B$10*(BO151)^($B$10-1)+1)^((FixedParams!$B$47-$B$10)/($B$10-1))/((1+IF(BM151=1,FixedParams!$C$25,IF(BN151=1,FixedParams!$C$23,FixedParams!$C$24)))^FixedParams!$B$47)</f>
        <v>5.8607823067066515E-2</v>
      </c>
      <c r="BQ151">
        <f t="shared" si="124"/>
        <v>1.6860153333447085</v>
      </c>
      <c r="BR151">
        <f t="shared" si="125"/>
        <v>43.000402886031189</v>
      </c>
      <c r="BS151">
        <f t="shared" si="101"/>
        <v>25.210285690190847</v>
      </c>
      <c r="BT151">
        <f t="shared" si="126"/>
        <v>68.21068857622204</v>
      </c>
      <c r="BU151" s="24">
        <f t="shared" si="127"/>
        <v>0.58628022060650242</v>
      </c>
      <c r="BV151" s="24">
        <f t="shared" si="128"/>
        <v>2.0861526308988814</v>
      </c>
      <c r="BW151" s="23">
        <f>IF(BM151=1,BR151*(1+FixedParams!$C$25)+BS151*(1+FixedParams!$C$28)/$BK$12,IF(BN151=1,BR151*(1+FixedParams!$C$23)+BS151*(1+FixedParams!$C$26)/$BK$12,BR151*(1+FixedParams!$C$24)+BS151*(1+FixedParams!$C$27)/$BK$12))</f>
        <v>137.97070061092967</v>
      </c>
      <c r="BX151" s="24">
        <f t="shared" si="129"/>
        <v>21.005340884478375</v>
      </c>
      <c r="BY151" s="24">
        <f>BX151^((FixedParams!$B$47-1)/FixedParams!$B$47)*EXP($C151)</f>
        <v>0.18686142448401166</v>
      </c>
      <c r="BZ151" s="24">
        <f t="shared" si="130"/>
        <v>0.10712575119070283</v>
      </c>
      <c r="CA151" s="24">
        <f t="shared" si="131"/>
        <v>-4.8716141703195277E-2</v>
      </c>
      <c r="CB151" s="24">
        <f t="shared" si="132"/>
        <v>-3.1387685783788026E-2</v>
      </c>
      <c r="CC151" s="24"/>
      <c r="CD151" s="24">
        <f>EXP(-$D$17)*(($B151*FixedParams!$B$30)^$B$10*(1+FixedParams!$D$24)^(1-$B$10)+(1-$B151)^$B$10*((1+FixedParams!$D$27)/$CE$12)^(1-$B$10))^(1/(1-$B$10))</f>
        <v>6.4457336241861913</v>
      </c>
      <c r="CE151" s="24">
        <f>EXP($D151-$D$17)*(($B151*FixedParams!$D$31)^$B$10*(1+FixedParams!$D$25)^(1-$B$10)+(1-$B151)^$B$10*((1+FixedParams!$D$28)/$CE$12)^(1-$B$10))^(1/(1-$B$10))</f>
        <v>6.5079419061257635</v>
      </c>
      <c r="CF151" s="24">
        <f>EXP($D151-$D$17)*(($B151*FixedParams!$D$30)^$B$10*(1+FixedParams!$D$23)^(1-$B$10)+(1-$B151)^$B$10*((1+FixedParams!$D$26)/$CE$12)^(1-$B$10))^(1/(1-$B$10))</f>
        <v>6.3479437915918426</v>
      </c>
      <c r="CG151">
        <f>IF(FixedParams!$I$6=1,IF(CE151&lt;=MIN(CD151:CF151),1,0),$H151)</f>
        <v>0</v>
      </c>
      <c r="CH151">
        <f>IF(FixedParams!$I$6=1,IF(CF151&lt;=MIN(CD151:CF151),1,0),IF(CF151&lt;=CD151,1,0)*(1-$H151))</f>
        <v>1</v>
      </c>
      <c r="CI151" s="24">
        <f>$CE$13*IF(CG151=1,1,IF(CH151=1,FixedParams!$D$52,FixedParams!$D$53))</f>
        <v>0.32933267593211629</v>
      </c>
      <c r="CJ151">
        <f>EXP($C151*FixedParams!$B$47)*EXP(IF(CG151+CH151=1,(1-FixedParams!$B$47)*$D151,0))*($B151^((FixedParams!$B$47-1)*$B$10/($B$10-1)))*((1/$B151-1)^$B$10*(CI151)^($B$10-1)+1)^((FixedParams!$B$47-$B$10)/($B$10-1))/((1+IF(CG151=1,FixedParams!$D$25,IF(CH151=1,FixedParams!$D$23,FixedParams!$D$24)))^FixedParams!$B$47)</f>
        <v>6.0769585245067391E-2</v>
      </c>
      <c r="CK151">
        <f t="shared" si="133"/>
        <v>1.6000850681754808</v>
      </c>
      <c r="CL151">
        <f t="shared" si="135"/>
        <v>43.714774932379775</v>
      </c>
      <c r="CM151">
        <f t="shared" si="102"/>
        <v>25.544241369484784</v>
      </c>
      <c r="CN151">
        <f t="shared" si="136"/>
        <v>69.259016301864563</v>
      </c>
      <c r="CO151" s="24">
        <f t="shared" si="137"/>
        <v>0.58433885131509677</v>
      </c>
      <c r="CP151" s="24">
        <f t="shared" si="138"/>
        <v>2.050842634261254</v>
      </c>
      <c r="CQ151" s="23">
        <f>IF(CG151=1,CL151*(1+FixedParams!$D$25)+CM151*(1+FixedParams!$D$28)/$CE$12,IF(CH151=1,CL151*(1+FixedParams!$D$23)+CM151*(1+FixedParams!$D$26)/$CE$12,CL151*(1+FixedParams!$D$24)+CM151*(1+FixedParams!$D$27)/$CE$12))</f>
        <v>135.26862815557564</v>
      </c>
      <c r="CR151" s="24">
        <f t="shared" si="139"/>
        <v>21.309046298542441</v>
      </c>
      <c r="CS151" s="24">
        <f>CR151^((FixedParams!$B$47-1)/FixedParams!$B$47)*EXP($C151)</f>
        <v>0.18685873943029524</v>
      </c>
      <c r="CT151" s="24"/>
    </row>
    <row r="152" spans="1:98" x14ac:dyDescent="0.15">
      <c r="A152">
        <v>0.67500000000000004</v>
      </c>
      <c r="B152">
        <f t="shared" si="103"/>
        <v>0.32278763268333183</v>
      </c>
      <c r="C152">
        <f>(D152-$D$17)*FixedParams!$B$47+$A152*$B$9</f>
        <v>-1.6868352336244121</v>
      </c>
      <c r="D152">
        <f>(A152-$B$6)*FixedParams!$B$46/(FixedParams!$B$45*Sectors!$B$6)</f>
        <v>9.5086500231241447E-2</v>
      </c>
      <c r="E152">
        <f t="shared" si="104"/>
        <v>0.1851044102040964</v>
      </c>
      <c r="F152" s="24">
        <f>EXP(-$D$17)*(($B152*FixedParams!$B$30)^$B$10*(1+FixedParams!$B$23)^(1-$B$10)+(1-$B152)^$B$10*((1+FixedParams!$B$26)/$B$11)^(1-$B$10))^(1/(1-$B$10))</f>
        <v>4.9932395186935539</v>
      </c>
      <c r="G152" s="24">
        <f>EXP($D152-$D$17)*(($B152*FixedParams!$B$31)^$B$10*(1+FixedParams!$B$25)^(1-$B$10)+(1-$B152)^$B$10*((1+FixedParams!$B$28)/$B$11)^(1-$B$10))^(1/(1-$B$10))</f>
        <v>5.255186686853131</v>
      </c>
      <c r="H152">
        <f t="shared" si="105"/>
        <v>0</v>
      </c>
      <c r="I152" s="24">
        <f>$B$12*IF(H152=1,1,FixedParams!$B$52)</f>
        <v>0.39101505882574561</v>
      </c>
      <c r="J152">
        <f>EXP($C152*FixedParams!$B$47)*EXP(IF(H152=1,(1-FixedParams!$B$47)*$D152,0))*($B152^((FixedParams!$B$47-1)*$B$10/($B$10-1)))*((1/$B152-1)^$B$10*(I152)^($B$10-1)+1)^((FixedParams!$B$47-$B$10)/($B$10-1))/((1+IF(H152=1,FixedParams!$B$25,FixedParams!$B$24))^FixedParams!$B$47)</f>
        <v>5.9467761505777886E-2</v>
      </c>
      <c r="K152">
        <f t="shared" si="134"/>
        <v>1.1990236424826861</v>
      </c>
      <c r="L152">
        <f>K152*FixedParams!$B$8/K$15</f>
        <v>34.859369521716175</v>
      </c>
      <c r="M152">
        <f t="shared" si="94"/>
        <v>25.901310839146156</v>
      </c>
      <c r="N152">
        <f t="shared" si="106"/>
        <v>60.760680360862331</v>
      </c>
      <c r="O152" s="24">
        <f t="shared" si="107"/>
        <v>0.74302292882866228</v>
      </c>
      <c r="P152" s="24">
        <f t="shared" si="95"/>
        <v>1.9524318441329978</v>
      </c>
      <c r="Q152" s="23">
        <f>IF(H152=1,L152*(1+FixedParams!$B$25)+M152*FixedParams!$B$33*(1+FixedParams!$B$28)/FixedParams!$B$32,L152*(1+FixedParams!$B$23)+M152*FixedParams!$B$33*(1+FixedParams!$B$26)/FixedParams!$B$32)</f>
        <v>108.83477444513572</v>
      </c>
      <c r="R152" s="24">
        <f t="shared" si="96"/>
        <v>21.796425754799674</v>
      </c>
      <c r="S152" s="24">
        <f>R152^((FixedParams!$B$47-1)/FixedParams!$B$47)*EXP($C152)</f>
        <v>0.18453427425115718</v>
      </c>
      <c r="T152" s="7">
        <f>(L152*FixedParams!$B$32*(FixedParams!$C$25-FixedParams!$C$23)+FixedParams!$B$33*(FixedParams!$C$28-FixedParams!$C$26)*M152)/N152</f>
        <v>2050.908175113861</v>
      </c>
      <c r="U152" s="7">
        <f>(L152*FixedParams!$B$32*(FixedParams!$C$25-FixedParams!$C$23)*$Z$12/$B$11+FixedParams!$B$33*(FixedParams!$C$28-FixedParams!$C$26)*M152)/N152</f>
        <v>1474.7060676584117</v>
      </c>
      <c r="V152" s="14">
        <f t="shared" si="97"/>
        <v>-0.6419808311733527</v>
      </c>
      <c r="W152" s="14">
        <f t="shared" si="108"/>
        <v>0.85222287142531683</v>
      </c>
      <c r="X152" s="73">
        <f t="shared" si="109"/>
        <v>0.92591685851311067</v>
      </c>
      <c r="Y152" s="24">
        <f>EXP(-$D$17)*(($B152*FixedParams!$B$30)^$B$10*(1+FixedParams!$C$24)^(1-$B$10)+(1-$B152)^$B$10*((1+FixedParams!$C$27)/$Z$12)^(1-$B$10))^(1/(1-$B$10))</f>
        <v>6.7259062882498455</v>
      </c>
      <c r="Z152" s="24">
        <f>EXP($D152-$D$17)*(($B152*FixedParams!$C$31)^$B$10*(1+FixedParams!$C$25)^(1-$B$10)+(1-$B152)^$B$10*((1+FixedParams!$C$28)/$Z$12)^(1-$B$10))^(1/(1-$B$10))</f>
        <v>6.5366961786660021</v>
      </c>
      <c r="AA152" s="24">
        <f>EXP($D152-$D$17)*(($B152*FixedParams!$C$30)^$B$10*(1+FixedParams!$C$23)^(1-$B$10)+(1-$B152)^$B$10*((1+FixedParams!$C$26)/$Z$12)^(1-$B$10))^(1/(1-$B$10))</f>
        <v>6.3690018562770101</v>
      </c>
      <c r="AB152">
        <f>IF(FixedParams!$I$6=1,IF(Z152&lt;=MIN(Y152:AA152),1,0),$H152)</f>
        <v>0</v>
      </c>
      <c r="AC152">
        <f>IF(FixedParams!$I$6=1,IF(AA152&lt;=MIN(Y152:AA152),1,0),IF(AA152&lt;=Y152,1,0)*(1-$H152))</f>
        <v>1</v>
      </c>
      <c r="AD152" s="24">
        <f>$Z$13*IF(AB152=1,1,IF(AC152=1,FixedParams!$C$52,FixedParams!$C$53))</f>
        <v>0.34709202255780691</v>
      </c>
      <c r="AE152">
        <f>EXP($C152*FixedParams!$B$47)*EXP(IF(AB152+AC152=1,(1-FixedParams!$B$47)*$D152,0))*($B152^((FixedParams!$B$47-1)*$B$10/($B$10-1)))*((1/$B152-1)^$B$10*(AD152)^($B$10-1)+1)^((FixedParams!$B$47-$B$10)/($B$10-1))/((1+IF(AB152=1,FixedParams!$C$25,IF(AC152=1,FixedParams!$C$23,FixedParams!$C$24)))^FixedParams!$B$47)</f>
        <v>5.7587358039874102E-2</v>
      </c>
      <c r="AF152">
        <f t="shared" si="110"/>
        <v>1.6969371056581475</v>
      </c>
      <c r="AG152">
        <f t="shared" si="111"/>
        <v>39.858446754615414</v>
      </c>
      <c r="AH152">
        <f t="shared" si="98"/>
        <v>24.768477384918533</v>
      </c>
      <c r="AI152">
        <f t="shared" si="112"/>
        <v>64.626924139533941</v>
      </c>
      <c r="AJ152" s="24">
        <f t="shared" si="113"/>
        <v>0.62141100322858078</v>
      </c>
      <c r="AK152" s="24">
        <f t="shared" si="114"/>
        <v>2.1272072705055223</v>
      </c>
      <c r="AL152" s="23">
        <f>IF(AB152=1,AG152*(1+FixedParams!$C$25)+AH152*(1+FixedParams!$C$28)/$Z$12,IF(AC152=1,AG152*(1+FixedParams!$C$23)+AH152*(1+FixedParams!$C$26)/$Z$12,AG152*(1+FixedParams!$C$24)+AH152*(1+FixedParams!$C$27)/$Z$12))</f>
        <v>128.53714503774194</v>
      </c>
      <c r="AM152" s="24">
        <f t="shared" si="115"/>
        <v>20.181678061698371</v>
      </c>
      <c r="AN152" s="24">
        <f>AM152^((FixedParams!$B$47-1)/FixedParams!$B$47)*EXP($C152)</f>
        <v>0.18454849277386748</v>
      </c>
      <c r="AO152" s="24">
        <f t="shared" si="116"/>
        <v>6.1688231127219058E-2</v>
      </c>
      <c r="AP152" s="24">
        <f t="shared" si="117"/>
        <v>-7.6970833989918636E-2</v>
      </c>
      <c r="AQ152" s="14">
        <f t="shared" si="118"/>
        <v>-0.58240276448109307</v>
      </c>
      <c r="AS152" s="24">
        <f>EXP(-$D$17)*(($B152*FixedParams!$B$30)^$B$10*(1+FixedParams!$D$24)^(1-$B$10)+(1-$B152)^$B$10*((1+FixedParams!$D$27)/$AT$12)^(1-$B$10))^(1/(1-$B$10))</f>
        <v>6.2441547812656362</v>
      </c>
      <c r="AT152" s="24">
        <f>EXP($D152-$D$17)*(($B152*FixedParams!$C$31)^$B$10*(1+FixedParams!$D$25)^(1-$B$10)+(1-$B152)^$B$10*((1+FixedParams!$D$28)/$AT$12)^(1-$B$10))^(1/(1-$B$10))</f>
        <v>6.3221774113403386</v>
      </c>
      <c r="AU152" s="24">
        <f>EXP($D152-$D$17)*(($B152*FixedParams!$C$30)^$B$10*(1+FixedParams!$D$23)^(1-$B$10)+(1-$B152)^$B$10*((1+FixedParams!$D$26)/$AT$12)^(1-$B$10))^(1/(1-$B$10))</f>
        <v>6.1682717797995537</v>
      </c>
      <c r="AV152">
        <f>IF(FixedParams!$I$6=1,IF(AT152&lt;=MIN(AS152:AU152),1,0),$H152)</f>
        <v>0</v>
      </c>
      <c r="AW152">
        <f>IF(FixedParams!$I$6=1,IF(AU152&lt;=MIN(AS152:AU152),1,0),IF(AU152&lt;=AS152,1,0)*(1-$H152))</f>
        <v>1</v>
      </c>
      <c r="AX152" s="24">
        <f>$AT$13*IF(AV152=1,1,IF(AW152=1,FixedParams!$D$52,FixedParams!$D$53))</f>
        <v>0.3451899269505756</v>
      </c>
      <c r="AY152">
        <f>EXP($C152*FixedParams!$B$47)*EXP(IF(AV152+AW152=1,(1-FixedParams!$B$47)*$D152,0))*($B152^((FixedParams!$B$47-1)*$B$10/($B$10-1)))*((1/$B152-1)^$B$10*(AX152)^($B$10-1)+1)^((FixedParams!$B$47-$B$10)/($B$10-1))/((1+IF(AV152=1,FixedParams!$D$25,IF(AW152=1,FixedParams!$D$23,FixedParams!$D$24)))^FixedParams!$B$47)</f>
        <v>5.9774623209835176E-2</v>
      </c>
      <c r="AZ152">
        <f t="shared" si="99"/>
        <v>1.6095860015875494</v>
      </c>
      <c r="BA152">
        <f t="shared" si="119"/>
        <v>40.496968529273481</v>
      </c>
      <c r="BB152">
        <f t="shared" si="100"/>
        <v>24.958683647359493</v>
      </c>
      <c r="BC152">
        <f t="shared" si="120"/>
        <v>65.455652176632981</v>
      </c>
      <c r="BD152" s="24">
        <f t="shared" si="121"/>
        <v>0.61630992525571282</v>
      </c>
      <c r="BE152" s="24">
        <f t="shared" si="122"/>
        <v>2.0887480458732659</v>
      </c>
      <c r="BF152" s="23">
        <f>IF(AV152=1,BA152*(1+FixedParams!$C$25)+BB152*(1+FixedParams!$C$28)/$AT$12,IF(AW152=1,BA152*(1+FixedParams!$C$23)+BB152*(1+FixedParams!$C$26)/$AT$12,BA152*(1+FixedParams!$C$24)+BB152*(1+FixedParams!$C$27)/$AT$12))</f>
        <v>128.77117773989536</v>
      </c>
      <c r="BG152" s="24">
        <f t="shared" si="123"/>
        <v>20.876378722741684</v>
      </c>
      <c r="BH152" s="24">
        <f>BG152^((FixedParams!$B$47-1)/FixedParams!$B$47)*EXP($C152)</f>
        <v>0.18454224092567356</v>
      </c>
      <c r="BI152" s="7"/>
      <c r="BJ152" s="24">
        <f>EXP(-$D$17)*(($B152*FixedParams!$B$30)^$B$10*(1+FixedParams!$C$24)^(1-$B$10)+(1-$B152)^$B$10*((1+FixedParams!$C$27)/$BK$12)^(1-$B$10))^(1/(1-$B$10))</f>
        <v>6.9581968953106053</v>
      </c>
      <c r="BK152" s="24">
        <f>EXP($D152-$D$17)*(($B152*FixedParams!$C$31)^$B$10*(1+FixedParams!$C$25)^(1-$B$10)+(1-$B152)^$B$10*((1+FixedParams!$C$28)/$BK$12)^(1-$B$10))^(1/(1-$B$10))</f>
        <v>6.7585914328899337</v>
      </c>
      <c r="BL152" s="24">
        <f>EXP($D152-$D$17)*(($B152*FixedParams!$C$30)^$B$10*(1+FixedParams!$C$23)^(1-$B$10)+(1-$B152)^$B$10*((1+FixedParams!$C$26)/$BK$12)^(1-$B$10))^(1/(1-$B$10))</f>
        <v>6.5769888597891555</v>
      </c>
      <c r="BM152">
        <f>IF(FixedParams!$I$6=1,IF(BK152&lt;=MIN(BJ152:BL152),1,0),$H152)</f>
        <v>0</v>
      </c>
      <c r="BN152">
        <f>IF(FixedParams!$I$6=1,IF(BL152&lt;=MIN(BJ152:BL152),1,0),IF(BL152&lt;=BJ152,1,0)*(1-$H152))</f>
        <v>1</v>
      </c>
      <c r="BO152" s="24">
        <f>$BK$13*IF(BM152=1,1,IF(BN152=1,FixedParams!$C$52,FixedParams!$C$53))</f>
        <v>0.33006170822567266</v>
      </c>
      <c r="BP152">
        <f>EXP($C152*FixedParams!$B$47)*EXP(IF(BM152+BN152=1,(1-FixedParams!$B$47)*$D152,0))*($B152^((FixedParams!$B$47-1)*$B$10/($B$10-1)))*((1/$B152-1)^$B$10*(BO152)^($B$10-1)+1)^((FixedParams!$B$47-$B$10)/($B$10-1))/((1+IF(BM152=1,FixedParams!$C$25,IF(BN152=1,FixedParams!$C$23,FixedParams!$C$24)))^FixedParams!$B$47)</f>
        <v>5.8521975204723103E-2</v>
      </c>
      <c r="BQ152">
        <f t="shared" si="124"/>
        <v>1.6835456833104421</v>
      </c>
      <c r="BR152">
        <f t="shared" si="125"/>
        <v>42.937416539252069</v>
      </c>
      <c r="BS152">
        <f t="shared" si="101"/>
        <v>24.742331172149086</v>
      </c>
      <c r="BT152">
        <f t="shared" si="126"/>
        <v>67.679747711401149</v>
      </c>
      <c r="BU152" s="24">
        <f t="shared" si="127"/>
        <v>0.57624172962363507</v>
      </c>
      <c r="BV152" s="24">
        <f t="shared" si="128"/>
        <v>2.0888923065219078</v>
      </c>
      <c r="BW152" s="23">
        <f>IF(BM152=1,BR152*(1+FixedParams!$C$25)+BS152*(1+FixedParams!$C$28)/$BK$12,IF(BN152=1,BR152*(1+FixedParams!$C$23)+BS152*(1+FixedParams!$C$26)/$BK$12,BR152*(1+FixedParams!$C$24)+BS152*(1+FixedParams!$C$27)/$BK$12))</f>
        <v>136.25935338419194</v>
      </c>
      <c r="BX152" s="24">
        <f t="shared" si="129"/>
        <v>20.717589202144417</v>
      </c>
      <c r="BY152" s="24">
        <f>BX152^((FixedParams!$B$47-1)/FixedParams!$B$47)*EXP($C152)</f>
        <v>0.18454365136871287</v>
      </c>
      <c r="BZ152" s="24">
        <f t="shared" si="130"/>
        <v>0.10784411244517034</v>
      </c>
      <c r="CA152" s="24">
        <f t="shared" si="131"/>
        <v>-5.0762940776811684E-2</v>
      </c>
      <c r="CB152" s="24">
        <f t="shared" si="132"/>
        <v>-3.3434484857404433E-2</v>
      </c>
      <c r="CC152" s="24"/>
      <c r="CD152" s="24">
        <f>EXP(-$D$17)*(($B152*FixedParams!$B$30)^$B$10*(1+FixedParams!$D$24)^(1-$B$10)+(1-$B152)^$B$10*((1+FixedParams!$D$27)/$CE$12)^(1-$B$10))^(1/(1-$B$10))</f>
        <v>6.4427757714595195</v>
      </c>
      <c r="CE152" s="24">
        <f>EXP($D152-$D$17)*(($B152*FixedParams!$D$31)^$B$10*(1+FixedParams!$D$25)^(1-$B$10)+(1-$B152)^$B$10*((1+FixedParams!$D$28)/$CE$12)^(1-$B$10))^(1/(1-$B$10))</f>
        <v>6.5209072960980388</v>
      </c>
      <c r="CF152" s="24">
        <f>EXP($D152-$D$17)*(($B152*FixedParams!$D$30)^$B$10*(1+FixedParams!$D$23)^(1-$B$10)+(1-$B152)^$B$10*((1+FixedParams!$D$26)/$CE$12)^(1-$B$10))^(1/(1-$B$10))</f>
        <v>6.3562242543343626</v>
      </c>
      <c r="CG152">
        <f>IF(FixedParams!$I$6=1,IF(CE152&lt;=MIN(CD152:CF152),1,0),$H152)</f>
        <v>0</v>
      </c>
      <c r="CH152">
        <f>IF(FixedParams!$I$6=1,IF(CF152&lt;=MIN(CD152:CF152),1,0),IF(CF152&lt;=CD152,1,0)*(1-$H152))</f>
        <v>1</v>
      </c>
      <c r="CI152" s="24">
        <f>$CE$13*IF(CG152=1,1,IF(CH152=1,FixedParams!$D$52,FixedParams!$D$53))</f>
        <v>0.32933267593211629</v>
      </c>
      <c r="CJ152">
        <f>EXP($C152*FixedParams!$B$47)*EXP(IF(CG152+CH152=1,(1-FixedParams!$B$47)*$D152,0))*($B152^((FixedParams!$B$47-1)*$B$10/($B$10-1)))*((1/$B152-1)^$B$10*(CI152)^($B$10-1)+1)^((FixedParams!$B$47-$B$10)/($B$10-1))/((1+IF(CG152=1,FixedParams!$D$25,IF(CH152=1,FixedParams!$D$23,FixedParams!$D$24)))^FixedParams!$B$47)</f>
        <v>6.0680302630091422E-2</v>
      </c>
      <c r="CK152">
        <f t="shared" si="133"/>
        <v>1.5977342247643469</v>
      </c>
      <c r="CL152">
        <f t="shared" si="135"/>
        <v>43.650549227970096</v>
      </c>
      <c r="CM152">
        <f t="shared" si="102"/>
        <v>25.069977129095371</v>
      </c>
      <c r="CN152">
        <f t="shared" si="136"/>
        <v>68.720526357065467</v>
      </c>
      <c r="CO152" s="24">
        <f t="shared" si="137"/>
        <v>0.57433360112296605</v>
      </c>
      <c r="CP152" s="24">
        <f t="shared" si="138"/>
        <v>2.0535178195781536</v>
      </c>
      <c r="CQ152" s="23">
        <f>IF(CG152=1,CL152*(1+FixedParams!$D$25)+CM152*(1+FixedParams!$D$28)/$CE$12,IF(CH152=1,CL152*(1+FixedParams!$D$23)+CM152*(1+FixedParams!$D$26)/$CE$12,CL152*(1+FixedParams!$D$24)+CM152*(1+FixedParams!$D$27)/$CE$12))</f>
        <v>133.59079544717468</v>
      </c>
      <c r="CR152" s="24">
        <f t="shared" si="139"/>
        <v>21.017319418218769</v>
      </c>
      <c r="CS152" s="24">
        <f>CR152^((FixedParams!$B$47-1)/FixedParams!$B$47)*EXP($C152)</f>
        <v>0.18454099799134069</v>
      </c>
      <c r="CT152" s="24"/>
    </row>
    <row r="153" spans="1:98" x14ac:dyDescent="0.15">
      <c r="A153">
        <v>0.68</v>
      </c>
      <c r="B153">
        <f t="shared" si="103"/>
        <v>0.32530960777654666</v>
      </c>
      <c r="C153">
        <f>(D153-$D$17)*FixedParams!$B$47+$A153*$B$9</f>
        <v>-1.6993303094290375</v>
      </c>
      <c r="D153">
        <f>(A153-$B$6)*FixedParams!$B$46/(FixedParams!$B$45*Sectors!$B$6)</f>
        <v>9.7803257380705486E-2</v>
      </c>
      <c r="E153">
        <f t="shared" si="104"/>
        <v>0.18280590646086145</v>
      </c>
      <c r="F153" s="24">
        <f>EXP(-$D$17)*(($B153*FixedParams!$B$30)^$B$10*(1+FixedParams!$B$23)^(1-$B$10)+(1-$B153)^$B$10*((1+FixedParams!$B$26)/$B$11)^(1-$B$10))^(1/(1-$B$10))</f>
        <v>4.9893249856952036</v>
      </c>
      <c r="G153" s="24">
        <f>EXP($D153-$D$17)*(($B153*FixedParams!$B$31)^$B$10*(1+FixedParams!$B$25)^(1-$B$10)+(1-$B153)^$B$10*((1+FixedParams!$B$28)/$B$11)^(1-$B$10))^(1/(1-$B$10))</f>
        <v>5.2644654610703583</v>
      </c>
      <c r="H153">
        <f t="shared" si="105"/>
        <v>0</v>
      </c>
      <c r="I153" s="24">
        <f>$B$12*IF(H153=1,1,FixedParams!$B$52)</f>
        <v>0.39101505882574561</v>
      </c>
      <c r="J153">
        <f>EXP($C153*FixedParams!$B$47)*EXP(IF(H153=1,(1-FixedParams!$B$47)*$D153,0))*($B153^((FixedParams!$B$47-1)*$B$10/($B$10-1)))*((1/$B153-1)^$B$10*(I153)^($B$10-1)+1)^((FixedParams!$B$47-$B$10)/($B$10-1))/((1+IF(H153=1,FixedParams!$B$25,FixedParams!$B$24))^FixedParams!$B$47)</f>
        <v>5.9396360767519321E-2</v>
      </c>
      <c r="K153">
        <f t="shared" si="134"/>
        <v>1.1975840192129517</v>
      </c>
      <c r="L153">
        <f>K153*FixedParams!$B$8/K$15</f>
        <v>34.817515168095738</v>
      </c>
      <c r="M153">
        <f t="shared" si="94"/>
        <v>25.427253451904996</v>
      </c>
      <c r="N153">
        <f t="shared" si="106"/>
        <v>60.244768620000734</v>
      </c>
      <c r="O153" s="24">
        <f t="shared" si="107"/>
        <v>0.7303006354458258</v>
      </c>
      <c r="P153" s="24">
        <f t="shared" si="95"/>
        <v>1.9509012027823724</v>
      </c>
      <c r="Q153" s="23">
        <f>IF(H153=1,L153*(1+FixedParams!$B$25)+M153*FixedParams!$B$33*(1+FixedParams!$B$28)/FixedParams!$B$32,L153*(1+FixedParams!$B$23)+M153*FixedParams!$B$33*(1+FixedParams!$B$26)/FixedParams!$B$32)</f>
        <v>107.48459515483395</v>
      </c>
      <c r="R153" s="24">
        <f t="shared" si="96"/>
        <v>21.54291321230847</v>
      </c>
      <c r="S153" s="24">
        <f>R153^((FixedParams!$B$47-1)/FixedParams!$B$47)*EXP($C153)</f>
        <v>0.18224498430026567</v>
      </c>
      <c r="T153" s="7">
        <f>(L153*FixedParams!$B$32*(FixedParams!$C$25-FixedParams!$C$23)+FixedParams!$B$33*(FixedParams!$C$28-FixedParams!$C$26)*M153)/N153</f>
        <v>2098.7648880573979</v>
      </c>
      <c r="U153" s="7">
        <f>(L153*FixedParams!$B$32*(FixedParams!$C$25-FixedParams!$C$23)*$Z$12/$B$11+FixedParams!$B$33*(FixedParams!$C$28-FixedParams!$C$26)*M153)/N153</f>
        <v>1518.3261687041741</v>
      </c>
      <c r="V153" s="14">
        <f t="shared" si="97"/>
        <v>-0.62471020587726955</v>
      </c>
      <c r="W153" s="14">
        <f t="shared" si="108"/>
        <v>0.85517774911586375</v>
      </c>
      <c r="X153" s="73">
        <f t="shared" si="109"/>
        <v>0.92384123447080646</v>
      </c>
      <c r="Y153" s="24">
        <f>EXP(-$D$17)*(($B153*FixedParams!$B$30)^$B$10*(1+FixedParams!$C$24)^(1-$B$10)+(1-$B153)^$B$10*((1+FixedParams!$C$27)/$Z$12)^(1-$B$10))^(1/(1-$B$10))</f>
        <v>6.7258595112830539</v>
      </c>
      <c r="Z153" s="24">
        <f>EXP($D153-$D$17)*(($B153*FixedParams!$C$31)^$B$10*(1+FixedParams!$C$25)^(1-$B$10)+(1-$B153)^$B$10*((1+FixedParams!$C$28)/$Z$12)^(1-$B$10))^(1/(1-$B$10))</f>
        <v>6.5518674906426062</v>
      </c>
      <c r="AA153" s="24">
        <f>EXP($D153-$D$17)*(($B153*FixedParams!$C$30)^$B$10*(1+FixedParams!$C$23)^(1-$B$10)+(1-$B153)^$B$10*((1+FixedParams!$C$26)/$Z$12)^(1-$B$10))^(1/(1-$B$10))</f>
        <v>6.3783213249373727</v>
      </c>
      <c r="AB153">
        <f>IF(FixedParams!$I$6=1,IF(Z153&lt;=MIN(Y153:AA153),1,0),$H153)</f>
        <v>0</v>
      </c>
      <c r="AC153">
        <f>IF(FixedParams!$I$6=1,IF(AA153&lt;=MIN(Y153:AA153),1,0),IF(AA153&lt;=Y153,1,0)*(1-$H153))</f>
        <v>1</v>
      </c>
      <c r="AD153" s="24">
        <f>$Z$13*IF(AB153=1,1,IF(AC153=1,FixedParams!$C$52,FixedParams!$C$53))</f>
        <v>0.34709202255780691</v>
      </c>
      <c r="AE153">
        <f>EXP($C153*FixedParams!$B$47)*EXP(IF(AB153+AC153=1,(1-FixedParams!$B$47)*$D153,0))*($B153^((FixedParams!$B$47-1)*$B$10/($B$10-1)))*((1/$B153-1)^$B$10*(AD153)^($B$10-1)+1)^((FixedParams!$B$47-$B$10)/($B$10-1))/((1+IF(AB153=1,FixedParams!$C$25,IF(AC153=1,FixedParams!$C$23,FixedParams!$C$24)))^FixedParams!$B$47)</f>
        <v>5.7504820442008532E-2</v>
      </c>
      <c r="AF153">
        <f t="shared" si="110"/>
        <v>1.6945049553182587</v>
      </c>
      <c r="AG153">
        <f t="shared" si="111"/>
        <v>39.801319277999788</v>
      </c>
      <c r="AH153">
        <f t="shared" si="98"/>
        <v>24.309491216091697</v>
      </c>
      <c r="AI153">
        <f t="shared" si="112"/>
        <v>64.110810494091481</v>
      </c>
      <c r="AJ153" s="24">
        <f t="shared" si="113"/>
        <v>0.61077099093870457</v>
      </c>
      <c r="AK153" s="24">
        <f t="shared" si="114"/>
        <v>2.1303199154597756</v>
      </c>
      <c r="AL153" s="23">
        <f>IF(AB153=1,AG153*(1+FixedParams!$C$25)+AH153*(1+FixedParams!$C$28)/$Z$12,IF(AC153=1,AG153*(1+FixedParams!$C$23)+AH153*(1+FixedParams!$C$26)/$Z$12,AG153*(1+FixedParams!$C$24)+AH153*(1+FixedParams!$C$27)/$Z$12))</f>
        <v>126.94282782090811</v>
      </c>
      <c r="AM153" s="24">
        <f t="shared" si="115"/>
        <v>19.902231536156503</v>
      </c>
      <c r="AN153" s="24">
        <f>AM153^((FixedParams!$B$47-1)/FixedParams!$B$47)*EXP($C153)</f>
        <v>0.18225943586908155</v>
      </c>
      <c r="AO153" s="24">
        <f t="shared" si="116"/>
        <v>6.2197259443380427E-2</v>
      </c>
      <c r="AP153" s="24">
        <f t="shared" si="117"/>
        <v>-7.9215046269709918E-2</v>
      </c>
      <c r="AQ153" s="14">
        <f t="shared" si="118"/>
        <v>-0.56513213918500982</v>
      </c>
      <c r="AS153" s="24">
        <f>EXP(-$D$17)*(($B153*FixedParams!$B$30)^$B$10*(1+FixedParams!$D$24)^(1-$B$10)+(1-$B153)^$B$10*((1+FixedParams!$D$27)/$AT$12)^(1-$B$10))^(1/(1-$B$10))</f>
        <v>6.2421314889887034</v>
      </c>
      <c r="AT153" s="24">
        <f>EXP($D153-$D$17)*(($B153*FixedParams!$C$31)^$B$10*(1+FixedParams!$D$25)^(1-$B$10)+(1-$B153)^$B$10*((1+FixedParams!$D$28)/$AT$12)^(1-$B$10))^(1/(1-$B$10))</f>
        <v>6.3356308096171663</v>
      </c>
      <c r="AU153" s="24">
        <f>EXP($D153-$D$17)*(($B153*FixedParams!$C$30)^$B$10*(1+FixedParams!$D$23)^(1-$B$10)+(1-$B153)^$B$10*((1+FixedParams!$D$26)/$AT$12)^(1-$B$10))^(1/(1-$B$10))</f>
        <v>6.1771623460666873</v>
      </c>
      <c r="AV153">
        <f>IF(FixedParams!$I$6=1,IF(AT153&lt;=MIN(AS153:AU153),1,0),$H153)</f>
        <v>0</v>
      </c>
      <c r="AW153">
        <f>IF(FixedParams!$I$6=1,IF(AU153&lt;=MIN(AS153:AU153),1,0),IF(AU153&lt;=AS153,1,0)*(1-$H153))</f>
        <v>1</v>
      </c>
      <c r="AX153" s="24">
        <f>$AT$13*IF(AV153=1,1,IF(AW153=1,FixedParams!$D$52,FixedParams!$D$53))</f>
        <v>0.3451899269505756</v>
      </c>
      <c r="AY153">
        <f>EXP($C153*FixedParams!$B$47)*EXP(IF(AV153+AW153=1,(1-FixedParams!$B$47)*$D153,0))*($B153^((FixedParams!$B$47-1)*$B$10/($B$10-1)))*((1/$B153-1)^$B$10*(AX153)^($B$10-1)+1)^((FixedParams!$B$47-$B$10)/($B$10-1))/((1+IF(AV153=1,FixedParams!$D$25,IF(AW153=1,FixedParams!$D$23,FixedParams!$D$24)))^FixedParams!$B$47)</f>
        <v>5.9688296271670195E-2</v>
      </c>
      <c r="AZ153">
        <f t="shared" si="99"/>
        <v>1.6072614259772191</v>
      </c>
      <c r="BA153">
        <f t="shared" si="119"/>
        <v>40.438482517813007</v>
      </c>
      <c r="BB153">
        <f t="shared" si="100"/>
        <v>24.495904181404502</v>
      </c>
      <c r="BC153">
        <f t="shared" si="120"/>
        <v>64.934386699217512</v>
      </c>
      <c r="BD153" s="24">
        <f t="shared" si="121"/>
        <v>0.60575725537213576</v>
      </c>
      <c r="BE153" s="24">
        <f t="shared" si="122"/>
        <v>2.0917586383990359</v>
      </c>
      <c r="BF153" s="23">
        <f>IF(AV153=1,BA153*(1+FixedParams!$C$25)+BB153*(1+FixedParams!$C$28)/$AT$12,IF(AW153=1,BA153*(1+FixedParams!$C$23)+BB153*(1+FixedParams!$C$26)/$AT$12,BA153*(1+FixedParams!$C$24)+BB153*(1+FixedParams!$C$27)/$AT$12))</f>
        <v>127.18374654890418</v>
      </c>
      <c r="BG153" s="24">
        <f t="shared" si="123"/>
        <v>20.589348219071582</v>
      </c>
      <c r="BH153" s="24">
        <f>BG153^((FixedParams!$B$47-1)/FixedParams!$B$47)*EXP($C153)</f>
        <v>0.18225324353162839</v>
      </c>
      <c r="BI153" s="7"/>
      <c r="BJ153" s="24">
        <f>EXP(-$D$17)*(($B153*FixedParams!$B$30)^$B$10*(1+FixedParams!$C$24)^(1-$B$10)+(1-$B153)^$B$10*((1+FixedParams!$C$27)/$BK$12)^(1-$B$10))^(1/(1-$B$10))</f>
        <v>6.9568181049740163</v>
      </c>
      <c r="BK153" s="24">
        <f>EXP($D153-$D$17)*(($B153*FixedParams!$C$31)^$B$10*(1+FixedParams!$C$25)^(1-$B$10)+(1-$B153)^$B$10*((1+FixedParams!$C$28)/$BK$12)^(1-$B$10))^(1/(1-$B$10))</f>
        <v>6.7729600953784024</v>
      </c>
      <c r="BL153" s="24">
        <f>EXP($D153-$D$17)*(($B153*FixedParams!$C$30)^$B$10*(1+FixedParams!$C$23)^(1-$B$10)+(1-$B153)^$B$10*((1+FixedParams!$C$26)/$BK$12)^(1-$B$10))^(1/(1-$B$10))</f>
        <v>6.585289047409808</v>
      </c>
      <c r="BM153">
        <f>IF(FixedParams!$I$6=1,IF(BK153&lt;=MIN(BJ153:BL153),1,0),$H153)</f>
        <v>0</v>
      </c>
      <c r="BN153">
        <f>IF(FixedParams!$I$6=1,IF(BL153&lt;=MIN(BJ153:BL153),1,0),IF(BL153&lt;=BJ153,1,0)*(1-$H153))</f>
        <v>1</v>
      </c>
      <c r="BO153" s="24">
        <f>$BK$13*IF(BM153=1,1,IF(BN153=1,FixedParams!$C$52,FixedParams!$C$53))</f>
        <v>0.33006170822567266</v>
      </c>
      <c r="BP153">
        <f>EXP($C153*FixedParams!$B$47)*EXP(IF(BM153+BN153=1,(1-FixedParams!$B$47)*$D153,0))*($B153^((FixedParams!$B$47-1)*$B$10/($B$10-1)))*((1/$B153-1)^$B$10*(BO153)^($B$10-1)+1)^((FixedParams!$B$47-$B$10)/($B$10-1))/((1+IF(BM153=1,FixedParams!$C$25,IF(BN153=1,FixedParams!$C$23,FixedParams!$C$24)))^FixedParams!$B$47)</f>
        <v>5.843221427865284E-2</v>
      </c>
      <c r="BQ153">
        <f t="shared" si="124"/>
        <v>1.6809634632283807</v>
      </c>
      <c r="BR153">
        <f t="shared" si="125"/>
        <v>42.871559188092185</v>
      </c>
      <c r="BS153">
        <f t="shared" si="101"/>
        <v>24.281384528005425</v>
      </c>
      <c r="BT153">
        <f t="shared" si="126"/>
        <v>67.15294371609761</v>
      </c>
      <c r="BU153" s="24">
        <f t="shared" si="127"/>
        <v>0.56637512112574895</v>
      </c>
      <c r="BV153" s="24">
        <f t="shared" si="128"/>
        <v>2.0915284974039499</v>
      </c>
      <c r="BW153" s="23">
        <f>IF(BM153=1,BR153*(1+FixedParams!$C$25)+BS153*(1+FixedParams!$C$28)/$BK$12,IF(BN153=1,BR153*(1+FixedParams!$C$23)+BS153*(1+FixedParams!$C$26)/$BK$12,BR153*(1+FixedParams!$C$24)+BS153*(1+FixedParams!$C$27)/$BK$12))</f>
        <v>134.56922630610364</v>
      </c>
      <c r="BX153" s="24">
        <f t="shared" si="129"/>
        <v>20.434824551707987</v>
      </c>
      <c r="BY153" s="24">
        <f>BX153^((FixedParams!$B$47-1)/FixedParams!$B$47)*EXP($C153)</f>
        <v>0.18225461788571856</v>
      </c>
      <c r="BZ153" s="24">
        <f t="shared" si="130"/>
        <v>0.1085570192077621</v>
      </c>
      <c r="CA153" s="24">
        <f t="shared" si="131"/>
        <v>-5.2806377905280408E-2</v>
      </c>
      <c r="CB153" s="24">
        <f t="shared" si="132"/>
        <v>-3.5477921985873156E-2</v>
      </c>
      <c r="CC153" s="24"/>
      <c r="CD153" s="24">
        <f>EXP(-$D$17)*(($B153*FixedParams!$B$30)^$B$10*(1+FixedParams!$D$24)^(1-$B$10)+(1-$B153)^$B$10*((1+FixedParams!$D$27)/$CE$12)^(1-$B$10))^(1/(1-$B$10))</f>
        <v>6.4395211095247493</v>
      </c>
      <c r="CE153" s="24">
        <f>EXP($D153-$D$17)*(($B153*FixedParams!$D$31)^$B$10*(1+FixedParams!$D$25)^(1-$B$10)+(1-$B153)^$B$10*((1+FixedParams!$D$28)/$CE$12)^(1-$B$10))^(1/(1-$B$10))</f>
        <v>6.5335863460734025</v>
      </c>
      <c r="CF153" s="24">
        <f>EXP($D153-$D$17)*(($B153*FixedParams!$D$30)^$B$10*(1+FixedParams!$D$23)^(1-$B$10)+(1-$B153)^$B$10*((1+FixedParams!$D$26)/$CE$12)^(1-$B$10))^(1/(1-$B$10))</f>
        <v>6.3641894190080199</v>
      </c>
      <c r="CG153">
        <f>IF(FixedParams!$I$6=1,IF(CE153&lt;=MIN(CD153:CF153),1,0),$H153)</f>
        <v>0</v>
      </c>
      <c r="CH153">
        <f>IF(FixedParams!$I$6=1,IF(CF153&lt;=MIN(CD153:CF153),1,0),IF(CF153&lt;=CD153,1,0)*(1-$H153))</f>
        <v>1</v>
      </c>
      <c r="CI153" s="24">
        <f>$CE$13*IF(CG153=1,1,IF(CH153=1,FixedParams!$D$52,FixedParams!$D$53))</f>
        <v>0.32933267593211629</v>
      </c>
      <c r="CJ153">
        <f>EXP($C153*FixedParams!$B$47)*EXP(IF(CG153+CH153=1,(1-FixedParams!$B$47)*$D153,0))*($B153^((FixedParams!$B$47-1)*$B$10/($B$10-1)))*((1/$B153-1)^$B$10*(CI153)^($B$10-1)+1)^((FixedParams!$B$47-$B$10)/($B$10-1))/((1+IF(CG153=1,FixedParams!$D$25,IF(CH153=1,FixedParams!$D$23,FixedParams!$D$24)))^FixedParams!$B$47)</f>
        <v>6.0586962183061865E-2</v>
      </c>
      <c r="CK153">
        <f t="shared" si="133"/>
        <v>1.5952765371736464</v>
      </c>
      <c r="CL153">
        <f t="shared" si="135"/>
        <v>43.583404510468242</v>
      </c>
      <c r="CM153">
        <f t="shared" si="102"/>
        <v>24.602817213275269</v>
      </c>
      <c r="CN153">
        <f t="shared" si="136"/>
        <v>68.186221723743515</v>
      </c>
      <c r="CO153" s="24">
        <f t="shared" si="137"/>
        <v>0.56449966425559872</v>
      </c>
      <c r="CP153" s="24">
        <f t="shared" si="138"/>
        <v>2.0560911409303819</v>
      </c>
      <c r="CQ153" s="23">
        <f>IF(CG153=1,CL153*(1+FixedParams!$D$25)+CM153*(1+FixedParams!$D$28)/$CE$12,IF(CH153=1,CL153*(1+FixedParams!$D$23)+CM153*(1+FixedParams!$D$26)/$CE$12,CL153*(1+FixedParams!$D$24)+CM153*(1+FixedParams!$D$27)/$CE$12))</f>
        <v>131.93376732745969</v>
      </c>
      <c r="CR153" s="24">
        <f t="shared" si="139"/>
        <v>20.73064747780937</v>
      </c>
      <c r="CS153" s="24">
        <f>CR153^((FixedParams!$B$47-1)/FixedParams!$B$47)*EXP($C153)</f>
        <v>0.18225199580456319</v>
      </c>
      <c r="CT153" s="24"/>
    </row>
    <row r="154" spans="1:98" x14ac:dyDescent="0.15">
      <c r="A154">
        <v>0.68500000000000005</v>
      </c>
      <c r="B154">
        <f t="shared" si="103"/>
        <v>0.32784174831015994</v>
      </c>
      <c r="C154">
        <f>(D154-$D$17)*FixedParams!$B$47+$A154*$B$9</f>
        <v>-1.7118253852336625</v>
      </c>
      <c r="D154">
        <f>(A154-$B$6)*FixedParams!$B$46/(FixedParams!$B$45*Sectors!$B$6)</f>
        <v>0.10052001453016954</v>
      </c>
      <c r="E154">
        <f t="shared" si="104"/>
        <v>0.18053594401197953</v>
      </c>
      <c r="F154" s="24">
        <f>EXP(-$D$17)*(($B154*FixedParams!$B$30)^$B$10*(1+FixedParams!$B$23)^(1-$B$10)+(1-$B154)^$B$10*((1+FixedParams!$B$26)/$B$11)^(1-$B$10))^(1/(1-$B$10))</f>
        <v>4.9851732605970254</v>
      </c>
      <c r="G154" s="24">
        <f>EXP($D154-$D$17)*(($B154*FixedParams!$B$31)^$B$10*(1+FixedParams!$B$25)^(1-$B$10)+(1-$B154)^$B$10*((1+FixedParams!$B$28)/$B$11)^(1-$B$10))^(1/(1-$B$10))</f>
        <v>5.2735018836722372</v>
      </c>
      <c r="H154">
        <f t="shared" si="105"/>
        <v>0</v>
      </c>
      <c r="I154" s="24">
        <f>$B$12*IF(H154=1,1,FixedParams!$B$52)</f>
        <v>0.39101505882574561</v>
      </c>
      <c r="J154">
        <f>EXP($C154*FixedParams!$B$47)*EXP(IF(H154=1,(1-FixedParams!$B$47)*$D154,0))*($B154^((FixedParams!$B$47-1)*$B$10/($B$10-1)))*((1/$B154-1)^$B$10*(I154)^($B$10-1)+1)^((FixedParams!$B$47-$B$10)/($B$10-1))/((1+IF(H154=1,FixedParams!$B$25,FixedParams!$B$24))^FixedParams!$B$47)</f>
        <v>5.932102429707474E-2</v>
      </c>
      <c r="K154">
        <f t="shared" si="134"/>
        <v>1.1960650414186476</v>
      </c>
      <c r="L154">
        <f>K154*FixedParams!$B$8/K$15</f>
        <v>34.773353730113342</v>
      </c>
      <c r="M154">
        <f t="shared" si="94"/>
        <v>24.960180387477706</v>
      </c>
      <c r="N154">
        <f t="shared" si="106"/>
        <v>59.733534117591049</v>
      </c>
      <c r="O154" s="24">
        <f t="shared" si="107"/>
        <v>0.71779617753298453</v>
      </c>
      <c r="P154" s="24">
        <f t="shared" si="95"/>
        <v>1.9492778157488799</v>
      </c>
      <c r="Q154" s="23">
        <f>IF(H154=1,L154*(1+FixedParams!$B$25)+M154*FixedParams!$B$33*(1+FixedParams!$B$28)/FixedParams!$B$32,L154*(1+FixedParams!$B$23)+M154*FixedParams!$B$33*(1+FixedParams!$B$26)/FixedParams!$B$32)</f>
        <v>106.15116076379418</v>
      </c>
      <c r="R154" s="24">
        <f t="shared" si="96"/>
        <v>21.293374415452412</v>
      </c>
      <c r="S154" s="24">
        <f>R154^((FixedParams!$B$47-1)/FixedParams!$B$47)*EXP($C154)</f>
        <v>0.17998408608214975</v>
      </c>
      <c r="T154" s="7">
        <f>(L154*FixedParams!$B$32*(FixedParams!$C$25-FixedParams!$C$23)+FixedParams!$B$33*(FixedParams!$C$28-FixedParams!$C$26)*M154)/N154</f>
        <v>2146.4929496510526</v>
      </c>
      <c r="U154" s="7">
        <f>(L154*FixedParams!$B$32*(FixedParams!$C$25-FixedParams!$C$23)*$Z$12/$B$11+FixedParams!$B$33*(FixedParams!$C$28-FixedParams!$C$26)*M154)/N154</f>
        <v>1561.8290075199091</v>
      </c>
      <c r="V154" s="14">
        <f t="shared" si="97"/>
        <v>-0.60743958058118541</v>
      </c>
      <c r="W154" s="14">
        <f t="shared" si="108"/>
        <v>0.85810755184205423</v>
      </c>
      <c r="X154" s="73">
        <f t="shared" si="109"/>
        <v>0.9217724297249974</v>
      </c>
      <c r="Y154" s="24">
        <f>EXP(-$D$17)*(($B154*FixedParams!$B$30)^$B$10*(1+FixedParams!$C$24)^(1-$B$10)+(1-$B154)^$B$10*((1+FixedParams!$C$27)/$Z$12)^(1-$B$10))^(1/(1-$B$10))</f>
        <v>6.7255180378481274</v>
      </c>
      <c r="Z154" s="24">
        <f>EXP($D154-$D$17)*(($B154*FixedParams!$C$31)^$B$10*(1+FixedParams!$C$25)^(1-$B$10)+(1-$B154)^$B$10*((1+FixedParams!$C$28)/$Z$12)^(1-$B$10))^(1/(1-$B$10))</f>
        <v>6.5667712939216365</v>
      </c>
      <c r="AA154" s="24">
        <f>EXP($D154-$D$17)*(($B154*FixedParams!$C$30)^$B$10*(1+FixedParams!$C$23)^(1-$B$10)+(1-$B154)^$B$10*((1+FixedParams!$C$26)/$Z$12)^(1-$B$10))^(1/(1-$B$10))</f>
        <v>6.3873315647218911</v>
      </c>
      <c r="AB154">
        <f>IF(FixedParams!$I$6=1,IF(Z154&lt;=MIN(Y154:AA154),1,0),$H154)</f>
        <v>0</v>
      </c>
      <c r="AC154">
        <f>IF(FixedParams!$I$6=1,IF(AA154&lt;=MIN(Y154:AA154),1,0),IF(AA154&lt;=Y154,1,0)*(1-$H154))</f>
        <v>1</v>
      </c>
      <c r="AD154" s="24">
        <f>$Z$13*IF(AB154=1,1,IF(AC154=1,FixedParams!$C$52,FixedParams!$C$53))</f>
        <v>0.34709202255780691</v>
      </c>
      <c r="AE154">
        <f>EXP($C154*FixedParams!$B$47)*EXP(IF(AB154+AC154=1,(1-FixedParams!$B$47)*$D154,0))*($B154^((FixedParams!$B$47-1)*$B$10/($B$10-1)))*((1/$B154-1)^$B$10*(AD154)^($B$10-1)+1)^((FixedParams!$B$47-$B$10)/($B$10-1))/((1+IF(AB154=1,FixedParams!$C$25,IF(AC154=1,FixedParams!$C$23,FixedParams!$C$24)))^FixedParams!$B$47)</f>
        <v>5.7418440979796981E-2</v>
      </c>
      <c r="AF154">
        <f t="shared" si="110"/>
        <v>1.6919595960661105</v>
      </c>
      <c r="AG154">
        <f t="shared" si="111"/>
        <v>39.74153269788151</v>
      </c>
      <c r="AH154">
        <f t="shared" si="98"/>
        <v>23.857365100472613</v>
      </c>
      <c r="AI154">
        <f t="shared" si="112"/>
        <v>63.598897798354123</v>
      </c>
      <c r="AJ154" s="24">
        <f t="shared" si="113"/>
        <v>0.60031316058789974</v>
      </c>
      <c r="AK154" s="24">
        <f t="shared" si="114"/>
        <v>2.1333292798800008</v>
      </c>
      <c r="AL154" s="23">
        <f>IF(AB154=1,AG154*(1+FixedParams!$C$25)+AH154*(1+FixedParams!$C$28)/$Z$12,IF(AC154=1,AG154*(1+FixedParams!$C$23)+AH154*(1+FixedParams!$C$26)/$Z$12,AG154*(1+FixedParams!$C$24)+AH154*(1+FixedParams!$C$27)/$Z$12))</f>
        <v>125.36827946432088</v>
      </c>
      <c r="AM154" s="24">
        <f t="shared" si="115"/>
        <v>19.627645471975665</v>
      </c>
      <c r="AN154" s="24">
        <f>AM154^((FixedParams!$B$47-1)/FixedParams!$B$47)*EXP($C154)</f>
        <v>0.17999876230330078</v>
      </c>
      <c r="AO154" s="24">
        <f t="shared" si="116"/>
        <v>6.2702566770677592E-2</v>
      </c>
      <c r="AP154" s="24">
        <f t="shared" si="117"/>
        <v>-8.1456908315291829E-2</v>
      </c>
      <c r="AQ154" s="14">
        <f t="shared" si="118"/>
        <v>-0.5478615138889259</v>
      </c>
      <c r="AS154" s="24">
        <f>EXP(-$D$17)*(($B154*FixedParams!$B$30)^$B$10*(1+FixedParams!$D$24)^(1-$B$10)+(1-$B154)^$B$10*((1+FixedParams!$D$27)/$AT$12)^(1-$B$10))^(1/(1-$B$10))</f>
        <v>6.2398238348038886</v>
      </c>
      <c r="AT154" s="24">
        <f>EXP($D154-$D$17)*(($B154*FixedParams!$C$31)^$B$10*(1+FixedParams!$D$25)^(1-$B$10)+(1-$B154)^$B$10*((1+FixedParams!$D$28)/$AT$12)^(1-$B$10))^(1/(1-$B$10))</f>
        <v>6.3488134016177558</v>
      </c>
      <c r="AU154" s="24">
        <f>EXP($D154-$D$17)*(($B154*FixedParams!$C$30)^$B$10*(1+FixedParams!$D$23)^(1-$B$10)+(1-$B154)^$B$10*((1+FixedParams!$D$26)/$AT$12)^(1-$B$10))^(1/(1-$B$10))</f>
        <v>6.1857524067678984</v>
      </c>
      <c r="AV154">
        <f>IF(FixedParams!$I$6=1,IF(AT154&lt;=MIN(AS154:AU154),1,0),$H154)</f>
        <v>0</v>
      </c>
      <c r="AW154">
        <f>IF(FixedParams!$I$6=1,IF(AU154&lt;=MIN(AS154:AU154),1,0),IF(AU154&lt;=AS154,1,0)*(1-$H154))</f>
        <v>1</v>
      </c>
      <c r="AX154" s="24">
        <f>$AT$13*IF(AV154=1,1,IF(AW154=1,FixedParams!$D$52,FixedParams!$D$53))</f>
        <v>0.3451899269505756</v>
      </c>
      <c r="AY154">
        <f>EXP($C154*FixedParams!$B$47)*EXP(IF(AV154+AW154=1,(1-FixedParams!$B$47)*$D154,0))*($B154^((FixedParams!$B$47-1)*$B$10/($B$10-1)))*((1/$B154-1)^$B$10*(AX154)^($B$10-1)+1)^((FixedParams!$B$47-$B$10)/($B$10-1))/((1+IF(AV154=1,FixedParams!$D$25,IF(AW154=1,FixedParams!$D$23,FixedParams!$D$24)))^FixedParams!$B$47)</f>
        <v>5.9597980415198759E-2</v>
      </c>
      <c r="AZ154">
        <f t="shared" si="99"/>
        <v>1.6048294384465325</v>
      </c>
      <c r="BA154">
        <f t="shared" si="119"/>
        <v>40.377294036801949</v>
      </c>
      <c r="BB154">
        <f t="shared" si="100"/>
        <v>24.040046189535449</v>
      </c>
      <c r="BC154">
        <f t="shared" si="120"/>
        <v>64.417340226337402</v>
      </c>
      <c r="BD154" s="24">
        <f t="shared" si="121"/>
        <v>0.59538527192099877</v>
      </c>
      <c r="BE154" s="24">
        <f t="shared" si="122"/>
        <v>2.0946674713986368</v>
      </c>
      <c r="BF154" s="23">
        <f>IF(AV154=1,BA154*(1+FixedParams!$C$25)+BB154*(1+FixedParams!$C$28)/$AT$12,IF(AW154=1,BA154*(1+FixedParams!$C$23)+BB154*(1+FixedParams!$C$26)/$AT$12,BA154*(1+FixedParams!$C$24)+BB154*(1+FixedParams!$C$27)/$AT$12))</f>
        <v>125.6159232338818</v>
      </c>
      <c r="BG154" s="24">
        <f t="shared" si="123"/>
        <v>20.307298930433113</v>
      </c>
      <c r="BH154" s="24">
        <f>BG154^((FixedParams!$B$47-1)/FixedParams!$B$47)*EXP($C154)</f>
        <v>0.17999262887899495</v>
      </c>
      <c r="BI154" s="7"/>
      <c r="BJ154" s="24">
        <f>EXP(-$D$17)*(($B154*FixedParams!$B$30)^$B$10*(1+FixedParams!$C$24)^(1-$B$10)+(1-$B154)^$B$10*((1+FixedParams!$C$27)/$BK$12)^(1-$B$10))^(1/(1-$B$10))</f>
        <v>6.9551269475654305</v>
      </c>
      <c r="BK154" s="24">
        <f>EXP($D154-$D$17)*(($B154*FixedParams!$C$31)^$B$10*(1+FixedParams!$C$25)^(1-$B$10)+(1-$B154)^$B$10*((1+FixedParams!$C$28)/$BK$12)^(1-$B$10))^(1/(1-$B$10))</f>
        <v>6.7870391292860095</v>
      </c>
      <c r="BL154" s="24">
        <f>EXP($D154-$D$17)*(($B154*FixedParams!$C$30)^$B$10*(1+FixedParams!$C$23)^(1-$B$10)+(1-$B154)^$B$10*((1+FixedParams!$C$26)/$BK$12)^(1-$B$10))^(1/(1-$B$10))</f>
        <v>6.5932602541845666</v>
      </c>
      <c r="BM154">
        <f>IF(FixedParams!$I$6=1,IF(BK154&lt;=MIN(BJ154:BL154),1,0),$H154)</f>
        <v>0</v>
      </c>
      <c r="BN154">
        <f>IF(FixedParams!$I$6=1,IF(BL154&lt;=MIN(BJ154:BL154),1,0),IF(BL154&lt;=BJ154,1,0)*(1-$H154))</f>
        <v>1</v>
      </c>
      <c r="BO154" s="24">
        <f>$BK$13*IF(BM154=1,1,IF(BN154=1,FixedParams!$C$52,FixedParams!$C$53))</f>
        <v>0.33006170822567266</v>
      </c>
      <c r="BP154">
        <f>EXP($C154*FixedParams!$B$47)*EXP(IF(BM154+BN154=1,(1-FixedParams!$B$47)*$D154,0))*($B154^((FixedParams!$B$47-1)*$B$10/($B$10-1)))*((1/$B154-1)^$B$10*(BO154)^($B$10-1)+1)^((FixedParams!$B$47-$B$10)/($B$10-1))/((1+IF(BM154=1,FixedParams!$C$25,IF(BN154=1,FixedParams!$C$23,FixedParams!$C$24)))^FixedParams!$B$47)</f>
        <v>5.8338540006351185E-2</v>
      </c>
      <c r="BQ154">
        <f t="shared" si="124"/>
        <v>1.6782686649715035</v>
      </c>
      <c r="BR154">
        <f t="shared" si="125"/>
        <v>42.802830625278688</v>
      </c>
      <c r="BS154">
        <f t="shared" si="101"/>
        <v>23.827370694377297</v>
      </c>
      <c r="BT154">
        <f t="shared" si="126"/>
        <v>66.630201319655981</v>
      </c>
      <c r="BU154" s="24">
        <f t="shared" si="127"/>
        <v>0.55667745208199437</v>
      </c>
      <c r="BV154" s="24">
        <f t="shared" si="128"/>
        <v>2.0940602019362915</v>
      </c>
      <c r="BW154" s="23">
        <f>IF(BM154=1,BR154*(1+FixedParams!$C$25)+BS154*(1+FixedParams!$C$28)/$BK$12,IF(BN154=1,BR154*(1+FixedParams!$C$23)+BS154*(1+FixedParams!$C$26)/$BK$12,BR154*(1+FixedParams!$C$24)+BS154*(1+FixedParams!$C$27)/$BK$12))</f>
        <v>132.90005630107464</v>
      </c>
      <c r="BX154" s="24">
        <f t="shared" si="129"/>
        <v>20.156955918238861</v>
      </c>
      <c r="BY154" s="24">
        <f>BX154^((FixedParams!$B$47-1)/FixedParams!$B$47)*EXP($C154)</f>
        <v>0.17999396773706666</v>
      </c>
      <c r="BZ154" s="24">
        <f t="shared" si="130"/>
        <v>0.10926437481585079</v>
      </c>
      <c r="CA154" s="24">
        <f t="shared" si="131"/>
        <v>-5.4846528335686588E-2</v>
      </c>
      <c r="CB154" s="24">
        <f t="shared" si="132"/>
        <v>-3.7518072416279337E-2</v>
      </c>
      <c r="CC154" s="24"/>
      <c r="CD154" s="24">
        <f>EXP(-$D$17)*(($B154*FixedParams!$B$30)^$B$10*(1+FixedParams!$D$24)^(1-$B$10)+(1-$B154)^$B$10*((1+FixedParams!$D$27)/$CE$12)^(1-$B$10))^(1/(1-$B$10))</f>
        <v>6.4359675697117211</v>
      </c>
      <c r="CE154" s="24">
        <f>EXP($D154-$D$17)*(($B154*FixedParams!$D$31)^$B$10*(1+FixedParams!$D$25)^(1-$B$10)+(1-$B154)^$B$10*((1+FixedParams!$D$28)/$CE$12)^(1-$B$10))^(1/(1-$B$10))</f>
        <v>6.5459749080752623</v>
      </c>
      <c r="CF154" s="24">
        <f>EXP($D154-$D$17)*(($B154*FixedParams!$D$30)^$B$10*(1+FixedParams!$D$23)^(1-$B$10)+(1-$B154)^$B$10*((1+FixedParams!$D$26)/$CE$12)^(1-$B$10))^(1/(1-$B$10))</f>
        <v>6.371836251906255</v>
      </c>
      <c r="CG154">
        <f>IF(FixedParams!$I$6=1,IF(CE154&lt;=MIN(CD154:CF154),1,0),$H154)</f>
        <v>0</v>
      </c>
      <c r="CH154">
        <f>IF(FixedParams!$I$6=1,IF(CF154&lt;=MIN(CD154:CF154),1,0),IF(CF154&lt;=CD154,1,0)*(1-$H154))</f>
        <v>1</v>
      </c>
      <c r="CI154" s="24">
        <f>$CE$13*IF(CG154=1,1,IF(CH154=1,FixedParams!$D$52,FixedParams!$D$53))</f>
        <v>0.32933267593211629</v>
      </c>
      <c r="CJ154">
        <f>EXP($C154*FixedParams!$B$47)*EXP(IF(CG154+CH154=1,(1-FixedParams!$B$47)*$D154,0))*($B154^((FixedParams!$B$47-1)*$B$10/($B$10-1)))*((1/$B154-1)^$B$10*(CI154)^($B$10-1)+1)^((FixedParams!$B$47-$B$10)/($B$10-1))/((1+IF(CG154=1,FixedParams!$D$25,IF(CH154=1,FixedParams!$D$23,FixedParams!$D$24)))^FixedParams!$B$47)</f>
        <v>6.0489563702398122E-2</v>
      </c>
      <c r="CK154">
        <f t="shared" si="133"/>
        <v>1.5927120000956896</v>
      </c>
      <c r="CL154">
        <f t="shared" si="135"/>
        <v>43.513340634866637</v>
      </c>
      <c r="CM154">
        <f t="shared" si="102"/>
        <v>24.142685512335063</v>
      </c>
      <c r="CN154">
        <f t="shared" si="136"/>
        <v>67.6560261472017</v>
      </c>
      <c r="CO154" s="24">
        <f t="shared" si="137"/>
        <v>0.5548341074275015</v>
      </c>
      <c r="CP154" s="24">
        <f t="shared" si="138"/>
        <v>2.0585616182124187</v>
      </c>
      <c r="CQ154" s="23">
        <f>IF(CG154=1,CL154*(1+FixedParams!$D$25)+CM154*(1+FixedParams!$D$28)/$CE$12,IF(CH154=1,CL154*(1+FixedParams!$D$23)+CM154*(1+FixedParams!$D$26)/$CE$12,CL154*(1+FixedParams!$D$24)+CM154*(1+FixedParams!$D$27)/$CE$12))</f>
        <v>130.29728587281153</v>
      </c>
      <c r="CR154" s="24">
        <f t="shared" si="139"/>
        <v>20.448938221510421</v>
      </c>
      <c r="CS154" s="24">
        <f>CR154^((FixedParams!$B$47-1)/FixedParams!$B$47)*EXP($C154)</f>
        <v>0.1799913765768372</v>
      </c>
      <c r="CT154" s="24"/>
    </row>
    <row r="155" spans="1:98" x14ac:dyDescent="0.15">
      <c r="A155">
        <v>0.69000000000000006</v>
      </c>
      <c r="B155">
        <f t="shared" si="103"/>
        <v>0.33038394702247514</v>
      </c>
      <c r="C155">
        <f>(D155-$D$17)*FixedParams!$B$47+$A155*$B$9</f>
        <v>-1.7243204610382881</v>
      </c>
      <c r="D155">
        <f>(A155-$B$6)*FixedParams!$B$46/(FixedParams!$B$45*Sectors!$B$6)</f>
        <v>0.10323677167963358</v>
      </c>
      <c r="E155">
        <f t="shared" si="104"/>
        <v>0.17829416845059523</v>
      </c>
      <c r="F155" s="24">
        <f>EXP(-$D$17)*(($B155*FixedParams!$B$30)^$B$10*(1+FixedParams!$B$23)^(1-$B$10)+(1-$B155)^$B$10*((1+FixedParams!$B$26)/$B$11)^(1-$B$10))^(1/(1-$B$10))</f>
        <v>4.9807831910378262</v>
      </c>
      <c r="G155" s="24">
        <f>EXP($D155-$D$17)*(($B155*FixedParams!$B$31)^$B$10*(1+FixedParams!$B$25)^(1-$B$10)+(1-$B155)^$B$10*((1+FixedParams!$B$28)/$B$11)^(1-$B$10))^(1/(1-$B$10))</f>
        <v>5.282292894402727</v>
      </c>
      <c r="H155">
        <f t="shared" si="105"/>
        <v>0</v>
      </c>
      <c r="I155" s="24">
        <f>$B$12*IF(H155=1,1,FixedParams!$B$52)</f>
        <v>0.39101505882574561</v>
      </c>
      <c r="J155">
        <f>EXP($C155*FixedParams!$B$47)*EXP(IF(H155=1,(1-FixedParams!$B$47)*$D155,0))*($B155^((FixedParams!$B$47-1)*$B$10/($B$10-1)))*((1/$B155-1)^$B$10*(I155)^($B$10-1)+1)^((FixedParams!$B$47-$B$10)/($B$10-1))/((1+IF(H155=1,FixedParams!$B$25,FixedParams!$B$24))^FixedParams!$B$47)</f>
        <v>5.9241746521036434E-2</v>
      </c>
      <c r="K155">
        <f t="shared" si="134"/>
        <v>1.1944665967254815</v>
      </c>
      <c r="L155">
        <f>K155*FixedParams!$B$8/K$15</f>
        <v>34.726881940696643</v>
      </c>
      <c r="M155">
        <f t="shared" si="94"/>
        <v>24.500017501462466</v>
      </c>
      <c r="N155">
        <f t="shared" si="106"/>
        <v>59.226899442159109</v>
      </c>
      <c r="O155" s="24">
        <f t="shared" si="107"/>
        <v>0.70550582523652228</v>
      </c>
      <c r="P155" s="24">
        <f t="shared" si="95"/>
        <v>1.9475612324419405</v>
      </c>
      <c r="Q155" s="23">
        <f>IF(H155=1,L155*(1+FixedParams!$B$25)+M155*FixedParams!$B$33*(1+FixedParams!$B$28)/FixedParams!$B$32,L155*(1+FixedParams!$B$23)+M155*FixedParams!$B$33*(1+FixedParams!$B$26)/FixedParams!$B$32)</f>
        <v>104.83426362873516</v>
      </c>
      <c r="R155" s="24">
        <f t="shared" si="96"/>
        <v>21.047746831736973</v>
      </c>
      <c r="S155" s="24">
        <f>R155^((FixedParams!$B$47-1)/FixedParams!$B$47)*EXP($C155)</f>
        <v>0.17775122752825029</v>
      </c>
      <c r="T155" s="7">
        <f>(L155*FixedParams!$B$32*(FixedParams!$C$25-FixedParams!$C$23)+FixedParams!$B$33*(FixedParams!$C$28-FixedParams!$C$26)*M155)/N155</f>
        <v>2194.0857894573883</v>
      </c>
      <c r="U155" s="7">
        <f>(L155*FixedParams!$B$32*(FixedParams!$C$25-FixedParams!$C$23)*$Z$12/$B$11+FixedParams!$B$33*(FixedParams!$C$28-FixedParams!$C$26)*M155)/N155</f>
        <v>1605.2085953293868</v>
      </c>
      <c r="V155" s="14">
        <f t="shared" si="97"/>
        <v>-0.59016895528510172</v>
      </c>
      <c r="W155" s="14">
        <f t="shared" si="108"/>
        <v>0.86101250521561234</v>
      </c>
      <c r="X155" s="73">
        <f t="shared" si="109"/>
        <v>0.91971037031804836</v>
      </c>
      <c r="Y155" s="24">
        <f>EXP(-$D$17)*(($B155*FixedParams!$B$30)^$B$10*(1+FixedParams!$C$24)^(1-$B$10)+(1-$B155)^$B$10*((1+FixedParams!$C$27)/$Z$12)^(1-$B$10))^(1/(1-$B$10))</f>
        <v>6.724879009604412</v>
      </c>
      <c r="Z155" s="24">
        <f>EXP($D155-$D$17)*(($B155*FixedParams!$C$31)^$B$10*(1+FixedParams!$C$25)^(1-$B$10)+(1-$B155)^$B$10*((1+FixedParams!$C$28)/$Z$12)^(1-$B$10))^(1/(1-$B$10))</f>
        <v>6.581403021391437</v>
      </c>
      <c r="AA155" s="24">
        <f>EXP($D155-$D$17)*(($B155*FixedParams!$C$30)^$B$10*(1+FixedParams!$C$23)^(1-$B$10)+(1-$B155)^$B$10*((1+FixedParams!$C$26)/$Z$12)^(1-$B$10))^(1/(1-$B$10))</f>
        <v>6.3960293213257033</v>
      </c>
      <c r="AB155">
        <f>IF(FixedParams!$I$6=1,IF(Z155&lt;=MIN(Y155:AA155),1,0),$H155)</f>
        <v>0</v>
      </c>
      <c r="AC155">
        <f>IF(FixedParams!$I$6=1,IF(AA155&lt;=MIN(Y155:AA155),1,0),IF(AA155&lt;=Y155,1,0)*(1-$H155))</f>
        <v>1</v>
      </c>
      <c r="AD155" s="24">
        <f>$Z$13*IF(AB155=1,1,IF(AC155=1,FixedParams!$C$52,FixedParams!$C$53))</f>
        <v>0.34709202255780691</v>
      </c>
      <c r="AE155">
        <f>EXP($C155*FixedParams!$B$47)*EXP(IF(AB155+AC155=1,(1-FixedParams!$B$47)*$D155,0))*($B155^((FixedParams!$B$47-1)*$B$10/($B$10-1)))*((1/$B155-1)^$B$10*(AD155)^($B$10-1)+1)^((FixedParams!$B$47-$B$10)/($B$10-1))/((1+IF(AB155=1,FixedParams!$C$25,IF(AC155=1,FixedParams!$C$23,FixedParams!$C$24)))^FixedParams!$B$47)</f>
        <v>5.7328218758982308E-2</v>
      </c>
      <c r="AF155">
        <f t="shared" si="110"/>
        <v>1.6893010015504653</v>
      </c>
      <c r="AG155">
        <f t="shared" si="111"/>
        <v>39.679086395310463</v>
      </c>
      <c r="AH155">
        <f t="shared" si="98"/>
        <v>23.412025647898822</v>
      </c>
      <c r="AI155">
        <f t="shared" si="112"/>
        <v>63.091112043209286</v>
      </c>
      <c r="AJ155" s="24">
        <f t="shared" si="113"/>
        <v>0.59003439279453296</v>
      </c>
      <c r="AK155" s="24">
        <f t="shared" si="114"/>
        <v>2.1362342768484788</v>
      </c>
      <c r="AL155" s="23">
        <f>IF(AB155=1,AG155*(1+FixedParams!$C$25)+AH155*(1+FixedParams!$C$28)/$Z$12,IF(AC155=1,AG155*(1+FixedParams!$C$23)+AH155*(1+FixedParams!$C$26)/$Z$12,AG155*(1+FixedParams!$C$24)+AH155*(1+FixedParams!$C$27)/$Z$12))</f>
        <v>123.81325488419171</v>
      </c>
      <c r="AM155" s="24">
        <f t="shared" si="115"/>
        <v>19.357831032977341</v>
      </c>
      <c r="AN155" s="24">
        <f>AM155^((FixedParams!$B$47-1)/FixedParams!$B$47)*EXP($C155)</f>
        <v>0.17776612019502244</v>
      </c>
      <c r="AO155" s="24">
        <f t="shared" si="116"/>
        <v>6.3204083368051653E-2</v>
      </c>
      <c r="AP155" s="24">
        <f t="shared" si="117"/>
        <v>-8.3696473375342056E-2</v>
      </c>
      <c r="AQ155" s="14">
        <f t="shared" si="118"/>
        <v>-0.53059088859284254</v>
      </c>
      <c r="AS155" s="24">
        <f>EXP(-$D$17)*(($B155*FixedParams!$B$30)^$B$10*(1+FixedParams!$D$24)^(1-$B$10)+(1-$B155)^$B$10*((1+FixedParams!$D$27)/$AT$12)^(1-$B$10))^(1/(1-$B$10))</f>
        <v>6.2372296388880244</v>
      </c>
      <c r="AT155" s="24">
        <f>EXP($D155-$D$17)*(($B155*FixedParams!$C$31)^$B$10*(1+FixedParams!$D$25)^(1-$B$10)+(1-$B155)^$B$10*((1+FixedParams!$D$28)/$AT$12)^(1-$B$10))^(1/(1-$B$10))</f>
        <v>6.3617210111973996</v>
      </c>
      <c r="AU155" s="24">
        <f>EXP($D155-$D$17)*(($B155*FixedParams!$C$30)^$B$10*(1+FixedParams!$D$23)^(1-$B$10)+(1-$B155)^$B$10*((1+FixedParams!$D$26)/$AT$12)^(1-$B$10))^(1/(1-$B$10))</f>
        <v>6.1940388433048099</v>
      </c>
      <c r="AV155">
        <f>IF(FixedParams!$I$6=1,IF(AT155&lt;=MIN(AS155:AU155),1,0),$H155)</f>
        <v>0</v>
      </c>
      <c r="AW155">
        <f>IF(FixedParams!$I$6=1,IF(AU155&lt;=MIN(AS155:AU155),1,0),IF(AU155&lt;=AS155,1,0)*(1-$H155))</f>
        <v>1</v>
      </c>
      <c r="AX155" s="24">
        <f>$AT$13*IF(AV155=1,1,IF(AW155=1,FixedParams!$D$52,FixedParams!$D$53))</f>
        <v>0.3451899269505756</v>
      </c>
      <c r="AY155">
        <f>EXP($C155*FixedParams!$B$47)*EXP(IF(AV155+AW155=1,(1-FixedParams!$B$47)*$D155,0))*($B155^((FixedParams!$B$47-1)*$B$10/($B$10-1)))*((1/$B155-1)^$B$10*(AX155)^($B$10-1)+1)^((FixedParams!$B$47-$B$10)/($B$10-1))/((1+IF(AV155=1,FixedParams!$D$25,IF(AW155=1,FixedParams!$D$23,FixedParams!$D$24)))^FixedParams!$B$47)</f>
        <v>5.9503674934380385E-2</v>
      </c>
      <c r="AZ155">
        <f t="shared" si="99"/>
        <v>1.602290019983527</v>
      </c>
      <c r="BA155">
        <f t="shared" si="119"/>
        <v>40.313402607901871</v>
      </c>
      <c r="BB155">
        <f t="shared" si="100"/>
        <v>23.591035593355471</v>
      </c>
      <c r="BC155">
        <f t="shared" si="120"/>
        <v>63.904438201257342</v>
      </c>
      <c r="BD155" s="24">
        <f t="shared" si="121"/>
        <v>0.58519088112724493</v>
      </c>
      <c r="BE155" s="24">
        <f t="shared" si="122"/>
        <v>2.0974734888280908</v>
      </c>
      <c r="BF155" s="23">
        <f>IF(AV155=1,BA155*(1+FixedParams!$C$25)+BB155*(1+FixedParams!$C$28)/$AT$12,IF(AW155=1,BA155*(1+FixedParams!$C$23)+BB155*(1+FixedParams!$C$26)/$AT$12,BA155*(1+FixedParams!$C$24)+BB155*(1+FixedParams!$C$27)/$AT$12))</f>
        <v>124.06746395733057</v>
      </c>
      <c r="BG155" s="24">
        <f t="shared" si="123"/>
        <v>20.030139799887785</v>
      </c>
      <c r="BH155" s="24">
        <f>BG155^((FixedParams!$B$47-1)/FixedParams!$B$47)*EXP($C155)</f>
        <v>0.17776004509504831</v>
      </c>
      <c r="BI155" s="7"/>
      <c r="BJ155" s="24">
        <f>EXP(-$D$17)*(($B155*FixedParams!$B$30)^$B$10*(1+FixedParams!$C$24)^(1-$B$10)+(1-$B155)^$B$10*((1+FixedParams!$C$27)/$BK$12)^(1-$B$10))^(1/(1-$B$10))</f>
        <v>6.9531207802239736</v>
      </c>
      <c r="BK155" s="24">
        <f>EXP($D155-$D$17)*(($B155*FixedParams!$C$31)^$B$10*(1+FixedParams!$C$25)^(1-$B$10)+(1-$B155)^$B$10*((1+FixedParams!$C$28)/$BK$12)^(1-$B$10))^(1/(1-$B$10))</f>
        <v>6.8008240729318477</v>
      </c>
      <c r="BL155" s="24">
        <f>EXP($D155-$D$17)*(($B155*FixedParams!$C$30)^$B$10*(1+FixedParams!$C$23)^(1-$B$10)+(1-$B155)^$B$10*((1+FixedParams!$C$26)/$BK$12)^(1-$B$10))^(1/(1-$B$10))</f>
        <v>6.6008994503516805</v>
      </c>
      <c r="BM155">
        <f>IF(FixedParams!$I$6=1,IF(BK155&lt;=MIN(BJ155:BL155),1,0),$H155)</f>
        <v>0</v>
      </c>
      <c r="BN155">
        <f>IF(FixedParams!$I$6=1,IF(BL155&lt;=MIN(BJ155:BL155),1,0),IF(BL155&lt;=BJ155,1,0)*(1-$H155))</f>
        <v>1</v>
      </c>
      <c r="BO155" s="24">
        <f>$BK$13*IF(BM155=1,1,IF(BN155=1,FixedParams!$C$52,FixedParams!$C$53))</f>
        <v>0.33006170822567266</v>
      </c>
      <c r="BP155">
        <f>EXP($C155*FixedParams!$B$47)*EXP(IF(BM155+BN155=1,(1-FixedParams!$B$47)*$D155,0))*($B155^((FixedParams!$B$47-1)*$B$10/($B$10-1)))*((1/$B155-1)^$B$10*(BO155)^($B$10-1)+1)^((FixedParams!$B$47-$B$10)/($B$10-1))/((1+IF(BM155=1,FixedParams!$C$25,IF(BN155=1,FixedParams!$C$23,FixedParams!$C$24)))^FixedParams!$B$47)</f>
        <v>5.8240953486075317E-2</v>
      </c>
      <c r="BQ155">
        <f t="shared" si="124"/>
        <v>1.675461320134201</v>
      </c>
      <c r="BR155">
        <f t="shared" si="125"/>
        <v>42.731231656599945</v>
      </c>
      <c r="BS155">
        <f t="shared" si="101"/>
        <v>23.38021520539569</v>
      </c>
      <c r="BT155">
        <f t="shared" si="126"/>
        <v>66.111446861995631</v>
      </c>
      <c r="BU155" s="24">
        <f t="shared" si="127"/>
        <v>0.547145829853106</v>
      </c>
      <c r="BV155" s="24">
        <f t="shared" si="128"/>
        <v>2.096486457847877</v>
      </c>
      <c r="BW155" s="23">
        <f>IF(BM155=1,BR155*(1+FixedParams!$C$25)+BS155*(1+FixedParams!$C$28)/$BK$12,IF(BN155=1,BR155*(1+FixedParams!$C$23)+BS155*(1+FixedParams!$C$26)/$BK$12,BR155*(1+FixedParams!$C$24)+BS155*(1+FixedParams!$C$27)/$BK$12))</f>
        <v>131.25158355653465</v>
      </c>
      <c r="BX155" s="24">
        <f t="shared" si="129"/>
        <v>19.883893785041959</v>
      </c>
      <c r="BY155" s="24">
        <f>BX155^((FixedParams!$B$47-1)/FixedParams!$B$47)*EXP($C155)</f>
        <v>0.17776134904408455</v>
      </c>
      <c r="BZ155" s="24">
        <f t="shared" si="130"/>
        <v>0.109966085622912</v>
      </c>
      <c r="CA155" s="24">
        <f t="shared" si="131"/>
        <v>-5.6883469038745312E-2</v>
      </c>
      <c r="CB155" s="24">
        <f t="shared" si="132"/>
        <v>-3.955501311933806E-2</v>
      </c>
      <c r="CC155" s="24"/>
      <c r="CD155" s="24">
        <f>EXP(-$D$17)*(($B155*FixedParams!$B$30)^$B$10*(1+FixedParams!$D$24)^(1-$B$10)+(1-$B155)^$B$10*((1+FixedParams!$D$27)/$CE$12)^(1-$B$10))^(1/(1-$B$10))</f>
        <v>6.4321131960494036</v>
      </c>
      <c r="CE155" s="24">
        <f>EXP($D155-$D$17)*(($B155*FixedParams!$D$31)^$B$10*(1+FixedParams!$D$25)^(1-$B$10)+(1-$B155)^$B$10*((1+FixedParams!$D$28)/$CE$12)^(1-$B$10))^(1/(1-$B$10))</f>
        <v>6.5580689263651664</v>
      </c>
      <c r="CF155" s="24">
        <f>EXP($D155-$D$17)*(($B155*FixedParams!$D$30)^$B$10*(1+FixedParams!$D$23)^(1-$B$10)+(1-$B155)^$B$10*((1+FixedParams!$D$26)/$CE$12)^(1-$B$10))^(1/(1-$B$10))</f>
        <v>6.3791618393741363</v>
      </c>
      <c r="CG155">
        <f>IF(FixedParams!$I$6=1,IF(CE155&lt;=MIN(CD155:CF155),1,0),$H155)</f>
        <v>0</v>
      </c>
      <c r="CH155">
        <f>IF(FixedParams!$I$6=1,IF(CF155&lt;=MIN(CD155:CF155),1,0),IF(CF155&lt;=CD155,1,0)*(1-$H155))</f>
        <v>1</v>
      </c>
      <c r="CI155" s="24">
        <f>$CE$13*IF(CG155=1,1,IF(CH155=1,FixedParams!$D$52,FixedParams!$D$53))</f>
        <v>0.32933267593211629</v>
      </c>
      <c r="CJ155">
        <f>EXP($C155*FixedParams!$B$47)*EXP(IF(CG155+CH155=1,(1-FixedParams!$B$47)*$D155,0))*($B155^((FixedParams!$B$47-1)*$B$10/($B$10-1)))*((1/$B155-1)^$B$10*(CI155)^($B$10-1)+1)^((FixedParams!$B$47-$B$10)/($B$10-1))/((1+IF(CG155=1,FixedParams!$D$25,IF(CH155=1,FixedParams!$D$23,FixedParams!$D$24)))^FixedParams!$B$47)</f>
        <v>6.0388108419137915E-2</v>
      </c>
      <c r="CK155">
        <f t="shared" si="133"/>
        <v>1.5900406459441432</v>
      </c>
      <c r="CL155">
        <f t="shared" si="135"/>
        <v>43.440358486715802</v>
      </c>
      <c r="CM155">
        <f t="shared" si="102"/>
        <v>23.689506521795796</v>
      </c>
      <c r="CN155">
        <f t="shared" si="136"/>
        <v>67.129865008511601</v>
      </c>
      <c r="CO155" s="24">
        <f t="shared" si="137"/>
        <v>0.54533404757790205</v>
      </c>
      <c r="CP155" s="24">
        <f t="shared" si="138"/>
        <v>2.0609283101040576</v>
      </c>
      <c r="CQ155" s="23">
        <f>IF(CG155=1,CL155*(1+FixedParams!$D$25)+CM155*(1+FixedParams!$D$28)/$CE$12,IF(CH155=1,CL155*(1+FixedParams!$D$23)+CM155*(1+FixedParams!$D$26)/$CE$12,CL155*(1+FixedParams!$D$24)+CM155*(1+FixedParams!$D$27)/$CE$12))</f>
        <v>128.68109635872625</v>
      </c>
      <c r="CR155" s="24">
        <f t="shared" si="139"/>
        <v>20.172100912139772</v>
      </c>
      <c r="CS155" s="24">
        <f>CR155^((FixedParams!$B$47-1)/FixedParams!$B$47)*EXP($C155)</f>
        <v>0.17775878843426293</v>
      </c>
      <c r="CT155" s="24"/>
    </row>
    <row r="156" spans="1:98" x14ac:dyDescent="0.15">
      <c r="A156">
        <v>0.69500000000000006</v>
      </c>
      <c r="B156">
        <f t="shared" si="103"/>
        <v>0.3329360944593881</v>
      </c>
      <c r="C156">
        <f>(D156-$D$17)*FixedParams!$B$47+$A156*$B$9</f>
        <v>-1.7368155368429132</v>
      </c>
      <c r="D156">
        <f>(A156-$B$6)*FixedParams!$B$46/(FixedParams!$B$45*Sectors!$B$6)</f>
        <v>0.10595352882909762</v>
      </c>
      <c r="E156">
        <f t="shared" si="104"/>
        <v>0.17608022977064269</v>
      </c>
      <c r="F156" s="24">
        <f>EXP(-$D$17)*(($B156*FixedParams!$B$30)^$B$10*(1+FixedParams!$B$23)^(1-$B$10)+(1-$B156)^$B$10*((1+FixedParams!$B$26)/$B$11)^(1-$B$10))^(1/(1-$B$10))</f>
        <v>4.97615372094082</v>
      </c>
      <c r="G156" s="24">
        <f>EXP($D156-$D$17)*(($B156*FixedParams!$B$31)^$B$10*(1+FixedParams!$B$25)^(1-$B$10)+(1-$B156)^$B$10*((1+FixedParams!$B$28)/$B$11)^(1-$B$10))^(1/(1-$B$10))</f>
        <v>5.2908355173170252</v>
      </c>
      <c r="H156">
        <f t="shared" si="105"/>
        <v>0</v>
      </c>
      <c r="I156" s="24">
        <f>$B$12*IF(H156=1,1,FixedParams!$B$52)</f>
        <v>0.39101505882574561</v>
      </c>
      <c r="J156">
        <f>EXP($C156*FixedParams!$B$47)*EXP(IF(H156=1,(1-FixedParams!$B$47)*$D156,0))*($B156^((FixedParams!$B$47-1)*$B$10/($B$10-1)))*((1/$B156-1)^$B$10*(I156)^($B$10-1)+1)^((FixedParams!$B$47-$B$10)/($B$10-1))/((1+IF(H156=1,FixedParams!$B$25,FixedParams!$B$24))^FixedParams!$B$47)</f>
        <v>5.9158523204508109E-2</v>
      </c>
      <c r="K156">
        <f t="shared" si="134"/>
        <v>1.192788599747008</v>
      </c>
      <c r="L156">
        <f>K156*FixedParams!$B$8/K$15</f>
        <v>34.678097317394453</v>
      </c>
      <c r="M156">
        <f t="shared" si="94"/>
        <v>24.046691278389535</v>
      </c>
      <c r="N156">
        <f t="shared" si="106"/>
        <v>58.724788595783991</v>
      </c>
      <c r="O156" s="24">
        <f t="shared" si="107"/>
        <v>0.69342591256665542</v>
      </c>
      <c r="P156" s="24">
        <f t="shared" si="95"/>
        <v>1.9457510399196276</v>
      </c>
      <c r="Q156" s="23">
        <f>IF(H156=1,L156*(1+FixedParams!$B$25)+M156*FixedParams!$B$33*(1+FixedParams!$B$28)/FixedParams!$B$32,L156*(1+FixedParams!$B$23)+M156*FixedParams!$B$33*(1+FixedParams!$B$26)/FixedParams!$B$32)</f>
        <v>103.53369868252744</v>
      </c>
      <c r="R156" s="24">
        <f t="shared" si="96"/>
        <v>20.80596872376217</v>
      </c>
      <c r="S156" s="24">
        <f>R156^((FixedParams!$B$47-1)/FixedParams!$B$47)*EXP($C156)</f>
        <v>0.17554606093798994</v>
      </c>
      <c r="T156" s="7">
        <f>(L156*FixedParams!$B$32*(FixedParams!$C$25-FixedParams!$C$23)+FixedParams!$B$33*(FixedParams!$C$28-FixedParams!$C$26)*M156)/N156</f>
        <v>2241.5369144280003</v>
      </c>
      <c r="U156" s="7">
        <f>(L156*FixedParams!$B$32*(FixedParams!$C$25-FixedParams!$C$23)*$Z$12/$B$11+FixedParams!$B$33*(FixedParams!$C$28-FixedParams!$C$26)*M156)/N156</f>
        <v>1648.4590138943902</v>
      </c>
      <c r="V156" s="14">
        <f t="shared" si="97"/>
        <v>-0.57289832998901902</v>
      </c>
      <c r="W156" s="14">
        <f t="shared" si="108"/>
        <v>0.86389283112072601</v>
      </c>
      <c r="X156" s="73">
        <f t="shared" si="109"/>
        <v>0.91765498172586779</v>
      </c>
      <c r="Y156" s="24">
        <f>EXP(-$D$17)*(($B156*FixedParams!$B$30)^$B$10*(1+FixedParams!$C$24)^(1-$B$10)+(1-$B156)^$B$10*((1+FixedParams!$C$27)/$Z$12)^(1-$B$10))^(1/(1-$B$10))</f>
        <v>6.7239396697444764</v>
      </c>
      <c r="Z156" s="24">
        <f>EXP($D156-$D$17)*(($B156*FixedParams!$C$31)^$B$10*(1+FixedParams!$C$25)^(1-$B$10)+(1-$B156)^$B$10*((1+FixedParams!$C$28)/$Z$12)^(1-$B$10))^(1/(1-$B$10))</f>
        <v>6.5957581836554917</v>
      </c>
      <c r="AA156" s="24">
        <f>EXP($D156-$D$17)*(($B156*FixedParams!$C$30)^$B$10*(1+FixedParams!$C$23)^(1-$B$10)+(1-$B156)^$B$10*((1+FixedParams!$C$26)/$Z$12)^(1-$B$10))^(1/(1-$B$10))</f>
        <v>6.4044114556515082</v>
      </c>
      <c r="AB156">
        <f>IF(FixedParams!$I$6=1,IF(Z156&lt;=MIN(Y156:AA156),1,0),$H156)</f>
        <v>0</v>
      </c>
      <c r="AC156">
        <f>IF(FixedParams!$I$6=1,IF(AA156&lt;=MIN(Y156:AA156),1,0),IF(AA156&lt;=Y156,1,0)*(1-$H156))</f>
        <v>1</v>
      </c>
      <c r="AD156" s="24">
        <f>$Z$13*IF(AB156=1,1,IF(AC156=1,FixedParams!$C$52,FixedParams!$C$53))</f>
        <v>0.34709202255780691</v>
      </c>
      <c r="AE156">
        <f>EXP($C156*FixedParams!$B$47)*EXP(IF(AB156+AC156=1,(1-FixedParams!$B$47)*$D156,0))*($B156^((FixedParams!$B$47-1)*$B$10/($B$10-1)))*((1/$B156-1)^$B$10*(AD156)^($B$10-1)+1)^((FixedParams!$B$47-$B$10)/($B$10-1))/((1+IF(AB156=1,FixedParams!$C$25,IF(AC156=1,FixedParams!$C$23,FixedParams!$C$24)))^FixedParams!$B$47)</f>
        <v>5.7234154235641516E-2</v>
      </c>
      <c r="AF156">
        <f t="shared" si="110"/>
        <v>1.686529185210627</v>
      </c>
      <c r="AG156">
        <f t="shared" si="111"/>
        <v>39.613980685955276</v>
      </c>
      <c r="AH156">
        <f t="shared" si="98"/>
        <v>22.973400056765396</v>
      </c>
      <c r="AI156">
        <f t="shared" si="112"/>
        <v>62.587380742720669</v>
      </c>
      <c r="AJ156" s="24">
        <f t="shared" si="113"/>
        <v>0.57993162158809186</v>
      </c>
      <c r="AK156" s="24">
        <f t="shared" si="114"/>
        <v>2.1390338579261061</v>
      </c>
      <c r="AL156" s="23">
        <f>IF(AB156=1,AG156*(1+FixedParams!$C$25)+AH156*(1+FixedParams!$C$28)/$Z$12,IF(AC156=1,AG156*(1+FixedParams!$C$23)+AH156*(1+FixedParams!$C$26)/$Z$12,AG156*(1+FixedParams!$C$24)+AH156*(1+FixedParams!$C$27)/$Z$12))</f>
        <v>122.27751203661774</v>
      </c>
      <c r="AM156" s="24">
        <f t="shared" si="115"/>
        <v>19.092700848992951</v>
      </c>
      <c r="AN156" s="24">
        <f>AM156^((FixedParams!$B$47-1)/FixedParams!$B$47)*EXP($C156)</f>
        <v>0.17556116202728964</v>
      </c>
      <c r="AO156" s="24">
        <f t="shared" si="116"/>
        <v>6.370174156841725E-2</v>
      </c>
      <c r="AP156" s="24">
        <f t="shared" si="117"/>
        <v>-8.593379590596148E-2</v>
      </c>
      <c r="AQ156" s="14">
        <f t="shared" si="118"/>
        <v>-0.5133202632967595</v>
      </c>
      <c r="AS156" s="24">
        <f>EXP(-$D$17)*(($B156*FixedParams!$B$30)^$B$10*(1+FixedParams!$D$24)^(1-$B$10)+(1-$B156)^$B$10*((1+FixedParams!$D$27)/$AT$12)^(1-$B$10))^(1/(1-$B$10))</f>
        <v>6.234346827232458</v>
      </c>
      <c r="AT156" s="24">
        <f>EXP($D156-$D$17)*(($B156*FixedParams!$C$31)^$B$10*(1+FixedParams!$D$25)^(1-$B$10)+(1-$B156)^$B$10*((1+FixedParams!$D$28)/$AT$12)^(1-$B$10))^(1/(1-$B$10))</f>
        <v>6.3743495468396523</v>
      </c>
      <c r="AU156" s="24">
        <f>EXP($D156-$D$17)*(($B156*FixedParams!$C$30)^$B$10*(1+FixedParams!$D$23)^(1-$B$10)+(1-$B156)^$B$10*((1+FixedParams!$D$26)/$AT$12)^(1-$B$10))^(1/(1-$B$10))</f>
        <v>6.2020186495291796</v>
      </c>
      <c r="AV156">
        <f>IF(FixedParams!$I$6=1,IF(AT156&lt;=MIN(AS156:AU156),1,0),$H156)</f>
        <v>0</v>
      </c>
      <c r="AW156">
        <f>IF(FixedParams!$I$6=1,IF(AU156&lt;=MIN(AS156:AU156),1,0),IF(AU156&lt;=AS156,1,0)*(1-$H156))</f>
        <v>1</v>
      </c>
      <c r="AX156" s="24">
        <f>$AT$13*IF(AV156=1,1,IF(AW156=1,FixedParams!$D$52,FixedParams!$D$53))</f>
        <v>0.3451899269505756</v>
      </c>
      <c r="AY156">
        <f>EXP($C156*FixedParams!$B$47)*EXP(IF(AV156+AW156=1,(1-FixedParams!$B$47)*$D156,0))*($B156^((FixedParams!$B$47-1)*$B$10/($B$10-1)))*((1/$B156-1)^$B$10*(AX156)^($B$10-1)+1)^((FixedParams!$B$47-$B$10)/($B$10-1))/((1+IF(AV156=1,FixedParams!$D$25,IF(AW156=1,FixedParams!$D$23,FixedParams!$D$24)))^FixedParams!$B$47)</f>
        <v>5.9405380527125684E-2</v>
      </c>
      <c r="AZ156">
        <f t="shared" si="99"/>
        <v>1.5996431893812477</v>
      </c>
      <c r="BA156">
        <f t="shared" si="119"/>
        <v>40.24680870394328</v>
      </c>
      <c r="BB156">
        <f t="shared" si="100"/>
        <v>23.14879890700805</v>
      </c>
      <c r="BC156">
        <f t="shared" si="120"/>
        <v>63.39560761095133</v>
      </c>
      <c r="BD156" s="24">
        <f t="shared" si="121"/>
        <v>0.57517104218849502</v>
      </c>
      <c r="BE156" s="24">
        <f t="shared" si="122"/>
        <v>2.1001756727221572</v>
      </c>
      <c r="BF156" s="23">
        <f>IF(AV156=1,BA156*(1+FixedParams!$C$25)+BB156*(1+FixedParams!$C$28)/$AT$12,IF(AW156=1,BA156*(1+FixedParams!$C$23)+BB156*(1+FixedParams!$C$26)/$AT$12,BA156*(1+FixedParams!$C$24)+BB156*(1+FixedParams!$C$27)/$AT$12))</f>
        <v>122.53812792702821</v>
      </c>
      <c r="BG156" s="24">
        <f t="shared" si="123"/>
        <v>19.757781272768437</v>
      </c>
      <c r="BH156" s="24">
        <f>BG156^((FixedParams!$B$47-1)/FixedParams!$B$47)*EXP($C156)</f>
        <v>0.1755551446714618</v>
      </c>
      <c r="BI156" s="7"/>
      <c r="BJ156" s="24">
        <f>EXP(-$D$17)*(($B156*FixedParams!$B$30)^$B$10*(1+FixedParams!$C$24)^(1-$B$10)+(1-$B156)^$B$10*((1+FixedParams!$C$27)/$BK$12)^(1-$B$10))^(1/(1-$B$10))</f>
        <v>6.9507970730456652</v>
      </c>
      <c r="BK156" s="24">
        <f>EXP($D156-$D$17)*(($B156*FixedParams!$C$31)^$B$10*(1+FixedParams!$C$25)^(1-$B$10)+(1-$B156)^$B$10*((1+FixedParams!$C$28)/$BK$12)^(1-$B$10))^(1/(1-$B$10))</f>
        <v>6.8143105552072409</v>
      </c>
      <c r="BL156" s="24">
        <f>EXP($D156-$D$17)*(($B156*FixedParams!$C$30)^$B$10*(1+FixedParams!$C$23)^(1-$B$10)+(1-$B156)^$B$10*((1+FixedParams!$C$26)/$BK$12)^(1-$B$10))^(1/(1-$B$10))</f>
        <v>6.608203733439268</v>
      </c>
      <c r="BM156">
        <f>IF(FixedParams!$I$6=1,IF(BK156&lt;=MIN(BJ156:BL156),1,0),$H156)</f>
        <v>0</v>
      </c>
      <c r="BN156">
        <f>IF(FixedParams!$I$6=1,IF(BL156&lt;=MIN(BJ156:BL156),1,0),IF(BL156&lt;=BJ156,1,0)*(1-$H156))</f>
        <v>1</v>
      </c>
      <c r="BO156" s="24">
        <f>$BK$13*IF(BM156=1,1,IF(BN156=1,FixedParams!$C$52,FixedParams!$C$53))</f>
        <v>0.33006170822567266</v>
      </c>
      <c r="BP156">
        <f>EXP($C156*FixedParams!$B$47)*EXP(IF(BM156+BN156=1,(1-FixedParams!$B$47)*$D156,0))*($B156^((FixedParams!$B$47-1)*$B$10/($B$10-1)))*((1/$B156-1)^$B$10*(BO156)^($B$10-1)+1)^((FixedParams!$B$47-$B$10)/($B$10-1))/((1+IF(BM156=1,FixedParams!$C$25,IF(BN156=1,FixedParams!$C$23,FixedParams!$C$24)))^FixedParams!$B$47)</f>
        <v>5.8139457208306565E-2</v>
      </c>
      <c r="BQ156">
        <f t="shared" si="124"/>
        <v>1.672541500362023</v>
      </c>
      <c r="BR156">
        <f t="shared" si="125"/>
        <v>42.656764109315439</v>
      </c>
      <c r="BS156">
        <f t="shared" si="101"/>
        <v>22.93984417836149</v>
      </c>
      <c r="BT156">
        <f t="shared" si="126"/>
        <v>65.596608287676929</v>
      </c>
      <c r="BU156" s="24">
        <f t="shared" si="127"/>
        <v>0.53777741132857892</v>
      </c>
      <c r="BV156" s="24">
        <f t="shared" si="128"/>
        <v>2.0988063432957</v>
      </c>
      <c r="BW156" s="23">
        <f>IF(BM156=1,BR156*(1+FixedParams!$C$25)+BS156*(1+FixedParams!$C$28)/$BK$12,IF(BN156=1,BR156*(1+FixedParams!$C$23)+BS156*(1+FixedParams!$C$26)/$BK$12,BR156*(1+FixedParams!$C$24)+BS156*(1+FixedParams!$C$27)/$BK$12))</f>
        <v>129.62355148242787</v>
      </c>
      <c r="BX156" s="24">
        <f t="shared" si="129"/>
        <v>19.615550111825133</v>
      </c>
      <c r="BY156" s="24">
        <f>BX156^((FixedParams!$B$47-1)/FixedParams!$B$47)*EXP($C156)</f>
        <v>0.17555641429253091</v>
      </c>
      <c r="BZ156" s="24">
        <f t="shared" si="130"/>
        <v>0.11066206104465694</v>
      </c>
      <c r="CA156" s="24">
        <f t="shared" si="131"/>
        <v>-5.8917278681182197E-2</v>
      </c>
      <c r="CB156" s="24">
        <f t="shared" si="132"/>
        <v>-4.1588822761774946E-2</v>
      </c>
      <c r="CC156" s="24"/>
      <c r="CD156" s="24">
        <f>EXP(-$D$17)*(($B156*FixedParams!$B$30)^$B$10*(1+FixedParams!$D$24)^(1-$B$10)+(1-$B156)^$B$10*((1+FixedParams!$D$27)/$CE$12)^(1-$B$10))^(1/(1-$B$10))</f>
        <v>6.4279561480074738</v>
      </c>
      <c r="CE156" s="24">
        <f>EXP($D156-$D$17)*(($B156*FixedParams!$D$31)^$B$10*(1+FixedParams!$D$25)^(1-$B$10)+(1-$B156)^$B$10*((1+FixedParams!$D$28)/$CE$12)^(1-$B$10))^(1/(1-$B$10))</f>
        <v>6.5698644414465086</v>
      </c>
      <c r="CF156" s="24">
        <f>EXP($D156-$D$17)*(($B156*FixedParams!$D$30)^$B$10*(1+FixedParams!$D$23)^(1-$B$10)+(1-$B156)^$B$10*((1+FixedParams!$D$26)/$CE$12)^(1-$B$10))^(1/(1-$B$10))</f>
        <v>6.3861633911167361</v>
      </c>
      <c r="CG156">
        <f>IF(FixedParams!$I$6=1,IF(CE156&lt;=MIN(CD156:CF156),1,0),$H156)</f>
        <v>0</v>
      </c>
      <c r="CH156">
        <f>IF(FixedParams!$I$6=1,IF(CF156&lt;=MIN(CD156:CF156),1,0),IF(CF156&lt;=CD156,1,0)*(1-$H156))</f>
        <v>1</v>
      </c>
      <c r="CI156" s="24">
        <f>$CE$13*IF(CG156=1,1,IF(CH156=1,FixedParams!$D$52,FixedParams!$D$53))</f>
        <v>0.32933267593211629</v>
      </c>
      <c r="CJ156">
        <f>EXP($C156*FixedParams!$B$47)*EXP(IF(CG156+CH156=1,(1-FixedParams!$B$47)*$D156,0))*($B156^((FixedParams!$B$47-1)*$B$10/($B$10-1)))*((1/$B156-1)^$B$10*(CI156)^($B$10-1)+1)^((FixedParams!$B$47-$B$10)/($B$10-1))/((1+IF(CG156=1,FixedParams!$D$25,IF(CH156=1,FixedParams!$D$23,FixedParams!$D$24)))^FixedParams!$B$47)</f>
        <v>6.0282599008750756E-2</v>
      </c>
      <c r="CK156">
        <f t="shared" si="133"/>
        <v>1.5872625451650828</v>
      </c>
      <c r="CL156">
        <f t="shared" si="135"/>
        <v>43.364459990622358</v>
      </c>
      <c r="CM156">
        <f t="shared" si="102"/>
        <v>23.243205327864668</v>
      </c>
      <c r="CN156">
        <f t="shared" si="136"/>
        <v>66.607665318487022</v>
      </c>
      <c r="CO156" s="24">
        <f t="shared" si="137"/>
        <v>0.53599665101078287</v>
      </c>
      <c r="CP156" s="24">
        <f t="shared" si="138"/>
        <v>2.0631903151392517</v>
      </c>
      <c r="CQ156" s="23">
        <f>IF(CG156=1,CL156*(1+FixedParams!$D$25)+CM156*(1+FixedParams!$D$28)/$CE$12,IF(CH156=1,CL156*(1+FixedParams!$D$23)+CM156*(1+FixedParams!$D$26)/$CE$12,CL156*(1+FixedParams!$D$24)+CM156*(1+FixedParams!$D$27)/$CE$12))</f>
        <v>127.08494722010367</v>
      </c>
      <c r="CR156" s="24">
        <f t="shared" si="139"/>
        <v>19.900046309006285</v>
      </c>
      <c r="CS156" s="24">
        <f>CR156^((FixedParams!$B$47-1)/FixedParams!$B$47)*EXP($C156)</f>
        <v>0.17555388386730933</v>
      </c>
      <c r="CT156" s="24"/>
    </row>
    <row r="157" spans="1:98" x14ac:dyDescent="0.15">
      <c r="A157">
        <v>0.70000000000000007</v>
      </c>
      <c r="B157">
        <f t="shared" si="103"/>
        <v>0.3354980789844958</v>
      </c>
      <c r="C157">
        <f>(D157-$D$17)*FixedParams!$B$47+$A157*$B$9</f>
        <v>-1.7493106126475388</v>
      </c>
      <c r="D157">
        <f>(A157-$B$6)*FixedParams!$B$46/(FixedParams!$B$45*Sectors!$B$6)</f>
        <v>0.10867028597856167</v>
      </c>
      <c r="E157">
        <f t="shared" si="104"/>
        <v>0.17389378231219882</v>
      </c>
      <c r="F157" s="24">
        <f>EXP(-$D$17)*(($B157*FixedParams!$B$30)^$B$10*(1+FixedParams!$B$23)^(1-$B$10)+(1-$B157)^$B$10*((1+FixedParams!$B$26)/$B$11)^(1-$B$10))^(1/(1-$B$10))</f>
        <v>4.971283892323064</v>
      </c>
      <c r="G157" s="24">
        <f>EXP($D157-$D$17)*(($B157*FixedParams!$B$31)^$B$10*(1+FixedParams!$B$25)^(1-$B$10)+(1-$B157)^$B$10*((1+FixedParams!$B$28)/$B$11)^(1-$B$10))^(1/(1-$B$10))</f>
        <v>5.2991268638570164</v>
      </c>
      <c r="H157">
        <f t="shared" si="105"/>
        <v>0</v>
      </c>
      <c r="I157" s="24">
        <f>$B$12*IF(H157=1,1,FixedParams!$B$52)</f>
        <v>0.39101505882574561</v>
      </c>
      <c r="J157">
        <f>EXP($C157*FixedParams!$B$47)*EXP(IF(H157=1,(1-FixedParams!$B$47)*$D157,0))*($B157^((FixedParams!$B$47-1)*$B$10/($B$10-1)))*((1/$B157-1)^$B$10*(I157)^($B$10-1)+1)^((FixedParams!$B$47-$B$10)/($B$10-1))/((1+IF(H157=1,FixedParams!$B$25,FixedParams!$B$24))^FixedParams!$B$47)</f>
        <v>5.9071351466763303E-2</v>
      </c>
      <c r="K157">
        <f t="shared" si="134"/>
        <v>1.1910309924003422</v>
      </c>
      <c r="L157">
        <f>K157*FixedParams!$B$8/K$15</f>
        <v>34.626998171555556</v>
      </c>
      <c r="M157">
        <f t="shared" si="94"/>
        <v>23.600128816514768</v>
      </c>
      <c r="N157">
        <f t="shared" si="106"/>
        <v>58.227126988070324</v>
      </c>
      <c r="O157" s="24">
        <f t="shared" si="107"/>
        <v>0.68155283630393237</v>
      </c>
      <c r="P157" s="24">
        <f t="shared" si="95"/>
        <v>1.9438468635961845</v>
      </c>
      <c r="Q157" s="23">
        <f>IF(H157=1,L157*(1+FixedParams!$B$25)+M157*FixedParams!$B$33*(1+FixedParams!$B$28)/FixedParams!$B$32,L157*(1+FixedParams!$B$23)+M157*FixedParams!$B$33*(1+FixedParams!$B$26)/FixedParams!$B$32)</f>
        <v>102.24926340220969</v>
      </c>
      <c r="R157" s="24">
        <f t="shared" si="96"/>
        <v>20.567979141184988</v>
      </c>
      <c r="S157" s="24">
        <f>R157^((FixedParams!$B$47-1)/FixedParams!$B$47)*EXP($C157)</f>
        <v>0.17336824292454328</v>
      </c>
      <c r="T157" s="7">
        <f>(L157*FixedParams!$B$32*(FixedParams!$C$25-FixedParams!$C$23)+FixedParams!$B$33*(FixedParams!$C$28-FixedParams!$C$26)*M157)/N157</f>
        <v>2288.8399122612154</v>
      </c>
      <c r="U157" s="7">
        <f>(L157*FixedParams!$B$32*(FixedParams!$C$25-FixedParams!$C$23)*$Z$12/$B$11+FixedParams!$B$33*(FixedParams!$C$28-FixedParams!$C$26)*M157)/N157</f>
        <v>1691.574418575166</v>
      </c>
      <c r="V157" s="14">
        <f t="shared" si="97"/>
        <v>-0.55562770469293499</v>
      </c>
      <c r="W157" s="14">
        <f t="shared" si="108"/>
        <v>0.86674874778308286</v>
      </c>
      <c r="X157" s="73">
        <f t="shared" si="109"/>
        <v>0.91560618888435763</v>
      </c>
      <c r="Y157" s="24">
        <f>EXP(-$D$17)*(($B157*FixedParams!$B$30)^$B$10*(1+FixedParams!$C$24)^(1-$B$10)+(1-$B157)^$B$10*((1+FixedParams!$C$27)/$Z$12)^(1-$B$10))^(1/(1-$B$10))</f>
        <v>6.7226973662589931</v>
      </c>
      <c r="Z157" s="24">
        <f>EXP($D157-$D$17)*(($B157*FixedParams!$C$31)^$B$10*(1+FixedParams!$C$25)^(1-$B$10)+(1-$B157)^$B$10*((1+FixedParams!$C$28)/$Z$12)^(1-$B$10))^(1/(1-$B$10))</f>
        <v>6.6098323732205548</v>
      </c>
      <c r="AA157" s="24">
        <f>EXP($D157-$D$17)*(($B157*FixedParams!$C$30)^$B$10*(1+FixedParams!$C$23)^(1-$B$10)+(1-$B157)^$B$10*((1+FixedParams!$C$26)/$Z$12)^(1-$B$10))^(1/(1-$B$10))</f>
        <v>6.4124749472579836</v>
      </c>
      <c r="AB157">
        <f>IF(FixedParams!$I$6=1,IF(Z157&lt;=MIN(Y157:AA157),1,0),$H157)</f>
        <v>0</v>
      </c>
      <c r="AC157">
        <f>IF(FixedParams!$I$6=1,IF(AA157&lt;=MIN(Y157:AA157),1,0),IF(AA157&lt;=Y157,1,0)*(1-$H157))</f>
        <v>1</v>
      </c>
      <c r="AD157" s="24">
        <f>$Z$13*IF(AB157=1,1,IF(AC157=1,FixedParams!$C$52,FixedParams!$C$53))</f>
        <v>0.34709202255780691</v>
      </c>
      <c r="AE157">
        <f>EXP($C157*FixedParams!$B$47)*EXP(IF(AB157+AC157=1,(1-FixedParams!$B$47)*$D157,0))*($B157^((FixedParams!$B$47-1)*$B$10/($B$10-1)))*((1/$B157-1)^$B$10*(AD157)^($B$10-1)+1)^((FixedParams!$B$47-$B$10)/($B$10-1))/((1+IF(AB157=1,FixedParams!$C$25,IF(AC157=1,FixedParams!$C$23,FixedParams!$C$24)))^FixedParams!$B$47)</f>
        <v>5.7136249227931091E-2</v>
      </c>
      <c r="AF157">
        <f t="shared" si="110"/>
        <v>1.6836442006225421</v>
      </c>
      <c r="AG157">
        <f t="shared" si="111"/>
        <v>39.546216828232652</v>
      </c>
      <c r="AH157">
        <f t="shared" si="98"/>
        <v>22.541416099870069</v>
      </c>
      <c r="AI157">
        <f t="shared" si="112"/>
        <v>62.087632928102721</v>
      </c>
      <c r="AJ157" s="24">
        <f t="shared" si="113"/>
        <v>0.57000183349466205</v>
      </c>
      <c r="AK157" s="24">
        <f t="shared" si="114"/>
        <v>2.1417270143041418</v>
      </c>
      <c r="AL157" s="23">
        <f>IF(AB157=1,AG157*(1+FixedParams!$C$25)+AH157*(1+FixedParams!$C$28)/$Z$12,IF(AC157=1,AG157*(1+FixedParams!$C$23)+AH157*(1+FixedParams!$C$26)/$Z$12,AG157*(1+FixedParams!$C$24)+AH157*(1+FixedParams!$C$27)/$Z$12))</f>
        <v>120.76081187984541</v>
      </c>
      <c r="AM157" s="24">
        <f t="shared" si="115"/>
        <v>18.832168994513349</v>
      </c>
      <c r="AN157" s="24">
        <f>AM157^((FixedParams!$B$47-1)/FixedParams!$B$47)*EXP($C157)</f>
        <v>0.1733835445935118</v>
      </c>
      <c r="AO157" s="24">
        <f t="shared" si="116"/>
        <v>6.4195475813124986E-2</v>
      </c>
      <c r="AP157" s="24">
        <f t="shared" si="117"/>
        <v>-8.8168931550906257E-2</v>
      </c>
      <c r="AQ157" s="14">
        <f t="shared" si="118"/>
        <v>-0.49604963800067536</v>
      </c>
      <c r="AS157" s="24">
        <f>EXP(-$D$17)*(($B157*FixedParams!$B$30)^$B$10*(1+FixedParams!$D$24)^(1-$B$10)+(1-$B157)^$B$10*((1+FixedParams!$D$27)/$AT$12)^(1-$B$10))^(1/(1-$B$10))</f>
        <v>6.231173434401243</v>
      </c>
      <c r="AT157" s="24">
        <f>EXP($D157-$D$17)*(($B157*FixedParams!$C$31)^$B$10*(1+FixedParams!$D$25)^(1-$B$10)+(1-$B157)^$B$10*((1+FixedParams!$D$28)/$AT$12)^(1-$B$10))^(1/(1-$B$10))</f>
        <v>6.3866950056091278</v>
      </c>
      <c r="AU157" s="24">
        <f>EXP($D157-$D$17)*(($B157*FixedParams!$C$30)^$B$10*(1+FixedParams!$D$23)^(1-$B$10)+(1-$B157)^$B$10*((1+FixedParams!$D$26)/$AT$12)^(1-$B$10))^(1/(1-$B$10))</f>
        <v>6.2096889350609121</v>
      </c>
      <c r="AV157">
        <f>IF(FixedParams!$I$6=1,IF(AT157&lt;=MIN(AS157:AU157),1,0),$H157)</f>
        <v>0</v>
      </c>
      <c r="AW157">
        <f>IF(FixedParams!$I$6=1,IF(AU157&lt;=MIN(AS157:AU157),1,0),IF(AU157&lt;=AS157,1,0)*(1-$H157))</f>
        <v>1</v>
      </c>
      <c r="AX157" s="24">
        <f>$AT$13*IF(AV157=1,1,IF(AW157=1,FixedParams!$D$52,FixedParams!$D$53))</f>
        <v>0.3451899269505756</v>
      </c>
      <c r="AY157">
        <f>EXP($C157*FixedParams!$B$47)*EXP(IF(AV157+AW157=1,(1-FixedParams!$B$47)*$D157,0))*($B157^((FixedParams!$B$47-1)*$B$10/($B$10-1)))*((1/$B157-1)^$B$10*(AX157)^($B$10-1)+1)^((FixedParams!$B$47-$B$10)/($B$10-1))/((1+IF(AV157=1,FixedParams!$D$25,IF(AW157=1,FixedParams!$D$23,FixedParams!$D$24)))^FixedParams!$B$47)</f>
        <v>5.930309930731411E-2</v>
      </c>
      <c r="AZ157">
        <f t="shared" si="99"/>
        <v>1.5968890035613541</v>
      </c>
      <c r="BA157">
        <f t="shared" si="119"/>
        <v>40.177513757067501</v>
      </c>
      <c r="BB157">
        <f t="shared" si="100"/>
        <v>22.713263222934998</v>
      </c>
      <c r="BC157">
        <f t="shared" si="120"/>
        <v>62.890776980002499</v>
      </c>
      <c r="BD157" s="24">
        <f t="shared" si="121"/>
        <v>0.56532276636803036</v>
      </c>
      <c r="BE157" s="24">
        <f t="shared" si="122"/>
        <v>2.102773044317904</v>
      </c>
      <c r="BF157" s="23">
        <f>IF(AV157=1,BA157*(1+FixedParams!$C$25)+BB157*(1+FixedParams!$C$28)/$AT$12,IF(AW157=1,BA157*(1+FixedParams!$C$23)+BB157*(1+FixedParams!$C$26)/$AT$12,BA157*(1+FixedParams!$C$24)+BB157*(1+FixedParams!$C$27)/$AT$12))</f>
        <v>121.02767735866463</v>
      </c>
      <c r="BG157" s="24">
        <f t="shared" si="123"/>
        <v>19.490135274783686</v>
      </c>
      <c r="BH157" s="24">
        <f>BG157^((FixedParams!$B$47-1)/FixedParams!$B$47)*EXP($C157)</f>
        <v>0.17337758441012815</v>
      </c>
      <c r="BI157" s="7"/>
      <c r="BJ157" s="24">
        <f>EXP(-$D$17)*(($B157*FixedParams!$B$30)^$B$10*(1+FixedParams!$C$24)^(1-$B$10)+(1-$B157)^$B$10*((1+FixedParams!$C$27)/$BK$12)^(1-$B$10))^(1/(1-$B$10))</f>
        <v>6.9481534122855972</v>
      </c>
      <c r="BK157" s="24">
        <f>EXP($D157-$D$17)*(($B157*FixedParams!$C$31)^$B$10*(1+FixedParams!$C$25)^(1-$B$10)+(1-$B157)^$B$10*((1+FixedParams!$C$28)/$BK$12)^(1-$B$10))^(1/(1-$B$10))</f>
        <v>6.8274942998001658</v>
      </c>
      <c r="BL157" s="24">
        <f>EXP($D157-$D$17)*(($B157*FixedParams!$C$30)^$B$10*(1+FixedParams!$C$23)^(1-$B$10)+(1-$B157)^$B$10*((1+FixedParams!$C$26)/$BK$12)^(1-$B$10))^(1/(1-$B$10))</f>
        <v>6.6151703316022541</v>
      </c>
      <c r="BM157">
        <f>IF(FixedParams!$I$6=1,IF(BK157&lt;=MIN(BJ157:BL157),1,0),$H157)</f>
        <v>0</v>
      </c>
      <c r="BN157">
        <f>IF(FixedParams!$I$6=1,IF(BL157&lt;=MIN(BJ157:BL157),1,0),IF(BL157&lt;=BJ157,1,0)*(1-$H157))</f>
        <v>1</v>
      </c>
      <c r="BO157" s="24">
        <f>$BK$13*IF(BM157=1,1,IF(BN157=1,FixedParams!$C$52,FixedParams!$C$53))</f>
        <v>0.33006170822567266</v>
      </c>
      <c r="BP157">
        <f>EXP($C157*FixedParams!$B$47)*EXP(IF(BM157+BN157=1,(1-FixedParams!$B$47)*$D157,0))*($B157^((FixedParams!$B$47-1)*$B$10/($B$10-1)))*((1/$B157-1)^$B$10*(BO157)^($B$10-1)+1)^((FixedParams!$B$47-$B$10)/($B$10-1))/((1+IF(BM157=1,FixedParams!$C$25,IF(BN157=1,FixedParams!$C$23,FixedParams!$C$24)))^FixedParams!$B$47)</f>
        <v>5.8034055066100224E-2</v>
      </c>
      <c r="BQ157">
        <f t="shared" si="124"/>
        <v>1.6695093176494198</v>
      </c>
      <c r="BR157">
        <f t="shared" si="125"/>
        <v>42.579430839749413</v>
      </c>
      <c r="BS157">
        <f t="shared" si="101"/>
        <v>22.506184299814368</v>
      </c>
      <c r="BT157">
        <f t="shared" si="126"/>
        <v>65.085615139563785</v>
      </c>
      <c r="BU157" s="24">
        <f t="shared" si="127"/>
        <v>0.52856940207862158</v>
      </c>
      <c r="BV157" s="24">
        <f t="shared" si="128"/>
        <v>2.1010189779246358</v>
      </c>
      <c r="BW157" s="23">
        <f>IF(BM157=1,BR157*(1+FixedParams!$C$25)+BS157*(1+FixedParams!$C$28)/$BK$12,IF(BN157=1,BR157*(1+FixedParams!$C$23)+BS157*(1+FixedParams!$C$26)/$BK$12,BR157*(1+FixedParams!$C$24)+BS157*(1+FixedParams!$C$27)/$BK$12))</f>
        <v>128.01570667120913</v>
      </c>
      <c r="BX157" s="24">
        <f t="shared" si="129"/>
        <v>19.351838313164425</v>
      </c>
      <c r="BY157" s="24">
        <f>BX157^((FixedParams!$B$47-1)/FixedParams!$B$47)*EXP($C157)</f>
        <v>0.17337882027841617</v>
      </c>
      <c r="BZ157" s="24">
        <f t="shared" si="130"/>
        <v>0.11135221360176598</v>
      </c>
      <c r="CA157" s="24">
        <f t="shared" si="131"/>
        <v>-6.094803759629893E-2</v>
      </c>
      <c r="CB157" s="24">
        <f t="shared" si="132"/>
        <v>-4.3619581676891679E-2</v>
      </c>
      <c r="CC157" s="24"/>
      <c r="CD157" s="24">
        <f>EXP(-$D$17)*(($B157*FixedParams!$B$30)^$B$10*(1+FixedParams!$D$24)^(1-$B$10)+(1-$B157)^$B$10*((1+FixedParams!$D$27)/$CE$12)^(1-$B$10))^(1/(1-$B$10))</f>
        <v>6.4234947031548728</v>
      </c>
      <c r="CE157" s="24">
        <f>EXP($D157-$D$17)*(($B157*FixedParams!$D$31)^$B$10*(1+FixedParams!$D$25)^(1-$B$10)+(1-$B157)^$B$10*((1+FixedParams!$D$28)/$CE$12)^(1-$B$10))^(1/(1-$B$10))</f>
        <v>6.5813575940207594</v>
      </c>
      <c r="CF157" s="24">
        <f>EXP($D157-$D$17)*(($B157*FixedParams!$D$30)^$B$10*(1+FixedParams!$D$23)^(1-$B$10)+(1-$B157)^$B$10*((1+FixedParams!$D$26)/$CE$12)^(1-$B$10))^(1/(1-$B$10))</f>
        <v>6.3928382434139541</v>
      </c>
      <c r="CG157">
        <f>IF(FixedParams!$I$6=1,IF(CE157&lt;=MIN(CD157:CF157),1,0),$H157)</f>
        <v>0</v>
      </c>
      <c r="CH157">
        <f>IF(FixedParams!$I$6=1,IF(CF157&lt;=MIN(CD157:CF157),1,0),IF(CF157&lt;=CD157,1,0)*(1-$H157))</f>
        <v>1</v>
      </c>
      <c r="CI157" s="24">
        <f>$CE$13*IF(CG157=1,1,IF(CH157=1,FixedParams!$D$52,FixedParams!$D$53))</f>
        <v>0.32933267593211629</v>
      </c>
      <c r="CJ157">
        <f>EXP($C157*FixedParams!$B$47)*EXP(IF(CG157+CH157=1,(1-FixedParams!$B$47)*$D157,0))*($B157^((FixedParams!$B$47-1)*$B$10/($B$10-1)))*((1/$B157-1)^$B$10*(CI157)^($B$10-1)+1)^((FixedParams!$B$47-$B$10)/($B$10-1))/((1+IF(CG157=1,FixedParams!$D$25,IF(CH157=1,FixedParams!$D$23,FixedParams!$D$24)))^FixedParams!$B$47)</f>
        <v>6.0173039601795542E-2</v>
      </c>
      <c r="CK157">
        <f t="shared" si="133"/>
        <v>1.5843778065176124</v>
      </c>
      <c r="CL157">
        <f t="shared" si="135"/>
        <v>43.285648117915677</v>
      </c>
      <c r="CM157">
        <f t="shared" si="102"/>
        <v>22.803707593329303</v>
      </c>
      <c r="CN157">
        <f t="shared" si="136"/>
        <v>66.089355711244977</v>
      </c>
      <c r="CO157" s="24">
        <f t="shared" si="137"/>
        <v>0.52681913254964019</v>
      </c>
      <c r="CP157" s="24">
        <f t="shared" si="138"/>
        <v>2.0653467727447308</v>
      </c>
      <c r="CQ157" s="23">
        <f>IF(CG157=1,CL157*(1+FixedParams!$D$25)+CM157*(1+FixedParams!$D$28)/$CE$12,IF(CH157=1,CL157*(1+FixedParams!$D$23)+CM157*(1+FixedParams!$D$26)/$CE$12,CL157*(1+FixedParams!$D$24)+CM157*(1+FixedParams!$D$27)/$CE$12))</f>
        <v>125.5085900120262</v>
      </c>
      <c r="CR157" s="24">
        <f t="shared" si="139"/>
        <v>19.632686646080554</v>
      </c>
      <c r="CS157" s="24">
        <f>CR157^((FixedParams!$B$47-1)/FixedParams!$B$47)*EXP($C157)</f>
        <v>0.17337631967663503</v>
      </c>
      <c r="CT157" s="24"/>
    </row>
    <row r="158" spans="1:98" x14ac:dyDescent="0.15">
      <c r="A158">
        <v>0.70499999999999996</v>
      </c>
      <c r="B158">
        <f t="shared" si="103"/>
        <v>0.33806978679013983</v>
      </c>
      <c r="C158">
        <f>(D158-$D$17)*FixedParams!$B$47+$A158*$B$9</f>
        <v>-1.7618056884521636</v>
      </c>
      <c r="D158">
        <f>(A158-$B$6)*FixedParams!$B$46/(FixedParams!$B$45*Sectors!$B$6)</f>
        <v>0.11138704312802564</v>
      </c>
      <c r="E158">
        <f t="shared" si="104"/>
        <v>0.17173448470751643</v>
      </c>
      <c r="F158" s="24">
        <f>EXP(-$D$17)*(($B158*FixedParams!$B$30)^$B$10*(1+FixedParams!$B$23)^(1-$B$10)+(1-$B158)^$B$10*((1+FixedParams!$B$26)/$B$11)^(1-$B$10))^(1/(1-$B$10))</f>
        <v>4.9661728470241915</v>
      </c>
      <c r="G158" s="24">
        <f>EXP($D158-$D$17)*(($B158*FixedParams!$B$31)^$B$10*(1+FixedParams!$B$25)^(1-$B$10)+(1-$B158)^$B$10*((1+FixedParams!$B$28)/$B$11)^(1-$B$10))^(1/(1-$B$10))</f>
        <v>5.3071641358727941</v>
      </c>
      <c r="H158">
        <f t="shared" si="105"/>
        <v>0</v>
      </c>
      <c r="I158" s="24">
        <f>$B$12*IF(H158=1,1,FixedParams!$B$52)</f>
        <v>0.39101505882574561</v>
      </c>
      <c r="J158">
        <f>EXP($C158*FixedParams!$B$47)*EXP(IF(H158=1,(1-FixedParams!$B$47)*$D158,0))*($B158^((FixedParams!$B$47-1)*$B$10/($B$10-1)))*((1/$B158-1)^$B$10*(I158)^($B$10-1)+1)^((FixedParams!$B$47-$B$10)/($B$10-1))/((1+IF(H158=1,FixedParams!$B$25,FixedParams!$B$24))^FixedParams!$B$47)</f>
        <v>5.8980229795899231E-2</v>
      </c>
      <c r="K158">
        <f t="shared" si="134"/>
        <v>1.1891937442016198</v>
      </c>
      <c r="L158">
        <f>K158*FixedParams!$B$8/K$15</f>
        <v>34.573583616918619</v>
      </c>
      <c r="M158">
        <f t="shared" si="94"/>
        <v>23.160257812987833</v>
      </c>
      <c r="N158">
        <f t="shared" si="106"/>
        <v>57.733841429906448</v>
      </c>
      <c r="O158" s="24">
        <f t="shared" si="107"/>
        <v>0.66988305492446365</v>
      </c>
      <c r="P158" s="24">
        <f t="shared" si="95"/>
        <v>1.9418483679179848</v>
      </c>
      <c r="Q158" s="23">
        <f>IF(H158=1,L158*(1+FixedParams!$B$25)+M158*FixedParams!$B$33*(1+FixedParams!$B$28)/FixedParams!$B$32,L158*(1+FixedParams!$B$23)+M158*FixedParams!$B$33*(1+FixedParams!$B$26)/FixedParams!$B$32)</f>
        <v>100.98075777740226</v>
      </c>
      <c r="R158" s="24">
        <f t="shared" si="96"/>
        <v>20.333717912760832</v>
      </c>
      <c r="S158" s="24">
        <f>R158^((FixedParams!$B$47-1)/FixedParams!$B$47)*EXP($C158)</f>
        <v>0.17121743436128076</v>
      </c>
      <c r="T158" s="7">
        <f>(L158*FixedParams!$B$32*(FixedParams!$C$25-FixedParams!$C$23)+FixedParams!$B$33*(FixedParams!$C$28-FixedParams!$C$26)*M158)/N158</f>
        <v>2335.9884546636426</v>
      </c>
      <c r="U158" s="7">
        <f>(L158*FixedParams!$B$32*(FixedParams!$C$25-FixedParams!$C$23)*$Z$12/$B$11+FixedParams!$B$33*(FixedParams!$C$28-FixedParams!$C$26)*M158)/N158</f>
        <v>1734.5490413032412</v>
      </c>
      <c r="V158" s="14">
        <f t="shared" si="97"/>
        <v>-0.53835707939685151</v>
      </c>
      <c r="W158" s="14">
        <f t="shared" si="108"/>
        <v>0.86958046983860038</v>
      </c>
      <c r="X158" s="73">
        <f t="shared" si="109"/>
        <v>0.91356391621672128</v>
      </c>
      <c r="Y158" s="24">
        <f>EXP(-$D$17)*(($B158*FixedParams!$B$30)^$B$10*(1+FixedParams!$C$24)^(1-$B$10)+(1-$B158)^$B$10*((1+FixedParams!$C$27)/$Z$12)^(1-$B$10))^(1/(1-$B$10))</f>
        <v>6.7211495551412712</v>
      </c>
      <c r="Z158" s="24">
        <f>EXP($D158-$D$17)*(($B158*FixedParams!$C$31)^$B$10*(1+FixedParams!$C$25)^(1-$B$10)+(1-$B158)^$B$10*((1+FixedParams!$C$28)/$Z$12)^(1-$B$10))^(1/(1-$B$10))</f>
        <v>6.6236212686584182</v>
      </c>
      <c r="AA158" s="24">
        <f>EXP($D158-$D$17)*(($B158*FixedParams!$C$30)^$B$10*(1+FixedParams!$C$23)^(1-$B$10)+(1-$B158)^$B$10*((1+FixedParams!$C$26)/$Z$12)^(1-$B$10))^(1/(1-$B$10))</f>
        <v>6.4202168977222414</v>
      </c>
      <c r="AB158">
        <f>IF(FixedParams!$I$6=1,IF(Z158&lt;=MIN(Y158:AA158),1,0),$H158)</f>
        <v>0</v>
      </c>
      <c r="AC158">
        <f>IF(FixedParams!$I$6=1,IF(AA158&lt;=MIN(Y158:AA158),1,0),IF(AA158&lt;=Y158,1,0)*(1-$H158))</f>
        <v>1</v>
      </c>
      <c r="AD158" s="24">
        <f>$Z$13*IF(AB158=1,1,IF(AC158=1,FixedParams!$C$52,FixedParams!$C$53))</f>
        <v>0.34709202255780691</v>
      </c>
      <c r="AE158">
        <f>EXP($C158*FixedParams!$B$47)*EXP(IF(AB158+AC158=1,(1-FixedParams!$B$47)*$D158,0))*($B158^((FixedParams!$B$47-1)*$B$10/($B$10-1)))*((1/$B158-1)^$B$10*(AD158)^($B$10-1)+1)^((FixedParams!$B$47-$B$10)/($B$10-1))/((1+IF(AB158=1,FixedParams!$C$25,IF(AC158=1,FixedParams!$C$23,FixedParams!$C$24)))^FixedParams!$B$47)</f>
        <v>5.7034506926753596E-2</v>
      </c>
      <c r="AF158">
        <f t="shared" si="110"/>
        <v>1.680646141813114</v>
      </c>
      <c r="AG158">
        <f t="shared" si="111"/>
        <v>39.475797030690153</v>
      </c>
      <c r="AH158">
        <f t="shared" si="98"/>
        <v>22.116002110658631</v>
      </c>
      <c r="AI158">
        <f t="shared" si="112"/>
        <v>61.591799141348787</v>
      </c>
      <c r="AJ158" s="24">
        <f t="shared" si="113"/>
        <v>0.56024206663806475</v>
      </c>
      <c r="AK158" s="24">
        <f t="shared" si="114"/>
        <v>2.1443127779272491</v>
      </c>
      <c r="AL158" s="23">
        <f>IF(AB158=1,AG158*(1+FixedParams!$C$25)+AH158*(1+FixedParams!$C$28)/$Z$12,IF(AC158=1,AG158*(1+FixedParams!$C$23)+AH158*(1+FixedParams!$C$26)/$Z$12,AG158*(1+FixedParams!$C$24)+AH158*(1+FixedParams!$C$27)/$Z$12))</f>
        <v>119.26291833700388</v>
      </c>
      <c r="AM158" s="24">
        <f t="shared" si="115"/>
        <v>18.576150967627882</v>
      </c>
      <c r="AN158" s="24">
        <f>AM158^((FixedParams!$B$47-1)/FixedParams!$B$47)*EXP($C158)</f>
        <v>0.17123292894395808</v>
      </c>
      <c r="AO158" s="24">
        <f t="shared" si="116"/>
        <v>6.4685222684063987E-2</v>
      </c>
      <c r="AP158" s="24">
        <f t="shared" si="117"/>
        <v>-9.0401937120545311E-2</v>
      </c>
      <c r="AQ158" s="14">
        <f t="shared" si="118"/>
        <v>-0.478779012704592</v>
      </c>
      <c r="AS158" s="24">
        <f>EXP(-$D$17)*(($B158*FixedParams!$B$30)^$B$10*(1+FixedParams!$D$24)^(1-$B$10)+(1-$B158)^$B$10*((1+FixedParams!$D$27)/$AT$12)^(1-$B$10))^(1/(1-$B$10))</f>
        <v>6.2277076062142447</v>
      </c>
      <c r="AT158" s="24">
        <f>EXP($D158-$D$17)*(($B158*FixedParams!$C$31)^$B$10*(1+FixedParams!$D$25)^(1-$B$10)+(1-$B158)^$B$10*((1+FixedParams!$D$28)/$AT$12)^(1-$B$10))^(1/(1-$B$10))</f>
        <v>6.398753477064937</v>
      </c>
      <c r="AU158" s="24">
        <f>EXP($D158-$D$17)*(($B158*FixedParams!$C$30)^$B$10*(1+FixedParams!$D$23)^(1-$B$10)+(1-$B158)^$B$10*((1+FixedParams!$D$26)/$AT$12)^(1-$B$10))^(1/(1-$B$10))</f>
        <v>6.2170469285213832</v>
      </c>
      <c r="AV158">
        <f>IF(FixedParams!$I$6=1,IF(AT158&lt;=MIN(AS158:AU158),1,0),$H158)</f>
        <v>0</v>
      </c>
      <c r="AW158">
        <f>IF(FixedParams!$I$6=1,IF(AU158&lt;=MIN(AS158:AU158),1,0),IF(AU158&lt;=AS158,1,0)*(1-$H158))</f>
        <v>1</v>
      </c>
      <c r="AX158" s="24">
        <f>$AT$13*IF(AV158=1,1,IF(AW158=1,FixedParams!$D$52,FixedParams!$D$53))</f>
        <v>0.3451899269505756</v>
      </c>
      <c r="AY158">
        <f>EXP($C158*FixedParams!$B$47)*EXP(IF(AV158+AW158=1,(1-FixedParams!$B$47)*$D158,0))*($B158^((FixedParams!$B$47-1)*$B$10/($B$10-1)))*((1/$B158-1)^$B$10*(AX158)^($B$10-1)+1)^((FixedParams!$B$47-$B$10)/($B$10-1))/((1+IF(AV158=1,FixedParams!$D$25,IF(AW158=1,FixedParams!$D$23,FixedParams!$D$24)))^FixedParams!$B$47)</f>
        <v>5.9196834815687042E-2</v>
      </c>
      <c r="AZ158">
        <f t="shared" si="99"/>
        <v>1.5940275578674463</v>
      </c>
      <c r="BA158">
        <f t="shared" si="119"/>
        <v>40.105520166106771</v>
      </c>
      <c r="BB158">
        <f t="shared" si="100"/>
        <v>22.284356198039642</v>
      </c>
      <c r="BC158">
        <f t="shared" si="120"/>
        <v>62.389876364146417</v>
      </c>
      <c r="BD158" s="24">
        <f t="shared" si="121"/>
        <v>0.55564311610330841</v>
      </c>
      <c r="BE158" s="24">
        <f t="shared" si="122"/>
        <v>2.105264665149599</v>
      </c>
      <c r="BF158" s="23">
        <f>IF(AV158=1,BA158*(1+FixedParams!$C$25)+BB158*(1+FixedParams!$C$28)/$AT$12,IF(AW158=1,BA158*(1+FixedParams!$C$23)+BB158*(1+FixedParams!$C$26)/$AT$12,BA158*(1+FixedParams!$C$24)+BB158*(1+FixedParams!$C$27)/$AT$12))</f>
        <v>119.53587743892909</v>
      </c>
      <c r="BG158" s="24">
        <f t="shared" si="123"/>
        <v>19.22711519042026</v>
      </c>
      <c r="BH158" s="24">
        <f>BG158^((FixedParams!$B$47-1)/FixedParams!$B$47)*EXP($C158)</f>
        <v>0.17122702536965437</v>
      </c>
      <c r="BI158" s="7"/>
      <c r="BJ158" s="24">
        <f>EXP(-$D$17)*(($B158*FixedParams!$B$30)^$B$10*(1+FixedParams!$C$24)^(1-$B$10)+(1-$B158)^$B$10*((1+FixedParams!$C$27)/$BK$12)^(1-$B$10))^(1/(1-$B$10))</f>
        <v>6.9451875034846884</v>
      </c>
      <c r="BK158" s="24">
        <f>EXP($D158-$D$17)*(($B158*FixedParams!$C$31)^$B$10*(1+FixedParams!$C$25)^(1-$B$10)+(1-$B158)^$B$10*((1+FixedParams!$C$28)/$BK$12)^(1-$B$10))^(1/(1-$B$10))</f>
        <v>6.8403711293774672</v>
      </c>
      <c r="BL158" s="24">
        <f>EXP($D158-$D$17)*(($B158*FixedParams!$C$30)^$B$10*(1+FixedParams!$C$23)^(1-$B$10)+(1-$B158)^$B$10*((1+FixedParams!$C$26)/$BK$12)^(1-$B$10))^(1/(1-$B$10))</f>
        <v>6.6217966068569414</v>
      </c>
      <c r="BM158">
        <f>IF(FixedParams!$I$6=1,IF(BK158&lt;=MIN(BJ158:BL158),1,0),$H158)</f>
        <v>0</v>
      </c>
      <c r="BN158">
        <f>IF(FixedParams!$I$6=1,IF(BL158&lt;=MIN(BJ158:BL158),1,0),IF(BL158&lt;=BJ158,1,0)*(1-$H158))</f>
        <v>1</v>
      </c>
      <c r="BO158" s="24">
        <f>$BK$13*IF(BM158=1,1,IF(BN158=1,FixedParams!$C$52,FixedParams!$C$53))</f>
        <v>0.33006170822567266</v>
      </c>
      <c r="BP158">
        <f>EXP($C158*FixedParams!$B$47)*EXP(IF(BM158+BN158=1,(1-FixedParams!$B$47)*$D158,0))*($B158^((FixedParams!$B$47-1)*$B$10/($B$10-1)))*((1/$B158-1)^$B$10*(BO158)^($B$10-1)+1)^((FixedParams!$B$47-$B$10)/($B$10-1))/((1+IF(BM158=1,FixedParams!$C$25,IF(BN158=1,FixedParams!$C$23,FixedParams!$C$24)))^FixedParams!$B$47)</f>
        <v>5.7924752364297317E-2</v>
      </c>
      <c r="BQ158">
        <f t="shared" si="124"/>
        <v>1.6663649246047434</v>
      </c>
      <c r="BR158">
        <f t="shared" si="125"/>
        <v>42.499235740049528</v>
      </c>
      <c r="BS158">
        <f t="shared" si="101"/>
        <v>22.07916281201905</v>
      </c>
      <c r="BT158">
        <f t="shared" si="126"/>
        <v>64.578398552068577</v>
      </c>
      <c r="BU158" s="24">
        <f t="shared" si="127"/>
        <v>0.51951905552062805</v>
      </c>
      <c r="BV158" s="24">
        <f t="shared" si="128"/>
        <v>2.1031235238947583</v>
      </c>
      <c r="BW158" s="23">
        <f>IF(BM158=1,BR158*(1+FixedParams!$C$25)+BS158*(1+FixedParams!$C$28)/$BK$12,IF(BN158=1,BR158*(1+FixedParams!$C$23)+BS158*(1+FixedParams!$C$26)/$BK$12,BR158*(1+FixedParams!$C$24)+BS158*(1+FixedParams!$C$27)/$BK$12))</f>
        <v>126.42779885833635</v>
      </c>
      <c r="BX158" s="24">
        <f t="shared" si="129"/>
        <v>19.092673237262986</v>
      </c>
      <c r="BY158" s="24">
        <f>BX158^((FixedParams!$B$47-1)/FixedParams!$B$47)*EXP($C158)</f>
        <v>0.17122822805449589</v>
      </c>
      <c r="BZ158" s="24">
        <f t="shared" si="130"/>
        <v>0.1120364589591776</v>
      </c>
      <c r="CA158" s="24">
        <f t="shared" si="131"/>
        <v>-6.2975827752745892E-2</v>
      </c>
      <c r="CB158" s="24">
        <f t="shared" si="132"/>
        <v>-4.564737183333864E-2</v>
      </c>
      <c r="CC158" s="24"/>
      <c r="CD158" s="24">
        <f>EXP(-$D$17)*(($B158*FixedParams!$B$30)^$B$10*(1+FixedParams!$D$24)^(1-$B$10)+(1-$B158)^$B$10*((1+FixedParams!$D$27)/$CE$12)^(1-$B$10))^(1/(1-$B$10))</f>
        <v>6.4187272597300087</v>
      </c>
      <c r="CE158" s="24">
        <f>EXP($D158-$D$17)*(($B158*FixedParams!$D$31)^$B$10*(1+FixedParams!$D$25)^(1-$B$10)+(1-$B158)^$B$10*((1+FixedParams!$D$28)/$CE$12)^(1-$B$10))^(1/(1-$B$10))</f>
        <v>6.5925446288897129</v>
      </c>
      <c r="CF158" s="24">
        <f>EXP($D158-$D$17)*(($B158*FixedParams!$D$30)^$B$10*(1+FixedParams!$D$23)^(1-$B$10)+(1-$B158)^$B$10*((1+FixedParams!$D$26)/$CE$12)^(1-$B$10))^(1/(1-$B$10))</f>
        <v>6.3991838622358541</v>
      </c>
      <c r="CG158">
        <f>IF(FixedParams!$I$6=1,IF(CE158&lt;=MIN(CD158:CF158),1,0),$H158)</f>
        <v>0</v>
      </c>
      <c r="CH158">
        <f>IF(FixedParams!$I$6=1,IF(CF158&lt;=MIN(CD158:CF158),1,0),IF(CF158&lt;=CD158,1,0)*(1-$H158))</f>
        <v>1</v>
      </c>
      <c r="CI158" s="24">
        <f>$CE$13*IF(CG158=1,1,IF(CH158=1,FixedParams!$D$52,FixedParams!$D$53))</f>
        <v>0.32933267593211629</v>
      </c>
      <c r="CJ158">
        <f>EXP($C158*FixedParams!$B$47)*EXP(IF(CG158+CH158=1,(1-FixedParams!$B$47)*$D158,0))*($B158^((FixedParams!$B$47-1)*$B$10/($B$10-1)))*((1/$B158-1)^$B$10*(CI158)^($B$10-1)+1)^((FixedParams!$B$47-$B$10)/($B$10-1))/((1+IF(CG158=1,FixedParams!$D$25,IF(CH158=1,FixedParams!$D$23,FixedParams!$D$24)))^FixedParams!$B$47)</f>
        <v>6.0059435793396607E-2</v>
      </c>
      <c r="CK158">
        <f t="shared" si="133"/>
        <v>1.5813865773233706</v>
      </c>
      <c r="CL158">
        <f t="shared" si="135"/>
        <v>43.203926893464441</v>
      </c>
      <c r="CM158">
        <f t="shared" si="102"/>
        <v>22.370939543876037</v>
      </c>
      <c r="CN158">
        <f t="shared" si="136"/>
        <v>65.574866437340475</v>
      </c>
      <c r="CO158" s="24">
        <f t="shared" si="137"/>
        <v>0.51779875470671954</v>
      </c>
      <c r="CP158" s="24">
        <f t="shared" si="138"/>
        <v>2.0673968642464797</v>
      </c>
      <c r="CQ158" s="23">
        <f>IF(CG158=1,CL158*(1+FixedParams!$D$25)+CM158*(1+FixedParams!$D$28)/$CE$12,IF(CH158=1,CL158*(1+FixedParams!$D$23)+CM158*(1+FixedParams!$D$26)/$CE$12,CL158*(1+FixedParams!$D$24)+CM158*(1+FixedParams!$D$27)/$CE$12))</f>
        <v>123.95177937102579</v>
      </c>
      <c r="CR158" s="24">
        <f t="shared" si="139"/>
        <v>19.369935610463525</v>
      </c>
      <c r="CS158" s="24">
        <f>CR158^((FixedParams!$B$47-1)/FixedParams!$B$47)*EXP($C158)</f>
        <v>0.17122575691958231</v>
      </c>
      <c r="CT158" s="24"/>
    </row>
    <row r="159" spans="1:98" x14ac:dyDescent="0.15">
      <c r="A159">
        <v>0.71</v>
      </c>
      <c r="B159">
        <f t="shared" si="103"/>
        <v>0.34065110190938913</v>
      </c>
      <c r="C159">
        <f>(D159-$D$17)*FixedParams!$B$47+$A159*$B$9</f>
        <v>-1.774300764256789</v>
      </c>
      <c r="D159">
        <f>(A159-$B$6)*FixedParams!$B$46/(FixedParams!$B$45*Sectors!$B$6)</f>
        <v>0.11410380027748968</v>
      </c>
      <c r="E159">
        <f t="shared" si="104"/>
        <v>0.16960199982772603</v>
      </c>
      <c r="F159" s="24">
        <f>EXP(-$D$17)*(($B159*FixedParams!$B$30)^$B$10*(1+FixedParams!$B$23)^(1-$B$10)+(1-$B159)^$B$10*((1+FixedParams!$B$26)/$B$11)^(1-$B$10))^(1/(1-$B$10))</f>
        <v>4.9608198283508562</v>
      </c>
      <c r="G159" s="24">
        <f>EXP($D159-$D$17)*(($B159*FixedParams!$B$31)^$B$10*(1+FixedParams!$B$25)^(1-$B$10)+(1-$B159)^$B$10*((1+FixedParams!$B$28)/$B$11)^(1-$B$10))^(1/(1-$B$10))</f>
        <v>5.3149446285851356</v>
      </c>
      <c r="H159">
        <f t="shared" si="105"/>
        <v>0</v>
      </c>
      <c r="I159" s="24">
        <f>$B$12*IF(H159=1,1,FixedParams!$B$52)</f>
        <v>0.39101505882574561</v>
      </c>
      <c r="J159">
        <f>EXP($C159*FixedParams!$B$47)*EXP(IF(H159=1,(1-FixedParams!$B$47)*$D159,0))*($B159^((FixedParams!$B$47-1)*$B$10/($B$10-1)))*((1/$B159-1)^$B$10*(I159)^($B$10-1)+1)^((FixedParams!$B$47-$B$10)/($B$10-1))/((1+IF(H159=1,FixedParams!$B$25,FixedParams!$B$24))^FixedParams!$B$47)</f>
        <v>5.8885158062453681E-2</v>
      </c>
      <c r="K159">
        <f t="shared" si="134"/>
        <v>1.1872768525405479</v>
      </c>
      <c r="L159">
        <f>K159*FixedParams!$B$8/K$15</f>
        <v>34.517853577594259</v>
      </c>
      <c r="M159">
        <f t="shared" si="94"/>
        <v>22.72700654939981</v>
      </c>
      <c r="N159">
        <f t="shared" si="106"/>
        <v>57.24486012699407</v>
      </c>
      <c r="O159" s="24">
        <f t="shared" si="107"/>
        <v>0.65841308754354422</v>
      </c>
      <c r="P159" s="24">
        <f t="shared" si="95"/>
        <v>1.9397552570065353</v>
      </c>
      <c r="Q159" s="23">
        <f>IF(H159=1,L159*(1+FixedParams!$B$25)+M159*FixedParams!$B$33*(1+FixedParams!$B$28)/FixedParams!$B$32,L159*(1+FixedParams!$B$23)+M159*FixedParams!$B$33*(1+FixedParams!$B$26)/FixedParams!$B$32)</f>
        <v>99.727984279111396</v>
      </c>
      <c r="R159" s="24">
        <f t="shared" si="96"/>
        <v>20.103125638462128</v>
      </c>
      <c r="S159" s="24">
        <f>R159^((FixedParams!$B$47-1)/FixedParams!$B$47)*EXP($C159)</f>
        <v>0.16909330032887429</v>
      </c>
      <c r="T159" s="7">
        <f>(L159*FixedParams!$B$32*(FixedParams!$C$25-FixedParams!$C$23)+FixedParams!$B$33*(FixedParams!$C$28-FixedParams!$C$26)*M159)/N159</f>
        <v>2382.9763005124478</v>
      </c>
      <c r="U159" s="7">
        <f>(L159*FixedParams!$B$32*(FixedParams!$C$25-FixedParams!$C$23)*$Z$12/$B$11+FixedParams!$B$33*(FixedParams!$C$28-FixedParams!$C$26)*M159)/N159</f>
        <v>1777.3771934637496</v>
      </c>
      <c r="V159" s="14">
        <f t="shared" si="97"/>
        <v>-0.52108645410076793</v>
      </c>
      <c r="W159" s="14">
        <f t="shared" si="108"/>
        <v>0.87238820840183851</v>
      </c>
      <c r="X159" s="73">
        <f t="shared" si="109"/>
        <v>0.91152808766160753</v>
      </c>
      <c r="Y159" s="24">
        <f>EXP(-$D$17)*(($B159*FixedParams!$B$30)^$B$10*(1+FixedParams!$C$24)^(1-$B$10)+(1-$B159)^$B$10*((1+FixedParams!$C$27)/$Z$12)^(1-$B$10))^(1/(1-$B$10))</f>
        <v>6.7192938035258241</v>
      </c>
      <c r="Z159" s="24">
        <f>EXP($D159-$D$17)*(($B159*FixedParams!$C$31)^$B$10*(1+FixedParams!$C$25)^(1-$B$10)+(1-$B159)^$B$10*((1+FixedParams!$C$28)/$Z$12)^(1-$B$10))^(1/(1-$B$10))</f>
        <v>6.6371206387347934</v>
      </c>
      <c r="AA159" s="24">
        <f>EXP($D159-$D$17)*(($B159*FixedParams!$C$30)^$B$10*(1+FixedParams!$C$23)^(1-$B$10)+(1-$B159)^$B$10*((1+FixedParams!$C$26)/$Z$12)^(1-$B$10))^(1/(1-$B$10))</f>
        <v>6.4276345339102567</v>
      </c>
      <c r="AB159">
        <f>IF(FixedParams!$I$6=1,IF(Z159&lt;=MIN(Y159:AA159),1,0),$H159)</f>
        <v>0</v>
      </c>
      <c r="AC159">
        <f>IF(FixedParams!$I$6=1,IF(AA159&lt;=MIN(Y159:AA159),1,0),IF(AA159&lt;=Y159,1,0)*(1-$H159))</f>
        <v>1</v>
      </c>
      <c r="AD159" s="24">
        <f>$Z$13*IF(AB159=1,1,IF(AC159=1,FixedParams!$C$52,FixedParams!$C$53))</f>
        <v>0.34709202255780691</v>
      </c>
      <c r="AE159">
        <f>EXP($C159*FixedParams!$B$47)*EXP(IF(AB159+AC159=1,(1-FixedParams!$B$47)*$D159,0))*($B159^((FixedParams!$B$47-1)*$B$10/($B$10-1)))*((1/$B159-1)^$B$10*(AD159)^($B$10-1)+1)^((FixedParams!$B$47-$B$10)/($B$10-1))/((1+IF(AB159=1,FixedParams!$C$25,IF(AC159=1,FixedParams!$C$23,FixedParams!$C$24)))^FixedParams!$B$47)</f>
        <v>5.6928931905317635E-2</v>
      </c>
      <c r="AF159">
        <f t="shared" si="110"/>
        <v>1.6775351435419086</v>
      </c>
      <c r="AG159">
        <f t="shared" si="111"/>
        <v>39.402724458623055</v>
      </c>
      <c r="AH159">
        <f t="shared" si="98"/>
        <v>21.697086969874295</v>
      </c>
      <c r="AI159">
        <f t="shared" si="112"/>
        <v>61.099811428497347</v>
      </c>
      <c r="AJ159" s="24">
        <f t="shared" si="113"/>
        <v>0.550649409856379</v>
      </c>
      <c r="AK159" s="24">
        <f t="shared" si="114"/>
        <v>2.1467902225857962</v>
      </c>
      <c r="AL159" s="23">
        <f>IF(AB159=1,AG159*(1+FixedParams!$C$25)+AH159*(1+FixedParams!$C$28)/$Z$12,IF(AC159=1,AG159*(1+FixedParams!$C$23)+AH159*(1+FixedParams!$C$26)/$Z$12,AG159*(1+FixedParams!$C$24)+AH159*(1+FixedParams!$C$27)/$Z$12))</f>
        <v>117.78359825929836</v>
      </c>
      <c r="AM159" s="24">
        <f t="shared" si="115"/>
        <v>18.324563669248416</v>
      </c>
      <c r="AN159" s="24">
        <f>AM159^((FixedParams!$B$47-1)/FixedParams!$B$47)*EXP($C159)</f>
        <v>0.16910898033291258</v>
      </c>
      <c r="AO159" s="24">
        <f t="shared" si="116"/>
        <v>6.5170920933365864E-2</v>
      </c>
      <c r="AP159" s="24">
        <f t="shared" si="117"/>
        <v>-9.2632870569553147E-2</v>
      </c>
      <c r="AQ159" s="14">
        <f t="shared" si="118"/>
        <v>-0.4615083874085083</v>
      </c>
      <c r="AS159" s="24">
        <f>EXP(-$D$17)*(($B159*FixedParams!$B$30)^$B$10*(1+FixedParams!$D$24)^(1-$B$10)+(1-$B159)^$B$10*((1+FixedParams!$D$27)/$AT$12)^(1-$B$10))^(1/(1-$B$10))</f>
        <v>6.2239476023500639</v>
      </c>
      <c r="AT159" s="24">
        <f>EXP($D159-$D$17)*(($B159*FixedParams!$C$31)^$B$10*(1+FixedParams!$D$25)^(1-$B$10)+(1-$B159)^$B$10*((1+FixedParams!$D$28)/$AT$12)^(1-$B$10))^(1/(1-$B$10))</f>
        <v>6.4105211471285033</v>
      </c>
      <c r="AU159" s="24">
        <f>EXP($D159-$D$17)*(($B159*FixedParams!$C$30)^$B$10*(1+FixedParams!$D$23)^(1-$B$10)+(1-$B159)^$B$10*((1+FixedParams!$D$26)/$AT$12)^(1-$B$10))^(1/(1-$B$10))</f>
        <v>6.2240899806762551</v>
      </c>
      <c r="AV159">
        <f>IF(FixedParams!$I$6=1,IF(AT159&lt;=MIN(AS159:AU159),1,0),$H159)</f>
        <v>0</v>
      </c>
      <c r="AW159">
        <f>IF(FixedParams!$I$6=1,IF(AU159&lt;=MIN(AS159:AU159),1,0),IF(AU159&lt;=AS159,1,0)*(1-$H159))</f>
        <v>0</v>
      </c>
      <c r="AX159" s="24">
        <f>$AT$13*IF(AV159=1,1,IF(AW159=1,FixedParams!$D$52,FixedParams!$D$53))</f>
        <v>0.44031288407969205</v>
      </c>
      <c r="AY159">
        <f>EXP($C159*FixedParams!$B$47)*EXP(IF(AV159+AW159=1,(1-FixedParams!$B$47)*$D159,0))*($B159^((FixedParams!$B$47-1)*$B$10/($B$10-1)))*((1/$B159-1)^$B$10*(AX159)^($B$10-1)+1)^((FixedParams!$B$47-$B$10)/($B$10-1))/((1+IF(AV159=1,FixedParams!$D$25,IF(AW159=1,FixedParams!$D$23,FixedParams!$D$24)))^FixedParams!$B$47)</f>
        <v>4.1930223751823523E-2</v>
      </c>
      <c r="AZ159">
        <f t="shared" si="99"/>
        <v>1.1290794917677411</v>
      </c>
      <c r="BA159">
        <f t="shared" si="119"/>
        <v>28.407489006532124</v>
      </c>
      <c r="BB159">
        <f t="shared" si="100"/>
        <v>22.350290261719458</v>
      </c>
      <c r="BC159">
        <f t="shared" si="120"/>
        <v>50.757779268251582</v>
      </c>
      <c r="BD159" s="24">
        <f t="shared" si="121"/>
        <v>0.78677458104727771</v>
      </c>
      <c r="BE159" s="24">
        <f t="shared" si="122"/>
        <v>2.1076014248595181</v>
      </c>
      <c r="BF159" s="23">
        <f>IF(AV159=1,BA159*(1+FixedParams!$C$25)+BB159*(1+FixedParams!$C$28)/$AT$12,IF(AW159=1,BA159*(1+FixedParams!$C$23)+BB159*(1+FixedParams!$C$26)/$AT$12,BA159*(1+FixedParams!$C$24)+BB159*(1+FixedParams!$C$27)/$AT$12))</f>
        <v>123.55217918722568</v>
      </c>
      <c r="BG159" s="24">
        <f t="shared" si="123"/>
        <v>19.851095651990121</v>
      </c>
      <c r="BH159" s="24">
        <f>BG159^((FixedParams!$B$47-1)/FixedParams!$B$47)*EXP($C159)</f>
        <v>0.16909543577665695</v>
      </c>
      <c r="BI159" s="7"/>
      <c r="BJ159" s="24">
        <f>EXP(-$D$17)*(($B159*FixedParams!$B$30)^$B$10*(1+FixedParams!$C$24)^(1-$B$10)+(1-$B159)^$B$10*((1+FixedParams!$C$27)/$BK$12)^(1-$B$10))^(1/(1-$B$10))</f>
        <v>6.9418971745153994</v>
      </c>
      <c r="BK159" s="24">
        <f>EXP($D159-$D$17)*(($B159*FixedParams!$C$31)^$B$10*(1+FixedParams!$C$25)^(1-$B$10)+(1-$B159)^$B$10*((1+FixedParams!$C$28)/$BK$12)^(1-$B$10))^(1/(1-$B$10))</f>
        <v>6.8529369697181517</v>
      </c>
      <c r="BL159" s="24">
        <f>EXP($D159-$D$17)*(($B159*FixedParams!$C$30)^$B$10*(1+FixedParams!$C$23)^(1-$B$10)+(1-$B159)^$B$10*((1+FixedParams!$C$26)/$BK$12)^(1-$B$10))^(1/(1-$B$10))</f>
        <v>6.6280800582071899</v>
      </c>
      <c r="BM159">
        <f>IF(FixedParams!$I$6=1,IF(BK159&lt;=MIN(BJ159:BL159),1,0),$H159)</f>
        <v>0</v>
      </c>
      <c r="BN159">
        <f>IF(FixedParams!$I$6=1,IF(BL159&lt;=MIN(BJ159:BL159),1,0),IF(BL159&lt;=BJ159,1,0)*(1-$H159))</f>
        <v>1</v>
      </c>
      <c r="BO159" s="24">
        <f>$BK$13*IF(BM159=1,1,IF(BN159=1,FixedParams!$C$52,FixedParams!$C$53))</f>
        <v>0.33006170822567266</v>
      </c>
      <c r="BP159">
        <f>EXP($C159*FixedParams!$B$47)*EXP(IF(BM159+BN159=1,(1-FixedParams!$B$47)*$D159,0))*($B159^((FixedParams!$B$47-1)*$B$10/($B$10-1)))*((1/$B159-1)^$B$10*(BO159)^($B$10-1)+1)^((FixedParams!$B$47-$B$10)/($B$10-1))/((1+IF(BM159=1,FixedParams!$C$25,IF(BN159=1,FixedParams!$C$23,FixedParams!$C$24)))^FixedParams!$B$47)</f>
        <v>5.7811555827572872E-2</v>
      </c>
      <c r="BQ159">
        <f t="shared" si="124"/>
        <v>1.663108514681779</v>
      </c>
      <c r="BR159">
        <f t="shared" si="125"/>
        <v>42.416183744091839</v>
      </c>
      <c r="BS159">
        <f t="shared" si="101"/>
        <v>21.658707499873149</v>
      </c>
      <c r="BT159">
        <f t="shared" si="126"/>
        <v>64.074891243964984</v>
      </c>
      <c r="BU159" s="24">
        <f t="shared" si="127"/>
        <v>0.51062367209992099</v>
      </c>
      <c r="BV159" s="24">
        <f t="shared" si="128"/>
        <v>2.1051191868742394</v>
      </c>
      <c r="BW159" s="23">
        <f>IF(BM159=1,BR159*(1+FixedParams!$C$25)+BS159*(1+FixedParams!$C$28)/$BK$12,IF(BN159=1,BR159*(1+FixedParams!$C$23)+BS159*(1+FixedParams!$C$26)/$BK$12,BR159*(1+FixedParams!$C$24)+BS159*(1+FixedParams!$C$27)/$BK$12))</f>
        <v>124.85958088325251</v>
      </c>
      <c r="BX159" s="24">
        <f t="shared" si="129"/>
        <v>18.837971144999329</v>
      </c>
      <c r="BY159" s="24">
        <f>BX159^((FixedParams!$B$47-1)/FixedParams!$B$47)*EXP($C159)</f>
        <v>0.16910430287742553</v>
      </c>
      <c r="BZ159" s="24">
        <f t="shared" si="130"/>
        <v>0.11271471596191657</v>
      </c>
      <c r="CA159" s="24">
        <f t="shared" si="131"/>
        <v>-6.5000732721504723E-2</v>
      </c>
      <c r="CB159" s="24">
        <f t="shared" si="132"/>
        <v>-4.7672276802097471E-2</v>
      </c>
      <c r="CC159" s="24"/>
      <c r="CD159" s="24">
        <f>EXP(-$D$17)*(($B159*FixedParams!$B$30)^$B$10*(1+FixedParams!$D$24)^(1-$B$10)+(1-$B159)^$B$10*((1+FixedParams!$D$27)/$CE$12)^(1-$B$10))^(1/(1-$B$10))</f>
        <v>6.413652339117661</v>
      </c>
      <c r="CE159" s="24">
        <f>EXP($D159-$D$17)*(($B159*FixedParams!$D$31)^$B$10*(1+FixedParams!$D$25)^(1-$B$10)+(1-$B159)^$B$10*((1+FixedParams!$D$28)/$CE$12)^(1-$B$10))^(1/(1-$B$10))</f>
        <v>6.6034218987972322</v>
      </c>
      <c r="CF159" s="24">
        <f>EXP($D159-$D$17)*(($B159*FixedParams!$D$30)^$B$10*(1+FixedParams!$D$23)^(1-$B$10)+(1-$B159)^$B$10*((1+FixedParams!$D$26)/$CE$12)^(1-$B$10))^(1/(1-$B$10))</f>
        <v>6.4051978462526655</v>
      </c>
      <c r="CG159">
        <f>IF(FixedParams!$I$6=1,IF(CE159&lt;=MIN(CD159:CF159),1,0),$H159)</f>
        <v>0</v>
      </c>
      <c r="CH159">
        <f>IF(FixedParams!$I$6=1,IF(CF159&lt;=MIN(CD159:CF159),1,0),IF(CF159&lt;=CD159,1,0)*(1-$H159))</f>
        <v>1</v>
      </c>
      <c r="CI159" s="24">
        <f>$CE$13*IF(CG159=1,1,IF(CH159=1,FixedParams!$D$52,FixedParams!$D$53))</f>
        <v>0.32933267593211629</v>
      </c>
      <c r="CJ159">
        <f>EXP($C159*FixedParams!$B$47)*EXP(IF(CG159+CH159=1,(1-FixedParams!$B$47)*$D159,0))*($B159^((FixedParams!$B$47-1)*$B$10/($B$10-1)))*((1/$B159-1)^$B$10*(CI159)^($B$10-1)+1)^((FixedParams!$B$47-$B$10)/($B$10-1))/((1+IF(CG159=1,FixedParams!$D$25,IF(CH159=1,FixedParams!$D$23,FixedParams!$D$24)))^FixedParams!$B$47)</f>
        <v>5.9941794651511365E-2</v>
      </c>
      <c r="CK159">
        <f t="shared" si="133"/>
        <v>1.5782890436842223</v>
      </c>
      <c r="CL159">
        <f t="shared" si="135"/>
        <v>43.119301401624035</v>
      </c>
      <c r="CM159">
        <f t="shared" si="102"/>
        <v>21.944827954835823</v>
      </c>
      <c r="CN159">
        <f t="shared" si="136"/>
        <v>65.064129356459858</v>
      </c>
      <c r="CO159" s="24">
        <f t="shared" si="137"/>
        <v>0.50893282686646912</v>
      </c>
      <c r="CP159" s="24">
        <f t="shared" si="138"/>
        <v>2.0693398138421863</v>
      </c>
      <c r="CQ159" s="23">
        <f>IF(CG159=1,CL159*(1+FixedParams!$D$25)+CM159*(1+FixedParams!$D$28)/$CE$12,IF(CH159=1,CL159*(1+FixedParams!$D$23)+CM159*(1+FixedParams!$D$26)/$CE$12,CL159*(1+FixedParams!$D$24)+CM159*(1+FixedParams!$D$27)/$CE$12))</f>
        <v>122.41427297682949</v>
      </c>
      <c r="CR159" s="24">
        <f t="shared" si="139"/>
        <v>19.111708321148498</v>
      </c>
      <c r="CS159" s="24">
        <f>CR159^((FixedParams!$B$47-1)/FixedParams!$B$47)*EXP($C159)</f>
        <v>0.16910186085733264</v>
      </c>
      <c r="CT159" s="24"/>
    </row>
    <row r="160" spans="1:98" x14ac:dyDescent="0.15">
      <c r="A160">
        <v>0.71499999999999997</v>
      </c>
      <c r="B160">
        <f t="shared" si="103"/>
        <v>0.34324190622896456</v>
      </c>
      <c r="C160">
        <f>(D160-$D$17)*FixedParams!$B$47+$A160*$B$9</f>
        <v>-1.7867958400614139</v>
      </c>
      <c r="D160">
        <f>(A160-$B$6)*FixedParams!$B$46/(FixedParams!$B$45*Sectors!$B$6)</f>
        <v>0.11682055742695373</v>
      </c>
      <c r="E160">
        <f t="shared" si="104"/>
        <v>0.16749599473020121</v>
      </c>
      <c r="F160" s="24">
        <f>EXP(-$D$17)*(($B160*FixedParams!$B$30)^$B$10*(1+FixedParams!$B$23)^(1-$B$10)+(1-$B160)^$B$10*((1+FixedParams!$B$26)/$B$11)^(1-$B$10))^(1/(1-$B$10))</f>
        <v>4.9552241826332404</v>
      </c>
      <c r="G160" s="24">
        <f>EXP($D160-$D$17)*(($B160*FixedParams!$B$31)^$B$10*(1+FixedParams!$B$25)^(1-$B$10)+(1-$B160)^$B$10*((1+FixedParams!$B$28)/$B$11)^(1-$B$10))^(1/(1-$B$10))</f>
        <v>5.3224657334837655</v>
      </c>
      <c r="H160">
        <f t="shared" si="105"/>
        <v>0</v>
      </c>
      <c r="I160" s="24">
        <f>$B$12*IF(H160=1,1,FixedParams!$B$52)</f>
        <v>0.39101505882574561</v>
      </c>
      <c r="J160">
        <f>EXP($C160*FixedParams!$B$47)*EXP(IF(H160=1,(1-FixedParams!$B$47)*$D160,0))*($B160^((FixedParams!$B$47-1)*$B$10/($B$10-1)))*((1/$B160-1)^$B$10*(I160)^($B$10-1)+1)^((FixedParams!$B$47-$B$10)/($B$10-1))/((1+IF(H160=1,FixedParams!$B$25,FixedParams!$B$24))^FixedParams!$B$47)</f>
        <v>5.878613753195451E-2</v>
      </c>
      <c r="K160">
        <f t="shared" si="134"/>
        <v>1.1852803429334369</v>
      </c>
      <c r="L160">
        <f>K160*FixedParams!$B$8/K$15</f>
        <v>34.459808795421459</v>
      </c>
      <c r="M160">
        <f t="shared" si="94"/>
        <v>22.300303877716402</v>
      </c>
      <c r="N160">
        <f t="shared" si="106"/>
        <v>56.760112673137861</v>
      </c>
      <c r="O160" s="24">
        <f t="shared" si="107"/>
        <v>0.64713951287737137</v>
      </c>
      <c r="P160" s="24">
        <f t="shared" si="95"/>
        <v>1.9375672752670936</v>
      </c>
      <c r="Q160" s="23">
        <f>IF(H160=1,L160*(1+FixedParams!$B$25)+M160*FixedParams!$B$33*(1+FixedParams!$B$28)/FixedParams!$B$32,L160*(1+FixedParams!$B$23)+M160*FixedParams!$B$33*(1+FixedParams!$B$26)/FixedParams!$B$32)</f>
        <v>98.490747828920945</v>
      </c>
      <c r="R160" s="24">
        <f t="shared" si="96"/>
        <v>19.876143681673405</v>
      </c>
      <c r="S160" s="24">
        <f>R160^((FixedParams!$B$47-1)/FixedParams!$B$47)*EXP($C160)</f>
        <v>0.16699551006306115</v>
      </c>
      <c r="T160" s="7">
        <f>(L160*FixedParams!$B$32*(FixedParams!$C$25-FixedParams!$C$23)+FixedParams!$B$33*(FixedParams!$C$28-FixedParams!$C$26)*M160)/N160</f>
        <v>2429.797298915214</v>
      </c>
      <c r="U160" s="7">
        <f>(L160*FixedParams!$B$32*(FixedParams!$C$25-FixedParams!$C$23)*$Z$12/$B$11+FixedParams!$B$33*(FixedParams!$C$28-FixedParams!$C$26)*M160)/N160</f>
        <v>1820.0532686844144</v>
      </c>
      <c r="V160" s="14">
        <f t="shared" si="97"/>
        <v>-0.50381582880468434</v>
      </c>
      <c r="W160" s="14">
        <f t="shared" si="108"/>
        <v>0.87517217113408319</v>
      </c>
      <c r="X160" s="73">
        <f t="shared" si="109"/>
        <v>0.90949862670207093</v>
      </c>
      <c r="Y160" s="24">
        <f>EXP(-$D$17)*(($B160*FixedParams!$B$30)^$B$10*(1+FixedParams!$C$24)^(1-$B$10)+(1-$B160)^$B$10*((1+FixedParams!$C$27)/$Z$12)^(1-$B$10))^(1/(1-$B$10))</f>
        <v>6.7171277927553703</v>
      </c>
      <c r="Z160" s="24">
        <f>EXP($D160-$D$17)*(($B160*FixedParams!$C$31)^$B$10*(1+FixedParams!$C$25)^(1-$B$10)+(1-$B160)^$B$10*((1+FixedParams!$C$28)/$Z$12)^(1-$B$10))^(1/(1-$B$10))</f>
        <v>6.650326346498896</v>
      </c>
      <c r="AA160" s="24">
        <f>EXP($D160-$D$17)*(($B160*FixedParams!$C$30)^$B$10*(1+FixedParams!$C$23)^(1-$B$10)+(1-$B160)^$B$10*((1+FixedParams!$C$26)/$Z$12)^(1-$B$10))^(1/(1-$B$10))</f>
        <v>6.4347252111492876</v>
      </c>
      <c r="AB160">
        <f>IF(FixedParams!$I$6=1,IF(Z160&lt;=MIN(Y160:AA160),1,0),$H160)</f>
        <v>0</v>
      </c>
      <c r="AC160">
        <f>IF(FixedParams!$I$6=1,IF(AA160&lt;=MIN(Y160:AA160),1,0),IF(AA160&lt;=Y160,1,0)*(1-$H160))</f>
        <v>1</v>
      </c>
      <c r="AD160" s="24">
        <f>$Z$13*IF(AB160=1,1,IF(AC160=1,FixedParams!$C$52,FixedParams!$C$53))</f>
        <v>0.34709202255780691</v>
      </c>
      <c r="AE160">
        <f>EXP($C160*FixedParams!$B$47)*EXP(IF(AB160+AC160=1,(1-FixedParams!$B$47)*$D160,0))*($B160^((FixedParams!$B$47-1)*$B$10/($B$10-1)))*((1/$B160-1)^$B$10*(AD160)^($B$10-1)+1)^((FixedParams!$B$47-$B$10)/($B$10-1))/((1+IF(AB160=1,FixedParams!$C$25,IF(AC160=1,FixedParams!$C$23,FixedParams!$C$24)))^FixedParams!$B$47)</f>
        <v>5.6819530127566936E-2</v>
      </c>
      <c r="AF160">
        <f t="shared" si="110"/>
        <v>1.6743113815495354</v>
      </c>
      <c r="AG160">
        <f t="shared" si="111"/>
        <v>39.327003239908393</v>
      </c>
      <c r="AH160">
        <f t="shared" si="98"/>
        <v>21.284600092616358</v>
      </c>
      <c r="AI160">
        <f t="shared" si="112"/>
        <v>60.611603332524751</v>
      </c>
      <c r="AJ160" s="24">
        <f t="shared" si="113"/>
        <v>0.54122100183359756</v>
      </c>
      <c r="AK160" s="24">
        <f t="shared" si="114"/>
        <v>2.1491584649754274</v>
      </c>
      <c r="AL160" s="23">
        <f>IF(AB160=1,AG160*(1+FixedParams!$C$25)+AH160*(1+FixedParams!$C$28)/$Z$12,IF(AC160=1,AG160*(1+FixedParams!$C$23)+AH160*(1+FixedParams!$C$26)/$Z$12,AG160*(1+FixedParams!$C$24)+AH160*(1+FixedParams!$C$27)/$Z$12))</f>
        <v>116.32262138966172</v>
      </c>
      <c r="AM160" s="24">
        <f t="shared" si="115"/>
        <v>18.077325382615005</v>
      </c>
      <c r="AN160" s="24">
        <f>AM160^((FixedParams!$B$47-1)/FixedParams!$B$47)*EXP($C160)</f>
        <v>0.16701136816648582</v>
      </c>
      <c r="AO160" s="24">
        <f t="shared" si="116"/>
        <v>6.5652511510688405E-2</v>
      </c>
      <c r="AP160" s="24">
        <f t="shared" si="117"/>
        <v>-9.486179097334535E-2</v>
      </c>
      <c r="AQ160" s="14">
        <f t="shared" si="118"/>
        <v>-0.44423776211242466</v>
      </c>
      <c r="AS160" s="24">
        <f>EXP(-$D$17)*(($B160*FixedParams!$B$30)^$B$10*(1+FixedParams!$D$24)^(1-$B$10)+(1-$B160)^$B$10*((1+FixedParams!$D$27)/$AT$12)^(1-$B$10))^(1/(1-$B$10))</f>
        <v>6.2198917988637907</v>
      </c>
      <c r="AT160" s="24">
        <f>EXP($D160-$D$17)*(($B160*FixedParams!$C$31)^$B$10*(1+FixedParams!$D$25)^(1-$B$10)+(1-$B160)^$B$10*((1+FixedParams!$D$28)/$AT$12)^(1-$B$10))^(1/(1-$B$10))</f>
        <v>6.4219943018994909</v>
      </c>
      <c r="AU160" s="24">
        <f>EXP($D160-$D$17)*(($B160*FixedParams!$C$30)^$B$10*(1+FixedParams!$D$23)^(1-$B$10)+(1-$B160)^$B$10*((1+FixedParams!$D$26)/$AT$12)^(1-$B$10))^(1/(1-$B$10))</f>
        <v>6.2308155674820069</v>
      </c>
      <c r="AV160">
        <f>IF(FixedParams!$I$6=1,IF(AT160&lt;=MIN(AS160:AU160),1,0),$H160)</f>
        <v>0</v>
      </c>
      <c r="AW160">
        <f>IF(FixedParams!$I$6=1,IF(AU160&lt;=MIN(AS160:AU160),1,0),IF(AU160&lt;=AS160,1,0)*(1-$H160))</f>
        <v>0</v>
      </c>
      <c r="AX160" s="24">
        <f>$AT$13*IF(AV160=1,1,IF(AW160=1,FixedParams!$D$52,FixedParams!$D$53))</f>
        <v>0.44031288407969205</v>
      </c>
      <c r="AY160">
        <f>EXP($C160*FixedParams!$B$47)*EXP(IF(AV160+AW160=1,(1-FixedParams!$B$47)*$D160,0))*($B160^((FixedParams!$B$47-1)*$B$10/($B$10-1)))*((1/$B160-1)^$B$10*(AX160)^($B$10-1)+1)^((FixedParams!$B$47-$B$10)/($B$10-1))/((1+IF(AV160=1,FixedParams!$D$25,IF(AW160=1,FixedParams!$D$23,FixedParams!$D$24)))^FixedParams!$B$47)</f>
        <v>4.1869713826034299E-2</v>
      </c>
      <c r="AZ160">
        <f t="shared" si="99"/>
        <v>1.1274501058464692</v>
      </c>
      <c r="BA160">
        <f t="shared" si="119"/>
        <v>28.366493874671686</v>
      </c>
      <c r="BB160">
        <f t="shared" si="100"/>
        <v>21.935899262672578</v>
      </c>
      <c r="BC160">
        <f t="shared" si="120"/>
        <v>50.302393137344268</v>
      </c>
      <c r="BD160" s="24">
        <f t="shared" si="121"/>
        <v>0.77330315687195461</v>
      </c>
      <c r="BE160" s="24">
        <f t="shared" si="122"/>
        <v>2.1062280172165311</v>
      </c>
      <c r="BF160" s="23">
        <f>IF(AV160=1,BA160*(1+FixedParams!$C$25)+BB160*(1+FixedParams!$C$28)/$AT$12,IF(AW160=1,BA160*(1+FixedParams!$C$23)+BB160*(1+FixedParams!$C$26)/$AT$12,BA160*(1+FixedParams!$C$24)+BB160*(1+FixedParams!$C$27)/$AT$12))</f>
        <v>122.06718604449235</v>
      </c>
      <c r="BG160" s="24">
        <f t="shared" si="123"/>
        <v>19.625290920139605</v>
      </c>
      <c r="BH160" s="24">
        <f>BG160^((FixedParams!$B$47-1)/FixedParams!$B$47)*EXP($C160)</f>
        <v>0.16699763322890512</v>
      </c>
      <c r="BI160" s="7"/>
      <c r="BJ160" s="24">
        <f>EXP(-$D$17)*(($B160*FixedParams!$B$30)^$B$10*(1+FixedParams!$C$24)^(1-$B$10)+(1-$B160)^$B$10*((1+FixedParams!$C$27)/$BK$12)^(1-$B$10))^(1/(1-$B$10))</f>
        <v>6.9382803785406137</v>
      </c>
      <c r="BK160" s="24">
        <f>EXP($D160-$D$17)*(($B160*FixedParams!$C$31)^$B$10*(1+FixedParams!$C$25)^(1-$B$10)+(1-$B160)^$B$10*((1+FixedParams!$C$28)/$BK$12)^(1-$B$10))^(1/(1-$B$10))</f>
        <v>6.8651878537910154</v>
      </c>
      <c r="BL160" s="24">
        <f>EXP($D160-$D$17)*(($B160*FixedParams!$C$30)^$B$10*(1+FixedParams!$C$23)^(1-$B$10)+(1-$B160)^$B$10*((1+FixedParams!$C$26)/$BK$12)^(1-$B$10))^(1/(1-$B$10))</f>
        <v>6.6340183246562798</v>
      </c>
      <c r="BM160">
        <f>IF(FixedParams!$I$6=1,IF(BK160&lt;=MIN(BJ160:BL160),1,0),$H160)</f>
        <v>0</v>
      </c>
      <c r="BN160">
        <f>IF(FixedParams!$I$6=1,IF(BL160&lt;=MIN(BJ160:BL160),1,0),IF(BL160&lt;=BJ160,1,0)*(1-$H160))</f>
        <v>1</v>
      </c>
      <c r="BO160" s="24">
        <f>$BK$13*IF(BM160=1,1,IF(BN160=1,FixedParams!$C$52,FixedParams!$C$53))</f>
        <v>0.33006170822567266</v>
      </c>
      <c r="BP160">
        <f>EXP($C160*FixedParams!$B$47)*EXP(IF(BM160+BN160=1,(1-FixedParams!$B$47)*$D160,0))*($B160^((FixedParams!$B$47-1)*$B$10/($B$10-1)))*((1/$B160-1)^$B$10*(BO160)^($B$10-1)+1)^((FixedParams!$B$47-$B$10)/($B$10-1))/((1+IF(BM160=1,FixedParams!$C$25,IF(BN160=1,FixedParams!$C$23,FixedParams!$C$24)))^FixedParams!$B$47)</f>
        <v>5.7694473607297382E-2</v>
      </c>
      <c r="BQ160">
        <f t="shared" si="124"/>
        <v>1.6597403223771336</v>
      </c>
      <c r="BR160">
        <f t="shared" si="125"/>
        <v>42.330280832515079</v>
      </c>
      <c r="BS160">
        <f t="shared" si="101"/>
        <v>21.244746678240656</v>
      </c>
      <c r="BT160">
        <f t="shared" si="126"/>
        <v>63.575027510755731</v>
      </c>
      <c r="BU160" s="24">
        <f t="shared" si="127"/>
        <v>0.50188059848452427</v>
      </c>
      <c r="BV160" s="24">
        <f t="shared" si="128"/>
        <v>2.1070052169959292</v>
      </c>
      <c r="BW160" s="23">
        <f>IF(BM160=1,BR160*(1+FixedParams!$C$25)+BS160*(1+FixedParams!$C$28)/$BK$12,IF(BN160=1,BR160*(1+FixedParams!$C$23)+BS160*(1+FixedParams!$C$26)/$BK$12,BR160*(1+FixedParams!$C$24)+BS160*(1+FixedParams!$C$27)/$BK$12))</f>
        <v>123.31080865085183</v>
      </c>
      <c r="BX160" s="24">
        <f t="shared" si="129"/>
        <v>18.587649689261411</v>
      </c>
      <c r="BY160" s="24">
        <f>BX160^((FixedParams!$B$47-1)/FixedParams!$B$47)*EXP($C160)</f>
        <v>0.16700671415557222</v>
      </c>
      <c r="BZ160" s="24">
        <f t="shared" si="130"/>
        <v>0.11338690666742009</v>
      </c>
      <c r="CA160" s="24">
        <f t="shared" si="131"/>
        <v>-6.7022837641102548E-2</v>
      </c>
      <c r="CB160" s="24">
        <f t="shared" si="132"/>
        <v>-4.9694381721695297E-2</v>
      </c>
      <c r="CC160" s="24"/>
      <c r="CD160" s="24">
        <f>EXP(-$D$17)*(($B160*FixedParams!$B$30)^$B$10*(1+FixedParams!$D$24)^(1-$B$10)+(1-$B160)^$B$10*((1+FixedParams!$D$27)/$CE$12)^(1-$B$10))^(1/(1-$B$10))</f>
        <v>6.4082685882275046</v>
      </c>
      <c r="CE160" s="24">
        <f>EXP($D160-$D$17)*(($B160*FixedParams!$D$31)^$B$10*(1+FixedParams!$D$25)^(1-$B$10)+(1-$B160)^$B$10*((1+FixedParams!$D$28)/$CE$12)^(1-$B$10))^(1/(1-$B$10))</f>
        <v>6.6139858682040806</v>
      </c>
      <c r="CF160" s="24">
        <f>EXP($D160-$D$17)*(($B160*FixedParams!$D$30)^$B$10*(1+FixedParams!$D$23)^(1-$B$10)+(1-$B160)^$B$10*((1+FixedParams!$D$26)/$CE$12)^(1-$B$10))^(1/(1-$B$10))</f>
        <v>6.4108779297337932</v>
      </c>
      <c r="CG160">
        <f>IF(FixedParams!$I$6=1,IF(CE160&lt;=MIN(CD160:CF160),1,0),$H160)</f>
        <v>0</v>
      </c>
      <c r="CH160">
        <f>IF(FixedParams!$I$6=1,IF(CF160&lt;=MIN(CD160:CF160),1,0),IF(CF160&lt;=CD160,1,0)*(1-$H160))</f>
        <v>0</v>
      </c>
      <c r="CI160" s="24">
        <f>$CE$13*IF(CG160=1,1,IF(CH160=1,FixedParams!$D$52,FixedParams!$D$53))</f>
        <v>0.42008589776177102</v>
      </c>
      <c r="CJ160">
        <f>EXP($C160*FixedParams!$B$47)*EXP(IF(CG160+CH160=1,(1-FixedParams!$B$47)*$D160,0))*($B160^((FixedParams!$B$47-1)*$B$10/($B$10-1)))*((1/$B160-1)^$B$10*(CI160)^($B$10-1)+1)^((FixedParams!$B$47-$B$10)/($B$10-1))/((1+IF(CG160=1,FixedParams!$D$25,IF(CH160=1,FixedParams!$D$23,FixedParams!$D$24)))^FixedParams!$B$47)</f>
        <v>4.2500289515734882E-2</v>
      </c>
      <c r="CK160">
        <f t="shared" si="133"/>
        <v>1.119047931181695</v>
      </c>
      <c r="CL160">
        <f t="shared" si="135"/>
        <v>30.572704803709904</v>
      </c>
      <c r="CM160">
        <f t="shared" si="102"/>
        <v>22.031735522520727</v>
      </c>
      <c r="CN160">
        <f t="shared" si="136"/>
        <v>52.60444032623063</v>
      </c>
      <c r="CO160" s="24">
        <f t="shared" si="137"/>
        <v>0.72063416253073043</v>
      </c>
      <c r="CP160" s="24">
        <f t="shared" si="138"/>
        <v>2.0703318844665604</v>
      </c>
      <c r="CQ160" s="23">
        <f>IF(CG160=1,CL160*(1+FixedParams!$D$25)+CM160*(1+FixedParams!$D$28)/$CE$12,IF(CH160=1,CL160*(1+FixedParams!$D$23)+CM160*(1+FixedParams!$D$26)/$CE$12,CL160*(1+FixedParams!$D$24)+CM160*(1+FixedParams!$D$27)/$CE$12))</f>
        <v>120.89578229781665</v>
      </c>
      <c r="CR160" s="24">
        <f t="shared" si="139"/>
        <v>18.865592263082071</v>
      </c>
      <c r="CS160" s="24">
        <f>CR160^((FixedParams!$B$47-1)/FixedParams!$B$47)*EXP($C160)</f>
        <v>0.16700423291517114</v>
      </c>
      <c r="CT160" s="24"/>
    </row>
    <row r="161" spans="1:98" x14ac:dyDescent="0.15">
      <c r="A161">
        <v>0.72</v>
      </c>
      <c r="B161">
        <f t="shared" si="103"/>
        <v>0.3458420795031093</v>
      </c>
      <c r="C161">
        <f>(D161-$D$17)*FixedParams!$B$47+$A161*$B$9</f>
        <v>-1.7992909158660395</v>
      </c>
      <c r="D161">
        <f>(A161-$B$6)*FixedParams!$B$46/(FixedParams!$B$45*Sectors!$B$6)</f>
        <v>0.11953731457641777</v>
      </c>
      <c r="E161">
        <f t="shared" si="104"/>
        <v>0.16541614060657583</v>
      </c>
      <c r="F161" s="24">
        <f>EXP(-$D$17)*(($B161*FixedParams!$B$30)^$B$10*(1+FixedParams!$B$23)^(1-$B$10)+(1-$B161)^$B$10*((1+FixedParams!$B$26)/$B$11)^(1-$B$10))^(1/(1-$B$10))</f>
        <v>4.9493853606901652</v>
      </c>
      <c r="G161" s="24">
        <f>EXP($D161-$D$17)*(($B161*FixedParams!$B$31)^$B$10*(1+FixedParams!$B$25)^(1-$B$10)+(1-$B161)^$B$10*((1+FixedParams!$B$28)/$B$11)^(1-$B$10))^(1/(1-$B$10))</f>
        <v>5.3297249411562859</v>
      </c>
      <c r="H161">
        <f t="shared" si="105"/>
        <v>0</v>
      </c>
      <c r="I161" s="24">
        <f>$B$12*IF(H161=1,1,FixedParams!$B$52)</f>
        <v>0.39101505882574561</v>
      </c>
      <c r="J161">
        <f>EXP($C161*FixedParams!$B$47)*EXP(IF(H161=1,(1-FixedParams!$B$47)*$D161,0))*($B161^((FixedParams!$B$47-1)*$B$10/($B$10-1)))*((1/$B161-1)^$B$10*(I161)^($B$10-1)+1)^((FixedParams!$B$47-$B$10)/($B$10-1))/((1+IF(H161=1,FixedParams!$B$25,FixedParams!$B$24))^FixedParams!$B$47)</f>
        <v>5.8683170876371607E-2</v>
      </c>
      <c r="K161">
        <f t="shared" si="134"/>
        <v>1.1832042692540992</v>
      </c>
      <c r="L161">
        <f>K161*FixedParams!$B$8/K$15</f>
        <v>34.39945083668055</v>
      </c>
      <c r="M161">
        <f t="shared" si="94"/>
        <v>21.880079206600911</v>
      </c>
      <c r="N161">
        <f t="shared" si="106"/>
        <v>56.279530043281461</v>
      </c>
      <c r="O161" s="24">
        <f t="shared" si="107"/>
        <v>0.63605896822253682</v>
      </c>
      <c r="P161" s="24">
        <f t="shared" si="95"/>
        <v>1.9352842079615491</v>
      </c>
      <c r="Q161" s="23">
        <f>IF(H161=1,L161*(1+FixedParams!$B$25)+M161*FixedParams!$B$33*(1+FixedParams!$B$28)/FixedParams!$B$32,L161*(1+FixedParams!$B$23)+M161*FixedParams!$B$33*(1+FixedParams!$B$26)/FixedParams!$B$32)</f>
        <v>97.268855768565061</v>
      </c>
      <c r="R161" s="24">
        <f t="shared" si="96"/>
        <v>19.65271416146134</v>
      </c>
      <c r="S161" s="24">
        <f>R161^((FixedParams!$B$47-1)/FixedParams!$B$47)*EXP($C161)</f>
        <v>0.16492373690305265</v>
      </c>
      <c r="T161" s="7">
        <f>(L161*FixedParams!$B$32*(FixedParams!$C$25-FixedParams!$C$23)+FixedParams!$B$33*(FixedParams!$C$28-FixedParams!$C$26)*M161)/N161</f>
        <v>2476.4453921646268</v>
      </c>
      <c r="U161" s="7">
        <f>(L161*FixedParams!$B$32*(FixedParams!$C$25-FixedParams!$C$23)*$Z$12/$B$11+FixedParams!$B$33*(FixedParams!$C$28-FixedParams!$C$26)*M161)/N161</f>
        <v>1862.5717455286606</v>
      </c>
      <c r="V161" s="14">
        <f t="shared" si="97"/>
        <v>-0.48654520350860075</v>
      </c>
      <c r="W161" s="14">
        <f t="shared" si="108"/>
        <v>0.87793256231108818</v>
      </c>
      <c r="X161" s="73">
        <f t="shared" si="109"/>
        <v>0.90747545639531135</v>
      </c>
      <c r="Y161" s="24">
        <f>EXP(-$D$17)*(($B161*FixedParams!$B$30)^$B$10*(1+FixedParams!$C$24)^(1-$B$10)+(1-$B161)^$B$10*((1+FixedParams!$C$27)/$Z$12)^(1-$B$10))^(1/(1-$B$10))</f>
        <v>6.7146493213706062</v>
      </c>
      <c r="Z161" s="24">
        <f>EXP($D161-$D$17)*(($B161*FixedParams!$C$31)^$B$10*(1+FixedParams!$C$25)^(1-$B$10)+(1-$B161)^$B$10*((1+FixedParams!$C$28)/$Z$12)^(1-$B$10))^(1/(1-$B$10))</f>
        <v>6.6632343533270726</v>
      </c>
      <c r="AA161" s="24">
        <f>EXP($D161-$D$17)*(($B161*FixedParams!$C$30)^$B$10*(1+FixedParams!$C$23)^(1-$B$10)+(1-$B161)^$B$10*((1+FixedParams!$C$26)/$Z$12)^(1-$B$10))^(1/(1-$B$10))</f>
        <v>6.4414864162964172</v>
      </c>
      <c r="AB161">
        <f>IF(FixedParams!$I$6=1,IF(Z161&lt;=MIN(Y161:AA161),1,0),$H161)</f>
        <v>0</v>
      </c>
      <c r="AC161">
        <f>IF(FixedParams!$I$6=1,IF(AA161&lt;=MIN(Y161:AA161),1,0),IF(AA161&lt;=Y161,1,0)*(1-$H161))</f>
        <v>1</v>
      </c>
      <c r="AD161" s="24">
        <f>$Z$13*IF(AB161=1,1,IF(AC161=1,FixedParams!$C$52,FixedParams!$C$53))</f>
        <v>0.34709202255780691</v>
      </c>
      <c r="AE161">
        <f>EXP($C161*FixedParams!$B$47)*EXP(IF(AB161+AC161=1,(1-FixedParams!$B$47)*$D161,0))*($B161^((FixedParams!$B$47-1)*$B$10/($B$10-1)))*((1/$B161-1)^$B$10*(AD161)^($B$10-1)+1)^((FixedParams!$B$47-$B$10)/($B$10-1))/((1+IF(AB161=1,FixedParams!$C$25,IF(AC161=1,FixedParams!$C$23,FixedParams!$C$24)))^FixedParams!$B$47)</f>
        <v>5.6706308955453491E-2</v>
      </c>
      <c r="AF161">
        <f t="shared" si="110"/>
        <v>1.6709750727719668</v>
      </c>
      <c r="AG161">
        <f t="shared" si="111"/>
        <v>39.248638470039033</v>
      </c>
      <c r="AH161">
        <f t="shared" si="98"/>
        <v>20.878471415811212</v>
      </c>
      <c r="AI161">
        <f t="shared" si="112"/>
        <v>60.127109885850246</v>
      </c>
      <c r="AJ161" s="24">
        <f t="shared" si="113"/>
        <v>0.53195403024614651</v>
      </c>
      <c r="AK161" s="24">
        <f t="shared" si="114"/>
        <v>2.1514166657219351</v>
      </c>
      <c r="AL161" s="23">
        <f>IF(AB161=1,AG161*(1+FixedParams!$C$25)+AH161*(1+FixedParams!$C$28)/$Z$12,IF(AC161=1,AG161*(1+FixedParams!$C$23)+AH161*(1+FixedParams!$C$26)/$Z$12,AG161*(1+FixedParams!$C$24)+AH161*(1+FixedParams!$C$27)/$Z$12))</f>
        <v>114.87976032685449</v>
      </c>
      <c r="AM161" s="24">
        <f t="shared" si="115"/>
        <v>17.834355753078729</v>
      </c>
      <c r="AN161" s="24">
        <f>AM161^((FixedParams!$B$47-1)/FixedParams!$B$47)*EXP($C161)</f>
        <v>0.1649397659510719</v>
      </c>
      <c r="AO161" s="24">
        <f t="shared" si="116"/>
        <v>6.6129937588053064E-2</v>
      </c>
      <c r="AP161" s="24">
        <f t="shared" si="117"/>
        <v>-9.7088758503284522E-2</v>
      </c>
      <c r="AQ161" s="14">
        <f t="shared" si="118"/>
        <v>-0.42696713681634108</v>
      </c>
      <c r="AS161" s="24">
        <f>EXP(-$D$17)*(($B161*FixedParams!$B$30)^$B$10*(1+FixedParams!$D$24)^(1-$B$10)+(1-$B161)^$B$10*((1+FixedParams!$D$27)/$AT$12)^(1-$B$10))^(1/(1-$B$10))</f>
        <v>6.215538690614606</v>
      </c>
      <c r="AT161" s="24">
        <f>EXP($D161-$D$17)*(($B161*FixedParams!$C$31)^$B$10*(1+FixedParams!$D$25)^(1-$B$10)+(1-$B161)^$B$10*((1+FixedParams!$D$28)/$AT$12)^(1-$B$10))^(1/(1-$B$10))</f>
        <v>6.433169331413402</v>
      </c>
      <c r="AU161" s="24">
        <f>EXP($D161-$D$17)*(($B161*FixedParams!$C$30)^$B$10*(1+FixedParams!$D$23)^(1-$B$10)+(1-$B161)^$B$10*((1+FixedParams!$D$26)/$AT$12)^(1-$B$10))^(1/(1-$B$10))</f>
        <v>6.2372212930305135</v>
      </c>
      <c r="AV161">
        <f>IF(FixedParams!$I$6=1,IF(AT161&lt;=MIN(AS161:AU161),1,0),$H161)</f>
        <v>0</v>
      </c>
      <c r="AW161">
        <f>IF(FixedParams!$I$6=1,IF(AU161&lt;=MIN(AS161:AU161),1,0),IF(AU161&lt;=AS161,1,0)*(1-$H161))</f>
        <v>0</v>
      </c>
      <c r="AX161" s="24">
        <f>$AT$13*IF(AV161=1,1,IF(AW161=1,FixedParams!$D$52,FixedParams!$D$53))</f>
        <v>0.44031288407969205</v>
      </c>
      <c r="AY161">
        <f>EXP($C161*FixedParams!$B$47)*EXP(IF(AV161+AW161=1,(1-FixedParams!$B$47)*$D161,0))*($B161^((FixedParams!$B$47-1)*$B$10/($B$10-1)))*((1/$B161-1)^$B$10*(AX161)^($B$10-1)+1)^((FixedParams!$B$47-$B$10)/($B$10-1))/((1+IF(AV161=1,FixedParams!$D$25,IF(AW161=1,FixedParams!$D$23,FixedParams!$D$24)))^FixedParams!$B$47)</f>
        <v>4.1806406379905542E-2</v>
      </c>
      <c r="AZ161">
        <f t="shared" si="99"/>
        <v>1.1257453894699661</v>
      </c>
      <c r="BA161">
        <f t="shared" si="119"/>
        <v>28.323603438632549</v>
      </c>
      <c r="BB161">
        <f t="shared" si="100"/>
        <v>21.527705865757028</v>
      </c>
      <c r="BC161">
        <f t="shared" si="120"/>
        <v>49.851309304389574</v>
      </c>
      <c r="BD161" s="24">
        <f t="shared" si="121"/>
        <v>0.76006239504094597</v>
      </c>
      <c r="BE161" s="24">
        <f t="shared" si="122"/>
        <v>2.1047539339281234</v>
      </c>
      <c r="BF161" s="23">
        <f>IF(AV161=1,BA161*(1+FixedParams!$C$25)+BB161*(1+FixedParams!$C$28)/$AT$12,IF(AW161=1,BA161*(1+FixedParams!$C$23)+BB161*(1+FixedParams!$C$26)/$AT$12,BA161*(1+FixedParams!$C$24)+BB161*(1+FixedParams!$C$27)/$AT$12))</f>
        <v>120.60024098817826</v>
      </c>
      <c r="BG161" s="24">
        <f t="shared" si="123"/>
        <v>19.403023131411484</v>
      </c>
      <c r="BH161" s="24">
        <f>BG161^((FixedParams!$B$47-1)/FixedParams!$B$47)*EXP($C161)</f>
        <v>0.16492584783615677</v>
      </c>
      <c r="BI161" s="7"/>
      <c r="BJ161" s="24">
        <f>EXP(-$D$17)*(($B161*FixedParams!$B$30)^$B$10*(1+FixedParams!$C$24)^(1-$B$10)+(1-$B161)^$B$10*((1+FixedParams!$C$27)/$BK$12)^(1-$B$10))^(1/(1-$B$10))</f>
        <v>6.934335196880113</v>
      </c>
      <c r="BK161" s="24">
        <f>EXP($D161-$D$17)*(($B161*FixedParams!$C$31)^$B$10*(1+FixedParams!$C$25)^(1-$B$10)+(1-$B161)^$B$10*((1+FixedParams!$C$28)/$BK$12)^(1-$B$10))^(1/(1-$B$10))</f>
        <v>6.8771199257698461</v>
      </c>
      <c r="BL161" s="24">
        <f>EXP($D161-$D$17)*(($B161*FixedParams!$C$30)^$B$10*(1+FixedParams!$C$23)^(1-$B$10)+(1-$B161)^$B$10*((1+FixedParams!$C$26)/$BK$12)^(1-$B$10))^(1/(1-$B$10))</f>
        <v>6.6396091880987029</v>
      </c>
      <c r="BM161">
        <f>IF(FixedParams!$I$6=1,IF(BK161&lt;=MIN(BJ161:BL161),1,0),$H161)</f>
        <v>0</v>
      </c>
      <c r="BN161">
        <f>IF(FixedParams!$I$6=1,IF(BL161&lt;=MIN(BJ161:BL161),1,0),IF(BL161&lt;=BJ161,1,0)*(1-$H161))</f>
        <v>1</v>
      </c>
      <c r="BO161" s="24">
        <f>$BK$13*IF(BM161=1,1,IF(BN161=1,FixedParams!$C$52,FixedParams!$C$53))</f>
        <v>0.33006170822567266</v>
      </c>
      <c r="BP161">
        <f>EXP($C161*FixedParams!$B$47)*EXP(IF(BM161+BN161=1,(1-FixedParams!$B$47)*$D161,0))*($B161^((FixedParams!$B$47-1)*$B$10/($B$10-1)))*((1/$B161-1)^$B$10*(BO161)^($B$10-1)+1)^((FixedParams!$B$47-$B$10)/($B$10-1))/((1+IF(BM161=1,FixedParams!$C$25,IF(BN161=1,FixedParams!$C$23,FixedParams!$C$24)))^FixedParams!$B$47)</f>
        <v>5.7573515287189285E-2</v>
      </c>
      <c r="BQ161">
        <f t="shared" si="124"/>
        <v>1.6562606233928445</v>
      </c>
      <c r="BR161">
        <f t="shared" si="125"/>
        <v>42.241534036867783</v>
      </c>
      <c r="BS161">
        <f t="shared" si="101"/>
        <v>20.837209179714289</v>
      </c>
      <c r="BT161">
        <f t="shared" si="126"/>
        <v>63.078743216582069</v>
      </c>
      <c r="BU161" s="24">
        <f t="shared" si="127"/>
        <v>0.49328722677372189</v>
      </c>
      <c r="BV161" s="24">
        <f t="shared" si="128"/>
        <v>2.108780909775811</v>
      </c>
      <c r="BW161" s="23">
        <f>IF(BM161=1,BR161*(1+FixedParams!$C$25)+BS161*(1+FixedParams!$C$28)/$BK$12,IF(BN161=1,BR161*(1+FixedParams!$C$23)+BS161*(1+FixedParams!$C$26)/$BK$12,BR161*(1+FixedParams!$C$24)+BS161*(1+FixedParams!$C$27)/$BK$12))</f>
        <v>121.78124109342228</v>
      </c>
      <c r="BX161" s="24">
        <f t="shared" si="129"/>
        <v>18.341627894562148</v>
      </c>
      <c r="BY161" s="24">
        <f>BX161^((FixedParams!$B$47-1)/FixedParams!$B$47)*EXP($C161)</f>
        <v>0.16493513539747195</v>
      </c>
      <c r="BZ161" s="24">
        <f t="shared" si="130"/>
        <v>0.11405295637435452</v>
      </c>
      <c r="CA161" s="24">
        <f t="shared" si="131"/>
        <v>-6.9042229181090348E-2</v>
      </c>
      <c r="CB161" s="24">
        <f t="shared" si="132"/>
        <v>-5.1713773261683096E-2</v>
      </c>
      <c r="CC161" s="24"/>
      <c r="CD161" s="24">
        <f>EXP(-$D$17)*(($B161*FixedParams!$B$30)^$B$10*(1+FixedParams!$D$24)^(1-$B$10)+(1-$B161)^$B$10*((1+FixedParams!$D$27)/$CE$12)^(1-$B$10))^(1/(1-$B$10))</f>
        <v>6.4025747817693714</v>
      </c>
      <c r="CE161" s="24">
        <f>EXP($D161-$D$17)*(($B161*FixedParams!$D$31)^$B$10*(1+FixedParams!$D$25)^(1-$B$10)+(1-$B161)^$B$10*((1+FixedParams!$D$28)/$CE$12)^(1-$B$10))^(1/(1-$B$10))</f>
        <v>6.6242331169892985</v>
      </c>
      <c r="CF161" s="24">
        <f>EXP($D161-$D$17)*(($B161*FixedParams!$D$30)^$B$10*(1+FixedParams!$D$23)^(1-$B$10)+(1-$B161)^$B$10*((1+FixedParams!$D$26)/$CE$12)^(1-$B$10))^(1/(1-$B$10))</f>
        <v>6.4162219853302371</v>
      </c>
      <c r="CG161">
        <f>IF(FixedParams!$I$6=1,IF(CE161&lt;=MIN(CD161:CF161),1,0),$H161)</f>
        <v>0</v>
      </c>
      <c r="CH161">
        <f>IF(FixedParams!$I$6=1,IF(CF161&lt;=MIN(CD161:CF161),1,0),IF(CF161&lt;=CD161,1,0)*(1-$H161))</f>
        <v>0</v>
      </c>
      <c r="CI161" s="24">
        <f>$CE$13*IF(CG161=1,1,IF(CH161=1,FixedParams!$D$52,FixedParams!$D$53))</f>
        <v>0.42008589776177102</v>
      </c>
      <c r="CJ161">
        <f>EXP($C161*FixedParams!$B$47)*EXP(IF(CG161+CH161=1,(1-FixedParams!$B$47)*$D161,0))*($B161^((FixedParams!$B$47-1)*$B$10/($B$10-1)))*((1/$B161-1)^$B$10*(CI161)^($B$10-1)+1)^((FixedParams!$B$47-$B$10)/($B$10-1))/((1+IF(CG161=1,FixedParams!$D$25,IF(CH161=1,FixedParams!$D$23,FixedParams!$D$24)))^FixedParams!$B$47)</f>
        <v>4.2432015052084153E-2</v>
      </c>
      <c r="CK161">
        <f t="shared" si="133"/>
        <v>1.1172502399619069</v>
      </c>
      <c r="CL161">
        <f t="shared" si="135"/>
        <v>30.523591373034268</v>
      </c>
      <c r="CM161">
        <f t="shared" si="102"/>
        <v>21.619713783788541</v>
      </c>
      <c r="CN161">
        <f t="shared" si="136"/>
        <v>52.143305156822805</v>
      </c>
      <c r="CO161" s="24">
        <f t="shared" si="137"/>
        <v>0.70829521728194278</v>
      </c>
      <c r="CP161" s="24">
        <f t="shared" si="138"/>
        <v>2.0684923752618571</v>
      </c>
      <c r="CQ161" s="23">
        <f>IF(CG161=1,CL161*(1+FixedParams!$D$25)+CM161*(1+FixedParams!$D$28)/$CE$12,IF(CH161=1,CL161*(1+FixedParams!$D$23)+CM161*(1+FixedParams!$D$26)/$CE$12,CL161*(1+FixedParams!$D$24)+CM161*(1+FixedParams!$D$27)/$CE$12))</f>
        <v>119.39596441344879</v>
      </c>
      <c r="CR161" s="24">
        <f t="shared" si="139"/>
        <v>18.648117122101517</v>
      </c>
      <c r="CS161" s="24">
        <f>CR161^((FixedParams!$B$47-1)/FixedParams!$B$47)*EXP($C161)</f>
        <v>0.16493239938607185</v>
      </c>
      <c r="CT161" s="24"/>
    </row>
    <row r="162" spans="1:98" x14ac:dyDescent="0.15">
      <c r="A162">
        <v>0.72499999999999998</v>
      </c>
      <c r="B162">
        <f t="shared" si="103"/>
        <v>0.34845149936840702</v>
      </c>
      <c r="C162">
        <f>(D162-$D$17)*FixedParams!$B$47+$A162*$B$9</f>
        <v>-1.8117859916706647</v>
      </c>
      <c r="D162">
        <f>(A162-$B$6)*FixedParams!$B$46/(FixedParams!$B$45*Sectors!$B$6)</f>
        <v>0.1222540717258818</v>
      </c>
      <c r="E162">
        <f t="shared" si="104"/>
        <v>0.16336211273140813</v>
      </c>
      <c r="F162" s="24">
        <f>EXP(-$D$17)*(($B162*FixedParams!$B$30)^$B$10*(1+FixedParams!$B$23)^(1-$B$10)+(1-$B162)^$B$10*((1+FixedParams!$B$26)/$B$11)^(1-$B$10))^(1/(1-$B$10))</f>
        <v>4.9433029191994651</v>
      </c>
      <c r="G162" s="24">
        <f>EXP($D162-$D$17)*(($B162*FixedParams!$B$31)^$B$10*(1+FixedParams!$B$25)^(1-$B$10)+(1-$B162)^$B$10*((1+FixedParams!$B$28)/$B$11)^(1-$B$10))^(1/(1-$B$10))</f>
        <v>5.3367198440427108</v>
      </c>
      <c r="H162">
        <f t="shared" si="105"/>
        <v>0</v>
      </c>
      <c r="I162" s="24">
        <f>$B$12*IF(H162=1,1,FixedParams!$B$52)</f>
        <v>0.39101505882574561</v>
      </c>
      <c r="J162">
        <f>EXP($C162*FixedParams!$B$47)*EXP(IF(H162=1,(1-FixedParams!$B$47)*$D162,0))*($B162^((FixedParams!$B$47-1)*$B$10/($B$10-1)))*((1/$B162-1)^$B$10*(I162)^($B$10-1)+1)^((FixedParams!$B$47-$B$10)/($B$10-1))/((1+IF(H162=1,FixedParams!$B$25,FixedParams!$B$24))^FixedParams!$B$47)</f>
        <v>5.8576262184444373E-2</v>
      </c>
      <c r="K162">
        <f t="shared" si="134"/>
        <v>1.1810487139420804</v>
      </c>
      <c r="L162">
        <f>K162*FixedParams!$B$8/K$15</f>
        <v>34.336782098147111</v>
      </c>
      <c r="M162">
        <f t="shared" si="94"/>
        <v>21.466262488132507</v>
      </c>
      <c r="N162">
        <f t="shared" si="106"/>
        <v>55.803044586279618</v>
      </c>
      <c r="O162" s="24">
        <f t="shared" si="107"/>
        <v>0.62516814845299307</v>
      </c>
      <c r="P162" s="24">
        <f t="shared" si="95"/>
        <v>1.9329058817442588</v>
      </c>
      <c r="Q162" s="23">
        <f>IF(H162=1,L162*(1+FixedParams!$B$25)+M162*FixedParams!$B$33*(1+FixedParams!$B$28)/FixedParams!$B$32,L162*(1+FixedParams!$B$23)+M162*FixedParams!$B$33*(1+FixedParams!$B$26)/FixedParams!$B$32)</f>
        <v>96.062117829879327</v>
      </c>
      <c r="R162" s="24">
        <f t="shared" si="96"/>
        <v>19.432779944919083</v>
      </c>
      <c r="S162" s="24">
        <f>R162^((FixedParams!$B$47-1)/FixedParams!$B$47)*EXP($C162)</f>
        <v>0.16287765824058459</v>
      </c>
      <c r="T162" s="7">
        <f>(L162*FixedParams!$B$32*(FixedParams!$C$25-FixedParams!$C$23)+FixedParams!$B$33*(FixedParams!$C$28-FixedParams!$C$26)*M162)/N162</f>
        <v>2522.9146185852992</v>
      </c>
      <c r="U162" s="7">
        <f>(L162*FixedParams!$B$32*(FixedParams!$C$25-FixedParams!$C$23)*$Z$12/$B$11+FixedParams!$B$33*(FixedParams!$C$28-FixedParams!$C$26)*M162)/N162</f>
        <v>1904.9271900904218</v>
      </c>
      <c r="V162" s="14">
        <f t="shared" si="97"/>
        <v>-0.46927457821251722</v>
      </c>
      <c r="W162" s="14">
        <f t="shared" si="108"/>
        <v>0.8806695828904626</v>
      </c>
      <c r="X162" s="73">
        <f t="shared" si="109"/>
        <v>0.90545849940317868</v>
      </c>
      <c r="Y162" s="24">
        <f>EXP(-$D$17)*(($B162*FixedParams!$B$30)^$B$10*(1+FixedParams!$C$24)^(1-$B$10)+(1-$B162)^$B$10*((1+FixedParams!$C$27)/$Z$12)^(1-$B$10))^(1/(1-$B$10))</f>
        <v>6.7118563080172171</v>
      </c>
      <c r="Z162" s="24">
        <f>EXP($D162-$D$17)*(($B162*FixedParams!$C$31)^$B$10*(1+FixedParams!$C$25)^(1-$B$10)+(1-$B162)^$B$10*((1+FixedParams!$C$28)/$Z$12)^(1-$B$10))^(1/(1-$B$10))</f>
        <v>6.6758407229139918</v>
      </c>
      <c r="AA162" s="24">
        <f>EXP($D162-$D$17)*(($B162*FixedParams!$C$30)^$B$10*(1+FixedParams!$C$23)^(1-$B$10)+(1-$B162)^$B$10*((1+FixedParams!$C$26)/$Z$12)^(1-$B$10))^(1/(1-$B$10))</f>
        <v>6.4479157706974517</v>
      </c>
      <c r="AB162">
        <f>IF(FixedParams!$I$6=1,IF(Z162&lt;=MIN(Y162:AA162),1,0),$H162)</f>
        <v>0</v>
      </c>
      <c r="AC162">
        <f>IF(FixedParams!$I$6=1,IF(AA162&lt;=MIN(Y162:AA162),1,0),IF(AA162&lt;=Y162,1,0)*(1-$H162))</f>
        <v>1</v>
      </c>
      <c r="AD162" s="24">
        <f>$Z$13*IF(AB162=1,1,IF(AC162=1,FixedParams!$C$52,FixedParams!$C$53))</f>
        <v>0.34709202255780691</v>
      </c>
      <c r="AE162">
        <f>EXP($C162*FixedParams!$B$47)*EXP(IF(AB162+AC162=1,(1-FixedParams!$B$47)*$D162,0))*($B162^((FixedParams!$B$47-1)*$B$10/($B$10-1)))*((1/$B162-1)^$B$10*(AD162)^($B$10-1)+1)^((FixedParams!$B$47-$B$10)/($B$10-1))/((1+IF(AB162=1,FixedParams!$C$25,IF(AC162=1,FixedParams!$C$23,FixedParams!$C$24)))^FixedParams!$B$47)</f>
        <v>5.6589277155034381E-2</v>
      </c>
      <c r="AF162">
        <f t="shared" si="110"/>
        <v>1.6675264755201942</v>
      </c>
      <c r="AG162">
        <f t="shared" si="111"/>
        <v>39.167636216343503</v>
      </c>
      <c r="AH162">
        <f t="shared" si="98"/>
        <v>20.478631386100279</v>
      </c>
      <c r="AI162">
        <f t="shared" si="112"/>
        <v>59.646267602443785</v>
      </c>
      <c r="AJ162" s="24">
        <f t="shared" si="113"/>
        <v>0.52284573092402109</v>
      </c>
      <c r="AK162" s="24">
        <f t="shared" si="114"/>
        <v>2.1535640303695147</v>
      </c>
      <c r="AL162" s="23">
        <f>IF(AB162=1,AG162*(1+FixedParams!$C$25)+AH162*(1+FixedParams!$C$28)/$Z$12,IF(AC162=1,AG162*(1+FixedParams!$C$23)+AH162*(1+FixedParams!$C$26)/$Z$12,AG162*(1+FixedParams!$C$24)+AH162*(1+FixedParams!$C$27)/$Z$12))</f>
        <v>113.45479049001189</v>
      </c>
      <c r="AM162" s="24">
        <f t="shared" si="115"/>
        <v>17.595575768158618</v>
      </c>
      <c r="AN162" s="24">
        <f>AM162^((FixedParams!$B$47-1)/FixedParams!$B$47)*EXP($C162)</f>
        <v>0.16289385124244576</v>
      </c>
      <c r="AO162" s="24">
        <f t="shared" si="116"/>
        <v>6.6603144582227491E-2</v>
      </c>
      <c r="AP162" s="24">
        <f t="shared" si="117"/>
        <v>-9.9313834400658663E-2</v>
      </c>
      <c r="AQ162" s="14">
        <f t="shared" si="118"/>
        <v>-0.40969651152025788</v>
      </c>
      <c r="AS162" s="24">
        <f>EXP(-$D$17)*(($B162*FixedParams!$B$30)^$B$10*(1+FixedParams!$D$24)^(1-$B$10)+(1-$B162)^$B$10*((1+FixedParams!$D$27)/$AT$12)^(1-$B$10))^(1/(1-$B$10))</f>
        <v>6.2108868935983512</v>
      </c>
      <c r="AT162" s="24">
        <f>EXP($D162-$D$17)*(($B162*FixedParams!$C$31)^$B$10*(1+FixedParams!$D$25)^(1-$B$10)+(1-$B162)^$B$10*((1+FixedParams!$D$28)/$AT$12)^(1-$B$10))^(1/(1-$B$10))</f>
        <v>6.4440427333346442</v>
      </c>
      <c r="AU162" s="24">
        <f>EXP($D162-$D$17)*(($B162*FixedParams!$C$30)^$B$10*(1+FixedParams!$D$23)^(1-$B$10)+(1-$B162)^$B$10*((1+FixedParams!$D$26)/$AT$12)^(1-$B$10))^(1/(1-$B$10))</f>
        <v>6.2433048923861199</v>
      </c>
      <c r="AV162">
        <f>IF(FixedParams!$I$6=1,IF(AT162&lt;=MIN(AS162:AU162),1,0),$H162)</f>
        <v>0</v>
      </c>
      <c r="AW162">
        <f>IF(FixedParams!$I$6=1,IF(AU162&lt;=MIN(AS162:AU162),1,0),IF(AU162&lt;=AS162,1,0)*(1-$H162))</f>
        <v>0</v>
      </c>
      <c r="AX162" s="24">
        <f>$AT$13*IF(AV162=1,1,IF(AW162=1,FixedParams!$D$52,FixedParams!$D$53))</f>
        <v>0.44031288407969205</v>
      </c>
      <c r="AY162">
        <f>EXP($C162*FixedParams!$B$47)*EXP(IF(AV162+AW162=1,(1-FixedParams!$B$47)*$D162,0))*($B162^((FixedParams!$B$47-1)*$B$10/($B$10-1)))*((1/$B162-1)^$B$10*(AX162)^($B$10-1)+1)^((FixedParams!$B$47-$B$10)/($B$10-1))/((1+IF(AV162=1,FixedParams!$D$25,IF(AW162=1,FixedParams!$D$23,FixedParams!$D$24)))^FixedParams!$B$47)</f>
        <v>4.1740300888690088E-2</v>
      </c>
      <c r="AZ162">
        <f t="shared" si="99"/>
        <v>1.1239653285080602</v>
      </c>
      <c r="BA162">
        <f t="shared" si="119"/>
        <v>28.278817342901476</v>
      </c>
      <c r="BB162">
        <f t="shared" si="100"/>
        <v>21.125643724957278</v>
      </c>
      <c r="BC162">
        <f t="shared" si="120"/>
        <v>49.404461067858755</v>
      </c>
      <c r="BD162" s="24">
        <f t="shared" si="121"/>
        <v>0.74704834607449444</v>
      </c>
      <c r="BE162" s="24">
        <f t="shared" si="122"/>
        <v>2.103178706332069</v>
      </c>
      <c r="BF162" s="23">
        <f>IF(AV162=1,BA162*(1+FixedParams!$C$25)+BB162*(1+FixedParams!$C$28)/$AT$12,IF(AW162=1,BA162*(1+FixedParams!$C$23)+BB162*(1+FixedParams!$C$26)/$AT$12,BA162*(1+FixedParams!$C$24)+BB162*(1+FixedParams!$C$27)/$AT$12))</f>
        <v>119.15111656246248</v>
      </c>
      <c r="BG162" s="24">
        <f t="shared" si="123"/>
        <v>19.184235456819096</v>
      </c>
      <c r="BH162" s="24">
        <f>BG162^((FixedParams!$B$47-1)/FixedParams!$B$47)*EXP($C162)</f>
        <v>0.16287975698836551</v>
      </c>
      <c r="BI162" s="7"/>
      <c r="BJ162" s="24">
        <f>EXP(-$D$17)*(($B162*FixedParams!$B$30)^$B$10*(1+FixedParams!$C$24)^(1-$B$10)+(1-$B162)^$B$10*((1+FixedParams!$C$27)/$BK$12)^(1-$B$10))^(1/(1-$B$10))</f>
        <v>6.930059841778955</v>
      </c>
      <c r="BK162" s="24">
        <f>EXP($D162-$D$17)*(($B162*FixedParams!$C$31)^$B$10*(1+FixedParams!$C$25)^(1-$B$10)+(1-$B162)^$B$10*((1+FixedParams!$C$28)/$BK$12)^(1-$B$10))^(1/(1-$B$10))</f>
        <v>6.8887294449794085</v>
      </c>
      <c r="BL162" s="24">
        <f>EXP($D162-$D$17)*(($B162*FixedParams!$C$30)^$B$10*(1+FixedParams!$C$23)^(1-$B$10)+(1-$B162)^$B$10*((1+FixedParams!$C$26)/$BK$12)^(1-$B$10))^(1/(1-$B$10))</f>
        <v>6.6448505760862453</v>
      </c>
      <c r="BM162">
        <f>IF(FixedParams!$I$6=1,IF(BK162&lt;=MIN(BJ162:BL162),1,0),$H162)</f>
        <v>0</v>
      </c>
      <c r="BN162">
        <f>IF(FixedParams!$I$6=1,IF(BL162&lt;=MIN(BJ162:BL162),1,0),IF(BL162&lt;=BJ162,1,0)*(1-$H162))</f>
        <v>1</v>
      </c>
      <c r="BO162" s="24">
        <f>$BK$13*IF(BM162=1,1,IF(BN162=1,FixedParams!$C$52,FixedParams!$C$53))</f>
        <v>0.33006170822567266</v>
      </c>
      <c r="BP162">
        <f>EXP($C162*FixedParams!$B$47)*EXP(IF(BM162+BN162=1,(1-FixedParams!$B$47)*$D162,0))*($B162^((FixedParams!$B$47-1)*$B$10/($B$10-1)))*((1/$B162-1)^$B$10*(BO162)^($B$10-1)+1)^((FixedParams!$B$47-$B$10)/($B$10-1))/((1+IF(BM162=1,FixedParams!$C$25,IF(BN162=1,FixedParams!$C$23,FixedParams!$C$24)))^FixedParams!$B$47)</f>
        <v>5.7448691887739295E-2</v>
      </c>
      <c r="BQ162">
        <f t="shared" si="124"/>
        <v>1.6526697347636581</v>
      </c>
      <c r="BR162">
        <f t="shared" si="125"/>
        <v>42.149951442854501</v>
      </c>
      <c r="BS162">
        <f t="shared" si="101"/>
        <v>20.436024342810402</v>
      </c>
      <c r="BT162">
        <f t="shared" si="126"/>
        <v>62.5859757856649</v>
      </c>
      <c r="BU162" s="24">
        <f t="shared" si="127"/>
        <v>0.48484099372016792</v>
      </c>
      <c r="BV162" s="24">
        <f t="shared" si="128"/>
        <v>2.1104456069915254</v>
      </c>
      <c r="BW162" s="23">
        <f>IF(BM162=1,BR162*(1+FixedParams!$C$25)+BS162*(1+FixedParams!$C$28)/$BK$12,IF(BN162=1,BR162*(1+FixedParams!$C$23)+BS162*(1+FixedParams!$C$26)/$BK$12,BR162*(1+FixedParams!$C$24)+BS162*(1+FixedParams!$C$27)/$BK$12))</f>
        <v>120.27064013306148</v>
      </c>
      <c r="BX162" s="24">
        <f t="shared" si="129"/>
        <v>18.099826136933203</v>
      </c>
      <c r="BY162" s="24">
        <f>BX162^((FixedParams!$B$47-1)/FixedParams!$B$47)*EXP($C162)</f>
        <v>0.16288924416092659</v>
      </c>
      <c r="BZ162" s="24">
        <f t="shared" si="130"/>
        <v>0.11471279364790604</v>
      </c>
      <c r="CA162" s="24">
        <f t="shared" si="131"/>
        <v>-7.1058995503802513E-2</v>
      </c>
      <c r="CB162" s="24">
        <f t="shared" si="132"/>
        <v>-5.3730539584395262E-2</v>
      </c>
      <c r="CC162" s="24"/>
      <c r="CD162" s="24">
        <f>EXP(-$D$17)*(($B162*FixedParams!$B$30)^$B$10*(1+FixedParams!$D$24)^(1-$B$10)+(1-$B162)^$B$10*((1+FixedParams!$D$27)/$CE$12)^(1-$B$10))^(1/(1-$B$10))</f>
        <v>6.3965698244204736</v>
      </c>
      <c r="CE162" s="24">
        <f>EXP($D162-$D$17)*(($B162*FixedParams!$D$31)^$B$10*(1+FixedParams!$D$25)^(1-$B$10)+(1-$B162)^$B$10*((1+FixedParams!$D$28)/$CE$12)^(1-$B$10))^(1/(1-$B$10))</f>
        <v>6.6341603440717876</v>
      </c>
      <c r="CF162" s="24">
        <f>EXP($D162-$D$17)*(($B162*FixedParams!$D$30)^$B$10*(1+FixedParams!$D$23)^(1-$B$10)+(1-$B162)^$B$10*((1+FixedParams!$D$26)/$CE$12)^(1-$B$10))^(1/(1-$B$10))</f>
        <v>6.4212280267350046</v>
      </c>
      <c r="CG162">
        <f>IF(FixedParams!$I$6=1,IF(CE162&lt;=MIN(CD162:CF162),1,0),$H162)</f>
        <v>0</v>
      </c>
      <c r="CH162">
        <f>IF(FixedParams!$I$6=1,IF(CF162&lt;=MIN(CD162:CF162),1,0),IF(CF162&lt;=CD162,1,0)*(1-$H162))</f>
        <v>0</v>
      </c>
      <c r="CI162" s="24">
        <f>$CE$13*IF(CG162=1,1,IF(CH162=1,FixedParams!$D$52,FixedParams!$D$53))</f>
        <v>0.42008589776177102</v>
      </c>
      <c r="CJ162">
        <f>EXP($C162*FixedParams!$B$47)*EXP(IF(CG162+CH162=1,(1-FixedParams!$B$47)*$D162,0))*($B162^((FixedParams!$B$47-1)*$B$10/($B$10-1)))*((1/$B162-1)^$B$10*(CI162)^($B$10-1)+1)^((FixedParams!$B$47-$B$10)/($B$10-1))/((1+IF(CG162=1,FixedParams!$D$25,IF(CH162=1,FixedParams!$D$23,FixedParams!$D$24)))^FixedParams!$B$47)</f>
        <v>4.2360895381649694E-2</v>
      </c>
      <c r="CK162">
        <f t="shared" si="133"/>
        <v>1.1153776334226846</v>
      </c>
      <c r="CL162">
        <f t="shared" si="135"/>
        <v>30.472431234722158</v>
      </c>
      <c r="CM162">
        <f t="shared" si="102"/>
        <v>21.213917602784853</v>
      </c>
      <c r="CN162">
        <f t="shared" si="136"/>
        <v>51.686348837507012</v>
      </c>
      <c r="CO162" s="24">
        <f t="shared" si="137"/>
        <v>0.69616754368494282</v>
      </c>
      <c r="CP162" s="24">
        <f t="shared" si="138"/>
        <v>2.0665523419294338</v>
      </c>
      <c r="CQ162" s="23">
        <f>IF(CG162=1,CL162*(1+FixedParams!$D$25)+CM162*(1+FixedParams!$D$28)/$CE$12,IF(CH162=1,CL162*(1+FixedParams!$D$23)+CM162*(1+FixedParams!$D$26)/$CE$12,CL162*(1+FixedParams!$D$24)+CM162*(1+FixedParams!$D$27)/$CE$12))</f>
        <v>117.91474725241116</v>
      </c>
      <c r="CR162" s="24">
        <f t="shared" si="139"/>
        <v>18.434059267553476</v>
      </c>
      <c r="CS162" s="24">
        <f>CR162^((FixedParams!$B$47-1)/FixedParams!$B$47)*EXP($C162)</f>
        <v>0.1628862607114363</v>
      </c>
      <c r="CT162" s="24"/>
    </row>
    <row r="163" spans="1:98" x14ac:dyDescent="0.15">
      <c r="A163">
        <v>0.73</v>
      </c>
      <c r="B163">
        <f t="shared" si="103"/>
        <v>0.35107004135955</v>
      </c>
      <c r="C163">
        <f>(D163-$D$17)*FixedParams!$B$47+$A163*$B$9</f>
        <v>-1.8242810674752903</v>
      </c>
      <c r="D163">
        <f>(A163-$B$6)*FixedParams!$B$46/(FixedParams!$B$45*Sectors!$B$6)</f>
        <v>0.12497082887534586</v>
      </c>
      <c r="E163">
        <f t="shared" si="104"/>
        <v>0.16133359041148121</v>
      </c>
      <c r="F163" s="24">
        <f>EXP(-$D$17)*(($B163*FixedParams!$B$30)^$B$10*(1+FixedParams!$B$23)^(1-$B$10)+(1-$B163)^$B$10*((1+FixedParams!$B$26)/$B$11)^(1-$B$10))^(1/(1-$B$10))</f>
        <v>4.9369765219703936</v>
      </c>
      <c r="G163" s="24">
        <f>EXP($D163-$D$17)*(($B163*FixedParams!$B$31)^$B$10*(1+FixedParams!$B$25)^(1-$B$10)+(1-$B163)^$B$10*((1+FixedParams!$B$28)/$B$11)^(1-$B$10))^(1/(1-$B$10))</f>
        <v>5.3434481391106647</v>
      </c>
      <c r="H163">
        <f t="shared" si="105"/>
        <v>0</v>
      </c>
      <c r="I163" s="24">
        <f>$B$12*IF(H163=1,1,FixedParams!$B$52)</f>
        <v>0.39101505882574561</v>
      </c>
      <c r="J163">
        <f>EXP($C163*FixedParams!$B$47)*EXP(IF(H163=1,(1-FixedParams!$B$47)*$D163,0))*($B163^((FixedParams!$B$47-1)*$B$10/($B$10-1)))*((1/$B163-1)^$B$10*(I163)^($B$10-1)+1)^((FixedParams!$B$47-$B$10)/($B$10-1))/((1+IF(H163=1,FixedParams!$B$25,FixedParams!$B$24))^FixedParams!$B$47)</f>
        <v>5.8465416970856533E-2</v>
      </c>
      <c r="K163">
        <f t="shared" si="134"/>
        <v>1.1788137881876453</v>
      </c>
      <c r="L163">
        <f>K163*FixedParams!$B$8/K$15</f>
        <v>34.271805812470092</v>
      </c>
      <c r="M163">
        <f t="shared" si="94"/>
        <v>21.058784204923377</v>
      </c>
      <c r="N163">
        <f t="shared" si="106"/>
        <v>55.330590017393469</v>
      </c>
      <c r="O163" s="24">
        <f t="shared" si="107"/>
        <v>0.61446380503419396</v>
      </c>
      <c r="P163" s="24">
        <f t="shared" si="95"/>
        <v>1.9304321651595784</v>
      </c>
      <c r="Q163" s="23">
        <f>IF(H163=1,L163*(1+FixedParams!$B$25)+M163*FixedParams!$B$33*(1+FixedParams!$B$28)/FixedParams!$B$32,L163*(1+FixedParams!$B$23)+M163*FixedParams!$B$33*(1+FixedParams!$B$26)/FixedParams!$B$32)</f>
        <v>94.870346105122564</v>
      </c>
      <c r="R163" s="24">
        <f t="shared" si="96"/>
        <v>19.216284639583201</v>
      </c>
      <c r="S163" s="24">
        <f>R163^((FixedParams!$B$47-1)/FixedParams!$B$47)*EXP($C163)</f>
        <v>0.16085695546959752</v>
      </c>
      <c r="T163" s="7">
        <f>(L163*FixedParams!$B$32*(FixedParams!$C$25-FixedParams!$C$23)+FixedParams!$B$33*(FixedParams!$C$28-FixedParams!$C$26)*M163)/N163</f>
        <v>2569.1991152703567</v>
      </c>
      <c r="U163" s="7">
        <f>(L163*FixedParams!$B$32*(FixedParams!$C$25-FixedParams!$C$23)*$Z$12/$B$11+FixedParams!$B$33*(FixedParams!$C$28-FixedParams!$C$26)*M163)/N163</f>
        <v>1947.1142584884642</v>
      </c>
      <c r="V163" s="14">
        <f t="shared" si="97"/>
        <v>-0.45200395291643336</v>
      </c>
      <c r="W163" s="14">
        <f t="shared" si="108"/>
        <v>0.88338343057869018</v>
      </c>
      <c r="X163" s="73">
        <f t="shared" si="109"/>
        <v>0.90344767802341741</v>
      </c>
      <c r="Y163" s="24">
        <f>EXP(-$D$17)*(($B163*FixedParams!$B$30)^$B$10*(1+FixedParams!$C$24)^(1-$B$10)+(1-$B163)^$B$10*((1+FixedParams!$C$27)/$Z$12)^(1-$B$10))^(1/(1-$B$10))</f>
        <v>6.7087467942646786</v>
      </c>
      <c r="Z163" s="24">
        <f>EXP($D163-$D$17)*(($B163*FixedParams!$C$31)^$B$10*(1+FixedParams!$C$25)^(1-$B$10)+(1-$B163)^$B$10*((1+FixedParams!$C$28)/$Z$12)^(1-$B$10))^(1/(1-$B$10))</f>
        <v>6.6881416252047137</v>
      </c>
      <c r="AA163" s="24">
        <f>EXP($D163-$D$17)*(($B163*FixedParams!$C$30)^$B$10*(1+FixedParams!$C$23)^(1-$B$10)+(1-$B163)^$B$10*((1+FixedParams!$C$26)/$Z$12)^(1-$B$10))^(1/(1-$B$10))</f>
        <v>6.454011033030536</v>
      </c>
      <c r="AB163">
        <f>IF(FixedParams!$I$6=1,IF(Z163&lt;=MIN(Y163:AA163),1,0),$H163)</f>
        <v>0</v>
      </c>
      <c r="AC163">
        <f>IF(FixedParams!$I$6=1,IF(AA163&lt;=MIN(Y163:AA163),1,0),IF(AA163&lt;=Y163,1,0)*(1-$H163))</f>
        <v>1</v>
      </c>
      <c r="AD163" s="24">
        <f>$Z$13*IF(AB163=1,1,IF(AC163=1,FixedParams!$C$52,FixedParams!$C$53))</f>
        <v>0.34709202255780691</v>
      </c>
      <c r="AE163">
        <f>EXP($C163*FixedParams!$B$47)*EXP(IF(AB163+AC163=1,(1-FixedParams!$B$47)*$D163,0))*($B163^((FixedParams!$B$47-1)*$B$10/($B$10-1)))*((1/$B163-1)^$B$10*(AD163)^($B$10-1)+1)^((FixedParams!$B$47-$B$10)/($B$10-1))/((1+IF(AB163=1,FixedParams!$C$25,IF(AC163=1,FixedParams!$C$23,FixedParams!$C$24)))^FixedParams!$B$47)</f>
        <v>5.6468444901370145E-2</v>
      </c>
      <c r="AF163">
        <f t="shared" si="110"/>
        <v>1.6639658896245682</v>
      </c>
      <c r="AG163">
        <f t="shared" si="111"/>
        <v>39.084003521376289</v>
      </c>
      <c r="AH163">
        <f t="shared" si="98"/>
        <v>20.085010948147211</v>
      </c>
      <c r="AI163">
        <f t="shared" si="112"/>
        <v>59.169014469523503</v>
      </c>
      <c r="AJ163" s="24">
        <f t="shared" si="113"/>
        <v>0.5138933870262824</v>
      </c>
      <c r="AK163" s="24">
        <f t="shared" si="114"/>
        <v>2.1555998103305138</v>
      </c>
      <c r="AL163" s="23">
        <f>IF(AB163=1,AG163*(1+FixedParams!$C$25)+AH163*(1+FixedParams!$C$28)/$Z$12,IF(AC163=1,AG163*(1+FixedParams!$C$23)+AH163*(1+FixedParams!$C$26)/$Z$12,AG163*(1+FixedParams!$C$24)+AH163*(1+FixedParams!$C$27)/$Z$12))</f>
        <v>112.04749008362853</v>
      </c>
      <c r="AM163" s="24">
        <f t="shared" si="115"/>
        <v>17.360907737868505</v>
      </c>
      <c r="AN163" s="24">
        <f>AM163^((FixedParams!$B$47-1)/FixedParams!$B$47)*EXP($C163)</f>
        <v>0.16087330559549018</v>
      </c>
      <c r="AO163" s="24">
        <f t="shared" si="116"/>
        <v>6.7072080174638241E-2</v>
      </c>
      <c r="AP163" s="24">
        <f t="shared" si="117"/>
        <v>-0.10153708094944695</v>
      </c>
      <c r="AQ163" s="14">
        <f t="shared" si="118"/>
        <v>-0.39242588622417401</v>
      </c>
      <c r="AS163" s="24">
        <f>EXP(-$D$17)*(($B163*FixedParams!$B$30)^$B$10*(1+FixedParams!$D$24)^(1-$B$10)+(1-$B163)^$B$10*((1+FixedParams!$D$27)/$AT$12)^(1-$B$10))^(1/(1-$B$10))</f>
        <v>6.2059351471803312</v>
      </c>
      <c r="AT163" s="24">
        <f>EXP($D163-$D$17)*(($B163*FixedParams!$C$31)^$B$10*(1+FixedParams!$D$25)^(1-$B$10)+(1-$B163)^$B$10*((1+FixedParams!$D$28)/$AT$12)^(1-$B$10))^(1/(1-$B$10))</f>
        <v>6.4546111165786728</v>
      </c>
      <c r="AU163" s="24">
        <f>EXP($D163-$D$17)*(($B163*FixedParams!$C$30)^$B$10*(1+FixedParams!$D$23)^(1-$B$10)+(1-$B163)^$B$10*((1+FixedParams!$D$26)/$AT$12)^(1-$B$10))^(1/(1-$B$10))</f>
        <v>6.2490642343098157</v>
      </c>
      <c r="AV163">
        <f>IF(FixedParams!$I$6=1,IF(AT163&lt;=MIN(AS163:AU163),1,0),$H163)</f>
        <v>0</v>
      </c>
      <c r="AW163">
        <f>IF(FixedParams!$I$6=1,IF(AU163&lt;=MIN(AS163:AU163),1,0),IF(AU163&lt;=AS163,1,0)*(1-$H163))</f>
        <v>0</v>
      </c>
      <c r="AX163" s="24">
        <f>$AT$13*IF(AV163=1,1,IF(AW163=1,FixedParams!$D$52,FixedParams!$D$53))</f>
        <v>0.44031288407969205</v>
      </c>
      <c r="AY163">
        <f>EXP($C163*FixedParams!$B$47)*EXP(IF(AV163+AW163=1,(1-FixedParams!$B$47)*$D163,0))*($B163^((FixedParams!$B$47-1)*$B$10/($B$10-1)))*((1/$B163-1)^$B$10*(AX163)^($B$10-1)+1)^((FixedParams!$B$47-$B$10)/($B$10-1))/((1+IF(AV163=1,FixedParams!$D$25,IF(AW163=1,FixedParams!$D$23,FixedParams!$D$24)))^FixedParams!$B$47)</f>
        <v>4.1671397811940812E-2</v>
      </c>
      <c r="AZ163">
        <f t="shared" si="99"/>
        <v>1.1221099353353987</v>
      </c>
      <c r="BA163">
        <f t="shared" si="119"/>
        <v>28.232135898822946</v>
      </c>
      <c r="BB163">
        <f t="shared" si="100"/>
        <v>20.729647025683935</v>
      </c>
      <c r="BC163">
        <f t="shared" si="120"/>
        <v>48.961782924506878</v>
      </c>
      <c r="BD163" s="24">
        <f t="shared" si="121"/>
        <v>0.73425712811718913</v>
      </c>
      <c r="BE163" s="24">
        <f t="shared" si="122"/>
        <v>2.1015019075424681</v>
      </c>
      <c r="BF163" s="23">
        <f>IF(AV163=1,BA163*(1+FixedParams!$C$25)+BB163*(1+FixedParams!$C$28)/$AT$12,IF(AW163=1,BA163*(1+FixedParams!$C$23)+BB163*(1+FixedParams!$C$26)/$AT$12,BA163*(1+FixedParams!$C$24)+BB163*(1+FixedParams!$C$27)/$AT$12))</f>
        <v>117.71958823498977</v>
      </c>
      <c r="BG163" s="24">
        <f t="shared" si="123"/>
        <v>18.968871804674865</v>
      </c>
      <c r="BH163" s="24">
        <f>BG163^((FixedParams!$B$47-1)/FixedParams!$B$47)*EXP($C163)</f>
        <v>0.16085904207773924</v>
      </c>
      <c r="BI163" s="7"/>
      <c r="BJ163" s="24">
        <f>EXP(-$D$17)*(($B163*FixedParams!$B$30)^$B$10*(1+FixedParams!$C$24)^(1-$B$10)+(1-$B163)^$B$10*((1+FixedParams!$C$27)/$BK$12)^(1-$B$10))^(1/(1-$B$10))</f>
        <v>6.9254526590724206</v>
      </c>
      <c r="BK163" s="24">
        <f>EXP($D163-$D$17)*(($B163*FixedParams!$C$31)^$B$10*(1+FixedParams!$C$25)^(1-$B$10)+(1-$B163)^$B$10*((1+FixedParams!$C$28)/$BK$12)^(1-$B$10))^(1/(1-$B$10))</f>
        <v>6.9000127897655066</v>
      </c>
      <c r="BL163" s="24">
        <f>EXP($D163-$D$17)*(($B163*FixedParams!$C$30)^$B$10*(1+FixedParams!$C$23)^(1-$B$10)+(1-$B163)^$B$10*((1+FixedParams!$C$26)/$BK$12)^(1-$B$10))^(1/(1-$B$10))</f>
        <v>6.6497405644629115</v>
      </c>
      <c r="BM163">
        <f>IF(FixedParams!$I$6=1,IF(BK163&lt;=MIN(BJ163:BL163),1,0),$H163)</f>
        <v>0</v>
      </c>
      <c r="BN163">
        <f>IF(FixedParams!$I$6=1,IF(BL163&lt;=MIN(BJ163:BL163),1,0),IF(BL163&lt;=BJ163,1,0)*(1-$H163))</f>
        <v>1</v>
      </c>
      <c r="BO163" s="24">
        <f>$BK$13*IF(BM163=1,1,IF(BN163=1,FixedParams!$C$52,FixedParams!$C$53))</f>
        <v>0.33006170822567266</v>
      </c>
      <c r="BP163">
        <f>EXP($C163*FixedParams!$B$47)*EXP(IF(BM163+BN163=1,(1-FixedParams!$B$47)*$D163,0))*($B163^((FixedParams!$B$47-1)*$B$10/($B$10-1)))*((1/$B163-1)^$B$10*(BO163)^($B$10-1)+1)^((FixedParams!$B$47-$B$10)/($B$10-1))/((1+IF(BM163=1,FixedParams!$C$25,IF(BN163=1,FixedParams!$C$23,FixedParams!$C$24)))^FixedParams!$B$47)</f>
        <v>5.732001586938773E-2</v>
      </c>
      <c r="BQ163">
        <f t="shared" si="124"/>
        <v>1.6489680149484345</v>
      </c>
      <c r="BR163">
        <f t="shared" si="125"/>
        <v>42.055542192666927</v>
      </c>
      <c r="BS163">
        <f t="shared" si="101"/>
        <v>20.041122000598698</v>
      </c>
      <c r="BT163">
        <f t="shared" si="126"/>
        <v>62.096664193265624</v>
      </c>
      <c r="BU163" s="24">
        <f t="shared" si="127"/>
        <v>0.47653937996531631</v>
      </c>
      <c r="BV163" s="24">
        <f t="shared" si="128"/>
        <v>2.1119986975192364</v>
      </c>
      <c r="BW163" s="23">
        <f>IF(BM163=1,BR163*(1+FixedParams!$C$25)+BS163*(1+FixedParams!$C$28)/$BK$12,IF(BN163=1,BR163*(1+FixedParams!$C$23)+BS163*(1+FixedParams!$C$26)/$BK$12,BR163*(1+FixedParams!$C$24)+BS163*(1+FixedParams!$C$27)/$BK$12))</f>
        <v>118.77877064455757</v>
      </c>
      <c r="BX163" s="24">
        <f t="shared" si="129"/>
        <v>17.862166124093161</v>
      </c>
      <c r="BY163" s="24">
        <f>BX163^((FixedParams!$B$47-1)/FixedParams!$B$47)*EXP($C163)</f>
        <v>0.16086872200273147</v>
      </c>
      <c r="BZ163" s="24">
        <f t="shared" si="130"/>
        <v>0.11536635034155369</v>
      </c>
      <c r="CA163" s="24">
        <f t="shared" si="131"/>
        <v>-7.3073226224402765E-2</v>
      </c>
      <c r="CB163" s="24">
        <f t="shared" si="132"/>
        <v>-5.5744770304995514E-2</v>
      </c>
      <c r="CC163" s="24"/>
      <c r="CD163" s="24">
        <f>EXP(-$D$17)*(($B163*FixedParams!$B$30)^$B$10*(1+FixedParams!$D$24)^(1-$B$10)+(1-$B163)^$B$10*((1+FixedParams!$D$27)/$CE$12)^(1-$B$10))^(1/(1-$B$10))</f>
        <v>6.3902527528799205</v>
      </c>
      <c r="CE163" s="24">
        <f>EXP($D163-$D$17)*(($B163*FixedParams!$D$31)^$B$10*(1+FixedParams!$D$25)^(1-$B$10)+(1-$B163)^$B$10*((1+FixedParams!$D$28)/$CE$12)^(1-$B$10))^(1/(1-$B$10))</f>
        <v>6.6437643709456555</v>
      </c>
      <c r="CF163" s="24">
        <f>EXP($D163-$D$17)*(($B163*FixedParams!$D$30)^$B$10*(1+FixedParams!$D$23)^(1-$B$10)+(1-$B163)^$B$10*((1+FixedParams!$D$26)/$CE$12)^(1-$B$10))^(1/(1-$B$10))</f>
        <v>6.4258942112163</v>
      </c>
      <c r="CG163">
        <f>IF(FixedParams!$I$6=1,IF(CE163&lt;=MIN(CD163:CF163),1,0),$H163)</f>
        <v>0</v>
      </c>
      <c r="CH163">
        <f>IF(FixedParams!$I$6=1,IF(CF163&lt;=MIN(CD163:CF163),1,0),IF(CF163&lt;=CD163,1,0)*(1-$H163))</f>
        <v>0</v>
      </c>
      <c r="CI163" s="24">
        <f>$CE$13*IF(CG163=1,1,IF(CH163=1,FixedParams!$D$52,FixedParams!$D$53))</f>
        <v>0.42008589776177102</v>
      </c>
      <c r="CJ163">
        <f>EXP($C163*FixedParams!$B$47)*EXP(IF(CG163+CH163=1,(1-FixedParams!$B$47)*$D163,0))*($B163^((FixedParams!$B$47-1)*$B$10/($B$10-1)))*((1/$B163-1)^$B$10*(CI163)^($B$10-1)+1)^((FixedParams!$B$47-$B$10)/($B$10-1))/((1+IF(CG163=1,FixedParams!$D$25,IF(CH163=1,FixedParams!$D$23,FixedParams!$D$24)))^FixedParams!$B$47)</f>
        <v>4.2286932350030976E-2</v>
      </c>
      <c r="CK163">
        <f t="shared" si="133"/>
        <v>1.1134301601593271</v>
      </c>
      <c r="CL163">
        <f t="shared" si="135"/>
        <v>30.419225716410825</v>
      </c>
      <c r="CM163">
        <f t="shared" si="102"/>
        <v>20.814279886787922</v>
      </c>
      <c r="CN163">
        <f t="shared" si="136"/>
        <v>51.233505603198751</v>
      </c>
      <c r="CO163" s="24">
        <f t="shared" si="137"/>
        <v>0.68424752427405988</v>
      </c>
      <c r="CP163" s="24">
        <f t="shared" si="138"/>
        <v>2.0645114732537837</v>
      </c>
      <c r="CQ163" s="23">
        <f>IF(CG163=1,CL163*(1+FixedParams!$D$25)+CM163*(1+FixedParams!$D$28)/$CE$12,IF(CH163=1,CL163*(1+FixedParams!$D$23)+CM163*(1+FixedParams!$D$26)/$CE$12,CL163*(1+FixedParams!$D$24)+CM163*(1+FixedParams!$D$27)/$CE$12))</f>
        <v>116.45190016740668</v>
      </c>
      <c r="CR163" s="24">
        <f t="shared" si="139"/>
        <v>18.223363718269962</v>
      </c>
      <c r="CS163" s="24">
        <f>CR163^((FixedParams!$B$47-1)/FixedParams!$B$47)*EXP($C163)</f>
        <v>0.16086549827737923</v>
      </c>
      <c r="CT163" s="24"/>
    </row>
    <row r="164" spans="1:98" x14ac:dyDescent="0.15">
      <c r="A164">
        <v>0.73499999999999999</v>
      </c>
      <c r="B164">
        <f t="shared" si="103"/>
        <v>0.35369757892605735</v>
      </c>
      <c r="C164">
        <f>(D164-$D$17)*FixedParams!$B$47+$A164*$B$9</f>
        <v>-1.8367761432799152</v>
      </c>
      <c r="D164">
        <f>(A164-$B$6)*FixedParams!$B$46/(FixedParams!$B$45*Sectors!$B$6)</f>
        <v>0.1276875860248099</v>
      </c>
      <c r="E164">
        <f t="shared" si="104"/>
        <v>0.15933025693573399</v>
      </c>
      <c r="F164" s="24">
        <f>EXP(-$D$17)*(($B164*FixedParams!$B$30)^$B$10*(1+FixedParams!$B$23)^(1-$B$10)+(1-$B164)^$B$10*((1+FixedParams!$B$26)/$B$11)^(1-$B$10))^(1/(1-$B$10))</f>
        <v>4.9304059411149881</v>
      </c>
      <c r="G164" s="24">
        <f>EXP($D164-$D$17)*(($B164*FixedParams!$B$31)^$B$10*(1+FixedParams!$B$25)^(1-$B$10)+(1-$B164)^$B$10*((1+FixedParams!$B$28)/$B$11)^(1-$B$10))^(1/(1-$B$10))</f>
        <v>5.3499076304463147</v>
      </c>
      <c r="H164">
        <f t="shared" si="105"/>
        <v>0</v>
      </c>
      <c r="I164" s="24">
        <f>$B$12*IF(H164=1,1,FixedParams!$B$52)</f>
        <v>0.39101505882574561</v>
      </c>
      <c r="J164">
        <f>EXP($C164*FixedParams!$B$47)*EXP(IF(H164=1,(1-FixedParams!$B$47)*$D164,0))*($B164^((FixedParams!$B$47-1)*$B$10/($B$10-1)))*((1/$B164-1)^$B$10*(I164)^($B$10-1)+1)^((FixedParams!$B$47-$B$10)/($B$10-1))/((1+IF(H164=1,FixedParams!$B$25,FixedParams!$B$24))^FixedParams!$B$47)</f>
        <v>5.8350642184234788E-2</v>
      </c>
      <c r="K164">
        <f t="shared" si="134"/>
        <v>1.1764996320930527</v>
      </c>
      <c r="L164">
        <f>K164*FixedParams!$B$8/K$15</f>
        <v>34.204526052860601</v>
      </c>
      <c r="M164">
        <f t="shared" si="94"/>
        <v>20.657575357639679</v>
      </c>
      <c r="N164">
        <f t="shared" si="106"/>
        <v>54.86210141050028</v>
      </c>
      <c r="O164" s="24">
        <f t="shared" si="107"/>
        <v>0.6039427450541166</v>
      </c>
      <c r="P164" s="24">
        <f t="shared" si="95"/>
        <v>1.9278629690998828</v>
      </c>
      <c r="Q164" s="23">
        <f>IF(H164=1,L164*(1+FixedParams!$B$25)+M164*FixedParams!$B$33*(1+FixedParams!$B$28)/FixedParams!$B$32,L164*(1+FixedParams!$B$23)+M164*FixedParams!$B$33*(1+FixedParams!$B$26)/FixedParams!$B$32)</f>
        <v>93.693355017668466</v>
      </c>
      <c r="R164" s="24">
        <f t="shared" si="96"/>
        <v>19.00317258592305</v>
      </c>
      <c r="S164" s="24">
        <f>R164^((FixedParams!$B$47-1)/FixedParams!$B$47)*EXP($C164)</f>
        <v>0.15886131393654226</v>
      </c>
      <c r="T164" s="7">
        <f>(L164*FixedParams!$B$32*(FixedParams!$C$25-FixedParams!$C$23)+FixedParams!$B$33*(FixedParams!$C$28-FixedParams!$C$26)*M164)/N164</f>
        <v>2615.2931207055422</v>
      </c>
      <c r="U164" s="7">
        <f>(L164*FixedParams!$B$32*(FixedParams!$C$25-FixedParams!$C$23)*$Z$12/$B$11+FixedParams!$B$33*(FixedParams!$C$28-FixedParams!$C$26)*M164)/N164</f>
        <v>1989.1276992581827</v>
      </c>
      <c r="V164" s="14">
        <f t="shared" si="97"/>
        <v>-0.43473332762035</v>
      </c>
      <c r="W164" s="14">
        <f t="shared" si="108"/>
        <v>0.88607429989776643</v>
      </c>
      <c r="X164" s="73">
        <f t="shared" si="109"/>
        <v>0.90144291422159795</v>
      </c>
      <c r="Y164" s="24">
        <f>EXP(-$D$17)*(($B164*FixedParams!$B$30)^$B$10*(1+FixedParams!$C$24)^(1-$B$10)+(1-$B164)^$B$10*((1+FixedParams!$C$27)/$Z$12)^(1-$B$10))^(1/(1-$B$10))</f>
        <v>6.7053189473313433</v>
      </c>
      <c r="Z164" s="24">
        <f>EXP($D164-$D$17)*(($B164*FixedParams!$C$31)^$B$10*(1+FixedParams!$C$25)^(1-$B$10)+(1-$B164)^$B$10*((1+FixedParams!$C$28)/$Z$12)^(1-$B$10))^(1/(1-$B$10))</f>
        <v>6.7001333402611634</v>
      </c>
      <c r="AA164" s="24">
        <f>EXP($D164-$D$17)*(($B164*FixedParams!$C$30)^$B$10*(1+FixedParams!$C$23)^(1-$B$10)+(1-$B164)^$B$10*((1+FixedParams!$C$26)/$Z$12)^(1-$B$10))^(1/(1-$B$10))</f>
        <v>6.459770102029089</v>
      </c>
      <c r="AB164">
        <f>IF(FixedParams!$I$6=1,IF(Z164&lt;=MIN(Y164:AA164),1,0),$H164)</f>
        <v>0</v>
      </c>
      <c r="AC164">
        <f>IF(FixedParams!$I$6=1,IF(AA164&lt;=MIN(Y164:AA164),1,0),IF(AA164&lt;=Y164,1,0)*(1-$H164))</f>
        <v>1</v>
      </c>
      <c r="AD164" s="24">
        <f>$Z$13*IF(AB164=1,1,IF(AC164=1,FixedParams!$C$52,FixedParams!$C$53))</f>
        <v>0.34709202255780691</v>
      </c>
      <c r="AE164">
        <f>EXP($C164*FixedParams!$B$47)*EXP(IF(AB164+AC164=1,(1-FixedParams!$B$47)*$D164,0))*($B164^((FixedParams!$B$47-1)*$B$10/($B$10-1)))*((1/$B164-1)^$B$10*(AD164)^($B$10-1)+1)^((FixedParams!$B$47-$B$10)/($B$10-1))/((1+IF(AB164=1,FixedParams!$C$25,IF(AC164=1,FixedParams!$C$23,FixedParams!$C$24)))^FixedParams!$B$47)</f>
        <v>5.6343823782207099E-2</v>
      </c>
      <c r="AF164">
        <f t="shared" si="110"/>
        <v>1.6602936565433075</v>
      </c>
      <c r="AG164">
        <f t="shared" si="111"/>
        <v>38.997748405466623</v>
      </c>
      <c r="AH164">
        <f t="shared" si="98"/>
        <v>19.697541533368028</v>
      </c>
      <c r="AI164">
        <f t="shared" si="112"/>
        <v>58.695289938834648</v>
      </c>
      <c r="AJ164" s="24">
        <f t="shared" si="113"/>
        <v>0.50509432823067468</v>
      </c>
      <c r="AK164" s="24">
        <f t="shared" si="114"/>
        <v>2.1575233037948767</v>
      </c>
      <c r="AL164" s="23">
        <f>IF(AB164=1,AG164*(1+FixedParams!$C$25)+AH164*(1+FixedParams!$C$28)/$Z$12,IF(AC164=1,AG164*(1+FixedParams!$C$23)+AH164*(1+FixedParams!$C$26)/$Z$12,AG164*(1+FixedParams!$C$24)+AH164*(1+FixedParams!$C$27)/$Z$12))</f>
        <v>110.65764006297857</v>
      </c>
      <c r="AM164" s="24">
        <f t="shared" si="115"/>
        <v>17.130275275310453</v>
      </c>
      <c r="AN164" s="24">
        <f>AM164^((FixedParams!$B$47-1)/FixedParams!$B$47)*EXP($C164)</f>
        <v>0.15887781451454738</v>
      </c>
      <c r="AO164" s="24">
        <f t="shared" si="116"/>
        <v>6.7536694328800523E-2</v>
      </c>
      <c r="AP164" s="24">
        <f t="shared" si="117"/>
        <v>-0.10375856144791951</v>
      </c>
      <c r="AQ164" s="14">
        <f t="shared" si="118"/>
        <v>-0.37515526092809043</v>
      </c>
      <c r="AS164" s="24">
        <f>EXP(-$D$17)*(($B164*FixedParams!$B$30)^$B$10*(1+FixedParams!$D$24)^(1-$B$10)+(1-$B164)^$B$10*((1+FixedParams!$D$27)/$AT$12)^(1-$B$10))^(1/(1-$B$10))</f>
        <v>6.2006823162237081</v>
      </c>
      <c r="AT164" s="24">
        <f>EXP($D164-$D$17)*(($B164*FixedParams!$C$31)^$B$10*(1+FixedParams!$D$25)^(1-$B$10)+(1-$B164)^$B$10*((1+FixedParams!$D$28)/$AT$12)^(1-$B$10))^(1/(1-$B$10))</f>
        <v>6.4648712048570278</v>
      </c>
      <c r="AU164" s="24">
        <f>EXP($D164-$D$17)*(($B164*FixedParams!$C$30)^$B$10*(1+FixedParams!$D$23)^(1-$B$10)+(1-$B164)^$B$10*((1+FixedParams!$D$26)/$AT$12)^(1-$B$10))^(1/(1-$B$10))</f>
        <v>6.2544973238652615</v>
      </c>
      <c r="AV164">
        <f>IF(FixedParams!$I$6=1,IF(AT164&lt;=MIN(AS164:AU164),1,0),$H164)</f>
        <v>0</v>
      </c>
      <c r="AW164">
        <f>IF(FixedParams!$I$6=1,IF(AU164&lt;=MIN(AS164:AU164),1,0),IF(AU164&lt;=AS164,1,0)*(1-$H164))</f>
        <v>0</v>
      </c>
      <c r="AX164" s="24">
        <f>$AT$13*IF(AV164=1,1,IF(AW164=1,FixedParams!$D$52,FixedParams!$D$53))</f>
        <v>0.44031288407969205</v>
      </c>
      <c r="AY164">
        <f>EXP($C164*FixedParams!$B$47)*EXP(IF(AV164+AW164=1,(1-FixedParams!$B$47)*$D164,0))*($B164^((FixedParams!$B$47-1)*$B$10/($B$10-1)))*((1/$B164-1)^$B$10*(AX164)^($B$10-1)+1)^((FixedParams!$B$47-$B$10)/($B$10-1))/((1+IF(AV164=1,FixedParams!$D$25,IF(AW164=1,FixedParams!$D$23,FixedParams!$D$24)))^FixedParams!$B$47)</f>
        <v>4.1599698601967473E-2</v>
      </c>
      <c r="AZ164">
        <f t="shared" si="99"/>
        <v>1.1201792490591698</v>
      </c>
      <c r="BA164">
        <f t="shared" si="119"/>
        <v>28.183560090328569</v>
      </c>
      <c r="BB164">
        <f t="shared" si="100"/>
        <v>20.339650472007179</v>
      </c>
      <c r="BC164">
        <f t="shared" si="120"/>
        <v>48.523210562335748</v>
      </c>
      <c r="BD164" s="24">
        <f t="shared" si="121"/>
        <v>0.72168492578007926</v>
      </c>
      <c r="BE164" s="24">
        <f t="shared" si="122"/>
        <v>2.0997231531704768</v>
      </c>
      <c r="BF164" s="23">
        <f>IF(AV164=1,BA164*(1+FixedParams!$C$25)+BB164*(1+FixedParams!$C$28)/$AT$12,IF(AW164=1,BA164*(1+FixedParams!$C$23)+BB164*(1+FixedParams!$C$26)/$AT$12,BA164*(1+FixedParams!$C$24)+BB164*(1+FixedParams!$C$27)/$AT$12))</f>
        <v>116.30543436272103</v>
      </c>
      <c r="BG164" s="24">
        <f t="shared" si="123"/>
        <v>18.756876813123441</v>
      </c>
      <c r="BH164" s="24">
        <f>BG164^((FixedParams!$B$47-1)/FixedParams!$B$47)*EXP($C164)</f>
        <v>0.15886338844904574</v>
      </c>
      <c r="BI164" s="7"/>
      <c r="BJ164" s="24">
        <f>EXP(-$D$17)*(($B164*FixedParams!$B$30)^$B$10*(1+FixedParams!$C$24)^(1-$B$10)+(1-$B164)^$B$10*((1+FixedParams!$C$27)/$BK$12)^(1-$B$10))^(1/(1-$B$10))</f>
        <v>6.9205121307420434</v>
      </c>
      <c r="BK164" s="24">
        <f>EXP($D164-$D$17)*(($B164*FixedParams!$C$31)^$B$10*(1+FixedParams!$C$25)^(1-$B$10)+(1-$B164)^$B$10*((1+FixedParams!$C$28)/$BK$12)^(1-$B$10))^(1/(1-$B$10))</f>
        <v>6.9109664612824613</v>
      </c>
      <c r="BL164" s="24">
        <f>EXP($D164-$D$17)*(($B164*FixedParams!$C$30)^$B$10*(1+FixedParams!$C$23)^(1-$B$10)+(1-$B164)^$B$10*((1+FixedParams!$C$26)/$BK$12)^(1-$B$10))^(1/(1-$B$10))</f>
        <v>6.6542773798635313</v>
      </c>
      <c r="BM164">
        <f>IF(FixedParams!$I$6=1,IF(BK164&lt;=MIN(BJ164:BL164),1,0),$H164)</f>
        <v>0</v>
      </c>
      <c r="BN164">
        <f>IF(FixedParams!$I$6=1,IF(BL164&lt;=MIN(BJ164:BL164),1,0),IF(BL164&lt;=BJ164,1,0)*(1-$H164))</f>
        <v>1</v>
      </c>
      <c r="BO164" s="24">
        <f>$BK$13*IF(BM164=1,1,IF(BN164=1,FixedParams!$C$52,FixedParams!$C$53))</f>
        <v>0.33006170822567266</v>
      </c>
      <c r="BP164">
        <f>EXP($C164*FixedParams!$B$47)*EXP(IF(BM164+BN164=1,(1-FixedParams!$B$47)*$D164,0))*($B164^((FixedParams!$B$47-1)*$B$10/($B$10-1)))*((1/$B164-1)^$B$10*(BO164)^($B$10-1)+1)^((FixedParams!$B$47-$B$10)/($B$10-1))/((1+IF(BM164=1,FixedParams!$C$25,IF(BN164=1,FixedParams!$C$23,FixedParams!$C$24)))^FixedParams!$B$47)</f>
        <v>5.7187501134438559E-2</v>
      </c>
      <c r="BQ164">
        <f t="shared" si="124"/>
        <v>1.6451558638852095</v>
      </c>
      <c r="BR164">
        <f t="shared" si="125"/>
        <v>41.95831648638827</v>
      </c>
      <c r="BS164">
        <f t="shared" si="101"/>
        <v>19.652432469769323</v>
      </c>
      <c r="BT164">
        <f t="shared" si="126"/>
        <v>61.610748956157593</v>
      </c>
      <c r="BU164" s="24">
        <f t="shared" si="127"/>
        <v>0.46837990928794254</v>
      </c>
      <c r="BV164" s="24">
        <f t="shared" si="128"/>
        <v>2.1134396181272073</v>
      </c>
      <c r="BW164" s="23">
        <f>IF(BM164=1,BR164*(1+FixedParams!$C$25)+BS164*(1+FixedParams!$C$28)/$BK$12,IF(BN164=1,BR164*(1+FixedParams!$C$23)+BS164*(1+FixedParams!$C$26)/$BK$12,BR164*(1+FixedParams!$C$24)+BS164*(1+FixedParams!$C$27)/$BK$12))</f>
        <v>117.30540041873039</v>
      </c>
      <c r="BX164" s="24">
        <f t="shared" si="129"/>
        <v>17.628570875886169</v>
      </c>
      <c r="BY164" s="24">
        <f>BX164^((FixedParams!$B$47-1)/FixedParams!$B$47)*EXP($C164)</f>
        <v>0.15887325442902708</v>
      </c>
      <c r="BZ164" s="24">
        <f t="shared" si="130"/>
        <v>0.11601356161529515</v>
      </c>
      <c r="CA164" s="24">
        <f t="shared" si="131"/>
        <v>-7.5085012369310075E-2</v>
      </c>
      <c r="CB164" s="24">
        <f t="shared" si="132"/>
        <v>-5.7756556449902824E-2</v>
      </c>
      <c r="CC164" s="24"/>
      <c r="CD164" s="24">
        <f>EXP(-$D$17)*(($B164*FixedParams!$B$30)^$B$10*(1+FixedParams!$D$24)^(1-$B$10)+(1-$B164)^$B$10*((1+FixedParams!$D$27)/$CE$12)^(1-$B$10))^(1/(1-$B$10))</f>
        <v>6.3836227378060588</v>
      </c>
      <c r="CE164" s="24">
        <f>EXP($D164-$D$17)*(($B164*FixedParams!$D$31)^$B$10*(1+FixedParams!$D$25)^(1-$B$10)+(1-$B164)^$B$10*((1+FixedParams!$D$28)/$CE$12)^(1-$B$10))^(1/(1-$B$10))</f>
        <v>6.6530421451231225</v>
      </c>
      <c r="CF164" s="24">
        <f>EXP($D164-$D$17)*(($B164*FixedParams!$D$30)^$B$10*(1+FixedParams!$D$23)^(1-$B$10)+(1-$B164)^$B$10*((1+FixedParams!$D$26)/$CE$12)^(1-$B$10))^(1/(1-$B$10))</f>
        <v>6.4302188420184478</v>
      </c>
      <c r="CG164">
        <f>IF(FixedParams!$I$6=1,IF(CE164&lt;=MIN(CD164:CF164),1,0),$H164)</f>
        <v>0</v>
      </c>
      <c r="CH164">
        <f>IF(FixedParams!$I$6=1,IF(CF164&lt;=MIN(CD164:CF164),1,0),IF(CF164&lt;=CD164,1,0)*(1-$H164))</f>
        <v>0</v>
      </c>
      <c r="CI164" s="24">
        <f>$CE$13*IF(CG164=1,1,IF(CH164=1,FixedParams!$D$52,FixedParams!$D$53))</f>
        <v>0.42008589776177102</v>
      </c>
      <c r="CJ164">
        <f>EXP($C164*FixedParams!$B$47)*EXP(IF(CG164+CH164=1,(1-FixedParams!$B$47)*$D164,0))*($B164^((FixedParams!$B$47-1)*$B$10/($B$10-1)))*((1/$B164-1)^$B$10*(CI164)^($B$10-1)+1)^((FixedParams!$B$47-$B$10)/($B$10-1))/((1+IF(CG164=1,FixedParams!$D$25,IF(CH164=1,FixedParams!$D$23,FixedParams!$D$24)))^FixedParams!$B$47)</f>
        <v>4.2210128823057455E-2</v>
      </c>
      <c r="CK164">
        <f t="shared" si="133"/>
        <v>1.1114078956301559</v>
      </c>
      <c r="CL164">
        <f t="shared" si="135"/>
        <v>30.36397687964288</v>
      </c>
      <c r="CM164">
        <f t="shared" si="102"/>
        <v>20.420734060204911</v>
      </c>
      <c r="CN164">
        <f t="shared" si="136"/>
        <v>50.784710939847791</v>
      </c>
      <c r="CO164" s="24">
        <f t="shared" si="137"/>
        <v>0.67253160352311148</v>
      </c>
      <c r="CP164" s="24">
        <f t="shared" si="138"/>
        <v>2.062369501297876</v>
      </c>
      <c r="CQ164" s="23">
        <f>IF(CG164=1,CL164*(1+FixedParams!$D$25)+CM164*(1+FixedParams!$D$28)/$CE$12,IF(CH164=1,CL164*(1+FixedParams!$D$23)+CM164*(1+FixedParams!$D$26)/$CE$12,CL164*(1+FixedParams!$D$24)+CM164*(1+FixedParams!$D$27)/$CE$12))</f>
        <v>115.0071953725452</v>
      </c>
      <c r="CR164" s="24">
        <f t="shared" si="139"/>
        <v>18.015976209156616</v>
      </c>
      <c r="CS164" s="24">
        <f>CR164^((FixedParams!$B$47-1)/FixedParams!$B$47)*EXP($C164)</f>
        <v>0.15886979742273438</v>
      </c>
      <c r="CT164" s="24"/>
    </row>
    <row r="165" spans="1:98" x14ac:dyDescent="0.15">
      <c r="A165">
        <v>0.74</v>
      </c>
      <c r="B165">
        <f t="shared" si="103"/>
        <v>0.35633398344994516</v>
      </c>
      <c r="C165">
        <f>(D165-$D$17)*FixedParams!$B$47+$A165*$B$9</f>
        <v>-1.8492712190845406</v>
      </c>
      <c r="D165">
        <f>(A165-$B$6)*FixedParams!$B$46/(FixedParams!$B$45*Sectors!$B$6)</f>
        <v>0.13040434317427393</v>
      </c>
      <c r="E165">
        <f t="shared" si="104"/>
        <v>0.15735179952581288</v>
      </c>
      <c r="F165" s="24">
        <f>EXP(-$D$17)*(($B165*FixedParams!$B$30)^$B$10*(1+FixedParams!$B$23)^(1-$B$10)+(1-$B165)^$B$10*((1+FixedParams!$B$26)/$B$11)^(1-$B$10))^(1/(1-$B$10))</f>
        <v>4.9235910581154814</v>
      </c>
      <c r="G165" s="24">
        <f>EXP($D165-$D$17)*(($B165*FixedParams!$B$31)^$B$10*(1+FixedParams!$B$25)^(1-$B$10)+(1-$B165)^$B$10*((1+FixedParams!$B$28)/$B$11)^(1-$B$10))^(1/(1-$B$10))</f>
        <v>5.3560962317562533</v>
      </c>
      <c r="H165">
        <f t="shared" si="105"/>
        <v>0</v>
      </c>
      <c r="I165" s="24">
        <f>$B$12*IF(H165=1,1,FixedParams!$B$52)</f>
        <v>0.39101505882574561</v>
      </c>
      <c r="J165">
        <f>EXP($C165*FixedParams!$B$47)*EXP(IF(H165=1,(1-FixedParams!$B$47)*$D165,0))*($B165^((FixedParams!$B$47-1)*$B$10/($B$10-1)))*((1/$B165-1)^$B$10*(I165)^($B$10-1)+1)^((FixedParams!$B$47-$B$10)/($B$10-1))/((1+IF(H165=1,FixedParams!$B$25,FixedParams!$B$24))^FixedParams!$B$47)</f>
        <v>5.8231946213946825E-2</v>
      </c>
      <c r="K165">
        <f t="shared" si="134"/>
        <v>1.1741064148096199</v>
      </c>
      <c r="L165">
        <f>K165*FixedParams!$B$8/K$15</f>
        <v>34.134947737076764</v>
      </c>
      <c r="M165">
        <f t="shared" si="94"/>
        <v>20.262567452929314</v>
      </c>
      <c r="N165">
        <f t="shared" si="106"/>
        <v>54.397515190006075</v>
      </c>
      <c r="O165" s="24">
        <f t="shared" si="107"/>
        <v>0.59360183027087166</v>
      </c>
      <c r="P165" s="24">
        <f t="shared" si="95"/>
        <v>1.9251982472229401</v>
      </c>
      <c r="Q165" s="23">
        <f>IF(H165=1,L165*(1+FixedParams!$B$25)+M165*FixedParams!$B$33*(1+FixedParams!$B$28)/FixedParams!$B$32,L165*(1+FixedParams!$B$23)+M165*FixedParams!$B$33*(1+FixedParams!$B$26)/FixedParams!$B$32)</f>
        <v>92.530961293059335</v>
      </c>
      <c r="R165" s="24">
        <f t="shared" si="96"/>
        <v>18.793388849900914</v>
      </c>
      <c r="S165" s="24">
        <f>R165^((FixedParams!$B$47-1)/FixedParams!$B$47)*EXP($C165)</f>
        <v>0.15689042289130026</v>
      </c>
      <c r="T165" s="7">
        <f>(L165*FixedParams!$B$32*(FixedParams!$C$25-FixedParams!$C$23)+FixedParams!$B$33*(FixedParams!$C$28-FixedParams!$C$26)*M165)/N165</f>
        <v>2661.1909772788663</v>
      </c>
      <c r="U165" s="7">
        <f>(L165*FixedParams!$B$32*(FixedParams!$C$25-FixedParams!$C$23)*$Z$12/$B$11+FixedParams!$B$33*(FixedParams!$C$28-FixedParams!$C$26)*M165)/N165</f>
        <v>2030.9623556390843</v>
      </c>
      <c r="V165" s="14">
        <f t="shared" si="97"/>
        <v>-0.41746270232426641</v>
      </c>
      <c r="W165" s="14">
        <f t="shared" si="108"/>
        <v>0.88874238225143942</v>
      </c>
      <c r="X165" s="73">
        <f t="shared" si="109"/>
        <v>0.89944412966373699</v>
      </c>
      <c r="Y165" s="24">
        <f>EXP(-$D$17)*(($B165*FixedParams!$B$30)^$B$10*(1+FixedParams!$C$24)^(1-$B$10)+(1-$B165)^$B$10*((1+FixedParams!$C$27)/$Z$12)^(1-$B$10))^(1/(1-$B$10))</f>
        <v>6.7015710627105385</v>
      </c>
      <c r="Z165" s="24">
        <f>EXP($D165-$D$17)*(($B165*FixedParams!$C$31)^$B$10*(1+FixedParams!$C$25)^(1-$B$10)+(1-$B165)^$B$10*((1+FixedParams!$C$28)/$Z$12)^(1-$B$10))^(1/(1-$B$10))</f>
        <v>6.7118122620563767</v>
      </c>
      <c r="AA165" s="24">
        <f>EXP($D165-$D$17)*(($B165*FixedParams!$C$30)^$B$10*(1+FixedParams!$C$23)^(1-$B$10)+(1-$B165)^$B$10*((1+FixedParams!$C$26)/$Z$12)^(1-$B$10))^(1/(1-$B$10))</f>
        <v>6.465191019078663</v>
      </c>
      <c r="AB165">
        <f>IF(FixedParams!$I$6=1,IF(Z165&lt;=MIN(Y165:AA165),1,0),$H165)</f>
        <v>0</v>
      </c>
      <c r="AC165">
        <f>IF(FixedParams!$I$6=1,IF(AA165&lt;=MIN(Y165:AA165),1,0),IF(AA165&lt;=Y165,1,0)*(1-$H165))</f>
        <v>1</v>
      </c>
      <c r="AD165" s="24">
        <f>$Z$13*IF(AB165=1,1,IF(AC165=1,FixedParams!$C$52,FixedParams!$C$53))</f>
        <v>0.34709202255780691</v>
      </c>
      <c r="AE165">
        <f>EXP($C165*FixedParams!$B$47)*EXP(IF(AB165+AC165=1,(1-FixedParams!$B$47)*$D165,0))*($B165^((FixedParams!$B$47-1)*$B$10/($B$10-1)))*((1/$B165-1)^$B$10*(AD165)^($B$10-1)+1)^((FixedParams!$B$47-$B$10)/($B$10-1))/((1+IF(AB165=1,FixedParams!$C$25,IF(AC165=1,FixedParams!$C$23,FixedParams!$C$24)))^FixedParams!$B$47)</f>
        <v>5.6215426800426682E-2</v>
      </c>
      <c r="AF165">
        <f t="shared" si="110"/>
        <v>1.6565101594346741</v>
      </c>
      <c r="AG165">
        <f t="shared" si="111"/>
        <v>38.908879868413671</v>
      </c>
      <c r="AH165">
        <f t="shared" si="98"/>
        <v>19.316155049086117</v>
      </c>
      <c r="AI165">
        <f t="shared" si="112"/>
        <v>58.225034917499784</v>
      </c>
      <c r="AJ165" s="24">
        <f t="shared" si="113"/>
        <v>0.496445929937115</v>
      </c>
      <c r="AK165" s="24">
        <f t="shared" si="114"/>
        <v>2.1593338565974789</v>
      </c>
      <c r="AL165" s="23">
        <f>IF(AB165=1,AG165*(1+FixedParams!$C$25)+AH165*(1+FixedParams!$C$28)/$Z$12,IF(AC165=1,AG165*(1+FixedParams!$C$23)+AH165*(1+FixedParams!$C$26)/$Z$12,AG165*(1+FixedParams!$C$24)+AH165*(1+FixedParams!$C$27)/$Z$12))</f>
        <v>109.28502409996403</v>
      </c>
      <c r="AM165" s="24">
        <f t="shared" si="115"/>
        <v>16.903603277531307</v>
      </c>
      <c r="AN165" s="24">
        <f>AM165^((FixedParams!$B$47-1)/FixedParams!$B$47)*EXP($C165)</f>
        <v>0.1569070674043847</v>
      </c>
      <c r="AO165" s="24">
        <f t="shared" si="116"/>
        <v>6.7996939305276269E-2</v>
      </c>
      <c r="AP165" s="24">
        <f t="shared" si="117"/>
        <v>-0.10597834017905612</v>
      </c>
      <c r="AQ165" s="14">
        <f t="shared" si="118"/>
        <v>-0.35788463563200656</v>
      </c>
      <c r="AS165" s="24">
        <f>EXP(-$D$17)*(($B165*FixedParams!$B$30)^$B$10*(1+FixedParams!$D$24)^(1-$B$10)+(1-$B165)^$B$10*((1+FixedParams!$D$27)/$AT$12)^(1-$B$10))^(1/(1-$B$10))</f>
        <v>6.1951273931089075</v>
      </c>
      <c r="AT165" s="24">
        <f>EXP($D165-$D$17)*(($B165*FixedParams!$C$31)^$B$10*(1+FixedParams!$D$25)^(1-$B$10)+(1-$B165)^$B$10*((1+FixedParams!$D$28)/$AT$12)^(1-$B$10))^(1/(1-$B$10))</f>
        <v>6.4748198401390287</v>
      </c>
      <c r="AU165" s="24">
        <f>EXP($D165-$D$17)*(($B165*FixedParams!$C$30)^$B$10*(1+FixedParams!$D$23)^(1-$B$10)+(1-$B165)^$B$10*((1+FixedParams!$D$26)/$AT$12)^(1-$B$10))^(1/(1-$B$10))</f>
        <v>6.2596023049015432</v>
      </c>
      <c r="AV165">
        <f>IF(FixedParams!$I$6=1,IF(AT165&lt;=MIN(AS165:AU165),1,0),$H165)</f>
        <v>0</v>
      </c>
      <c r="AW165">
        <f>IF(FixedParams!$I$6=1,IF(AU165&lt;=MIN(AS165:AU165),1,0),IF(AU165&lt;=AS165,1,0)*(1-$H165))</f>
        <v>0</v>
      </c>
      <c r="AX165" s="24">
        <f>$AT$13*IF(AV165=1,1,IF(AW165=1,FixedParams!$D$52,FixedParams!$D$53))</f>
        <v>0.44031288407969205</v>
      </c>
      <c r="AY165">
        <f>EXP($C165*FixedParams!$B$47)*EXP(IF(AV165+AW165=1,(1-FixedParams!$B$47)*$D165,0))*($B165^((FixedParams!$B$47-1)*$B$10/($B$10-1)))*((1/$B165-1)^$B$10*(AX165)^($B$10-1)+1)^((FixedParams!$B$47-$B$10)/($B$10-1))/((1+IF(AV165=1,FixedParams!$D$25,IF(AW165=1,FixedParams!$D$23,FixedParams!$D$24)))^FixedParams!$B$47)</f>
        <v>4.1525205711505107E-2</v>
      </c>
      <c r="AZ165">
        <f t="shared" si="99"/>
        <v>1.118173335725595</v>
      </c>
      <c r="BA165">
        <f t="shared" si="119"/>
        <v>28.133091579132454</v>
      </c>
      <c r="BB165">
        <f t="shared" si="100"/>
        <v>19.955589274252315</v>
      </c>
      <c r="BC165">
        <f t="shared" si="120"/>
        <v>48.088680853384773</v>
      </c>
      <c r="BD165" s="24">
        <f t="shared" si="121"/>
        <v>0.70932798900261107</v>
      </c>
      <c r="BE165" s="24">
        <f t="shared" si="122"/>
        <v>2.0978421020081375</v>
      </c>
      <c r="BF165" s="23">
        <f>IF(AV165=1,BA165*(1+FixedParams!$C$25)+BB165*(1+FixedParams!$C$28)/$AT$12,IF(AW165=1,BA165*(1+FixedParams!$C$23)+BB165*(1+FixedParams!$C$26)/$AT$12,BA165*(1+FixedParams!$C$24)+BB165*(1+FixedParams!$C$27)/$AT$12))</f>
        <v>114.90843615813583</v>
      </c>
      <c r="BG165" s="24">
        <f t="shared" si="123"/>
        <v>18.548195842744597</v>
      </c>
      <c r="BH165" s="24">
        <f>BG165^((FixedParams!$B$47-1)/FixedParams!$B$47)*EXP($C165)</f>
        <v>0.15689248535053299</v>
      </c>
      <c r="BI165" s="7"/>
      <c r="BJ165" s="24">
        <f>EXP(-$D$17)*(($B165*FixedParams!$B$30)^$B$10*(1+FixedParams!$C$24)^(1-$B$10)+(1-$B165)^$B$10*((1+FixedParams!$C$27)/$BK$12)^(1-$B$10))^(1/(1-$B$10))</f>
        <v>6.9152368773575494</v>
      </c>
      <c r="BK165" s="24">
        <f>EXP($D165-$D$17)*(($B165*FixedParams!$C$31)^$B$10*(1+FixedParams!$C$25)^(1-$B$10)+(1-$B165)^$B$10*((1+FixedParams!$C$28)/$BK$12)^(1-$B$10))^(1/(1-$B$10))</f>
        <v>6.9215870871913383</v>
      </c>
      <c r="BL165" s="24">
        <f>EXP($D165-$D$17)*(($B165*FixedParams!$C$30)^$B$10*(1+FixedParams!$C$23)^(1-$B$10)+(1-$B165)^$B$10*((1+FixedParams!$C$26)/$BK$12)^(1-$B$10))^(1/(1-$B$10))</f>
        <v>6.6584594020708483</v>
      </c>
      <c r="BM165">
        <f>IF(FixedParams!$I$6=1,IF(BK165&lt;=MIN(BJ165:BL165),1,0),$H165)</f>
        <v>0</v>
      </c>
      <c r="BN165">
        <f>IF(FixedParams!$I$6=1,IF(BL165&lt;=MIN(BJ165:BL165),1,0),IF(BL165&lt;=BJ165,1,0)*(1-$H165))</f>
        <v>1</v>
      </c>
      <c r="BO165" s="24">
        <f>$BK$13*IF(BM165=1,1,IF(BN165=1,FixedParams!$C$52,FixedParams!$C$53))</f>
        <v>0.33006170822567266</v>
      </c>
      <c r="BP165">
        <f>EXP($C165*FixedParams!$B$47)*EXP(IF(BM165+BN165=1,(1-FixedParams!$B$47)*$D165,0))*($B165^((FixedParams!$B$47-1)*$B$10/($B$10-1)))*((1/$B165-1)^$B$10*(BO165)^($B$10-1)+1)^((FixedParams!$B$47-$B$10)/($B$10-1))/((1+IF(BM165=1,FixedParams!$C$25,IF(BN165=1,FixedParams!$C$23,FixedParams!$C$24)))^FixedParams!$B$47)</f>
        <v>5.7051163027696361E-2</v>
      </c>
      <c r="BQ165">
        <f t="shared" si="124"/>
        <v>1.6412337230095198</v>
      </c>
      <c r="BR165">
        <f t="shared" si="125"/>
        <v>41.858285582460567</v>
      </c>
      <c r="BS165">
        <f t="shared" si="101"/>
        <v>19.269886540139151</v>
      </c>
      <c r="BT165">
        <f t="shared" si="126"/>
        <v>61.128172122599722</v>
      </c>
      <c r="BU165" s="24">
        <f t="shared" si="127"/>
        <v>0.46036014786553053</v>
      </c>
      <c r="BV165" s="24">
        <f t="shared" si="128"/>
        <v>2.1147678542244246</v>
      </c>
      <c r="BW165" s="23">
        <f>IF(BM165=1,BR165*(1+FixedParams!$C$25)+BS165*(1+FixedParams!$C$28)/$BK$12,IF(BN165=1,BR165*(1+FixedParams!$C$23)+BS165*(1+FixedParams!$C$26)/$BK$12,BR165*(1+FixedParams!$C$24)+BS165*(1+FixedParams!$C$27)/$BK$12))</f>
        <v>115.85030012622768</v>
      </c>
      <c r="BX165" s="24">
        <f t="shared" si="129"/>
        <v>17.398964704988224</v>
      </c>
      <c r="BY165" s="24">
        <f>BX165^((FixedParams!$B$47-1)/FixedParams!$B$47)*EXP($C165)</f>
        <v>0.15690253084626501</v>
      </c>
      <c r="BZ165" s="24">
        <f t="shared" si="130"/>
        <v>0.11665436595036902</v>
      </c>
      <c r="CA165" s="24">
        <f t="shared" si="131"/>
        <v>-7.7094446332960545E-2</v>
      </c>
      <c r="CB165" s="24">
        <f t="shared" si="132"/>
        <v>-5.9765990413553294E-2</v>
      </c>
      <c r="CC165" s="24"/>
      <c r="CD165" s="24">
        <f>EXP(-$D$17)*(($B165*FixedParams!$B$30)^$B$10*(1+FixedParams!$D$24)^(1-$B$10)+(1-$B165)^$B$10*((1+FixedParams!$D$27)/$CE$12)^(1-$B$10))^(1/(1-$B$10))</f>
        <v>6.3766790856322624</v>
      </c>
      <c r="CE165" s="24">
        <f>EXP($D165-$D$17)*(($B165*FixedParams!$D$31)^$B$10*(1+FixedParams!$D$25)^(1-$B$10)+(1-$B165)^$B$10*((1+FixedParams!$D$28)/$CE$12)^(1-$B$10))^(1/(1-$B$10))</f>
        <v>6.66199074347871</v>
      </c>
      <c r="CF165" s="24">
        <f>EXP($D165-$D$17)*(($B165*FixedParams!$D$30)^$B$10*(1+FixedParams!$D$23)^(1-$B$10)+(1-$B165)^$B$10*((1+FixedParams!$D$26)/$CE$12)^(1-$B$10))^(1/(1-$B$10))</f>
        <v>6.4342003706256516</v>
      </c>
      <c r="CG165">
        <f>IF(FixedParams!$I$6=1,IF(CE165&lt;=MIN(CD165:CF165),1,0),$H165)</f>
        <v>0</v>
      </c>
      <c r="CH165">
        <f>IF(FixedParams!$I$6=1,IF(CF165&lt;=MIN(CD165:CF165),1,0),IF(CF165&lt;=CD165,1,0)*(1-$H165))</f>
        <v>0</v>
      </c>
      <c r="CI165" s="24">
        <f>$CE$13*IF(CG165=1,1,IF(CH165=1,FixedParams!$D$52,FixedParams!$D$53))</f>
        <v>0.42008589776177102</v>
      </c>
      <c r="CJ165">
        <f>EXP($C165*FixedParams!$B$47)*EXP(IF(CG165+CH165=1,(1-FixedParams!$B$47)*$D165,0))*($B165^((FixedParams!$B$47-1)*$B$10/($B$10-1)))*((1/$B165-1)^$B$10*(CI165)^($B$10-1)+1)^((FixedParams!$B$47-$B$10)/($B$10-1))/((1+IF(CG165=1,FixedParams!$D$25,IF(CH165=1,FixedParams!$D$23,FixedParams!$D$24)))^FixedParams!$B$47)</f>
        <v>4.2130488693464509E-2</v>
      </c>
      <c r="CK165">
        <f t="shared" si="133"/>
        <v>1.1093109423322958</v>
      </c>
      <c r="CL165">
        <f t="shared" si="135"/>
        <v>30.30668752466865</v>
      </c>
      <c r="CM165">
        <f t="shared" si="102"/>
        <v>20.03321405230529</v>
      </c>
      <c r="CN165">
        <f t="shared" si="136"/>
        <v>50.339901576973944</v>
      </c>
      <c r="CO165" s="24">
        <f t="shared" si="137"/>
        <v>0.66101628678485269</v>
      </c>
      <c r="CP165" s="24">
        <f t="shared" si="138"/>
        <v>2.0601262019897812</v>
      </c>
      <c r="CQ165" s="23">
        <f>IF(CG165=1,CL165*(1+FixedParams!$D$25)+CM165*(1+FixedParams!$D$28)/$CE$12,IF(CH165=1,CL165*(1+FixedParams!$D$23)+CM165*(1+FixedParams!$D$26)/$CE$12,CL165*(1+FixedParams!$D$24)+CM165*(1+FixedParams!$D$27)/$CE$12))</f>
        <v>113.58040790781391</v>
      </c>
      <c r="CR165" s="24">
        <f t="shared" si="139"/>
        <v>17.811843183974833</v>
      </c>
      <c r="CS165" s="24">
        <f>CR165^((FixedParams!$B$47-1)/FixedParams!$B$47)*EXP($C165)</f>
        <v>0.15689884738997439</v>
      </c>
      <c r="CT165" s="24"/>
    </row>
    <row r="166" spans="1:98" x14ac:dyDescent="0.15">
      <c r="A166">
        <v>0.745</v>
      </c>
      <c r="B166">
        <f t="shared" si="103"/>
        <v>0.35897912426434658</v>
      </c>
      <c r="C166">
        <f>(D166-$D$17)*FixedParams!$B$47+$A166*$B$9</f>
        <v>-1.8617662948891658</v>
      </c>
      <c r="D166">
        <f>(A166-$B$6)*FixedParams!$B$46/(FixedParams!$B$45*Sectors!$B$6)</f>
        <v>0.133121100323738</v>
      </c>
      <c r="E166">
        <f t="shared" si="104"/>
        <v>0.15539790928723862</v>
      </c>
      <c r="F166" s="24">
        <f>EXP(-$D$17)*(($B166*FixedParams!$B$30)^$B$10*(1+FixedParams!$B$23)^(1-$B$10)+(1-$B166)^$B$10*((1+FixedParams!$B$26)/$B$11)^(1-$B$10))^(1/(1-$B$10))</f>
        <v>4.9165318647849867</v>
      </c>
      <c r="G166" s="24">
        <f>EXP($D166-$D$17)*(($B166*FixedParams!$B$31)^$B$10*(1+FixedParams!$B$25)^(1-$B$10)+(1-$B166)^$B$10*((1+FixedParams!$B$28)/$B$11)^(1-$B$10))^(1/(1-$B$10))</f>
        <v>5.3620119687756302</v>
      </c>
      <c r="H166">
        <f t="shared" si="105"/>
        <v>0</v>
      </c>
      <c r="I166" s="24">
        <f>$B$12*IF(H166=1,1,FixedParams!$B$52)</f>
        <v>0.39101505882574561</v>
      </c>
      <c r="J166">
        <f>EXP($C166*FixedParams!$B$47)*EXP(IF(H166=1,(1-FixedParams!$B$47)*$D166,0))*($B166^((FixedParams!$B$47-1)*$B$10/($B$10-1)))*((1/$B166-1)^$B$10*(I166)^($B$10-1)+1)^((FixedParams!$B$47-$B$10)/($B$10-1))/((1+IF(H166=1,FixedParams!$B$25,FixedParams!$B$24))^FixedParams!$B$47)</f>
        <v>5.8109338895677057E-2</v>
      </c>
      <c r="K166">
        <f t="shared" si="134"/>
        <v>1.1716343346501443</v>
      </c>
      <c r="L166">
        <f>K166*FixedParams!$B$8/K$15</f>
        <v>34.063076630692223</v>
      </c>
      <c r="M166">
        <f t="shared" si="94"/>
        <v>19.873692491760334</v>
      </c>
      <c r="N166">
        <f t="shared" si="106"/>
        <v>53.93676912245256</v>
      </c>
      <c r="O166" s="24">
        <f t="shared" si="107"/>
        <v>0.58343797617662418</v>
      </c>
      <c r="P166" s="24">
        <f t="shared" si="95"/>
        <v>1.9224379963275544</v>
      </c>
      <c r="Q166" s="23">
        <f>IF(H166=1,L166*(1+FixedParams!$B$25)+M166*FixedParams!$B$33*(1+FixedParams!$B$28)/FixedParams!$B$32,L166*(1+FixedParams!$B$23)+M166*FixedParams!$B$33*(1+FixedParams!$B$26)/FixedParams!$B$32)</f>
        <v>91.38298393041913</v>
      </c>
      <c r="R166" s="24">
        <f t="shared" si="96"/>
        <v>18.58687921560243</v>
      </c>
      <c r="S166" s="24">
        <f>R166^((FixedParams!$B$47-1)/FixedParams!$B$47)*EXP($C166)</f>
        <v>0.15494397543871369</v>
      </c>
      <c r="T166" s="7">
        <f>(L166*FixedParams!$B$32*(FixedParams!$C$25-FixedParams!$C$23)+FixedParams!$B$33*(FixedParams!$C$28-FixedParams!$C$26)*M166)/N166</f>
        <v>2706.8871336739862</v>
      </c>
      <c r="U166" s="7">
        <f>(L166*FixedParams!$B$32*(FixedParams!$C$25-FixedParams!$C$23)*$Z$12/$B$11+FixedParams!$B$33*(FixedParams!$C$28-FixedParams!$C$26)*M166)/N166</f>
        <v>2072.6131677562853</v>
      </c>
      <c r="V166" s="14">
        <f t="shared" si="97"/>
        <v>-0.40019207702818255</v>
      </c>
      <c r="W166" s="14">
        <f t="shared" si="108"/>
        <v>0.89138786599103836</v>
      </c>
      <c r="X166" s="73">
        <f t="shared" si="109"/>
        <v>0.89745124574954704</v>
      </c>
      <c r="Y166" s="24">
        <f>EXP(-$D$17)*(($B166*FixedParams!$B$30)^$B$10*(1+FixedParams!$C$24)^(1-$B$10)+(1-$B166)^$B$10*((1+FixedParams!$C$27)/$Z$12)^(1-$B$10))^(1/(1-$B$10))</f>
        <v>6.6975015666924005</v>
      </c>
      <c r="Z166" s="24">
        <f>EXP($D166-$D$17)*(($B166*FixedParams!$C$31)^$B$10*(1+FixedParams!$C$25)^(1-$B$10)+(1-$B166)^$B$10*((1+FixedParams!$C$28)/$Z$12)^(1-$B$10))^(1/(1-$B$10))</f>
        <v>6.7231749021900313</v>
      </c>
      <c r="AA166" s="24">
        <f>EXP($D166-$D$17)*(($B166*FixedParams!$C$30)^$B$10*(1+FixedParams!$C$23)^(1-$B$10)+(1-$B166)^$B$10*((1+FixedParams!$C$26)/$Z$12)^(1-$B$10))^(1/(1-$B$10))</f>
        <v>6.4702719706826786</v>
      </c>
      <c r="AB166">
        <f>IF(FixedParams!$I$6=1,IF(Z166&lt;=MIN(Y166:AA166),1,0),$H166)</f>
        <v>0</v>
      </c>
      <c r="AC166">
        <f>IF(FixedParams!$I$6=1,IF(AA166&lt;=MIN(Y166:AA166),1,0),IF(AA166&lt;=Y166,1,0)*(1-$H166))</f>
        <v>1</v>
      </c>
      <c r="AD166" s="24">
        <f>$Z$13*IF(AB166=1,1,IF(AC166=1,FixedParams!$C$52,FixedParams!$C$53))</f>
        <v>0.34709202255780691</v>
      </c>
      <c r="AE166">
        <f>EXP($C166*FixedParams!$B$47)*EXP(IF(AB166+AC166=1,(1-FixedParams!$B$47)*$D166,0))*($B166^((FixedParams!$B$47-1)*$B$10/($B$10-1)))*((1/$B166-1)^$B$10*(AD166)^($B$10-1)+1)^((FixedParams!$B$47-$B$10)/($B$10-1))/((1+IF(AB166=1,FixedParams!$C$25,IF(AC166=1,FixedParams!$C$23,FixedParams!$C$24)))^FixedParams!$B$47)</f>
        <v>5.6083268375246152E-2</v>
      </c>
      <c r="AF166">
        <f t="shared" si="110"/>
        <v>1.6526158231923533</v>
      </c>
      <c r="AG166">
        <f t="shared" si="111"/>
        <v>38.817407890317639</v>
      </c>
      <c r="AH166">
        <f t="shared" si="98"/>
        <v>18.940783868114256</v>
      </c>
      <c r="AI166">
        <f t="shared" si="112"/>
        <v>57.758191758431892</v>
      </c>
      <c r="AJ166" s="24">
        <f t="shared" si="113"/>
        <v>0.48794561248482338</v>
      </c>
      <c r="AK166" s="24">
        <f t="shared" si="114"/>
        <v>2.1610308630416672</v>
      </c>
      <c r="AL166" s="23">
        <f>IF(AB166=1,AG166*(1+FixedParams!$C$25)+AH166*(1+FixedParams!$C$28)/$Z$12,IF(AC166=1,AG166*(1+FixedParams!$C$23)+AH166*(1+FixedParams!$C$26)/$Z$12,AG166*(1+FixedParams!$C$24)+AH166*(1+FixedParams!$C$27)/$Z$12))</f>
        <v>107.92942854938653</v>
      </c>
      <c r="AM166" s="24">
        <f t="shared" si="115"/>
        <v>16.680817906638765</v>
      </c>
      <c r="AN166" s="24">
        <f>AM166^((FixedParams!$B$47-1)/FixedParams!$B$47)*EXP($C166)</f>
        <v>0.15496075752176997</v>
      </c>
      <c r="AO166" s="24">
        <f t="shared" si="116"/>
        <v>6.8452769674145333E-2</v>
      </c>
      <c r="AP166" s="24">
        <f t="shared" si="117"/>
        <v>-0.1081964823798391</v>
      </c>
      <c r="AQ166" s="14">
        <f t="shared" si="118"/>
        <v>-0.3406140103359232</v>
      </c>
      <c r="AS166" s="24">
        <f>EXP(-$D$17)*(($B166*FixedParams!$B$30)^$B$10*(1+FixedParams!$D$24)^(1-$B$10)+(1-$B166)^$B$10*((1+FixedParams!$D$27)/$AT$12)^(1-$B$10))^(1/(1-$B$10))</f>
        <v>6.1892694996397237</v>
      </c>
      <c r="AT166" s="24">
        <f>EXP($D166-$D$17)*(($B166*FixedParams!$C$31)^$B$10*(1+FixedParams!$D$25)^(1-$B$10)+(1-$B166)^$B$10*((1+FixedParams!$D$28)/$AT$12)^(1-$B$10))^(1/(1-$B$10))</f>
        <v>6.4844539860239836</v>
      </c>
      <c r="AU166" s="24">
        <f>EXP($D166-$D$17)*(($B166*FixedParams!$C$30)^$B$10*(1+FixedParams!$D$23)^(1-$B$10)+(1-$B166)^$B$10*((1+FixedParams!$D$26)/$AT$12)^(1-$B$10))^(1/(1-$B$10))</f>
        <v>6.264377462407773</v>
      </c>
      <c r="AV166">
        <f>IF(FixedParams!$I$6=1,IF(AT166&lt;=MIN(AS166:AU166),1,0),$H166)</f>
        <v>0</v>
      </c>
      <c r="AW166">
        <f>IF(FixedParams!$I$6=1,IF(AU166&lt;=MIN(AS166:AU166),1,0),IF(AU166&lt;=AS166,1,0)*(1-$H166))</f>
        <v>0</v>
      </c>
      <c r="AX166" s="24">
        <f>$AT$13*IF(AV166=1,1,IF(AW166=1,FixedParams!$D$52,FixedParams!$D$53))</f>
        <v>0.44031288407969205</v>
      </c>
      <c r="AY166">
        <f>EXP($C166*FixedParams!$B$47)*EXP(IF(AV166+AW166=1,(1-FixedParams!$B$47)*$D166,0))*($B166^((FixedParams!$B$47-1)*$B$10/($B$10-1)))*((1/$B166-1)^$B$10*(AX166)^($B$10-1)+1)^((FixedParams!$B$47-$B$10)/($B$10-1))/((1+IF(AV166=1,FixedParams!$D$25,IF(AW166=1,FixedParams!$D$23,FixedParams!$D$24)))^FixedParams!$B$47)</f>
        <v>4.1447922600574463E-2</v>
      </c>
      <c r="AZ166">
        <f t="shared" si="99"/>
        <v>1.1160922885046627</v>
      </c>
      <c r="BA166">
        <f t="shared" si="119"/>
        <v>28.080732709379049</v>
      </c>
      <c r="BB166">
        <f t="shared" si="100"/>
        <v>19.577399136961574</v>
      </c>
      <c r="BC166">
        <f t="shared" si="120"/>
        <v>47.658131846340623</v>
      </c>
      <c r="BD166" s="24">
        <f t="shared" si="121"/>
        <v>0.69718263193405439</v>
      </c>
      <c r="BE166" s="24">
        <f t="shared" si="122"/>
        <v>2.0958584566738381</v>
      </c>
      <c r="BF166" s="23">
        <f>IF(AV166=1,BA166*(1+FixedParams!$C$25)+BB166*(1+FixedParams!$C$28)/$AT$12,IF(AW166=1,BA166*(1+FixedParams!$C$23)+BB166*(1+FixedParams!$C$26)/$AT$12,BA166*(1+FixedParams!$C$24)+BB166*(1+FixedParams!$C$27)/$AT$12))</f>
        <v>113.52837765577917</v>
      </c>
      <c r="BG166" s="24">
        <f t="shared" si="123"/>
        <v>18.342774969224983</v>
      </c>
      <c r="BH166" s="24">
        <f>BG166^((FixedParams!$B$47-1)/FixedParams!$B$47)*EXP($C166)</f>
        <v>0.15494602588545947</v>
      </c>
      <c r="BI166" s="7"/>
      <c r="BJ166" s="24">
        <f>EXP(-$D$17)*(($B166*FixedParams!$B$30)^$B$10*(1+FixedParams!$C$24)^(1-$B$10)+(1-$B166)^$B$10*((1+FixedParams!$C$27)/$BK$12)^(1-$B$10))^(1/(1-$B$10))</f>
        <v>6.9096256603995228</v>
      </c>
      <c r="BK166" s="24">
        <f>EXP($D166-$D$17)*(($B166*FixedParams!$C$31)^$B$10*(1+FixedParams!$C$25)^(1-$B$10)+(1-$B166)^$B$10*((1+FixedParams!$C$28)/$BK$12)^(1-$B$10))^(1/(1-$B$10))</f>
        <v>6.9318714252623872</v>
      </c>
      <c r="BL166" s="24">
        <f>EXP($D166-$D$17)*(($B166*FixedParams!$C$30)^$B$10*(1+FixedParams!$C$23)^(1-$B$10)+(1-$B166)^$B$10*((1+FixedParams!$C$26)/$BK$12)^(1-$B$10))^(1/(1-$B$10))</f>
        <v>6.662285166226444</v>
      </c>
      <c r="BM166">
        <f>IF(FixedParams!$I$6=1,IF(BK166&lt;=MIN(BJ166:BL166),1,0),$H166)</f>
        <v>0</v>
      </c>
      <c r="BN166">
        <f>IF(FixedParams!$I$6=1,IF(BL166&lt;=MIN(BJ166:BL166),1,0),IF(BL166&lt;=BJ166,1,0)*(1-$H166))</f>
        <v>1</v>
      </c>
      <c r="BO166" s="24">
        <f>$BK$13*IF(BM166=1,1,IF(BN166=1,FixedParams!$C$52,FixedParams!$C$53))</f>
        <v>0.33006170822567266</v>
      </c>
      <c r="BP166">
        <f>EXP($C166*FixedParams!$B$47)*EXP(IF(BM166+BN166=1,(1-FixedParams!$B$47)*$D166,0))*($B166^((FixedParams!$B$47-1)*$B$10/($B$10-1)))*((1/$B166-1)^$B$10*(BO166)^($B$10-1)+1)^((FixedParams!$B$47-$B$10)/($B$10-1))/((1+IF(BM166=1,FixedParams!$C$25,IF(BN166=1,FixedParams!$C$23,FixedParams!$C$24)))^FixedParams!$B$47)</f>
        <v>5.6911018335813066E-2</v>
      </c>
      <c r="BQ166">
        <f t="shared" si="124"/>
        <v>1.6372020752356089</v>
      </c>
      <c r="BR166">
        <f t="shared" si="125"/>
        <v>41.755461797205413</v>
      </c>
      <c r="BS166">
        <f t="shared" si="101"/>
        <v>18.893415464598618</v>
      </c>
      <c r="BT166">
        <f t="shared" si="126"/>
        <v>60.648877261804031</v>
      </c>
      <c r="BU166" s="24">
        <f t="shared" si="127"/>
        <v>0.45247770354830819</v>
      </c>
      <c r="BV166" s="24">
        <f t="shared" si="128"/>
        <v>2.1159829405628021</v>
      </c>
      <c r="BW166" s="23">
        <f>IF(BM166=1,BR166*(1+FixedParams!$C$25)+BS166*(1+FixedParams!$C$28)/$BK$12,IF(BN166=1,BR166*(1+FixedParams!$C$23)+BS166*(1+FixedParams!$C$26)/$BK$12,BR166*(1+FixedParams!$C$24)+BS166*(1+FixedParams!$C$27)/$BK$12))</f>
        <v>114.41324328176975</v>
      </c>
      <c r="BX166" s="24">
        <f t="shared" si="129"/>
        <v>17.173273197876945</v>
      </c>
      <c r="BY166" s="24">
        <f>BX166^((FixedParams!$B$47-1)/FixedParams!$B$47)*EXP($C166)</f>
        <v>0.15495624451278364</v>
      </c>
      <c r="BZ166" s="24">
        <f t="shared" si="130"/>
        <v>0.11728870516045931</v>
      </c>
      <c r="CA166" s="24">
        <f t="shared" si="131"/>
        <v>-7.9101621833007424E-2</v>
      </c>
      <c r="CB166" s="24">
        <f t="shared" si="132"/>
        <v>-6.1773165913600173E-2</v>
      </c>
      <c r="CC166" s="24"/>
      <c r="CD166" s="24">
        <f>EXP(-$D$17)*(($B166*FixedParams!$B$30)^$B$10*(1+FixedParams!$D$24)^(1-$B$10)+(1-$B166)^$B$10*((1+FixedParams!$D$27)/$CE$12)^(1-$B$10))^(1/(1-$B$10))</f>
        <v>6.3694212402569699</v>
      </c>
      <c r="CE166" s="24">
        <f>EXP($D166-$D$17)*(($B166*FixedParams!$D$31)^$B$10*(1+FixedParams!$D$25)^(1-$B$10)+(1-$B166)^$B$10*((1+FixedParams!$D$28)/$CE$12)^(1-$B$10))^(1/(1-$B$10))</f>
        <v>6.6706073754886708</v>
      </c>
      <c r="CF166" s="24">
        <f>EXP($D166-$D$17)*(($B166*FixedParams!$D$30)^$B$10*(1+FixedParams!$D$23)^(1-$B$10)+(1-$B166)^$B$10*((1+FixedParams!$D$26)/$CE$12)^(1-$B$10))^(1/(1-$B$10))</f>
        <v>6.4378373988839783</v>
      </c>
      <c r="CG166">
        <f>IF(FixedParams!$I$6=1,IF(CE166&lt;=MIN(CD166:CF166),1,0),$H166)</f>
        <v>0</v>
      </c>
      <c r="CH166">
        <f>IF(FixedParams!$I$6=1,IF(CF166&lt;=MIN(CD166:CF166),1,0),IF(CF166&lt;=CD166,1,0)*(1-$H166))</f>
        <v>0</v>
      </c>
      <c r="CI166" s="24">
        <f>$CE$13*IF(CG166=1,1,IF(CH166=1,FixedParams!$D$52,FixedParams!$D$53))</f>
        <v>0.42008589776177102</v>
      </c>
      <c r="CJ166">
        <f>EXP($C166*FixedParams!$B$47)*EXP(IF(CG166+CH166=1,(1-FixedParams!$B$47)*$D166,0))*($B166^((FixedParams!$B$47-1)*$B$10/($B$10-1)))*((1/$B166-1)^$B$10*(CI166)^($B$10-1)+1)^((FixedParams!$B$47-$B$10)/($B$10-1))/((1+IF(CG166=1,FixedParams!$D$25,IF(CH166=1,FixedParams!$D$23,FixedParams!$D$24)))^FixedParams!$B$47)</f>
        <v>4.2048016886722793E-2</v>
      </c>
      <c r="CK166">
        <f t="shared" si="133"/>
        <v>1.1071394299551633</v>
      </c>
      <c r="CL166">
        <f t="shared" si="135"/>
        <v>30.247361194639545</v>
      </c>
      <c r="CM166">
        <f t="shared" si="102"/>
        <v>19.651654285337258</v>
      </c>
      <c r="CN166">
        <f t="shared" si="136"/>
        <v>49.899015479976804</v>
      </c>
      <c r="CO166" s="24">
        <f t="shared" si="137"/>
        <v>0.64969813924858799</v>
      </c>
      <c r="CP166" s="24">
        <f t="shared" si="138"/>
        <v>2.057781395668679</v>
      </c>
      <c r="CQ166" s="23">
        <f>IF(CG166=1,CL166*(1+FixedParams!$D$25)+CM166*(1+FixedParams!$D$28)/$CE$12,IF(CH166=1,CL166*(1+FixedParams!$D$23)+CM166*(1+FixedParams!$D$26)/$CE$12,CL166*(1+FixedParams!$D$24)+CM166*(1+FixedParams!$D$27)/$CE$12))</f>
        <v>112.17131560398904</v>
      </c>
      <c r="CR166" s="24">
        <f t="shared" si="139"/>
        <v>17.61091178818997</v>
      </c>
      <c r="CS166" s="24">
        <f>CR166^((FixedParams!$B$47-1)/FixedParams!$B$47)*EXP($C166)</f>
        <v>0.1549523412767401</v>
      </c>
      <c r="CT166" s="24"/>
    </row>
    <row r="167" spans="1:98" x14ac:dyDescent="0.15">
      <c r="A167">
        <v>0.75</v>
      </c>
      <c r="B167">
        <f t="shared" si="103"/>
        <v>0.36163286867308253</v>
      </c>
      <c r="C167">
        <f>(D167-$D$17)*FixedParams!$B$47+$A167*$B$9</f>
        <v>-1.8742613706937914</v>
      </c>
      <c r="D167">
        <f>(A167-$B$6)*FixedParams!$B$46/(FixedParams!$B$45*Sectors!$B$6)</f>
        <v>0.13583785747320204</v>
      </c>
      <c r="E167">
        <f t="shared" si="104"/>
        <v>0.15346828116117842</v>
      </c>
      <c r="F167" s="24">
        <f>EXP(-$D$17)*(($B167*FixedParams!$B$30)^$B$10*(1+FixedParams!$B$23)^(1-$B$10)+(1-$B167)^$B$10*((1+FixedParams!$B$26)/$B$11)^(1-$B$10))^(1/(1-$B$10))</f>
        <v>4.909228464118871</v>
      </c>
      <c r="G167" s="24">
        <f>EXP($D167-$D$17)*(($B167*FixedParams!$B$31)^$B$10*(1+FixedParams!$B$25)^(1-$B$10)+(1-$B167)^$B$10*((1+FixedParams!$B$28)/$B$11)^(1-$B$10))^(1/(1-$B$10))</f>
        <v>5.3676529815780061</v>
      </c>
      <c r="H167">
        <f t="shared" si="105"/>
        <v>0</v>
      </c>
      <c r="I167" s="24">
        <f>$B$12*IF(H167=1,1,FixedParams!$B$52)</f>
        <v>0.39101505882574561</v>
      </c>
      <c r="J167">
        <f>EXP($C167*FixedParams!$B$47)*EXP(IF(H167=1,(1-FixedParams!$B$47)*$D167,0))*($B167^((FixedParams!$B$47-1)*$B$10/($B$10-1)))*((1/$B167-1)^$B$10*(I167)^($B$10-1)+1)^((FixedParams!$B$47-$B$10)/($B$10-1))/((1+IF(H167=1,FixedParams!$B$25,FixedParams!$B$24))^FixedParams!$B$47)</f>
        <v>5.7982831515760502E-2</v>
      </c>
      <c r="K167">
        <f t="shared" si="134"/>
        <v>1.1690836191762863</v>
      </c>
      <c r="L167">
        <f>K167*FixedParams!$B$8/K$15</f>
        <v>33.988919349636561</v>
      </c>
      <c r="M167">
        <f t="shared" si="94"/>
        <v>19.490882958172719</v>
      </c>
      <c r="N167">
        <f t="shared" si="106"/>
        <v>53.47980230780928</v>
      </c>
      <c r="O167" s="24">
        <f t="shared" si="107"/>
        <v>0.57344815107754032</v>
      </c>
      <c r="P167" s="24">
        <f t="shared" si="95"/>
        <v>1.9195822566864651</v>
      </c>
      <c r="Q167" s="23">
        <f>IF(H167=1,L167*(1+FixedParams!$B$25)+M167*FixedParams!$B$33*(1+FixedParams!$B$28)/FixedParams!$B$32,L167*(1+FixedParams!$B$23)+M167*FixedParams!$B$33*(1+FixedParams!$B$26)/FixedParams!$B$32)</f>
        <v>90.249244174220991</v>
      </c>
      <c r="R167" s="24">
        <f t="shared" si="96"/>
        <v>18.383590177936302</v>
      </c>
      <c r="S167" s="24">
        <f>R167^((FixedParams!$B$47-1)/FixedParams!$B$47)*EXP($C167)</f>
        <v>0.15302166849071544</v>
      </c>
      <c r="T167" s="7">
        <f>(L167*FixedParams!$B$32*(FixedParams!$C$25-FixedParams!$C$23)+FixedParams!$B$33*(FixedParams!$C$28-FixedParams!$C$26)*M167)/N167</f>
        <v>2752.3761471457815</v>
      </c>
      <c r="U167" s="7">
        <f>(L167*FixedParams!$B$32*(FixedParams!$C$25-FixedParams!$C$23)*$Z$12/$B$11+FixedParams!$B$33*(FixedParams!$C$28-FixedParams!$C$26)*M167)/N167</f>
        <v>2114.0751746946394</v>
      </c>
      <c r="V167" s="14">
        <f t="shared" si="97"/>
        <v>-0.3829214517320994</v>
      </c>
      <c r="W167" s="14">
        <f t="shared" si="108"/>
        <v>0.89401093648087571</v>
      </c>
      <c r="X167" s="73">
        <f t="shared" si="109"/>
        <v>0.89546418364629166</v>
      </c>
      <c r="Y167" s="24">
        <f>EXP(-$D$17)*(($B167*FixedParams!$B$30)^$B$10*(1+FixedParams!$C$24)^(1-$B$10)+(1-$B167)^$B$10*((1+FixedParams!$C$27)/$Z$12)^(1-$B$10))^(1/(1-$B$10))</f>
        <v>6.6931090187763456</v>
      </c>
      <c r="Z167" s="24">
        <f>EXP($D167-$D$17)*(($B167*FixedParams!$C$31)^$B$10*(1+FixedParams!$C$25)^(1-$B$10)+(1-$B167)^$B$10*((1+FixedParams!$C$28)/$Z$12)^(1-$B$10))^(1/(1-$B$10))</f>
        <v>6.7342178935188119</v>
      </c>
      <c r="AA167" s="24">
        <f>EXP($D167-$D$17)*(($B167*FixedParams!$C$30)^$B$10*(1+FixedParams!$C$23)^(1-$B$10)+(1-$B167)^$B$10*((1+FixedParams!$C$26)/$Z$12)^(1-$B$10))^(1/(1-$B$10))</f>
        <v>6.4750112907921142</v>
      </c>
      <c r="AB167">
        <f>IF(FixedParams!$I$6=1,IF(Z167&lt;=MIN(Y167:AA167),1,0),$H167)</f>
        <v>0</v>
      </c>
      <c r="AC167">
        <f>IF(FixedParams!$I$6=1,IF(AA167&lt;=MIN(Y167:AA167),1,0),IF(AA167&lt;=Y167,1,0)*(1-$H167))</f>
        <v>1</v>
      </c>
      <c r="AD167" s="24">
        <f>$Z$13*IF(AB167=1,1,IF(AC167=1,FixedParams!$C$52,FixedParams!$C$53))</f>
        <v>0.34709202255780691</v>
      </c>
      <c r="AE167">
        <f>EXP($C167*FixedParams!$B$47)*EXP(IF(AB167+AC167=1,(1-FixedParams!$B$47)*$D167,0))*($B167^((FixedParams!$B$47-1)*$B$10/($B$10-1)))*((1/$B167-1)^$B$10*(AD167)^($B$10-1)+1)^((FixedParams!$B$47-$B$10)/($B$10-1))/((1+IF(AB167=1,FixedParams!$C$25,IF(AC167=1,FixedParams!$C$23,FixedParams!$C$24)))^FixedParams!$B$47)</f>
        <v>5.5947364342158336E-2</v>
      </c>
      <c r="AF167">
        <f t="shared" si="110"/>
        <v>1.6486111144436792</v>
      </c>
      <c r="AG167">
        <f t="shared" si="111"/>
        <v>38.723343431538026</v>
      </c>
      <c r="AH167">
        <f t="shared" si="98"/>
        <v>18.571360818765267</v>
      </c>
      <c r="AI167">
        <f t="shared" si="112"/>
        <v>57.294704250303297</v>
      </c>
      <c r="AJ167" s="24">
        <f t="shared" si="113"/>
        <v>0.47959084038285599</v>
      </c>
      <c r="AK167" s="24">
        <f t="shared" si="114"/>
        <v>2.1626137666773615</v>
      </c>
      <c r="AL167" s="23">
        <f>IF(AB167=1,AG167*(1+FixedParams!$C$25)+AH167*(1+FixedParams!$C$28)/$Z$12,IF(AC167=1,AG167*(1+FixedParams!$C$23)+AH167*(1+FixedParams!$C$26)/$Z$12,AG167*(1+FixedParams!$C$24)+AH167*(1+FixedParams!$C$27)/$Z$12))</f>
        <v>106.59064241563726</v>
      </c>
      <c r="AM167" s="24">
        <f t="shared" si="115"/>
        <v>16.461846571173716</v>
      </c>
      <c r="AN167" s="24">
        <f>AM167^((FixedParams!$B$47-1)/FixedParams!$B$47)*EXP($C167)</f>
        <v>0.15303858192764558</v>
      </c>
      <c r="AO167" s="24">
        <f t="shared" si="116"/>
        <v>6.8904142325009701E-2</v>
      </c>
      <c r="AP167" s="24">
        <f t="shared" si="117"/>
        <v>-0.1104130542094349</v>
      </c>
      <c r="AQ167" s="14">
        <f t="shared" si="118"/>
        <v>-0.32334338503983984</v>
      </c>
      <c r="AS167" s="24">
        <f>EXP(-$D$17)*(($B167*FixedParams!$B$30)^$B$10*(1+FixedParams!$D$24)^(1-$B$10)+(1-$B167)^$B$10*((1+FixedParams!$D$27)/$AT$12)^(1-$B$10))^(1/(1-$B$10))</f>
        <v>6.183107888831854</v>
      </c>
      <c r="AT167" s="24">
        <f>EXP($D167-$D$17)*(($B167*FixedParams!$C$31)^$B$10*(1+FixedParams!$D$25)^(1-$B$10)+(1-$B167)^$B$10*((1+FixedParams!$D$28)/$AT$12)^(1-$B$10))^(1/(1-$B$10))</f>
        <v>6.4937707310179364</v>
      </c>
      <c r="AU167" s="24">
        <f>EXP($D167-$D$17)*(($B167*FixedParams!$C$30)^$B$10*(1+FixedParams!$D$23)^(1-$B$10)+(1-$B167)^$B$10*((1+FixedParams!$D$26)/$AT$12)^(1-$B$10))^(1/(1-$B$10))</f>
        <v>6.2688212247348085</v>
      </c>
      <c r="AV167">
        <f>IF(FixedParams!$I$6=1,IF(AT167&lt;=MIN(AS167:AU167),1,0),$H167)</f>
        <v>0</v>
      </c>
      <c r="AW167">
        <f>IF(FixedParams!$I$6=1,IF(AU167&lt;=MIN(AS167:AU167),1,0),IF(AU167&lt;=AS167,1,0)*(1-$H167))</f>
        <v>0</v>
      </c>
      <c r="AX167" s="24">
        <f>$AT$13*IF(AV167=1,1,IF(AW167=1,FixedParams!$D$52,FixedParams!$D$53))</f>
        <v>0.44031288407969205</v>
      </c>
      <c r="AY167">
        <f>EXP($C167*FixedParams!$B$47)*EXP(IF(AV167+AW167=1,(1-FixedParams!$B$47)*$D167,0))*($B167^((FixedParams!$B$47-1)*$B$10/($B$10-1)))*((1/$B167-1)^$B$10*(AX167)^($B$10-1)+1)^((FixedParams!$B$47-$B$10)/($B$10-1))/((1+IF(AV167=1,FixedParams!$D$25,IF(AW167=1,FixedParams!$D$23,FixedParams!$D$24)))^FixedParams!$B$47)</f>
        <v>4.1367853742516801E-2</v>
      </c>
      <c r="AZ167">
        <f t="shared" si="99"/>
        <v>1.1139362278526317</v>
      </c>
      <c r="BA167">
        <f t="shared" si="119"/>
        <v>28.026486511731711</v>
      </c>
      <c r="BB167">
        <f t="shared" si="100"/>
        <v>19.205016247226293</v>
      </c>
      <c r="BC167">
        <f t="shared" si="120"/>
        <v>47.231502758958001</v>
      </c>
      <c r="BD167" s="24">
        <f t="shared" si="121"/>
        <v>0.68524523183407926</v>
      </c>
      <c r="BE167" s="24">
        <f t="shared" si="122"/>
        <v>2.0937719642179577</v>
      </c>
      <c r="BF167" s="23">
        <f>IF(AV167=1,BA167*(1+FixedParams!$C$25)+BB167*(1+FixedParams!$C$28)/$AT$12,IF(AW167=1,BA167*(1+FixedParams!$C$23)+BB167*(1+FixedParams!$C$26)/$AT$12,BA167*(1+FixedParams!$C$24)+BB167*(1+FixedParams!$C$27)/$AT$12))</f>
        <v>112.16504567914689</v>
      </c>
      <c r="BG167" s="24">
        <f t="shared" si="123"/>
        <v>18.140560976098008</v>
      </c>
      <c r="BH167" s="24">
        <f>BG167^((FixedParams!$B$47-1)/FixedParams!$B$47)*EXP($C167)</f>
        <v>0.15302370696422413</v>
      </c>
      <c r="BI167" s="7"/>
      <c r="BJ167" s="24">
        <f>EXP(-$D$17)*(($B167*FixedParams!$B$30)^$B$10*(1+FixedParams!$C$24)^(1-$B$10)+(1-$B167)^$B$10*((1+FixedParams!$C$27)/$BK$12)^(1-$B$10))^(1/(1-$B$10))</f>
        <v>6.9036773844579118</v>
      </c>
      <c r="BK167" s="24">
        <f>EXP($D167-$D$17)*(($B167*FixedParams!$C$31)^$B$10*(1+FixedParams!$C$25)^(1-$B$10)+(1-$B167)^$B$10*((1+FixedParams!$C$28)/$BK$12)^(1-$B$10))^(1/(1-$B$10))</f>
        <v>6.941816366875261</v>
      </c>
      <c r="BL167" s="24">
        <f>EXP($D167-$D$17)*(($B167*FixedParams!$C$30)^$B$10*(1+FixedParams!$C$23)^(1-$B$10)+(1-$B167)^$B$10*((1+FixedParams!$C$26)/$BK$12)^(1-$B$10))^(1/(1-$B$10))</f>
        <v>6.6657533648907785</v>
      </c>
      <c r="BM167">
        <f>IF(FixedParams!$I$6=1,IF(BK167&lt;=MIN(BJ167:BL167),1,0),$H167)</f>
        <v>0</v>
      </c>
      <c r="BN167">
        <f>IF(FixedParams!$I$6=1,IF(BL167&lt;=MIN(BJ167:BL167),1,0),IF(BL167&lt;=BJ167,1,0)*(1-$H167))</f>
        <v>1</v>
      </c>
      <c r="BO167" s="24">
        <f>$BK$13*IF(BM167=1,1,IF(BN167=1,FixedParams!$C$52,FixedParams!$C$53))</f>
        <v>0.33006170822567266</v>
      </c>
      <c r="BP167">
        <f>EXP($C167*FixedParams!$B$47)*EXP(IF(BM167+BN167=1,(1-FixedParams!$B$47)*$D167,0))*($B167^((FixedParams!$B$47-1)*$B$10/($B$10-1)))*((1/$B167-1)^$B$10*(BO167)^($B$10-1)+1)^((FixedParams!$B$47-$B$10)/($B$10-1))/((1+IF(BM167=1,FixedParams!$C$25,IF(BN167=1,FixedParams!$C$23,FixedParams!$C$24)))^FixedParams!$B$47)</f>
        <v>5.6767085285334751E-2</v>
      </c>
      <c r="BQ167">
        <f t="shared" si="124"/>
        <v>1.6330614449002385</v>
      </c>
      <c r="BR167">
        <f t="shared" si="125"/>
        <v>41.649858503390853</v>
      </c>
      <c r="BS167">
        <f t="shared" si="101"/>
        <v>18.522950949500068</v>
      </c>
      <c r="BT167">
        <f t="shared" si="126"/>
        <v>60.172809452890917</v>
      </c>
      <c r="BU167" s="24">
        <f t="shared" si="127"/>
        <v>0.44473022514571214</v>
      </c>
      <c r="BV167" s="24">
        <f t="shared" si="128"/>
        <v>2.1170844618914622</v>
      </c>
      <c r="BW167" s="23">
        <f>IF(BM167=1,BR167*(1+FixedParams!$C$25)+BS167*(1+FixedParams!$C$28)/$BK$12,IF(BN167=1,BR167*(1+FixedParams!$C$23)+BS167*(1+FixedParams!$C$26)/$BK$12,BR167*(1+FixedParams!$C$24)+BS167*(1+FixedParams!$C$27)/$BK$12))</f>
        <v>112.99400620883785</v>
      </c>
      <c r="BX167" s="24">
        <f t="shared" si="129"/>
        <v>16.951423196061995</v>
      </c>
      <c r="BY167" s="24">
        <f>BX167^((FixedParams!$B$47-1)/FixedParams!$B$47)*EXP($C167)</f>
        <v>0.15303409249098282</v>
      </c>
      <c r="BZ167" s="24">
        <f t="shared" si="130"/>
        <v>0.11791652439941629</v>
      </c>
      <c r="CA167" s="24">
        <f t="shared" si="131"/>
        <v>-8.1106633863961192E-2</v>
      </c>
      <c r="CB167" s="24">
        <f t="shared" si="132"/>
        <v>-6.377817794455394E-2</v>
      </c>
      <c r="CC167" s="24"/>
      <c r="CD167" s="24">
        <f>EXP(-$D$17)*(($B167*FixedParams!$B$30)^$B$10*(1+FixedParams!$D$24)^(1-$B$10)+(1-$B167)^$B$10*((1+FixedParams!$D$27)/$CE$12)^(1-$B$10))^(1/(1-$B$10))</f>
        <v>6.3618487846040717</v>
      </c>
      <c r="CE167" s="24">
        <f>EXP($D167-$D$17)*(($B167*FixedParams!$D$31)^$B$10*(1+FixedParams!$D$25)^(1-$B$10)+(1-$B167)^$B$10*((1+FixedParams!$D$28)/$CE$12)^(1-$B$10))^(1/(1-$B$10))</f>
        <v>6.6788893863596863</v>
      </c>
      <c r="CF167" s="24">
        <f>EXP($D167-$D$17)*(($B167*FixedParams!$D$30)^$B$10*(1+FixedParams!$D$23)^(1-$B$10)+(1-$B167)^$B$10*((1+FixedParams!$D$26)/$CE$12)^(1-$B$10))^(1/(1-$B$10))</f>
        <v>6.4411286809771768</v>
      </c>
      <c r="CG167">
        <f>IF(FixedParams!$I$6=1,IF(CE167&lt;=MIN(CD167:CF167),1,0),$H167)</f>
        <v>0</v>
      </c>
      <c r="CH167">
        <f>IF(FixedParams!$I$6=1,IF(CF167&lt;=MIN(CD167:CF167),1,0),IF(CF167&lt;=CD167,1,0)*(1-$H167))</f>
        <v>0</v>
      </c>
      <c r="CI167" s="24">
        <f>$CE$13*IF(CG167=1,1,IF(CH167=1,FixedParams!$D$52,FixedParams!$D$53))</f>
        <v>0.42008589776177102</v>
      </c>
      <c r="CJ167">
        <f>EXP($C167*FixedParams!$B$47)*EXP(IF(CG167+CH167=1,(1-FixedParams!$B$47)*$D167,0))*($B167^((FixedParams!$B$47-1)*$B$10/($B$10-1)))*((1/$B167-1)^$B$10*(CI167)^($B$10-1)+1)^((FixedParams!$B$47-$B$10)/($B$10-1))/((1+IF(CG167=1,FixedParams!$D$25,IF(CH167=1,FixedParams!$D$23,FixedParams!$D$24)))^FixedParams!$B$47)</f>
        <v>4.1962719366004007E-2</v>
      </c>
      <c r="CK167">
        <f t="shared" si="133"/>
        <v>1.104893515511217</v>
      </c>
      <c r="CL167">
        <f t="shared" si="135"/>
        <v>30.186002179180168</v>
      </c>
      <c r="CM167">
        <f t="shared" si="102"/>
        <v>19.275989663030483</v>
      </c>
      <c r="CN167">
        <f t="shared" si="136"/>
        <v>49.461991842210651</v>
      </c>
      <c r="CO167" s="24">
        <f t="shared" si="137"/>
        <v>0.63857378491562833</v>
      </c>
      <c r="CP167" s="24">
        <f t="shared" si="138"/>
        <v>2.0553349475889737</v>
      </c>
      <c r="CQ167" s="23">
        <f>IF(CG167=1,CL167*(1+FixedParams!$D$25)+CM167*(1+FixedParams!$D$28)/$CE$12,IF(CH167=1,CL167*(1+FixedParams!$D$23)+CM167*(1+FixedParams!$D$26)/$CE$12,CL167*(1+FixedParams!$D$24)+CM167*(1+FixedParams!$D$27)/$CE$12))</f>
        <v>110.77969904798172</v>
      </c>
      <c r="CR167" s="24">
        <f t="shared" si="139"/>
        <v>17.413129861884336</v>
      </c>
      <c r="CS167" s="24">
        <f>CR167^((FixedParams!$B$47-1)/FixedParams!$B$47)*EXP($C167)</f>
        <v>0.1530299759879698</v>
      </c>
      <c r="CT167" s="24"/>
    </row>
    <row r="168" spans="1:98" x14ac:dyDescent="0.15">
      <c r="A168">
        <v>0.755</v>
      </c>
      <c r="B168">
        <f t="shared" si="103"/>
        <v>0.3642950819711801</v>
      </c>
      <c r="C168">
        <f>(D168-$D$17)*FixedParams!$B$47+$A168*$B$9</f>
        <v>-1.8867564464984163</v>
      </c>
      <c r="D168">
        <f>(A168-$B$6)*FixedParams!$B$46/(FixedParams!$B$45*Sectors!$B$6)</f>
        <v>0.13855461462266608</v>
      </c>
      <c r="E168">
        <f t="shared" si="104"/>
        <v>0.15156261387681791</v>
      </c>
      <c r="F168" s="24">
        <f>EXP(-$D$17)*(($B168*FixedParams!$B$30)^$B$10*(1+FixedParams!$B$23)^(1-$B$10)+(1-$B168)^$B$10*((1+FixedParams!$B$26)/$B$11)^(1-$B$10))^(1/(1-$B$10))</f>
        <v>4.9016810710344112</v>
      </c>
      <c r="G168" s="24">
        <f>EXP($D168-$D$17)*(($B168*FixedParams!$B$31)^$B$10*(1+FixedParams!$B$25)^(1-$B$10)+(1-$B168)^$B$10*((1+FixedParams!$B$28)/$B$11)^(1-$B$10))^(1/(1-$B$10))</f>
        <v>5.3730175267824336</v>
      </c>
      <c r="H168">
        <f t="shared" si="105"/>
        <v>0</v>
      </c>
      <c r="I168" s="24">
        <f>$B$12*IF(H168=1,1,FixedParams!$B$52)</f>
        <v>0.39101505882574561</v>
      </c>
      <c r="J168">
        <f>EXP($C168*FixedParams!$B$47)*EXP(IF(H168=1,(1-FixedParams!$B$47)*$D168,0))*($B168^((FixedParams!$B$47-1)*$B$10/($B$10-1)))*((1/$B168-1)^$B$10*(I168)^($B$10-1)+1)^((FixedParams!$B$47-$B$10)/($B$10-1))/((1+IF(H168=1,FixedParams!$B$25,FixedParams!$B$24))^FixedParams!$B$47)</f>
        <v>5.785243681425653E-2</v>
      </c>
      <c r="K168">
        <f t="shared" si="134"/>
        <v>1.1664545252605427</v>
      </c>
      <c r="L168">
        <f>K168*FixedParams!$B$8/K$15</f>
        <v>33.912483361997118</v>
      </c>
      <c r="M168">
        <f t="shared" si="94"/>
        <v>19.114071808446301</v>
      </c>
      <c r="N168">
        <f t="shared" si="106"/>
        <v>53.026555170443416</v>
      </c>
      <c r="O168" s="24">
        <f t="shared" si="107"/>
        <v>0.56362937518948675</v>
      </c>
      <c r="P168" s="24">
        <f t="shared" si="95"/>
        <v>1.9166311123355639</v>
      </c>
      <c r="Q168" s="23">
        <f>IF(H168=1,L168*(1+FixedParams!$B$25)+M168*FixedParams!$B$33*(1+FixedParams!$B$28)/FixedParams!$B$32,L168*(1+FixedParams!$B$23)+M168*FixedParams!$B$33*(1+FixedParams!$B$26)/FixedParams!$B$32)</f>
        <v>89.12956548640507</v>
      </c>
      <c r="R168" s="24">
        <f t="shared" si="96"/>
        <v>18.18346893540258</v>
      </c>
      <c r="S168" s="24">
        <f>R168^((FixedParams!$B$47-1)/FixedParams!$B$47)*EXP($C168)</f>
        <v>0.15112320271905383</v>
      </c>
      <c r="T168" s="7">
        <f>(L168*FixedParams!$B$32*(FixedParams!$C$25-FixedParams!$C$23)+FixedParams!$B$33*(FixedParams!$C$28-FixedParams!$C$26)*M168)/N168</f>
        <v>2797.65268567674</v>
      </c>
      <c r="U168" s="7">
        <f>(L168*FixedParams!$B$32*(FixedParams!$C$25-FixedParams!$C$23)*$Z$12/$B$11+FixedParams!$B$33*(FixedParams!$C$28-FixedParams!$C$26)*M168)/N168</f>
        <v>2155.3435164642237</v>
      </c>
      <c r="V168" s="14">
        <f t="shared" si="97"/>
        <v>-0.3656508264360156</v>
      </c>
      <c r="W168" s="14">
        <f t="shared" si="108"/>
        <v>0.89661177616320586</v>
      </c>
      <c r="X168" s="73">
        <f t="shared" si="109"/>
        <v>0.89348286432321355</v>
      </c>
      <c r="Y168" s="24">
        <f>EXP(-$D$17)*(($B168*FixedParams!$B$30)^$B$10*(1+FixedParams!$C$24)^(1-$B$10)+(1-$B168)^$B$10*((1+FixedParams!$C$27)/$Z$12)^(1-$B$10))^(1/(1-$B$10))</f>
        <v>6.688392113969198</v>
      </c>
      <c r="Z168" s="24">
        <f>EXP($D168-$D$17)*(($B168*FixedParams!$C$31)^$B$10*(1+FixedParams!$C$25)^(1-$B$10)+(1-$B168)^$B$10*((1+FixedParams!$C$28)/$Z$12)^(1-$B$10))^(1/(1-$B$10))</f>
        <v>6.7449379936952063</v>
      </c>
      <c r="AA168" s="24">
        <f>EXP($D168-$D$17)*(($B168*FixedParams!$C$30)^$B$10*(1+FixedParams!$C$23)^(1-$B$10)+(1-$B168)^$B$10*((1+FixedParams!$C$26)/$Z$12)^(1-$B$10))^(1/(1-$B$10))</f>
        <v>6.4794074629943843</v>
      </c>
      <c r="AB168">
        <f>IF(FixedParams!$I$6=1,IF(Z168&lt;=MIN(Y168:AA168),1,0),$H168)</f>
        <v>0</v>
      </c>
      <c r="AC168">
        <f>IF(FixedParams!$I$6=1,IF(AA168&lt;=MIN(Y168:AA168),1,0),IF(AA168&lt;=Y168,1,0)*(1-$H168))</f>
        <v>1</v>
      </c>
      <c r="AD168" s="24">
        <f>$Z$13*IF(AB168=1,1,IF(AC168=1,FixedParams!$C$52,FixedParams!$C$53))</f>
        <v>0.34709202255780691</v>
      </c>
      <c r="AE168">
        <f>EXP($C168*FixedParams!$B$47)*EXP(IF(AB168+AC168=1,(1-FixedParams!$B$47)*$D168,0))*($B168^((FixedParams!$B$47-1)*$B$10/($B$10-1)))*((1/$B168-1)^$B$10*(AD168)^($B$10-1)+1)^((FixedParams!$B$47-$B$10)/($B$10-1))/((1+IF(AB168=1,FixedParams!$C$25,IF(AC168=1,FixedParams!$C$23,FixedParams!$C$24)))^FixedParams!$B$47)</f>
        <v>5.5807731951599146E-2</v>
      </c>
      <c r="AF168">
        <f t="shared" si="110"/>
        <v>1.6444965415103703</v>
      </c>
      <c r="AG168">
        <f t="shared" si="111"/>
        <v>38.626698431771423</v>
      </c>
      <c r="AH168">
        <f t="shared" si="98"/>
        <v>18.207819175292506</v>
      </c>
      <c r="AI168">
        <f t="shared" si="112"/>
        <v>56.83451760706393</v>
      </c>
      <c r="AJ168" s="24">
        <f t="shared" si="113"/>
        <v>0.47137912155381423</v>
      </c>
      <c r="AK168" s="24">
        <f t="shared" si="114"/>
        <v>2.164082061032127</v>
      </c>
      <c r="AL168" s="23">
        <f>IF(AB168=1,AG168*(1+FixedParams!$C$25)+AH168*(1+FixedParams!$C$28)/$Z$12,IF(AC168=1,AG168*(1+FixedParams!$C$23)+AH168*(1+FixedParams!$C$26)/$Z$12,AG168*(1+FixedParams!$C$24)+AH168*(1+FixedParams!$C$27)/$Z$12))</f>
        <v>105.26845731980072</v>
      </c>
      <c r="AM168" s="24">
        <f t="shared" si="115"/>
        <v>16.246617907735672</v>
      </c>
      <c r="AN168" s="24">
        <f>AM168^((FixedParams!$B$47-1)/FixedParams!$B$47)*EXP($C168)</f>
        <v>0.15114024143989729</v>
      </c>
      <c r="AO168" s="24">
        <f t="shared" si="116"/>
        <v>6.9351016474531221E-2</v>
      </c>
      <c r="AP168" s="24">
        <f t="shared" si="117"/>
        <v>-0.1126281227162904</v>
      </c>
      <c r="AQ168" s="14">
        <f t="shared" si="118"/>
        <v>-0.30607275974375581</v>
      </c>
      <c r="AS168" s="24">
        <f>EXP(-$D$17)*(($B168*FixedParams!$B$30)^$B$10*(1+FixedParams!$D$24)^(1-$B$10)+(1-$B168)^$B$10*((1+FixedParams!$D$27)/$AT$12)^(1-$B$10))^(1/(1-$B$10))</f>
        <v>6.1766419465798013</v>
      </c>
      <c r="AT168" s="24">
        <f>EXP($D168-$D$17)*(($B168*FixedParams!$C$31)^$B$10*(1+FixedParams!$D$25)^(1-$B$10)+(1-$B168)^$B$10*((1+FixedParams!$D$28)/$AT$12)^(1-$B$10))^(1/(1-$B$10))</f>
        <v>6.5027672917089383</v>
      </c>
      <c r="AU168" s="24">
        <f>EXP($D168-$D$17)*(($B168*FixedParams!$C$30)^$B$10*(1+FixedParams!$D$23)^(1-$B$10)+(1-$B168)^$B$10*((1+FixedParams!$D$26)/$AT$12)^(1-$B$10))^(1/(1-$B$10))</f>
        <v>6.272932165679606</v>
      </c>
      <c r="AV168">
        <f>IF(FixedParams!$I$6=1,IF(AT168&lt;=MIN(AS168:AU168),1,0),$H168)</f>
        <v>0</v>
      </c>
      <c r="AW168">
        <f>IF(FixedParams!$I$6=1,IF(AU168&lt;=MIN(AS168:AU168),1,0),IF(AU168&lt;=AS168,1,0)*(1-$H168))</f>
        <v>0</v>
      </c>
      <c r="AX168" s="24">
        <f>$AT$13*IF(AV168=1,1,IF(AW168=1,FixedParams!$D$52,FixedParams!$D$53))</f>
        <v>0.44031288407969205</v>
      </c>
      <c r="AY168">
        <f>EXP($C168*FixedParams!$B$47)*EXP(IF(AV168+AW168=1,(1-FixedParams!$B$47)*$D168,0))*($B168^((FixedParams!$B$47-1)*$B$10/($B$10-1)))*((1/$B168-1)^$B$10*(AX168)^($B$10-1)+1)^((FixedParams!$B$47-$B$10)/($B$10-1))/((1+IF(AV168=1,FixedParams!$D$25,IF(AW168=1,FixedParams!$D$23,FixedParams!$D$24)))^FixedParams!$B$47)</f>
        <v>4.1285004629185579E-2</v>
      </c>
      <c r="AZ168">
        <f t="shared" si="99"/>
        <v>1.1117053016518299</v>
      </c>
      <c r="BA168">
        <f t="shared" si="119"/>
        <v>27.970356706890037</v>
      </c>
      <c r="BB168">
        <f t="shared" si="100"/>
        <v>18.838377263392871</v>
      </c>
      <c r="BC168">
        <f t="shared" si="120"/>
        <v>46.808733970282908</v>
      </c>
      <c r="BD168" s="24">
        <f t="shared" si="121"/>
        <v>0.67351222799215671</v>
      </c>
      <c r="BE168" s="24">
        <f t="shared" si="122"/>
        <v>2.0915824166873294</v>
      </c>
      <c r="BF168" s="23">
        <f>IF(AV168=1,BA168*(1+FixedParams!$C$25)+BB168*(1+FixedParams!$C$28)/$AT$12,IF(AW168=1,BA168*(1+FixedParams!$C$23)+BB168*(1+FixedParams!$C$26)/$AT$12,BA168*(1+FixedParams!$C$24)+BB168*(1+FixedParams!$C$27)/$AT$12))</f>
        <v>110.81822980790139</v>
      </c>
      <c r="BG168" s="24">
        <f t="shared" si="123"/>
        <v>17.941501347550979</v>
      </c>
      <c r="BH168" s="24">
        <f>BG168^((FixedParams!$B$47-1)/FixedParams!$B$47)*EXP($C168)</f>
        <v>0.1511252292570911</v>
      </c>
      <c r="BI168" s="7"/>
      <c r="BJ168" s="24">
        <f>EXP(-$D$17)*(($B168*FixedParams!$B$30)^$B$10*(1+FixedParams!$C$24)^(1-$B$10)+(1-$B168)^$B$10*((1+FixedParams!$C$27)/$BK$12)^(1-$B$10))^(1/(1-$B$10))</f>
        <v>6.8973910993015046</v>
      </c>
      <c r="BK168" s="24">
        <f>EXP($D168-$D$17)*(($B168*FixedParams!$C$31)^$B$10*(1+FixedParams!$C$25)^(1-$B$10)+(1-$B168)^$B$10*((1+FixedParams!$C$28)/$BK$12)^(1-$B$10))^(1/(1-$B$10))</f>
        <v>6.9514189404106466</v>
      </c>
      <c r="BL168" s="24">
        <f>EXP($D168-$D$17)*(($B168*FixedParams!$C$30)^$B$10*(1+FixedParams!$C$23)^(1-$B$10)+(1-$B168)^$B$10*((1+FixedParams!$C$26)/$BK$12)^(1-$B$10))^(1/(1-$B$10))</f>
        <v>6.668862849948062</v>
      </c>
      <c r="BM168">
        <f>IF(FixedParams!$I$6=1,IF(BK168&lt;=MIN(BJ168:BL168),1,0),$H168)</f>
        <v>0</v>
      </c>
      <c r="BN168">
        <f>IF(FixedParams!$I$6=1,IF(BL168&lt;=MIN(BJ168:BL168),1,0),IF(BL168&lt;=BJ168,1,0)*(1-$H168))</f>
        <v>1</v>
      </c>
      <c r="BO168" s="24">
        <f>$BK$13*IF(BM168=1,1,IF(BN168=1,FixedParams!$C$52,FixedParams!$C$53))</f>
        <v>0.33006170822567266</v>
      </c>
      <c r="BP168">
        <f>EXP($C168*FixedParams!$B$47)*EXP(IF(BM168+BN168=1,(1-FixedParams!$B$47)*$D168,0))*($B168^((FixedParams!$B$47-1)*$B$10/($B$10-1)))*((1/$B168-1)^$B$10*(BO168)^($B$10-1)+1)^((FixedParams!$B$47-$B$10)/($B$10-1))/((1+IF(BM168=1,FixedParams!$C$25,IF(BN168=1,FixedParams!$C$23,FixedParams!$C$24)))^FixedParams!$B$47)</f>
        <v>5.6619383539439974E-2</v>
      </c>
      <c r="BQ168">
        <f t="shared" si="124"/>
        <v>1.6288123976688575</v>
      </c>
      <c r="BR168">
        <f t="shared" si="125"/>
        <v>41.541490127838365</v>
      </c>
      <c r="BS168">
        <f t="shared" si="101"/>
        <v>18.158425145488085</v>
      </c>
      <c r="BT168">
        <f t="shared" si="126"/>
        <v>59.699915273326454</v>
      </c>
      <c r="BU168" s="24">
        <f t="shared" si="127"/>
        <v>0.43711540172506974</v>
      </c>
      <c r="BV168" s="24">
        <f t="shared" si="128"/>
        <v>2.1180720535617348</v>
      </c>
      <c r="BW168" s="23">
        <f>IF(BM168=1,BR168*(1+FixedParams!$C$25)+BS168*(1+FixedParams!$C$28)/$BK$12,IF(BN168=1,BR168*(1+FixedParams!$C$23)+BS168*(1+FixedParams!$C$26)/$BK$12,BR168*(1+FixedParams!$C$24)+BS168*(1+FixedParams!$C$27)/$BK$12))</f>
        <v>111.59236800480062</v>
      </c>
      <c r="BX168" s="24">
        <f t="shared" si="129"/>
        <v>16.733342777572602</v>
      </c>
      <c r="BY168" s="24">
        <f>BX168^((FixedParams!$B$47-1)/FixedParams!$B$47)*EXP($C168)</f>
        <v>0.15113577560009314</v>
      </c>
      <c r="BZ168" s="24">
        <f t="shared" si="130"/>
        <v>0.11853777216550884</v>
      </c>
      <c r="CA168" s="24">
        <f t="shared" si="131"/>
        <v>-8.3109578649330371E-2</v>
      </c>
      <c r="CB168" s="24">
        <f t="shared" si="132"/>
        <v>-6.5781122729923119E-2</v>
      </c>
      <c r="CC168" s="24"/>
      <c r="CD168" s="24">
        <f>EXP(-$D$17)*(($B168*FixedParams!$B$30)^$B$10*(1+FixedParams!$D$24)^(1-$B$10)+(1-$B168)^$B$10*((1+FixedParams!$D$27)/$CE$12)^(1-$B$10))^(1/(1-$B$10))</f>
        <v>6.3539614420497221</v>
      </c>
      <c r="CE168" s="24">
        <f>EXP($D168-$D$17)*(($B168*FixedParams!$D$31)^$B$10*(1+FixedParams!$D$25)^(1-$B$10)+(1-$B168)^$B$10*((1+FixedParams!$D$28)/$CE$12)^(1-$B$10))^(1/(1-$B$10))</f>
        <v>6.6868342600409756</v>
      </c>
      <c r="CF168" s="24">
        <f>EXP($D168-$D$17)*(($B168*FixedParams!$D$30)^$B$10*(1+FixedParams!$D$23)^(1-$B$10)+(1-$B168)^$B$10*((1+FixedParams!$D$26)/$CE$12)^(1-$B$10))^(1/(1-$B$10))</f>
        <v>6.4440731252521193</v>
      </c>
      <c r="CG168">
        <f>IF(FixedParams!$I$6=1,IF(CE168&lt;=MIN(CD168:CF168),1,0),$H168)</f>
        <v>0</v>
      </c>
      <c r="CH168">
        <f>IF(FixedParams!$I$6=1,IF(CF168&lt;=MIN(CD168:CF168),1,0),IF(CF168&lt;=CD168,1,0)*(1-$H168))</f>
        <v>0</v>
      </c>
      <c r="CI168" s="24">
        <f>$CE$13*IF(CG168=1,1,IF(CH168=1,FixedParams!$D$52,FixedParams!$D$53))</f>
        <v>0.42008589776177102</v>
      </c>
      <c r="CJ168">
        <f>EXP($C168*FixedParams!$B$47)*EXP(IF(CG168+CH168=1,(1-FixedParams!$B$47)*$D168,0))*($B168^((FixedParams!$B$47-1)*$B$10/($B$10-1)))*((1/$B168-1)^$B$10*(CI168)^($B$10-1)+1)^((FixedParams!$B$47-$B$10)/($B$10-1))/((1+IF(CG168=1,FixedParams!$D$25,IF(CH168=1,FixedParams!$D$23,FixedParams!$D$24)))^FixedParams!$B$47)</f>
        <v>4.1874603136267438E-2</v>
      </c>
      <c r="CK168">
        <f t="shared" si="133"/>
        <v>1.1025733834435583</v>
      </c>
      <c r="CL168">
        <f t="shared" si="135"/>
        <v>30.122615517328033</v>
      </c>
      <c r="CM168">
        <f t="shared" si="102"/>
        <v>18.906155559488653</v>
      </c>
      <c r="CN168">
        <f t="shared" si="136"/>
        <v>49.028771076816682</v>
      </c>
      <c r="CO168" s="24">
        <f t="shared" si="137"/>
        <v>0.62763990559229121</v>
      </c>
      <c r="CP168" s="24">
        <f t="shared" si="138"/>
        <v>2.052786768381258</v>
      </c>
      <c r="CQ168" s="23">
        <f>IF(CG168=1,CL168*(1+FixedParams!$D$25)+CM168*(1+FixedParams!$D$28)/$CE$12,IF(CH168=1,CL168*(1+FixedParams!$D$23)+CM168*(1+FixedParams!$D$26)/$CE$12,CL168*(1+FixedParams!$D$24)+CM168*(1+FixedParams!$D$27)/$CE$12))</f>
        <v>109.40534154861442</v>
      </c>
      <c r="CR168" s="24">
        <f t="shared" si="139"/>
        <v>17.218445932734742</v>
      </c>
      <c r="CS168" s="24">
        <f>CR168^((FixedParams!$B$47-1)/FixedParams!$B$47)*EXP($C168)</f>
        <v>0.15113145218862295</v>
      </c>
      <c r="CT168" s="24"/>
    </row>
    <row r="169" spans="1:98" x14ac:dyDescent="0.15">
      <c r="A169">
        <v>0.76</v>
      </c>
      <c r="B169">
        <f t="shared" si="103"/>
        <v>0.3669656274663366</v>
      </c>
      <c r="C169">
        <f>(D169-$D$17)*FixedParams!$B$47+$A169*$B$9</f>
        <v>-1.899251522303042</v>
      </c>
      <c r="D169">
        <f>(A169-$B$6)*FixedParams!$B$46/(FixedParams!$B$45*Sectors!$B$6)</f>
        <v>0.14127137177213012</v>
      </c>
      <c r="E169">
        <f t="shared" si="104"/>
        <v>0.1496806099043235</v>
      </c>
      <c r="F169" s="24">
        <f>EXP(-$D$17)*(($B169*FixedParams!$B$30)^$B$10*(1+FixedParams!$B$23)^(1-$B$10)+(1-$B169)^$B$10*((1+FixedParams!$B$26)/$B$11)^(1-$B$10))^(1/(1-$B$10))</f>
        <v>4.8938900129965246</v>
      </c>
      <c r="G169" s="24">
        <f>EXP($D169-$D$17)*(($B169*FixedParams!$B$31)^$B$10*(1+FixedParams!$B$25)^(1-$B$10)+(1-$B169)^$B$10*((1+FixedParams!$B$28)/$B$11)^(1-$B$10))^(1/(1-$B$10))</f>
        <v>5.3781039796535755</v>
      </c>
      <c r="H169">
        <f t="shared" si="105"/>
        <v>0</v>
      </c>
      <c r="I169" s="24">
        <f>$B$12*IF(H169=1,1,FixedParams!$B$52)</f>
        <v>0.39101505882574561</v>
      </c>
      <c r="J169">
        <f>EXP($C169*FixedParams!$B$47)*EXP(IF(H169=1,(1-FixedParams!$B$47)*$D169,0))*($B169^((FixedParams!$B$47-1)*$B$10/($B$10-1)))*((1/$B169-1)^$B$10*(I169)^($B$10-1)+1)^((FixedParams!$B$47-$B$10)/($B$10-1))/((1+IF(H169=1,FixedParams!$B$25,FixedParams!$B$24))^FixedParams!$B$47)</f>
        <v>5.7718168986745401E-2</v>
      </c>
      <c r="K169">
        <f t="shared" si="134"/>
        <v>1.1637473391224704</v>
      </c>
      <c r="L169">
        <f>K169*FixedParams!$B$8/K$15</f>
        <v>33.833776989072113</v>
      </c>
      <c r="M169">
        <f t="shared" si="94"/>
        <v>18.743192460686675</v>
      </c>
      <c r="N169">
        <f t="shared" si="106"/>
        <v>52.576969449758792</v>
      </c>
      <c r="O169" s="24">
        <f t="shared" si="107"/>
        <v>0.55397871974921664</v>
      </c>
      <c r="P169" s="24">
        <f t="shared" si="95"/>
        <v>1.913584691318565</v>
      </c>
      <c r="Q169" s="23">
        <f>IF(H169=1,L169*(1+FixedParams!$B$25)+M169*FixedParams!$B$33*(1+FixedParams!$B$28)/FixedParams!$B$32,L169*(1+FixedParams!$B$23)+M169*FixedParams!$B$33*(1+FixedParams!$B$26)/FixedParams!$B$32)</f>
        <v>88.023773518841338</v>
      </c>
      <c r="R169" s="24">
        <f t="shared" si="96"/>
        <v>17.986463382928473</v>
      </c>
      <c r="S169" s="24">
        <f>R169^((FixedParams!$B$47-1)/FixedParams!$B$47)*EXP($C169)</f>
        <v>0.14924828250860223</v>
      </c>
      <c r="T169" s="7">
        <f>(L169*FixedParams!$B$32*(FixedParams!$C$25-FixedParams!$C$23)+FixedParams!$B$33*(FixedParams!$C$28-FixedParams!$C$26)*M169)/N169</f>
        <v>2842.7115300130185</v>
      </c>
      <c r="U169" s="7">
        <f>(L169*FixedParams!$B$32*(FixedParams!$C$25-FixedParams!$C$23)*$Z$12/$B$11+FixedParams!$B$33*(FixedParams!$C$28-FixedParams!$C$26)*M169)/N169</f>
        <v>2196.4134358561523</v>
      </c>
      <c r="V169" s="14">
        <f t="shared" si="97"/>
        <v>-0.34838020113993173</v>
      </c>
      <c r="W169" s="14">
        <f t="shared" si="108"/>
        <v>0.89919056462272506</v>
      </c>
      <c r="X169" s="73">
        <f t="shared" si="109"/>
        <v>0.89150720858648724</v>
      </c>
      <c r="Y169" s="24">
        <f>EXP(-$D$17)*(($B169*FixedParams!$B$30)^$B$10*(1+FixedParams!$C$24)^(1-$B$10)+(1-$B169)^$B$10*((1+FixedParams!$C$27)/$Z$12)^(1-$B$10))^(1/(1-$B$10))</f>
        <v>6.6833496849641056</v>
      </c>
      <c r="Z169" s="24">
        <f>EXP($D169-$D$17)*(($B169*FixedParams!$C$31)^$B$10*(1+FixedParams!$C$25)^(1-$B$10)+(1-$B169)^$B$10*((1+FixedParams!$C$28)/$Z$12)^(1-$B$10))^(1/(1-$B$10))</f>
        <v>6.7553320886084487</v>
      </c>
      <c r="AA169" s="24">
        <f>EXP($D169-$D$17)*(($B169*FixedParams!$C$30)^$B$10*(1+FixedParams!$C$23)^(1-$B$10)+(1-$B169)^$B$10*((1+FixedParams!$C$26)/$Z$12)^(1-$B$10))^(1/(1-$B$10))</f>
        <v>6.4834591225570382</v>
      </c>
      <c r="AB169">
        <f>IF(FixedParams!$I$6=1,IF(Z169&lt;=MIN(Y169:AA169),1,0),$H169)</f>
        <v>0</v>
      </c>
      <c r="AC169">
        <f>IF(FixedParams!$I$6=1,IF(AA169&lt;=MIN(Y169:AA169),1,0),IF(AA169&lt;=Y169,1,0)*(1-$H169))</f>
        <v>1</v>
      </c>
      <c r="AD169" s="24">
        <f>$Z$13*IF(AB169=1,1,IF(AC169=1,FixedParams!$C$52,FixedParams!$C$53))</f>
        <v>0.34709202255780691</v>
      </c>
      <c r="AE169">
        <f>EXP($C169*FixedParams!$B$47)*EXP(IF(AB169+AC169=1,(1-FixedParams!$B$47)*$D169,0))*($B169^((FixedParams!$B$47-1)*$B$10/($B$10-1)))*((1/$B169-1)^$B$10*(AD169)^($B$10-1)+1)^((FixedParams!$B$47-$B$10)/($B$10-1))/((1+IF(AB169=1,FixedParams!$C$25,IF(AC169=1,FixedParams!$C$23,FixedParams!$C$24)))^FixedParams!$B$47)</f>
        <v>5.5664389866333014E-2</v>
      </c>
      <c r="AF169">
        <f t="shared" si="110"/>
        <v>1.6402726543314847</v>
      </c>
      <c r="AG169">
        <f t="shared" si="111"/>
        <v>38.527485808241799</v>
      </c>
      <c r="AH169">
        <f t="shared" si="98"/>
        <v>17.850092648760445</v>
      </c>
      <c r="AI169">
        <f t="shared" si="112"/>
        <v>56.377578457002244</v>
      </c>
      <c r="AJ169" s="24">
        <f t="shared" si="113"/>
        <v>0.46330800659050408</v>
      </c>
      <c r="AK169" s="24">
        <f t="shared" si="114"/>
        <v>2.165435290293757</v>
      </c>
      <c r="AL169" s="23">
        <f>IF(AB169=1,AG169*(1+FixedParams!$C$25)+AH169*(1+FixedParams!$C$28)/$Z$12,IF(AC169=1,AG169*(1+FixedParams!$C$23)+AH169*(1+FixedParams!$C$26)/$Z$12,AG169*(1+FixedParams!$C$24)+AH169*(1+FixedParams!$C$27)/$Z$12))</f>
        <v>103.96266746716482</v>
      </c>
      <c r="AM169" s="24">
        <f t="shared" si="115"/>
        <v>16.03506176285763</v>
      </c>
      <c r="AN169" s="24">
        <f>AM169^((FixedParams!$B$47-1)/FixedParams!$B$47)*EXP($C169)</f>
        <v>0.1492654405867074</v>
      </c>
      <c r="AO169" s="24">
        <f t="shared" si="116"/>
        <v>6.9793353671522645E-2</v>
      </c>
      <c r="AP169" s="24">
        <f t="shared" si="117"/>
        <v>-0.11484175580418769</v>
      </c>
      <c r="AQ169" s="14">
        <f t="shared" si="118"/>
        <v>-0.288802134447672</v>
      </c>
      <c r="AS169" s="24">
        <f>EXP(-$D$17)*(($B169*FixedParams!$B$30)^$B$10*(1+FixedParams!$D$24)^(1-$B$10)+(1-$B169)^$B$10*((1+FixedParams!$D$27)/$AT$12)^(1-$B$10))^(1/(1-$B$10))</f>
        <v>6.1698711931983103</v>
      </c>
      <c r="AT169" s="24">
        <f>EXP($D169-$D$17)*(($B169*FixedParams!$C$31)^$B$10*(1+FixedParams!$D$25)^(1-$B$10)+(1-$B169)^$B$10*((1+FixedParams!$D$28)/$AT$12)^(1-$B$10))^(1/(1-$B$10))</f>
        <v>6.5114410158350724</v>
      </c>
      <c r="AU169" s="24">
        <f>EXP($D169-$D$17)*(($B169*FixedParams!$C$30)^$B$10*(1+FixedParams!$D$23)^(1-$B$10)+(1-$B169)^$B$10*((1+FixedParams!$D$26)/$AT$12)^(1-$B$10))^(1/(1-$B$10))</f>
        <v>6.2767090064278772</v>
      </c>
      <c r="AV169">
        <f>IF(FixedParams!$I$6=1,IF(AT169&lt;=MIN(AS169:AU169),1,0),$H169)</f>
        <v>0</v>
      </c>
      <c r="AW169">
        <f>IF(FixedParams!$I$6=1,IF(AU169&lt;=MIN(AS169:AU169),1,0),IF(AU169&lt;=AS169,1,0)*(1-$H169))</f>
        <v>0</v>
      </c>
      <c r="AX169" s="24">
        <f>$AT$13*IF(AV169=1,1,IF(AW169=1,FixedParams!$D$52,FixedParams!$D$53))</f>
        <v>0.44031288407969205</v>
      </c>
      <c r="AY169">
        <f>EXP($C169*FixedParams!$B$47)*EXP(IF(AV169+AW169=1,(1-FixedParams!$B$47)*$D169,0))*($B169^((FixedParams!$B$47-1)*$B$10/($B$10-1)))*((1/$B169-1)^$B$10*(AX169)^($B$10-1)+1)^((FixedParams!$B$47-$B$10)/($B$10-1))/((1+IF(AV169=1,FixedParams!$D$25,IF(AW169=1,FixedParams!$D$23,FixedParams!$D$24)))^FixedParams!$B$47)</f>
        <v>4.1199381775278703E-2</v>
      </c>
      <c r="AZ169">
        <f t="shared" si="99"/>
        <v>1.1093996853273123</v>
      </c>
      <c r="BA169">
        <f t="shared" si="119"/>
        <v>27.912347708524948</v>
      </c>
      <c r="BB169">
        <f t="shared" si="100"/>
        <v>18.477419304145783</v>
      </c>
      <c r="BC169">
        <f t="shared" si="120"/>
        <v>46.389767012670731</v>
      </c>
      <c r="BD169" s="24">
        <f t="shared" si="121"/>
        <v>0.66198012066546585</v>
      </c>
      <c r="BE169" s="24">
        <f t="shared" si="122"/>
        <v>2.0892896516472104</v>
      </c>
      <c r="BF169" s="23">
        <f>IF(AV169=1,BA169*(1+FixedParams!$C$25)+BB169*(1+FixedParams!$C$28)/$AT$12,IF(AW169=1,BA169*(1+FixedParams!$C$23)+BB169*(1+FixedParams!$C$26)/$AT$12,BA169*(1+FixedParams!$C$24)+BB169*(1+FixedParams!$C$27)/$AT$12))</f>
        <v>109.48772234541099</v>
      </c>
      <c r="BG169" s="24">
        <f t="shared" si="123"/>
        <v>17.745544261298463</v>
      </c>
      <c r="BH169" s="24">
        <f>BG169^((FixedParams!$B$47-1)/FixedParams!$B$47)*EXP($C169)</f>
        <v>0.14925029714749932</v>
      </c>
      <c r="BI169" s="7"/>
      <c r="BJ169" s="24">
        <f>EXP(-$D$17)*(($B169*FixedParams!$B$30)^$B$10*(1+FixedParams!$C$24)^(1-$B$10)+(1-$B169)^$B$10*((1+FixedParams!$C$27)/$BK$12)^(1-$B$10))^(1/(1-$B$10))</f>
        <v>6.890766001813839</v>
      </c>
      <c r="BK169" s="24">
        <f>EXP($D169-$D$17)*(($B169*FixedParams!$C$31)^$B$10*(1+FixedParams!$C$25)^(1-$B$10)+(1-$B169)^$B$10*((1+FixedParams!$C$28)/$BK$12)^(1-$B$10))^(1/(1-$B$10))</f>
        <v>6.9606763145271078</v>
      </c>
      <c r="BL169" s="24">
        <f>EXP($D169-$D$17)*(($B169*FixedParams!$C$30)^$B$10*(1+FixedParams!$C$23)^(1-$B$10)+(1-$B169)^$B$10*((1+FixedParams!$C$26)/$BK$12)^(1-$B$10))^(1/(1-$B$10))</f>
        <v>6.6716126343519209</v>
      </c>
      <c r="BM169">
        <f>IF(FixedParams!$I$6=1,IF(BK169&lt;=MIN(BJ169:BL169),1,0),$H169)</f>
        <v>0</v>
      </c>
      <c r="BN169">
        <f>IF(FixedParams!$I$6=1,IF(BL169&lt;=MIN(BJ169:BL169),1,0),IF(BL169&lt;=BJ169,1,0)*(1-$H169))</f>
        <v>1</v>
      </c>
      <c r="BO169" s="24">
        <f>$BK$13*IF(BM169=1,1,IF(BN169=1,FixedParams!$C$52,FixedParams!$C$53))</f>
        <v>0.33006170822567266</v>
      </c>
      <c r="BP169">
        <f>EXP($C169*FixedParams!$B$47)*EXP(IF(BM169+BN169=1,(1-FixedParams!$B$47)*$D169,0))*($B169^((FixedParams!$B$47-1)*$B$10/($B$10-1)))*((1/$B169-1)^$B$10*(BO169)^($B$10-1)+1)^((FixedParams!$B$47-$B$10)/($B$10-1))/((1+IF(BM169=1,FixedParams!$C$25,IF(BN169=1,FixedParams!$C$23,FixedParams!$C$24)))^FixedParams!$B$47)</f>
        <v>5.6467934193363031E-2</v>
      </c>
      <c r="BQ169">
        <f t="shared" si="124"/>
        <v>1.62445554040394</v>
      </c>
      <c r="BR169">
        <f t="shared" si="125"/>
        <v>41.430372148064876</v>
      </c>
      <c r="BS169">
        <f t="shared" si="101"/>
        <v>17.79977063877158</v>
      </c>
      <c r="BT169">
        <f t="shared" si="126"/>
        <v>59.230142786836453</v>
      </c>
      <c r="BU169" s="24">
        <f t="shared" si="127"/>
        <v>0.42963096192229039</v>
      </c>
      <c r="BV169" s="24">
        <f t="shared" si="128"/>
        <v>2.1189454020815921</v>
      </c>
      <c r="BW169" s="23">
        <f>IF(BM169=1,BR169*(1+FixedParams!$C$25)+BS169*(1+FixedParams!$C$28)/$BK$12,IF(BN169=1,BR169*(1+FixedParams!$C$23)+BS169*(1+FixedParams!$C$26)/$BK$12,BR169*(1+FixedParams!$C$24)+BS169*(1+FixedParams!$C$27)/$BK$12))</f>
        <v>110.20811050647234</v>
      </c>
      <c r="BX169" s="24">
        <f t="shared" si="129"/>
        <v>16.518961238698768</v>
      </c>
      <c r="BY169" s="24">
        <f>BX169^((FixedParams!$B$47-1)/FixedParams!$B$47)*EXP($C169)</f>
        <v>0.14926099836952944</v>
      </c>
      <c r="BZ169" s="24">
        <f t="shared" si="130"/>
        <v>0.11915240030224515</v>
      </c>
      <c r="CA169" s="24">
        <f t="shared" si="131"/>
        <v>-8.5110553592308083E-2</v>
      </c>
      <c r="CB169" s="24">
        <f t="shared" si="132"/>
        <v>-6.7782097672900832E-2</v>
      </c>
      <c r="CC169" s="24"/>
      <c r="CD169" s="24">
        <f>EXP(-$D$17)*(($B169*FixedParams!$B$30)^$B$10*(1+FixedParams!$D$24)^(1-$B$10)+(1-$B169)^$B$10*((1+FixedParams!$D$27)/$CE$12)^(1-$B$10))^(1/(1-$B$10))</f>
        <v>6.345759077712124</v>
      </c>
      <c r="CE169" s="24">
        <f>EXP($D169-$D$17)*(($B169*FixedParams!$D$31)^$B$10*(1+FixedParams!$D$25)^(1-$B$10)+(1-$B169)^$B$10*((1+FixedParams!$D$28)/$CE$12)^(1-$B$10))^(1/(1-$B$10))</f>
        <v>6.69443962211417</v>
      </c>
      <c r="CF169" s="24">
        <f>EXP($D169-$D$17)*(($B169*FixedParams!$D$30)^$B$10*(1+FixedParams!$D$23)^(1-$B$10)+(1-$B169)^$B$10*((1+FixedParams!$D$26)/$CE$12)^(1-$B$10))^(1/(1-$B$10))</f>
        <v>6.446669795889985</v>
      </c>
      <c r="CG169">
        <f>IF(FixedParams!$I$6=1,IF(CE169&lt;=MIN(CD169:CF169),1,0),$H169)</f>
        <v>0</v>
      </c>
      <c r="CH169">
        <f>IF(FixedParams!$I$6=1,IF(CF169&lt;=MIN(CD169:CF169),1,0),IF(CF169&lt;=CD169,1,0)*(1-$H169))</f>
        <v>0</v>
      </c>
      <c r="CI169" s="24">
        <f>$CE$13*IF(CG169=1,1,IF(CH169=1,FixedParams!$D$52,FixedParams!$D$53))</f>
        <v>0.42008589776177102</v>
      </c>
      <c r="CJ169">
        <f>EXP($C169*FixedParams!$B$47)*EXP(IF(CG169+CH169=1,(1-FixedParams!$B$47)*$D169,0))*($B169^((FixedParams!$B$47-1)*$B$10/($B$10-1)))*((1/$B169-1)^$B$10*(CI169)^($B$10-1)+1)^((FixedParams!$B$47-$B$10)/($B$10-1))/((1+IF(CG169=1,FixedParams!$D$25,IF(CH169=1,FixedParams!$D$23,FixedParams!$D$24)))^FixedParams!$B$47)</f>
        <v>4.1783676247452321E-2</v>
      </c>
      <c r="CK169">
        <f t="shared" si="133"/>
        <v>1.1001792457099866</v>
      </c>
      <c r="CL169">
        <f t="shared" si="135"/>
        <v>30.05720699982993</v>
      </c>
      <c r="CM169">
        <f t="shared" si="102"/>
        <v>18.542087808474395</v>
      </c>
      <c r="CN169">
        <f t="shared" si="136"/>
        <v>48.599294808304322</v>
      </c>
      <c r="CO169" s="24">
        <f t="shared" si="137"/>
        <v>0.61689323990014477</v>
      </c>
      <c r="CP169" s="24">
        <f t="shared" si="138"/>
        <v>2.0501368144690049</v>
      </c>
      <c r="CQ169" s="23">
        <f>IF(CG169=1,CL169*(1+FixedParams!$D$25)+CM169*(1+FixedParams!$D$28)/$CE$12,IF(CH169=1,CL169*(1+FixedParams!$D$23)+CM169*(1+FixedParams!$D$26)/$CE$12,CL169*(1+FixedParams!$D$24)+CM169*(1+FixedParams!$D$27)/$CE$12))</f>
        <v>108.04802910282055</v>
      </c>
      <c r="CR169" s="24">
        <f t="shared" si="139"/>
        <v>17.026809209053017</v>
      </c>
      <c r="CS169" s="24">
        <f>CR169^((FixedParams!$B$47-1)/FixedParams!$B$47)*EXP($C169)</f>
        <v>0.14925647425698907</v>
      </c>
      <c r="CT169" s="24"/>
    </row>
    <row r="170" spans="1:98" x14ac:dyDescent="0.15">
      <c r="A170">
        <v>0.76500000000000001</v>
      </c>
      <c r="B170">
        <f t="shared" si="103"/>
        <v>0.36964436650132648</v>
      </c>
      <c r="C170">
        <f>(D170-$D$17)*FixedParams!$B$47+$A170*$B$9</f>
        <v>-1.9117465981076669</v>
      </c>
      <c r="D170">
        <f>(A170-$B$6)*FixedParams!$B$46/(FixedParams!$B$45*Sectors!$B$6)</f>
        <v>0.14398812892159416</v>
      </c>
      <c r="E170">
        <f t="shared" si="104"/>
        <v>0.14782197540838996</v>
      </c>
      <c r="F170" s="24">
        <f>EXP(-$D$17)*(($B170*FixedParams!$B$30)^$B$10*(1+FixedParams!$B$23)^(1-$B$10)+(1-$B170)^$B$10*((1+FixedParams!$B$26)/$B$11)^(1-$B$10))^(1/(1-$B$10))</f>
        <v>4.885855730527517</v>
      </c>
      <c r="G170" s="24">
        <f>EXP($D170-$D$17)*(($B170*FixedParams!$B$31)^$B$10*(1+FixedParams!$B$25)^(1-$B$10)+(1-$B170)^$B$10*((1+FixedParams!$B$28)/$B$11)^(1-$B$10))^(1/(1-$B$10))</f>
        <v>5.3829108360906863</v>
      </c>
      <c r="H170">
        <f t="shared" si="105"/>
        <v>0</v>
      </c>
      <c r="I170" s="24">
        <f>$B$12*IF(H170=1,1,FixedParams!$B$52)</f>
        <v>0.39101505882574561</v>
      </c>
      <c r="J170">
        <f>EXP($C170*FixedParams!$B$47)*EXP(IF(H170=1,(1-FixedParams!$B$47)*$D170,0))*($B170^((FixedParams!$B$47-1)*$B$10/($B$10-1)))*((1/$B170-1)^$B$10*(I170)^($B$10-1)+1)^((FixedParams!$B$47-$B$10)/($B$10-1))/((1+IF(H170=1,FixedParams!$B$25,FixedParams!$B$24))^FixedParams!$B$47)</f>
        <v>5.7580043684834901E-2</v>
      </c>
      <c r="K170">
        <f t="shared" si="134"/>
        <v>1.1609623763389014</v>
      </c>
      <c r="L170">
        <f>K170*FixedParams!$B$8/K$15</f>
        <v>33.752809405667641</v>
      </c>
      <c r="M170">
        <f t="shared" si="94"/>
        <v>18.378178784831327</v>
      </c>
      <c r="N170">
        <f t="shared" si="106"/>
        <v>52.130988190498968</v>
      </c>
      <c r="O170" s="24">
        <f t="shared" si="107"/>
        <v>0.54449330614077218</v>
      </c>
      <c r="P170" s="24">
        <f t="shared" si="95"/>
        <v>1.9104431658863232</v>
      </c>
      <c r="Q170" s="23">
        <f>IF(H170=1,L170*(1+FixedParams!$B$25)+M170*FixedParams!$B$33*(1+FixedParams!$B$28)/FixedParams!$B$32,L170*(1+FixedParams!$B$23)+M170*FixedParams!$B$33*(1+FixedParams!$B$26)/FixedParams!$B$32)</f>
        <v>86.931696086135275</v>
      </c>
      <c r="R170" s="24">
        <f t="shared" si="96"/>
        <v>17.792522104771486</v>
      </c>
      <c r="S170" s="24">
        <f>R170^((FixedParams!$B$47-1)/FixedParams!$B$47)*EXP($C170)</f>
        <v>0.14739661591124936</v>
      </c>
      <c r="T170" s="7">
        <f>(L170*FixedParams!$B$32*(FixedParams!$C$25-FixedParams!$C$23)+FixedParams!$B$33*(FixedParams!$C$28-FixedParams!$C$26)*M170)/N170</f>
        <v>2887.54757557926</v>
      </c>
      <c r="U170" s="7">
        <f>(L170*FixedParams!$B$32*(FixedParams!$C$25-FixedParams!$C$23)*$Z$12/$B$11+FixedParams!$B$33*(FixedParams!$C$28-FixedParams!$C$26)*M170)/N170</f>
        <v>2237.2802801878834</v>
      </c>
      <c r="V170" s="14">
        <f t="shared" si="97"/>
        <v>-0.33110957584384854</v>
      </c>
      <c r="W170" s="14">
        <f t="shared" si="108"/>
        <v>0.90174747865059524</v>
      </c>
      <c r="X170" s="73">
        <f t="shared" si="109"/>
        <v>0.88953713711467197</v>
      </c>
      <c r="Y170" s="24">
        <f>EXP(-$D$17)*(($B170*FixedParams!$B$30)^$B$10*(1+FixedParams!$C$24)^(1-$B$10)+(1-$B170)^$B$10*((1+FixedParams!$C$27)/$Z$12)^(1-$B$10))^(1/(1-$B$10))</f>
        <v>6.6779807041955888</v>
      </c>
      <c r="Z170" s="24">
        <f>EXP($D170-$D$17)*(($B170*FixedParams!$C$31)^$B$10*(1+FixedParams!$C$25)^(1-$B$10)+(1-$B170)^$B$10*((1+FixedParams!$C$28)/$Z$12)^(1-$B$10))^(1/(1-$B$10))</f>
        <v>6.7653971957214507</v>
      </c>
      <c r="AA170" s="24">
        <f>EXP($D170-$D$17)*(($B170*FixedParams!$C$30)^$B$10*(1+FixedParams!$C$23)^(1-$B$10)+(1-$B170)^$B$10*((1+FixedParams!$C$26)/$Z$12)^(1-$B$10))^(1/(1-$B$10))</f>
        <v>6.4871650583219198</v>
      </c>
      <c r="AB170">
        <f>IF(FixedParams!$I$6=1,IF(Z170&lt;=MIN(Y170:AA170),1,0),$H170)</f>
        <v>0</v>
      </c>
      <c r="AC170">
        <f>IF(FixedParams!$I$6=1,IF(AA170&lt;=MIN(Y170:AA170),1,0),IF(AA170&lt;=Y170,1,0)*(1-$H170))</f>
        <v>1</v>
      </c>
      <c r="AD170" s="24">
        <f>$Z$13*IF(AB170=1,1,IF(AC170=1,FixedParams!$C$52,FixedParams!$C$53))</f>
        <v>0.34709202255780691</v>
      </c>
      <c r="AE170">
        <f>EXP($C170*FixedParams!$B$47)*EXP(IF(AB170+AC170=1,(1-FixedParams!$B$47)*$D170,0))*($B170^((FixedParams!$B$47-1)*$B$10/($B$10-1)))*((1/$B170-1)^$B$10*(AD170)^($B$10-1)+1)^((FixedParams!$B$47-$B$10)/($B$10-1))/((1+IF(AB170=1,FixedParams!$C$25,IF(AC170=1,FixedParams!$C$23,FixedParams!$C$24)))^FixedParams!$B$47)</f>
        <v>5.5517358157551058E-2</v>
      </c>
      <c r="AF170">
        <f t="shared" si="110"/>
        <v>1.6359400443484453</v>
      </c>
      <c r="AG170">
        <f t="shared" si="111"/>
        <v>38.425719452999942</v>
      </c>
      <c r="AH170">
        <f t="shared" si="98"/>
        <v>17.498115378346142</v>
      </c>
      <c r="AI170">
        <f t="shared" si="112"/>
        <v>55.923834831346085</v>
      </c>
      <c r="AJ170" s="24">
        <f t="shared" si="113"/>
        <v>0.45537508802532112</v>
      </c>
      <c r="AK170" s="24">
        <f t="shared" si="114"/>
        <v>2.1666730499429105</v>
      </c>
      <c r="AL170" s="23">
        <f>IF(AB170=1,AG170*(1+FixedParams!$C$25)+AH170*(1+FixedParams!$C$28)/$Z$12,IF(AC170=1,AG170*(1+FixedParams!$C$23)+AH170*(1+FixedParams!$C$26)/$Z$12,AG170*(1+FixedParams!$C$24)+AH170*(1+FixedParams!$C$27)/$Z$12))</f>
        <v>102.67306961513626</v>
      </c>
      <c r="AM170" s="24">
        <f t="shared" si="115"/>
        <v>15.827109175127944</v>
      </c>
      <c r="AN170" s="24">
        <f>AM170^((FixedParams!$B$47-1)/FixedParams!$B$47)*EXP($C170)</f>
        <v>0.14741388756048757</v>
      </c>
      <c r="AO170" s="24">
        <f t="shared" si="116"/>
        <v>7.0231117799610124E-2</v>
      </c>
      <c r="AP170" s="24">
        <f t="shared" si="117"/>
        <v>-0.11705402219727469</v>
      </c>
      <c r="AQ170" s="14">
        <f t="shared" si="118"/>
        <v>-0.2715315091515888</v>
      </c>
      <c r="AS170" s="24">
        <f>EXP(-$D$17)*(($B170*FixedParams!$B$30)^$B$10*(1+FixedParams!$D$24)^(1-$B$10)+(1-$B170)^$B$10*((1+FixedParams!$D$27)/$AT$12)^(1-$B$10))^(1/(1-$B$10))</f>
        <v>6.1627952848345862</v>
      </c>
      <c r="AT170" s="24">
        <f>EXP($D170-$D$17)*(($B170*FixedParams!$C$31)^$B$10*(1+FixedParams!$D$25)^(1-$B$10)+(1-$B170)^$B$10*((1+FixedParams!$D$28)/$AT$12)^(1-$B$10))^(1/(1-$B$10))</f>
        <v>6.5197893852395845</v>
      </c>
      <c r="AU170" s="24">
        <f>EXP($D170-$D$17)*(($B170*FixedParams!$C$30)^$B$10*(1+FixedParams!$D$23)^(1-$B$10)+(1-$B170)^$B$10*((1+FixedParams!$D$26)/$AT$12)^(1-$B$10))^(1/(1-$B$10))</f>
        <v>6.280150617351075</v>
      </c>
      <c r="AV170">
        <f>IF(FixedParams!$I$6=1,IF(AT170&lt;=MIN(AS170:AU170),1,0),$H170)</f>
        <v>0</v>
      </c>
      <c r="AW170">
        <f>IF(FixedParams!$I$6=1,IF(AU170&lt;=MIN(AS170:AU170),1,0),IF(AU170&lt;=AS170,1,0)*(1-$H170))</f>
        <v>0</v>
      </c>
      <c r="AX170" s="24">
        <f>$AT$13*IF(AV170=1,1,IF(AW170=1,FixedParams!$D$52,FixedParams!$D$53))</f>
        <v>0.44031288407969205</v>
      </c>
      <c r="AY170">
        <f>EXP($C170*FixedParams!$B$47)*EXP(IF(AV170+AW170=1,(1-FixedParams!$B$47)*$D170,0))*($B170^((FixedParams!$B$47-1)*$B$10/($B$10-1)))*((1/$B170-1)^$B$10*(AX170)^($B$10-1)+1)^((FixedParams!$B$47-$B$10)/($B$10-1))/((1+IF(AV170=1,FixedParams!$D$25,IF(AW170=1,FixedParams!$D$23,FixedParams!$D$24)))^FixedParams!$B$47)</f>
        <v>4.1110992721797711E-2</v>
      </c>
      <c r="AZ170">
        <f t="shared" si="99"/>
        <v>1.1070195819400077</v>
      </c>
      <c r="BA170">
        <f t="shared" si="119"/>
        <v>27.852464625622247</v>
      </c>
      <c r="BB170">
        <f t="shared" si="100"/>
        <v>18.1220799379707</v>
      </c>
      <c r="BC170">
        <f t="shared" si="120"/>
        <v>45.974544563592943</v>
      </c>
      <c r="BD170" s="24">
        <f t="shared" si="121"/>
        <v>0.65064547003498219</v>
      </c>
      <c r="BE170" s="24">
        <f t="shared" si="122"/>
        <v>2.0868935526594985</v>
      </c>
      <c r="BF170" s="23">
        <f>IF(AV170=1,BA170*(1+FixedParams!$C$25)+BB170*(1+FixedParams!$C$28)/$AT$12,IF(AW170=1,BA170*(1+FixedParams!$C$23)+BB170*(1+FixedParams!$C$26)/$AT$12,BA170*(1+FixedParams!$C$24)+BB170*(1+FixedParams!$C$27)/$AT$12))</f>
        <v>108.17331828660744</v>
      </c>
      <c r="BG170" s="24">
        <f t="shared" si="123"/>
        <v>17.552638581521681</v>
      </c>
      <c r="BH170" s="24">
        <f>BG170^((FixedParams!$B$47-1)/FixedParams!$B$47)*EXP($C170)</f>
        <v>0.1473986186859528</v>
      </c>
      <c r="BI170" s="7"/>
      <c r="BJ170" s="24">
        <f>EXP(-$D$17)*(($B170*FixedParams!$B$30)^$B$10*(1+FixedParams!$C$24)^(1-$B$10)+(1-$B170)^$B$10*((1+FixedParams!$C$27)/$BK$12)^(1-$B$10))^(1/(1-$B$10))</f>
        <v>6.8838014377910675</v>
      </c>
      <c r="BK170" s="24">
        <f>EXP($D170-$D$17)*(($B170*FixedParams!$C$31)^$B$10*(1+FixedParams!$C$25)^(1-$B$10)+(1-$B170)^$B$10*((1+FixedParams!$C$28)/$BK$12)^(1-$B$10))^(1/(1-$B$10))</f>
        <v>6.9695858013170637</v>
      </c>
      <c r="BL170" s="24">
        <f>EXP($D170-$D$17)*(($B170*FixedParams!$C$30)^$B$10*(1+FixedParams!$C$23)^(1-$B$10)+(1-$B170)^$B$10*((1+FixedParams!$C$26)/$BK$12)^(1-$B$10))^(1/(1-$B$10))</f>
        <v>6.6740018937079819</v>
      </c>
      <c r="BM170">
        <f>IF(FixedParams!$I$6=1,IF(BK170&lt;=MIN(BJ170:BL170),1,0),$H170)</f>
        <v>0</v>
      </c>
      <c r="BN170">
        <f>IF(FixedParams!$I$6=1,IF(BL170&lt;=MIN(BJ170:BL170),1,0),IF(BL170&lt;=BJ170,1,0)*(1-$H170))</f>
        <v>1</v>
      </c>
      <c r="BO170" s="24">
        <f>$BK$13*IF(BM170=1,1,IF(BN170=1,FixedParams!$C$52,FixedParams!$C$53))</f>
        <v>0.33006170822567266</v>
      </c>
      <c r="BP170">
        <f>EXP($C170*FixedParams!$B$47)*EXP(IF(BM170+BN170=1,(1-FixedParams!$B$47)*$D170,0))*($B170^((FixedParams!$B$47-1)*$B$10/($B$10-1)))*((1/$B170-1)^$B$10*(BO170)^($B$10-1)+1)^((FixedParams!$B$47-$B$10)/($B$10-1))/((1+IF(BM170=1,FixedParams!$C$25,IF(BN170=1,FixedParams!$C$23,FixedParams!$C$24)))^FixedParams!$B$47)</f>
        <v>5.6312759768499449E-2</v>
      </c>
      <c r="BQ170">
        <f t="shared" si="124"/>
        <v>1.6199915209954123</v>
      </c>
      <c r="BR170">
        <f t="shared" si="125"/>
        <v>41.316521087957994</v>
      </c>
      <c r="BS170">
        <f t="shared" si="101"/>
        <v>17.446920442837431</v>
      </c>
      <c r="BT170">
        <f t="shared" si="126"/>
        <v>58.763441530795426</v>
      </c>
      <c r="BU170" s="24">
        <f t="shared" si="127"/>
        <v>0.4222746732643583</v>
      </c>
      <c r="BV170" s="24">
        <f t="shared" si="128"/>
        <v>2.1197042456182866</v>
      </c>
      <c r="BW170" s="23">
        <f>IF(BM170=1,BR170*(1+FixedParams!$C$25)+BS170*(1+FixedParams!$C$28)/$BK$12,IF(BN170=1,BR170*(1+FixedParams!$C$23)+BS170*(1+FixedParams!$C$26)/$BK$12,BR170*(1+FixedParams!$C$24)+BS170*(1+FixedParams!$C$27)/$BK$12))</f>
        <v>108.84101825609983</v>
      </c>
      <c r="BX170" s="24">
        <f t="shared" si="129"/>
        <v>16.308209075983537</v>
      </c>
      <c r="BY170" s="24">
        <f>BX170^((FixedParams!$B$47-1)/FixedParams!$B$47)*EXP($C170)</f>
        <v>0.14740946899282473</v>
      </c>
      <c r="BZ170" s="24">
        <f t="shared" si="130"/>
        <v>0.11976036399579974</v>
      </c>
      <c r="CA170" s="24">
        <f t="shared" si="131"/>
        <v>-8.7109657225046322E-2</v>
      </c>
      <c r="CB170" s="24">
        <f t="shared" si="132"/>
        <v>-6.9781201305639071E-2</v>
      </c>
      <c r="CC170" s="24"/>
      <c r="CD170" s="24">
        <f>EXP(-$D$17)*(($B170*FixedParams!$B$30)^$B$10*(1+FixedParams!$D$24)^(1-$B$10)+(1-$B170)^$B$10*((1+FixedParams!$D$27)/$CE$12)^(1-$B$10))^(1/(1-$B$10))</f>
        <v>6.3372416996008365</v>
      </c>
      <c r="CE170" s="24">
        <f>EXP($D170-$D$17)*(($B170*FixedParams!$D$31)^$B$10*(1+FixedParams!$D$25)^(1-$B$10)+(1-$B170)^$B$10*((1+FixedParams!$D$28)/$CE$12)^(1-$B$10))^(1/(1-$B$10))</f>
        <v>6.7017032425554515</v>
      </c>
      <c r="CF170" s="24">
        <f>EXP($D170-$D$17)*(($B170*FixedParams!$D$30)^$B$10*(1+FixedParams!$D$23)^(1-$B$10)+(1-$B170)^$B$10*((1+FixedParams!$D$26)/$CE$12)^(1-$B$10))^(1/(1-$B$10))</f>
        <v>6.4489179144195496</v>
      </c>
      <c r="CG170">
        <f>IF(FixedParams!$I$6=1,IF(CE170&lt;=MIN(CD170:CF170),1,0),$H170)</f>
        <v>0</v>
      </c>
      <c r="CH170">
        <f>IF(FixedParams!$I$6=1,IF(CF170&lt;=MIN(CD170:CF170),1,0),IF(CF170&lt;=CD170,1,0)*(1-$H170))</f>
        <v>0</v>
      </c>
      <c r="CI170" s="24">
        <f>$CE$13*IF(CG170=1,1,IF(CH170=1,FixedParams!$D$52,FixedParams!$D$53))</f>
        <v>0.42008589776177102</v>
      </c>
      <c r="CJ170">
        <f>EXP($C170*FixedParams!$B$47)*EXP(IF(CG170+CH170=1,(1-FixedParams!$B$47)*$D170,0))*($B170^((FixedParams!$B$47-1)*$B$10/($B$10-1)))*((1/$B170-1)^$B$10*(CI170)^($B$10-1)+1)^((FixedParams!$B$47-$B$10)/($B$10-1))/((1+IF(CG170=1,FixedParams!$D$25,IF(CH170=1,FixedParams!$D$23,FixedParams!$D$24)))^FixedParams!$B$47)</f>
        <v>4.1689947796763542E-2</v>
      </c>
      <c r="CK170">
        <f t="shared" si="133"/>
        <v>1.0977113418431832</v>
      </c>
      <c r="CL170">
        <f t="shared" si="135"/>
        <v>29.989783170786218</v>
      </c>
      <c r="CM170">
        <f t="shared" si="102"/>
        <v>18.183722693089429</v>
      </c>
      <c r="CN170">
        <f t="shared" si="136"/>
        <v>48.173505863875647</v>
      </c>
      <c r="CO170" s="24">
        <f t="shared" si="137"/>
        <v>0.60633058230319714</v>
      </c>
      <c r="CP170" s="24">
        <f t="shared" si="138"/>
        <v>2.0473850884398792</v>
      </c>
      <c r="CQ170" s="23">
        <f>IF(CG170=1,CL170*(1+FixedParams!$D$25)+CM170*(1+FixedParams!$D$28)/$CE$12,IF(CH170=1,CL170*(1+FixedParams!$D$23)+CM170*(1+FixedParams!$D$26)/$CE$12,CL170*(1+FixedParams!$D$24)+CM170*(1+FixedParams!$D$27)/$CE$12))</f>
        <v>106.70755036226473</v>
      </c>
      <c r="CR170" s="24">
        <f t="shared" si="139"/>
        <v>16.838169572889402</v>
      </c>
      <c r="CS170" s="24">
        <f>CR170^((FixedParams!$B$47-1)/FixedParams!$B$47)*EXP($C170)</f>
        <v>0.14740475023857669</v>
      </c>
      <c r="CT170" s="24"/>
    </row>
    <row r="171" spans="1:98" x14ac:dyDescent="0.15">
      <c r="A171">
        <v>0.77</v>
      </c>
      <c r="B171">
        <f t="shared" si="103"/>
        <v>0.37233115847734699</v>
      </c>
      <c r="C171">
        <f>(D171-$D$17)*FixedParams!$B$47+$A171*$B$9</f>
        <v>-1.9242416739122925</v>
      </c>
      <c r="D171">
        <f>(A171-$B$6)*FixedParams!$B$46/(FixedParams!$B$45*Sectors!$B$6)</f>
        <v>0.14670488607105819</v>
      </c>
      <c r="E171">
        <f t="shared" si="104"/>
        <v>0.14598642020236355</v>
      </c>
      <c r="F171" s="24">
        <f>EXP(-$D$17)*(($B171*FixedParams!$B$30)^$B$10*(1+FixedParams!$B$23)^(1-$B$10)+(1-$B171)^$B$10*((1+FixedParams!$B$26)/$B$11)^(1-$B$10))^(1/(1-$B$10))</f>
        <v>4.877578777599072</v>
      </c>
      <c r="G171" s="24">
        <f>EXP($D171-$D$17)*(($B171*FixedParams!$B$31)^$B$10*(1+FixedParams!$B$25)^(1-$B$10)+(1-$B171)^$B$10*((1+FixedParams!$B$28)/$B$11)^(1-$B$10))^(1/(1-$B$10))</f>
        <v>5.3874367145015256</v>
      </c>
      <c r="H171">
        <f t="shared" si="105"/>
        <v>0</v>
      </c>
      <c r="I171" s="24">
        <f>$B$12*IF(H171=1,1,FixedParams!$B$52)</f>
        <v>0.39101505882574561</v>
      </c>
      <c r="J171">
        <f>EXP($C171*FixedParams!$B$47)*EXP(IF(H171=1,(1-FixedParams!$B$47)*$D171,0))*($B171^((FixedParams!$B$47-1)*$B$10/($B$10-1)))*((1/$B171-1)^$B$10*(I171)^($B$10-1)+1)^((FixedParams!$B$47-$B$10)/($B$10-1))/((1+IF(H171=1,FixedParams!$B$25,FixedParams!$B$24))^FixedParams!$B$47)</f>
        <v>5.7438078015362985E-2</v>
      </c>
      <c r="K171">
        <f t="shared" si="134"/>
        <v>1.1580999818278659</v>
      </c>
      <c r="L171">
        <f>K171*FixedParams!$B$8/K$15</f>
        <v>33.669590639630208</v>
      </c>
      <c r="M171">
        <f t="shared" si="94"/>
        <v>18.018965093076563</v>
      </c>
      <c r="N171">
        <f t="shared" si="106"/>
        <v>51.688555732706774</v>
      </c>
      <c r="O171" s="24">
        <f t="shared" si="107"/>
        <v>0.53517030503684393</v>
      </c>
      <c r="P171" s="24">
        <f t="shared" si="95"/>
        <v>1.9072067526501095</v>
      </c>
      <c r="Q171" s="23">
        <f>IF(H171=1,L171*(1+FixedParams!$B$25)+M171*FixedParams!$B$33*(1+FixedParams!$B$28)/FixedParams!$B$32,L171*(1+FixedParams!$B$23)+M171*FixedParams!$B$33*(1+FixedParams!$B$26)/FixedParams!$B$32)</f>
        <v>85.853163138769077</v>
      </c>
      <c r="R171" s="24">
        <f t="shared" si="96"/>
        <v>17.60159436748846</v>
      </c>
      <c r="S171" s="24">
        <f>R171^((FixedParams!$B$47-1)/FixedParams!$B$47)*EXP($C171)</f>
        <v>0.14556791460035987</v>
      </c>
      <c r="T171" s="7">
        <f>(L171*FixedParams!$B$32*(FixedParams!$C$25-FixedParams!$C$23)+FixedParams!$B$33*(FixedParams!$C$28-FixedParams!$C$26)*M171)/N171</f>
        <v>2932.1558342714425</v>
      </c>
      <c r="U171" s="7">
        <f>(L171*FixedParams!$B$32*(FixedParams!$C$25-FixedParams!$C$23)*$Z$12/$B$11+FixedParams!$B$33*(FixedParams!$C$28-FixedParams!$C$26)*M171)/N171</f>
        <v>2277.9395029373491</v>
      </c>
      <c r="V171" s="14">
        <f t="shared" si="97"/>
        <v>-0.31383895054776501</v>
      </c>
      <c r="W171" s="14">
        <f t="shared" si="108"/>
        <v>0.90428269230797598</v>
      </c>
      <c r="X171" s="73">
        <f t="shared" si="109"/>
        <v>0.8875725704946128</v>
      </c>
      <c r="Y171" s="24">
        <f>EXP(-$D$17)*(($B171*FixedParams!$B$30)^$B$10*(1+FixedParams!$C$24)^(1-$B$10)+(1-$B171)^$B$10*((1+FixedParams!$C$27)/$Z$12)^(1-$B$10))^(1/(1-$B$10))</f>
        <v>6.6722842857662084</v>
      </c>
      <c r="Z171" s="24">
        <f>EXP($D171-$D$17)*(($B171*FixedParams!$C$31)^$B$10*(1+FixedParams!$C$25)^(1-$B$10)+(1-$B171)^$B$10*((1+FixedParams!$C$28)/$Z$12)^(1-$B$10))^(1/(1-$B$10))</f>
        <v>6.7751304672975818</v>
      </c>
      <c r="AA171" s="24">
        <f>EXP($D171-$D$17)*(($B171*FixedParams!$C$30)^$B$10*(1+FixedParams!$C$23)^(1-$B$10)+(1-$B171)^$B$10*((1+FixedParams!$C$26)/$Z$12)^(1-$B$10))^(1/(1-$B$10))</f>
        <v>6.4905242144459177</v>
      </c>
      <c r="AB171">
        <f>IF(FixedParams!$I$6=1,IF(Z171&lt;=MIN(Y171:AA171),1,0),$H171)</f>
        <v>0</v>
      </c>
      <c r="AC171">
        <f>IF(FixedParams!$I$6=1,IF(AA171&lt;=MIN(Y171:AA171),1,0),IF(AA171&lt;=Y171,1,0)*(1-$H171))</f>
        <v>1</v>
      </c>
      <c r="AD171" s="24">
        <f>$Z$13*IF(AB171=1,1,IF(AC171=1,FixedParams!$C$52,FixedParams!$C$53))</f>
        <v>0.34709202255780691</v>
      </c>
      <c r="AE171">
        <f>EXP($C171*FixedParams!$B$47)*EXP(IF(AB171+AC171=1,(1-FixedParams!$B$47)*$D171,0))*($B171^((FixedParams!$B$47-1)*$B$10/($B$10-1)))*((1/$B171-1)^$B$10*(AD171)^($B$10-1)+1)^((FixedParams!$B$47-$B$10)/($B$10-1))/((1+IF(AB171=1,FixedParams!$C$25,IF(AC171=1,FixedParams!$C$23,FixedParams!$C$24)))^FixedParams!$B$47)</f>
        <v>5.5366658299674784E-2</v>
      </c>
      <c r="AF171">
        <f t="shared" si="110"/>
        <v>1.6314993443519186</v>
      </c>
      <c r="AG171">
        <f t="shared" si="111"/>
        <v>38.321414229326884</v>
      </c>
      <c r="AH171">
        <f t="shared" si="98"/>
        <v>17.151821923070564</v>
      </c>
      <c r="AI171">
        <f t="shared" si="112"/>
        <v>55.473236152397448</v>
      </c>
      <c r="AJ171" s="24">
        <f t="shared" si="113"/>
        <v>0.44757799961214628</v>
      </c>
      <c r="AK171" s="24">
        <f t="shared" si="114"/>
        <v>2.1677949873345113</v>
      </c>
      <c r="AL171" s="23">
        <f>IF(AB171=1,AG171*(1+FixedParams!$C$25)+AH171*(1+FixedParams!$C$28)/$Z$12,IF(AC171=1,AG171*(1+FixedParams!$C$23)+AH171*(1+FixedParams!$C$26)/$Z$12,AG171*(1+FixedParams!$C$24)+AH171*(1+FixedParams!$C$27)/$Z$12))</f>
        <v>101.3994630415514</v>
      </c>
      <c r="AM171" s="24">
        <f t="shared" si="115"/>
        <v>15.622692357555231</v>
      </c>
      <c r="AN171" s="24">
        <f>AM171^((FixedParams!$B$47-1)/FixedParams!$B$47)*EXP($C171)</f>
        <v>0.14558529417238206</v>
      </c>
      <c r="AO171" s="24">
        <f t="shared" si="116"/>
        <v>7.0664275077487848E-2</v>
      </c>
      <c r="AP171" s="24">
        <f t="shared" si="117"/>
        <v>-0.11926499140412065</v>
      </c>
      <c r="AQ171" s="14">
        <f t="shared" si="118"/>
        <v>-0.25426088385550544</v>
      </c>
      <c r="AS171" s="24">
        <f>EXP(-$D$17)*(($B171*FixedParams!$B$30)^$B$10*(1+FixedParams!$D$24)^(1-$B$10)+(1-$B171)^$B$10*((1+FixedParams!$D$27)/$AT$12)^(1-$B$10))^(1/(1-$B$10))</f>
        <v>6.1554140147478735</v>
      </c>
      <c r="AT171" s="24">
        <f>EXP($D171-$D$17)*(($B171*FixedParams!$C$31)^$B$10*(1+FixedParams!$D$25)^(1-$B$10)+(1-$B171)^$B$10*((1+FixedParams!$D$28)/$AT$12)^(1-$B$10))^(1/(1-$B$10))</f>
        <v>6.5278100187075125</v>
      </c>
      <c r="AU171" s="24">
        <f>EXP($D171-$D$17)*(($B171*FixedParams!$C$30)^$B$10*(1+FixedParams!$D$23)^(1-$B$10)+(1-$B171)^$B$10*((1+FixedParams!$D$26)/$AT$12)^(1-$B$10))^(1/(1-$B$10))</f>
        <v>6.2832560196538498</v>
      </c>
      <c r="AV171">
        <f>IF(FixedParams!$I$6=1,IF(AT171&lt;=MIN(AS171:AU171),1,0),$H171)</f>
        <v>0</v>
      </c>
      <c r="AW171">
        <f>IF(FixedParams!$I$6=1,IF(AU171&lt;=MIN(AS171:AU171),1,0),IF(AU171&lt;=AS171,1,0)*(1-$H171))</f>
        <v>0</v>
      </c>
      <c r="AX171" s="24">
        <f>$AT$13*IF(AV171=1,1,IF(AW171=1,FixedParams!$D$52,FixedParams!$D$53))</f>
        <v>0.44031288407969205</v>
      </c>
      <c r="AY171">
        <f>EXP($C171*FixedParams!$B$47)*EXP(IF(AV171+AW171=1,(1-FixedParams!$B$47)*$D171,0))*($B171^((FixedParams!$B$47-1)*$B$10/($B$10-1)))*((1/$B171-1)^$B$10*(AX171)^($B$10-1)+1)^((FixedParams!$B$47-$B$10)/($B$10-1))/((1+IF(AV171=1,FixedParams!$D$25,IF(AW171=1,FixedParams!$D$23,FixedParams!$D$24)))^FixedParams!$B$47)</f>
        <v>4.1019846038618996E-2</v>
      </c>
      <c r="AZ171">
        <f t="shared" si="99"/>
        <v>1.1045652222559561</v>
      </c>
      <c r="BA171">
        <f t="shared" si="119"/>
        <v>27.790713264224642</v>
      </c>
      <c r="BB171">
        <f t="shared" si="100"/>
        <v>17.772297172999899</v>
      </c>
      <c r="BC171">
        <f t="shared" si="120"/>
        <v>45.563010437224541</v>
      </c>
      <c r="BD171" s="24">
        <f t="shared" si="121"/>
        <v>0.63950489517944165</v>
      </c>
      <c r="BE171" s="24">
        <f t="shared" si="122"/>
        <v>2.0843940497160363</v>
      </c>
      <c r="BF171" s="23">
        <f>IF(AV171=1,BA171*(1+FixedParams!$C$25)+BB171*(1+FixedParams!$C$28)/$AT$12,IF(AW171=1,BA171*(1+FixedParams!$C$23)+BB171*(1+FixedParams!$C$26)/$AT$12,BA171*(1+FixedParams!$C$24)+BB171*(1+FixedParams!$C$27)/$AT$12))</f>
        <v>106.87481528615302</v>
      </c>
      <c r="BG171" s="24">
        <f t="shared" si="123"/>
        <v>17.362733851872456</v>
      </c>
      <c r="BH171" s="24">
        <f>BG171^((FixedParams!$B$47-1)/FixedParams!$B$47)*EXP($C171)</f>
        <v>0.14556990554448107</v>
      </c>
      <c r="BI171" s="7"/>
      <c r="BJ171" s="24">
        <f>EXP(-$D$17)*(($B171*FixedParams!$B$30)^$B$10*(1+FixedParams!$C$24)^(1-$B$10)+(1-$B171)^$B$10*((1+FixedParams!$C$27)/$BK$12)^(1-$B$10))^(1/(1-$B$10))</f>
        <v>6.8764969035976033</v>
      </c>
      <c r="BK171" s="24">
        <f>EXP($D171-$D$17)*(($B171*FixedParams!$C$31)^$B$10*(1+FixedParams!$C$25)^(1-$B$10)+(1-$B171)^$B$10*((1+FixedParams!$C$28)/$BK$12)^(1-$B$10))^(1/(1-$B$10))</f>
        <v>6.9781448593360453</v>
      </c>
      <c r="BL171" s="24">
        <f>EXP($D171-$D$17)*(($B171*FixedParams!$C$30)^$B$10*(1+FixedParams!$C$23)^(1-$B$10)+(1-$B171)^$B$10*((1+FixedParams!$C$26)/$BK$12)^(1-$B$10))^(1/(1-$B$10))</f>
        <v>6.6760299676899528</v>
      </c>
      <c r="BM171">
        <f>IF(FixedParams!$I$6=1,IF(BK171&lt;=MIN(BJ171:BL171),1,0),$H171)</f>
        <v>0</v>
      </c>
      <c r="BN171">
        <f>IF(FixedParams!$I$6=1,IF(BL171&lt;=MIN(BJ171:BL171),1,0),IF(BL171&lt;=BJ171,1,0)*(1-$H171))</f>
        <v>1</v>
      </c>
      <c r="BO171" s="24">
        <f>$BK$13*IF(BM171=1,1,IF(BN171=1,FixedParams!$C$52,FixedParams!$C$53))</f>
        <v>0.33006170822567266</v>
      </c>
      <c r="BP171">
        <f>EXP($C171*FixedParams!$B$47)*EXP(IF(BM171+BN171=1,(1-FixedParams!$B$47)*$D171,0))*($B171^((FixedParams!$B$47-1)*$B$10/($B$10-1)))*((1/$B171-1)^$B$10*(BO171)^($B$10-1)+1)^((FixedParams!$B$47-$B$10)/($B$10-1))/((1+IF(BM171=1,FixedParams!$C$25,IF(BN171=1,FixedParams!$C$23,FixedParams!$C$24)))^FixedParams!$B$47)</f>
        <v>5.6153884205190109E-2</v>
      </c>
      <c r="BQ171">
        <f t="shared" si="124"/>
        <v>1.6154210281530694</v>
      </c>
      <c r="BR171">
        <f t="shared" si="125"/>
        <v>41.199954512481732</v>
      </c>
      <c r="BS171">
        <f t="shared" si="101"/>
        <v>17.099807990604102</v>
      </c>
      <c r="BT171">
        <f t="shared" si="126"/>
        <v>58.29976250308583</v>
      </c>
      <c r="BU171" s="24">
        <f t="shared" si="127"/>
        <v>0.41504434150342639</v>
      </c>
      <c r="BV171" s="24">
        <f t="shared" si="128"/>
        <v>2.1203483744481066</v>
      </c>
      <c r="BW171" s="23">
        <f>IF(BM171=1,BR171*(1+FixedParams!$C$25)+BS171*(1+FixedParams!$C$28)/$BK$12,IF(BN171=1,BR171*(1+FixedParams!$C$23)+BS171*(1+FixedParams!$C$26)/$BK$12,BR171*(1+FixedParams!$C$24)+BS171*(1+FixedParams!$C$27)/$BK$12))</f>
        <v>107.49087846776946</v>
      </c>
      <c r="BX171" s="24">
        <f t="shared" si="129"/>
        <v>16.101017968462411</v>
      </c>
      <c r="BY171" s="24">
        <f>BX171^((FixedParams!$B$47-1)/FixedParams!$B$47)*EXP($C171)</f>
        <v>0.14558089928213386</v>
      </c>
      <c r="BZ171" s="24">
        <f t="shared" si="130"/>
        <v>0.12036162176907871</v>
      </c>
      <c r="CA171" s="24">
        <f t="shared" si="131"/>
        <v>-8.9106989156580219E-2</v>
      </c>
      <c r="CB171" s="24">
        <f t="shared" si="132"/>
        <v>-7.1778533237172967E-2</v>
      </c>
      <c r="CC171" s="24"/>
      <c r="CD171" s="24">
        <f>EXP(-$D$17)*(($B171*FixedParams!$B$30)^$B$10*(1+FixedParams!$D$24)^(1-$B$10)+(1-$B171)^$B$10*((1+FixedParams!$D$27)/$CE$12)^(1-$B$10))^(1/(1-$B$10))</f>
        <v>6.3284094596225113</v>
      </c>
      <c r="CE171" s="24">
        <f>EXP($D171-$D$17)*(($B171*FixedParams!$D$31)^$B$10*(1+FixedParams!$D$25)^(1-$B$10)+(1-$B171)^$B$10*((1+FixedParams!$D$28)/$CE$12)^(1-$B$10))^(1/(1-$B$10))</f>
        <v>6.7086230383646352</v>
      </c>
      <c r="CF171" s="24">
        <f>EXP($D171-$D$17)*(($B171*FixedParams!$D$30)^$B$10*(1+FixedParams!$D$23)^(1-$B$10)+(1-$B171)^$B$10*((1+FixedParams!$D$26)/$CE$12)^(1-$B$10))^(1/(1-$B$10))</f>
        <v>6.4508168610691863</v>
      </c>
      <c r="CG171">
        <f>IF(FixedParams!$I$6=1,IF(CE171&lt;=MIN(CD171:CF171),1,0),$H171)</f>
        <v>0</v>
      </c>
      <c r="CH171">
        <f>IF(FixedParams!$I$6=1,IF(CF171&lt;=MIN(CD171:CF171),1,0),IF(CF171&lt;=CD171,1,0)*(1-$H171))</f>
        <v>0</v>
      </c>
      <c r="CI171" s="24">
        <f>$CE$13*IF(CG171=1,1,IF(CH171=1,FixedParams!$D$52,FixedParams!$D$53))</f>
        <v>0.42008589776177102</v>
      </c>
      <c r="CJ171">
        <f>EXP($C171*FixedParams!$B$47)*EXP(IF(CG171+CH171=1,(1-FixedParams!$B$47)*$D171,0))*($B171^((FixedParams!$B$47-1)*$B$10/($B$10-1)))*((1/$B171-1)^$B$10*(CI171)^($B$10-1)+1)^((FixedParams!$B$47-$B$10)/($B$10-1))/((1+IF(CG171=1,FixedParams!$D$25,IF(CH171=1,FixedParams!$D$23,FixedParams!$D$24)))^FixedParams!$B$47)</f>
        <v>4.1593427930038056E-2</v>
      </c>
      <c r="CK171">
        <f t="shared" si="133"/>
        <v>1.0951699389866898</v>
      </c>
      <c r="CL171">
        <f t="shared" si="135"/>
        <v>29.920351328633732</v>
      </c>
      <c r="CM171">
        <f t="shared" si="102"/>
        <v>17.830996935851555</v>
      </c>
      <c r="CN171">
        <f t="shared" si="136"/>
        <v>47.751348264485287</v>
      </c>
      <c r="CO171" s="24">
        <f t="shared" si="137"/>
        <v>0.59594878215174285</v>
      </c>
      <c r="CP171" s="24">
        <f t="shared" si="138"/>
        <v>2.0445316393706596</v>
      </c>
      <c r="CQ171" s="23">
        <f>IF(CG171=1,CL171*(1+FixedParams!$D$25)+CM171*(1+FixedParams!$D$28)/$CE$12,IF(CH171=1,CL171*(1+FixedParams!$D$23)+CM171*(1+FixedParams!$D$26)/$CE$12,CL171*(1+FixedParams!$D$24)+CM171*(1+FixedParams!$D$27)/$CE$12))</f>
        <v>105.38369660037542</v>
      </c>
      <c r="CR171" s="24">
        <f t="shared" si="139"/>
        <v>16.652477573197601</v>
      </c>
      <c r="CS171" s="24">
        <f>CR171^((FixedParams!$B$47-1)/FixedParams!$B$47)*EXP($C171)</f>
        <v>0.14557599180057304</v>
      </c>
      <c r="CT171" s="24"/>
    </row>
    <row r="172" spans="1:98" x14ac:dyDescent="0.15">
      <c r="A172">
        <v>0.77500000000000002</v>
      </c>
      <c r="B172">
        <f t="shared" si="103"/>
        <v>0.37502586087829803</v>
      </c>
      <c r="C172">
        <f>(D172-$D$17)*FixedParams!$B$47+$A172*$B$9</f>
        <v>-1.9367367497169177</v>
      </c>
      <c r="D172">
        <f>(A172-$B$6)*FixedParams!$B$46/(FixedParams!$B$45*Sectors!$B$6)</f>
        <v>0.14942164322052226</v>
      </c>
      <c r="E172">
        <f t="shared" si="104"/>
        <v>0.14417365770293622</v>
      </c>
      <c r="F172" s="24">
        <f>EXP(-$D$17)*(($B172*FixedParams!$B$30)^$B$10*(1+FixedParams!$B$23)^(1-$B$10)+(1-$B172)^$B$10*((1+FixedParams!$B$26)/$B$11)^(1-$B$10))^(1/(1-$B$10))</f>
        <v>4.8690598219048633</v>
      </c>
      <c r="G172" s="24">
        <f>EXP($D172-$D$17)*(($B172*FixedParams!$B$31)^$B$10*(1+FixedParams!$B$25)^(1-$B$10)+(1-$B172)^$B$10*((1+FixedParams!$B$28)/$B$11)^(1-$B$10))^(1/(1-$B$10))</f>
        <v>5.3916803575574725</v>
      </c>
      <c r="H172">
        <f t="shared" si="105"/>
        <v>0</v>
      </c>
      <c r="I172" s="24">
        <f>$B$12*IF(H172=1,1,FixedParams!$B$52)</f>
        <v>0.39101505882574561</v>
      </c>
      <c r="J172">
        <f>EXP($C172*FixedParams!$B$47)*EXP(IF(H172=1,(1-FixedParams!$B$47)*$D172,0))*($B172^((FixedParams!$B$47-1)*$B$10/($B$10-1)))*((1/$B172-1)^$B$10*(I172)^($B$10-1)+1)^((FixedParams!$B$47-$B$10)/($B$10-1))/((1+IF(H172=1,FixedParams!$B$25,FixedParams!$B$24))^FixedParams!$B$47)</f>
        <v>5.7292290538287771E-2</v>
      </c>
      <c r="K172">
        <f t="shared" si="134"/>
        <v>1.155160529806049</v>
      </c>
      <c r="L172">
        <f>K172*FixedParams!$B$8/K$15</f>
        <v>33.584131570609927</v>
      </c>
      <c r="M172">
        <f t="shared" si="94"/>
        <v>17.665486130726933</v>
      </c>
      <c r="N172">
        <f t="shared" si="106"/>
        <v>51.249617701336859</v>
      </c>
      <c r="O172" s="24">
        <f t="shared" si="107"/>
        <v>0.52600693555483558</v>
      </c>
      <c r="P172" s="24">
        <f t="shared" si="95"/>
        <v>1.9038757126882047</v>
      </c>
      <c r="Q172" s="23">
        <f>IF(H172=1,L172*(1+FixedParams!$B$25)+M172*FixedParams!$B$33*(1+FixedParams!$B$28)/FixedParams!$B$32,L172*(1+FixedParams!$B$23)+M172*FixedParams!$B$33*(1+FixedParams!$B$26)/FixedParams!$B$32)</f>
        <v>84.788006736577913</v>
      </c>
      <c r="R172" s="24">
        <f t="shared" si="96"/>
        <v>17.413630112970623</v>
      </c>
      <c r="S172" s="24">
        <f>R172^((FixedParams!$B$47-1)/FixedParams!$B$47)*EXP($C172)</f>
        <v>0.14376189382580121</v>
      </c>
      <c r="T172" s="7">
        <f>(L172*FixedParams!$B$32*(FixedParams!$C$25-FixedParams!$C$23)+FixedParams!$B$33*(FixedParams!$C$28-FixedParams!$C$26)*M172)/N172</f>
        <v>2976.5314361272431</v>
      </c>
      <c r="U172" s="7">
        <f>(L172*FixedParams!$B$32*(FixedParams!$C$25-FixedParams!$C$23)*$Z$12/$B$11+FixedParams!$B$33*(FixedParams!$C$28-FixedParams!$C$26)*M172)/N172</f>
        <v>2318.3866652654497</v>
      </c>
      <c r="V172" s="14">
        <f t="shared" si="97"/>
        <v>-0.29656832525168114</v>
      </c>
      <c r="W172" s="14">
        <f t="shared" si="108"/>
        <v>0.90679637698904658</v>
      </c>
      <c r="X172" s="73">
        <f t="shared" si="109"/>
        <v>0.88561342925775699</v>
      </c>
      <c r="Y172" s="24">
        <f>EXP(-$D$17)*(($B172*FixedParams!$B$30)^$B$10*(1+FixedParams!$C$24)^(1-$B$10)+(1-$B172)^$B$10*((1+FixedParams!$C$27)/$Z$12)^(1-$B$10))^(1/(1-$B$10))</f>
        <v>6.6662596872405109</v>
      </c>
      <c r="Z172" s="24">
        <f>EXP($D172-$D$17)*(($B172*FixedParams!$C$31)^$B$10*(1+FixedParams!$C$25)^(1-$B$10)+(1-$B172)^$B$10*((1+FixedParams!$C$28)/$Z$12)^(1-$B$10))^(1/(1-$B$10))</f>
        <v>6.7845291935114647</v>
      </c>
      <c r="AA172" s="24">
        <f>EXP($D172-$D$17)*(($B172*FixedParams!$C$30)^$B$10*(1+FixedParams!$C$23)^(1-$B$10)+(1-$B172)^$B$10*((1+FixedParams!$C$26)/$Z$12)^(1-$B$10))^(1/(1-$B$10))</f>
        <v>6.4935356919845137</v>
      </c>
      <c r="AB172">
        <f>IF(FixedParams!$I$6=1,IF(Z172&lt;=MIN(Y172:AA172),1,0),$H172)</f>
        <v>0</v>
      </c>
      <c r="AC172">
        <f>IF(FixedParams!$I$6=1,IF(AA172&lt;=MIN(Y172:AA172),1,0),IF(AA172&lt;=Y172,1,0)*(1-$H172))</f>
        <v>1</v>
      </c>
      <c r="AD172" s="24">
        <f>$Z$13*IF(AB172=1,1,IF(AC172=1,FixedParams!$C$52,FixedParams!$C$53))</f>
        <v>0.34709202255780691</v>
      </c>
      <c r="AE172">
        <f>EXP($C172*FixedParams!$B$47)*EXP(IF(AB172+AC172=1,(1-FixedParams!$B$47)*$D172,0))*($B172^((FixedParams!$B$47-1)*$B$10/($B$10-1)))*((1/$B172-1)^$B$10*(AD172)^($B$10-1)+1)^((FixedParams!$B$47-$B$10)/($B$10-1))/((1+IF(AB172=1,FixedParams!$C$25,IF(AC172=1,FixedParams!$C$23,FixedParams!$C$24)))^FixedParams!$B$47)</f>
        <v>5.5212313163864865E-2</v>
      </c>
      <c r="AF172">
        <f t="shared" si="110"/>
        <v>1.6269512282905367</v>
      </c>
      <c r="AG172">
        <f t="shared" si="111"/>
        <v>38.214585967241071</v>
      </c>
      <c r="AH172">
        <f t="shared" si="98"/>
        <v>16.811147253959678</v>
      </c>
      <c r="AI172">
        <f t="shared" si="112"/>
        <v>55.025733221200753</v>
      </c>
      <c r="AJ172" s="24">
        <f t="shared" si="113"/>
        <v>0.43991441562053829</v>
      </c>
      <c r="AK172" s="24">
        <f t="shared" si="114"/>
        <v>2.1688008022266443</v>
      </c>
      <c r="AL172" s="23">
        <f>IF(AB172=1,AG172*(1+FixedParams!$C$25)+AH172*(1+FixedParams!$C$28)/$Z$12,IF(AC172=1,AG172*(1+FixedParams!$C$23)+AH172*(1+FixedParams!$C$26)/$Z$12,AG172*(1+FixedParams!$C$24)+AH172*(1+FixedParams!$C$27)/$Z$12))</f>
        <v>100.14164951338253</v>
      </c>
      <c r="AM172" s="24">
        <f t="shared" si="115"/>
        <v>15.421744680174056</v>
      </c>
      <c r="AN172" s="24">
        <f>AM172^((FixedParams!$B$47-1)/FixedParams!$B$47)*EXP($C172)</f>
        <v>0.14377937580733668</v>
      </c>
      <c r="AO172" s="24">
        <f t="shared" si="116"/>
        <v>7.1092794056792766E-2</v>
      </c>
      <c r="AP172" s="24">
        <f t="shared" si="117"/>
        <v>-0.12147473368082506</v>
      </c>
      <c r="AQ172" s="14">
        <f t="shared" si="118"/>
        <v>-0.23699025855942146</v>
      </c>
      <c r="AS172" s="24">
        <f>EXP(-$D$17)*(($B172*FixedParams!$B$30)^$B$10*(1+FixedParams!$D$24)^(1-$B$10)+(1-$B172)^$B$10*((1+FixedParams!$D$27)/$AT$12)^(1-$B$10))^(1/(1-$B$10))</f>
        <v>6.1477273144530598</v>
      </c>
      <c r="AT172" s="24">
        <f>EXP($D172-$D$17)*(($B172*FixedParams!$C$31)^$B$10*(1+FixedParams!$D$25)^(1-$B$10)+(1-$B172)^$B$10*((1+FixedParams!$D$28)/$AT$12)^(1-$B$10))^(1/(1-$B$10))</f>
        <v>6.5355006746785387</v>
      </c>
      <c r="AU172" s="24">
        <f>EXP($D172-$D$17)*(($B172*FixedParams!$C$30)^$B$10*(1+FixedParams!$D$23)^(1-$B$10)+(1-$B172)^$B$10*((1+FixedParams!$D$26)/$AT$12)^(1-$B$10))^(1/(1-$B$10))</f>
        <v>6.2860243868684762</v>
      </c>
      <c r="AV172">
        <f>IF(FixedParams!$I$6=1,IF(AT172&lt;=MIN(AS172:AU172),1,0),$H172)</f>
        <v>0</v>
      </c>
      <c r="AW172">
        <f>IF(FixedParams!$I$6=1,IF(AU172&lt;=MIN(AS172:AU172),1,0),IF(AU172&lt;=AS172,1,0)*(1-$H172))</f>
        <v>0</v>
      </c>
      <c r="AX172" s="24">
        <f>$AT$13*IF(AV172=1,1,IF(AW172=1,FixedParams!$D$52,FixedParams!$D$53))</f>
        <v>0.44031288407969205</v>
      </c>
      <c r="AY172">
        <f>EXP($C172*FixedParams!$B$47)*EXP(IF(AV172+AW172=1,(1-FixedParams!$B$47)*$D172,0))*($B172^((FixedParams!$B$47-1)*$B$10/($B$10-1)))*((1/$B172-1)^$B$10*(AX172)^($B$10-1)+1)^((FixedParams!$B$47-$B$10)/($B$10-1))/((1+IF(AV172=1,FixedParams!$D$25,IF(AW172=1,FixedParams!$D$23,FixedParams!$D$24)))^FixedParams!$B$47)</f>
        <v>4.0925951326166422E-2</v>
      </c>
      <c r="AZ172">
        <f t="shared" si="99"/>
        <v>1.1020368647913477</v>
      </c>
      <c r="BA172">
        <f t="shared" si="119"/>
        <v>27.727100128564906</v>
      </c>
      <c r="BB172">
        <f t="shared" si="100"/>
        <v>17.42800944724263</v>
      </c>
      <c r="BC172">
        <f t="shared" si="120"/>
        <v>45.155109575807536</v>
      </c>
      <c r="BD172" s="24">
        <f t="shared" si="121"/>
        <v>0.62855507306687342</v>
      </c>
      <c r="BE172" s="24">
        <f t="shared" si="122"/>
        <v>2.0817911196258634</v>
      </c>
      <c r="BF172" s="23">
        <f>IF(AV172=1,BA172*(1+FixedParams!$C$25)+BB172*(1+FixedParams!$C$28)/$AT$12,IF(AW172=1,BA172*(1+FixedParams!$C$23)+BB172*(1+FixedParams!$C$26)/$AT$12,BA172*(1+FixedParams!$C$24)+BB172*(1+FixedParams!$C$27)/$AT$12))</f>
        <v>105.59201362691368</v>
      </c>
      <c r="BG172" s="24">
        <f t="shared" si="123"/>
        <v>17.175780288541933</v>
      </c>
      <c r="BH172" s="24">
        <f>BG172^((FixedParams!$B$47-1)/FixedParams!$B$47)*EXP($C172)</f>
        <v>0.14376387297166618</v>
      </c>
      <c r="BI172" s="7"/>
      <c r="BJ172" s="24">
        <f>EXP(-$D$17)*(($B172*FixedParams!$B$30)^$B$10*(1+FixedParams!$C$24)^(1-$B$10)+(1-$B172)^$B$10*((1+FixedParams!$C$27)/$BK$12)^(1-$B$10))^(1/(1-$B$10))</f>
        <v>6.8688520476755279</v>
      </c>
      <c r="BK172" s="24">
        <f>EXP($D172-$D$17)*(($B172*FixedParams!$C$31)^$B$10*(1+FixedParams!$C$25)^(1-$B$10)+(1-$B172)^$B$10*((1+FixedParams!$C$28)/$BK$12)^(1-$B$10))^(1/(1-$B$10))</f>
        <v>6.9863510964994244</v>
      </c>
      <c r="BL172" s="24">
        <f>EXP($D172-$D$17)*(($B172*FixedParams!$C$30)^$B$10*(1+FixedParams!$C$23)^(1-$B$10)+(1-$B172)^$B$10*((1+FixedParams!$C$26)/$BK$12)^(1-$B$10))^(1/(1-$B$10))</f>
        <v>6.6776963612859124</v>
      </c>
      <c r="BM172">
        <f>IF(FixedParams!$I$6=1,IF(BK172&lt;=MIN(BJ172:BL172),1,0),$H172)</f>
        <v>0</v>
      </c>
      <c r="BN172">
        <f>IF(FixedParams!$I$6=1,IF(BL172&lt;=MIN(BJ172:BL172),1,0),IF(BL172&lt;=BJ172,1,0)*(1-$H172))</f>
        <v>1</v>
      </c>
      <c r="BO172" s="24">
        <f>$BK$13*IF(BM172=1,1,IF(BN172=1,FixedParams!$C$52,FixedParams!$C$53))</f>
        <v>0.33006170822567266</v>
      </c>
      <c r="BP172">
        <f>EXP($C172*FixedParams!$B$47)*EXP(IF(BM172+BN172=1,(1-FixedParams!$B$47)*$D172,0))*($B172^((FixedParams!$B$47-1)*$B$10/($B$10-1)))*((1/$B172-1)^$B$10*(BO172)^($B$10-1)+1)^((FixedParams!$B$47-$B$10)/($B$10-1))/((1+IF(BM172=1,FixedParams!$C$25,IF(BN172=1,FixedParams!$C$23,FixedParams!$C$24)))^FixedParams!$B$47)</f>
        <v>5.5991332854186573E-2</v>
      </c>
      <c r="BQ172">
        <f t="shared" si="124"/>
        <v>1.6107447911610515</v>
      </c>
      <c r="BR172">
        <f t="shared" si="125"/>
        <v>41.080691021414644</v>
      </c>
      <c r="BS172">
        <f t="shared" si="101"/>
        <v>16.75836712701425</v>
      </c>
      <c r="BT172">
        <f t="shared" si="126"/>
        <v>57.83905814842889</v>
      </c>
      <c r="BU172" s="24">
        <f t="shared" si="127"/>
        <v>0.40793780996231066</v>
      </c>
      <c r="BV172" s="24">
        <f t="shared" si="128"/>
        <v>2.1208776313522075</v>
      </c>
      <c r="BW172" s="23">
        <f>IF(BM172=1,BR172*(1+FixedParams!$C$25)+BS172*(1+FixedParams!$C$28)/$BK$12,IF(BN172=1,BR172*(1+FixedParams!$C$23)+BS172*(1+FixedParams!$C$26)/$BK$12,BR172*(1+FixedParams!$C$24)+BS172*(1+FixedParams!$C$27)/$BK$12))</f>
        <v>106.15748099423305</v>
      </c>
      <c r="BX172" s="24">
        <f t="shared" si="129"/>
        <v>15.897320760147663</v>
      </c>
      <c r="BY172" s="24">
        <f>BX172^((FixedParams!$B$47-1)/FixedParams!$B$47)*EXP($C172)</f>
        <v>0.1437750046233032</v>
      </c>
      <c r="BZ172" s="24">
        <f t="shared" si="130"/>
        <v>0.12095613547248639</v>
      </c>
      <c r="CA172" s="24">
        <f t="shared" si="131"/>
        <v>-9.1102650019447229E-2</v>
      </c>
      <c r="CB172" s="24">
        <f t="shared" si="132"/>
        <v>-7.3774194100039978E-2</v>
      </c>
      <c r="CC172" s="24"/>
      <c r="CD172" s="24">
        <f>EXP(-$D$17)*(($B172*FixedParams!$B$30)^$B$10*(1+FixedParams!$D$24)^(1-$B$10)+(1-$B172)^$B$10*((1+FixedParams!$D$27)/$CE$12)^(1-$B$10))^(1/(1-$B$10))</f>
        <v>6.319262654440168</v>
      </c>
      <c r="CE172" s="24">
        <f>EXP($D172-$D$17)*(($B172*FixedParams!$D$31)^$B$10*(1+FixedParams!$D$25)^(1-$B$10)+(1-$B172)^$B$10*((1+FixedParams!$D$28)/$CE$12)^(1-$B$10))^(1/(1-$B$10))</f>
        <v>6.7151970760560804</v>
      </c>
      <c r="CF172" s="24">
        <f>EXP($D172-$D$17)*(($B172*FixedParams!$D$30)^$B$10*(1+FixedParams!$D$23)^(1-$B$10)+(1-$B172)^$B$10*((1+FixedParams!$D$26)/$CE$12)^(1-$B$10))^(1/(1-$B$10))</f>
        <v>6.4523661759545465</v>
      </c>
      <c r="CG172">
        <f>IF(FixedParams!$I$6=1,IF(CE172&lt;=MIN(CD172:CF172),1,0),$H172)</f>
        <v>0</v>
      </c>
      <c r="CH172">
        <f>IF(FixedParams!$I$6=1,IF(CF172&lt;=MIN(CD172:CF172),1,0),IF(CF172&lt;=CD172,1,0)*(1-$H172))</f>
        <v>0</v>
      </c>
      <c r="CI172" s="24">
        <f>$CE$13*IF(CG172=1,1,IF(CH172=1,FixedParams!$D$52,FixedParams!$D$53))</f>
        <v>0.42008589776177102</v>
      </c>
      <c r="CJ172">
        <f>EXP($C172*FixedParams!$B$47)*EXP(IF(CG172+CH172=1,(1-FixedParams!$B$47)*$D172,0))*($B172^((FixedParams!$B$47-1)*$B$10/($B$10-1)))*((1/$B172-1)^$B$10*(CI172)^($B$10-1)+1)^((FixedParams!$B$47-$B$10)/($B$10-1))/((1+IF(CG172=1,FixedParams!$D$25,IF(CH172=1,FixedParams!$D$23,FixedParams!$D$24)))^FixedParams!$B$47)</f>
        <v>4.1494127842182552E-2</v>
      </c>
      <c r="CK172">
        <f t="shared" si="133"/>
        <v>1.0925553319064316</v>
      </c>
      <c r="CL172">
        <f t="shared" si="135"/>
        <v>29.848919526460598</v>
      </c>
      <c r="CM172">
        <f t="shared" si="102"/>
        <v>17.483847689170652</v>
      </c>
      <c r="CN172">
        <f t="shared" si="136"/>
        <v>47.33276721563125</v>
      </c>
      <c r="CO172" s="24">
        <f t="shared" si="137"/>
        <v>0.58574474274258059</v>
      </c>
      <c r="CP172" s="24">
        <f t="shared" si="138"/>
        <v>2.041576563104849</v>
      </c>
      <c r="CQ172" s="23">
        <f>IF(CG172=1,CL172*(1+FixedParams!$D$25)+CM172*(1+FixedParams!$D$28)/$CE$12,IF(CH172=1,CL172*(1+FixedParams!$D$23)+CM172*(1+FixedParams!$D$26)/$CE$12,CL172*(1+FixedParams!$D$24)+CM172*(1+FixedParams!$D$27)/$CE$12))</f>
        <v>104.07626167978782</v>
      </c>
      <c r="CR172" s="24">
        <f t="shared" si="139"/>
        <v>16.469684419061085</v>
      </c>
      <c r="CS172" s="24">
        <f>CR172^((FixedParams!$B$47-1)/FixedParams!$B$47)*EXP($C172)</f>
        <v>0.14376991418686969</v>
      </c>
      <c r="CT172" s="24"/>
    </row>
    <row r="173" spans="1:98" x14ac:dyDescent="0.15">
      <c r="A173">
        <v>0.78</v>
      </c>
      <c r="B173">
        <f t="shared" si="103"/>
        <v>0.37772832929599037</v>
      </c>
      <c r="C173">
        <f>(D173-$D$17)*FixedParams!$B$47+$A173*$B$9</f>
        <v>-1.9492318255215431</v>
      </c>
      <c r="D173">
        <f>(A173-$B$6)*FixedParams!$B$46/(FixedParams!$B$45*Sectors!$B$6)</f>
        <v>0.1521384003699863</v>
      </c>
      <c r="E173">
        <f t="shared" si="104"/>
        <v>0.14238340488540102</v>
      </c>
      <c r="F173" s="24">
        <f>EXP(-$D$17)*(($B173*FixedParams!$B$30)^$B$10*(1+FixedParams!$B$23)^(1-$B$10)+(1-$B173)^$B$10*((1+FixedParams!$B$26)/$B$11)^(1-$B$10))^(1/(1-$B$10))</f>
        <v>4.8602996450123577</v>
      </c>
      <c r="G173" s="24">
        <f>EXP($D173-$D$17)*(($B173*FixedParams!$B$31)^$B$10*(1+FixedParams!$B$25)^(1-$B$10)+(1-$B173)^$B$10*((1+FixedParams!$B$28)/$B$11)^(1-$B$10))^(1/(1-$B$10))</f>
        <v>5.3956406338262708</v>
      </c>
      <c r="H173">
        <f t="shared" si="105"/>
        <v>0</v>
      </c>
      <c r="I173" s="24">
        <f>$B$12*IF(H173=1,1,FixedParams!$B$52)</f>
        <v>0.39101505882574561</v>
      </c>
      <c r="J173">
        <f>EXP($C173*FixedParams!$B$47)*EXP(IF(H173=1,(1-FixedParams!$B$47)*$D173,0))*($B173^((FixedParams!$B$47-1)*$B$10/($B$10-1)))*((1/$B173-1)^$B$10*(I173)^($B$10-1)+1)^((FixedParams!$B$47-$B$10)/($B$10-1))/((1+IF(H173=1,FixedParams!$B$25,FixedParams!$B$24))^FixedParams!$B$47)</f>
        <v>5.7142701263255366E-2</v>
      </c>
      <c r="K173">
        <f t="shared" si="134"/>
        <v>1.1521444237195895</v>
      </c>
      <c r="L173">
        <f>K173*FixedParams!$B$8/K$15</f>
        <v>33.496443928048613</v>
      </c>
      <c r="M173">
        <f t="shared" si="94"/>
        <v>17.317677067466708</v>
      </c>
      <c r="N173">
        <f t="shared" si="106"/>
        <v>50.814120995515324</v>
      </c>
      <c r="O173" s="24">
        <f t="shared" si="107"/>
        <v>0.51700046442737646</v>
      </c>
      <c r="P173" s="24">
        <f t="shared" si="95"/>
        <v>1.9004503516052575</v>
      </c>
      <c r="Q173" s="23">
        <f>IF(H173=1,L173*(1+FixedParams!$B$25)+M173*FixedParams!$B$33*(1+FixedParams!$B$28)/FixedParams!$B$32,L173*(1+FixedParams!$B$23)+M173*FixedParams!$B$33*(1+FixedParams!$B$26)/FixedParams!$B$32)</f>
        <v>83.736061022553642</v>
      </c>
      <c r="R173" s="24">
        <f t="shared" si="96"/>
        <v>17.228579951543448</v>
      </c>
      <c r="S173" s="24">
        <f>R173^((FixedParams!$B$47-1)/FixedParams!$B$47)*EXP($C173)</f>
        <v>0.14197827236952731</v>
      </c>
      <c r="T173" s="7">
        <f>(L173*FixedParams!$B$32*(FixedParams!$C$25-FixedParams!$C$23)+FixedParams!$B$33*(FixedParams!$C$28-FixedParams!$C$26)*M173)/N173</f>
        <v>3020.6696308736146</v>
      </c>
      <c r="U173" s="7">
        <f>(L173*FixedParams!$B$32*(FixedParams!$C$25-FixedParams!$C$23)*$Z$12/$B$11+FixedParams!$B$33*(FixedParams!$C$28-FixedParams!$C$26)*M173)/N173</f>
        <v>2358.6174374266266</v>
      </c>
      <c r="V173" s="14">
        <f t="shared" si="97"/>
        <v>-0.27929769995559772</v>
      </c>
      <c r="W173" s="14">
        <f t="shared" si="108"/>
        <v>0.9092887014835016</v>
      </c>
      <c r="X173" s="73">
        <f t="shared" si="109"/>
        <v>0.88365963391683333</v>
      </c>
      <c r="Y173" s="24">
        <f>EXP(-$D$17)*(($B173*FixedParams!$B$30)^$B$10*(1+FixedParams!$C$24)^(1-$B$10)+(1-$B173)^$B$10*((1+FixedParams!$C$27)/$Z$12)^(1-$B$10))^(1/(1-$B$10))</f>
        <v>6.659906311302179</v>
      </c>
      <c r="Z173" s="24">
        <f>EXP($D173-$D$17)*(($B173*FixedParams!$C$31)^$B$10*(1+FixedParams!$C$25)^(1-$B$10)+(1-$B173)^$B$10*((1+FixedParams!$C$28)/$Z$12)^(1-$B$10))^(1/(1-$B$10))</f>
        <v>6.7935908054379714</v>
      </c>
      <c r="AA173" s="24">
        <f>EXP($D173-$D$17)*(($B173*FixedParams!$C$30)^$B$10*(1+FixedParams!$C$23)^(1-$B$10)+(1-$B173)^$B$10*((1+FixedParams!$C$26)/$Z$12)^(1-$B$10))^(1/(1-$B$10))</f>
        <v>6.4961987503147389</v>
      </c>
      <c r="AB173">
        <f>IF(FixedParams!$I$6=1,IF(Z173&lt;=MIN(Y173:AA173),1,0),$H173)</f>
        <v>0</v>
      </c>
      <c r="AC173">
        <f>IF(FixedParams!$I$6=1,IF(AA173&lt;=MIN(Y173:AA173),1,0),IF(AA173&lt;=Y173,1,0)*(1-$H173))</f>
        <v>1</v>
      </c>
      <c r="AD173" s="24">
        <f>$Z$13*IF(AB173=1,1,IF(AC173=1,FixedParams!$C$52,FixedParams!$C$53))</f>
        <v>0.34709202255780691</v>
      </c>
      <c r="AE173">
        <f>EXP($C173*FixedParams!$B$47)*EXP(IF(AB173+AC173=1,(1-FixedParams!$B$47)*$D173,0))*($B173^((FixedParams!$B$47-1)*$B$10/($B$10-1)))*((1/$B173-1)^$B$10*(AD173)^($B$10-1)+1)^((FixedParams!$B$47-$B$10)/($B$10-1))/((1+IF(AB173=1,FixedParams!$C$25,IF(AC173=1,FixedParams!$C$23,FixedParams!$C$24)))^FixedParams!$B$47)</f>
        <v>5.5054347010232256E-2</v>
      </c>
      <c r="AF173">
        <f t="shared" si="110"/>
        <v>1.6222964110413818</v>
      </c>
      <c r="AG173">
        <f t="shared" si="111"/>
        <v>38.105251458107361</v>
      </c>
      <c r="AH173">
        <f t="shared" si="98"/>
        <v>16.476026746633302</v>
      </c>
      <c r="AI173">
        <f t="shared" si="112"/>
        <v>54.581278204740663</v>
      </c>
      <c r="AJ173" s="24">
        <f t="shared" si="113"/>
        <v>0.43238205014201064</v>
      </c>
      <c r="AK173" s="24">
        <f t="shared" si="114"/>
        <v>2.1696902472558133</v>
      </c>
      <c r="AL173" s="23">
        <f>IF(AB173=1,AG173*(1+FixedParams!$C$25)+AH173*(1+FixedParams!$C$28)/$Z$12,IF(AC173=1,AG173*(1+FixedParams!$C$23)+AH173*(1+FixedParams!$C$26)/$Z$12,AG173*(1+FixedParams!$C$24)+AH173*(1+FixedParams!$C$27)/$Z$12))</f>
        <v>98.899433255830388</v>
      </c>
      <c r="AM173" s="24">
        <f t="shared" si="115"/>
        <v>15.224200652887777</v>
      </c>
      <c r="AN173" s="24">
        <f>AM173^((FixedParams!$B$47-1)/FixedParams!$B$47)*EXP($C173)</f>
        <v>0.14199585137972379</v>
      </c>
      <c r="AO173" s="24">
        <f t="shared" si="116"/>
        <v>7.1516645617625288E-2</v>
      </c>
      <c r="AP173" s="24">
        <f t="shared" si="117"/>
        <v>-0.12368331999323053</v>
      </c>
      <c r="AQ173" s="14">
        <f t="shared" si="118"/>
        <v>-0.21971963326333838</v>
      </c>
      <c r="AS173" s="24">
        <f>EXP(-$D$17)*(($B173*FixedParams!$B$30)^$B$10*(1+FixedParams!$D$24)^(1-$B$10)+(1-$B173)^$B$10*((1+FixedParams!$D$27)/$AT$12)^(1-$B$10))^(1/(1-$B$10))</f>
        <v>6.1397352547253368</v>
      </c>
      <c r="AT173" s="24">
        <f>EXP($D173-$D$17)*(($B173*FixedParams!$C$31)^$B$10*(1+FixedParams!$D$25)^(1-$B$10)+(1-$B173)^$B$10*((1+FixedParams!$D$28)/$AT$12)^(1-$B$10))^(1/(1-$B$10))</f>
        <v>6.5428592538308408</v>
      </c>
      <c r="AU173" s="24">
        <f>EXP($D173-$D$17)*(($B173*FixedParams!$C$30)^$B$10*(1+FixedParams!$D$23)^(1-$B$10)+(1-$B173)^$B$10*((1+FixedParams!$D$26)/$AT$12)^(1-$B$10))^(1/(1-$B$10))</f>
        <v>6.2884550461929756</v>
      </c>
      <c r="AV173">
        <f>IF(FixedParams!$I$6=1,IF(AT173&lt;=MIN(AS173:AU173),1,0),$H173)</f>
        <v>0</v>
      </c>
      <c r="AW173">
        <f>IF(FixedParams!$I$6=1,IF(AU173&lt;=MIN(AS173:AU173),1,0),IF(AU173&lt;=AS173,1,0)*(1-$H173))</f>
        <v>0</v>
      </c>
      <c r="AX173" s="24">
        <f>$AT$13*IF(AV173=1,1,IF(AW173=1,FixedParams!$D$52,FixedParams!$D$53))</f>
        <v>0.44031288407969205</v>
      </c>
      <c r="AY173">
        <f>EXP($C173*FixedParams!$B$47)*EXP(IF(AV173+AW173=1,(1-FixedParams!$B$47)*$D173,0))*($B173^((FixedParams!$B$47-1)*$B$10/($B$10-1)))*((1/$B173-1)^$B$10*(AX173)^($B$10-1)+1)^((FixedParams!$B$47-$B$10)/($B$10-1))/((1+IF(AV173=1,FixedParams!$D$25,IF(AW173=1,FixedParams!$D$23,FixedParams!$D$24)))^FixedParams!$B$47)</f>
        <v>4.082931921617327E-2</v>
      </c>
      <c r="AZ173">
        <f t="shared" si="99"/>
        <v>1.0994347958330399</v>
      </c>
      <c r="BA173">
        <f t="shared" si="119"/>
        <v>27.661632421582084</v>
      </c>
      <c r="BB173">
        <f t="shared" si="100"/>
        <v>17.089155619201716</v>
      </c>
      <c r="BC173">
        <f t="shared" si="120"/>
        <v>44.750788040783803</v>
      </c>
      <c r="BD173" s="24">
        <f t="shared" si="121"/>
        <v>0.6177927375634007</v>
      </c>
      <c r="BE173" s="24">
        <f t="shared" si="122"/>
        <v>2.0790847863554238</v>
      </c>
      <c r="BF173" s="23">
        <f>IF(AV173=1,BA173*(1+FixedParams!$C$25)+BB173*(1+FixedParams!$C$28)/$AT$12,IF(AW173=1,BA173*(1+FixedParams!$C$23)+BB173*(1+FixedParams!$C$26)/$AT$12,BA173*(1+FixedParams!$C$24)+BB173*(1+FixedParams!$C$27)/$AT$12))</f>
        <v>104.32471618872935</v>
      </c>
      <c r="BG173" s="24">
        <f t="shared" si="123"/>
        <v>16.991728773392587</v>
      </c>
      <c r="BH173" s="24">
        <f>BG173^((FixedParams!$B$47-1)/FixedParams!$B$47)*EXP($C173)</f>
        <v>0.14198023974822599</v>
      </c>
      <c r="BI173" s="7"/>
      <c r="BJ173" s="24">
        <f>EXP(-$D$17)*(($B173*FixedParams!$B$30)^$B$10*(1+FixedParams!$C$24)^(1-$B$10)+(1-$B173)^$B$10*((1+FixedParams!$C$27)/$BK$12)^(1-$B$10))^(1/(1-$B$10))</f>
        <v>6.8608666719040761</v>
      </c>
      <c r="BK173" s="24">
        <f>EXP($D173-$D$17)*(($B173*FixedParams!$C$31)^$B$10*(1+FixedParams!$C$25)^(1-$B$10)+(1-$B173)^$B$10*((1+FixedParams!$C$28)/$BK$12)^(1-$B$10))^(1/(1-$B$10))</f>
        <v>6.9942022728411732</v>
      </c>
      <c r="BL173" s="24">
        <f>EXP($D173-$D$17)*(($B173*FixedParams!$C$30)^$B$10*(1+FixedParams!$C$23)^(1-$B$10)+(1-$B173)^$B$10*((1+FixedParams!$C$26)/$BK$12)^(1-$B$10))^(1/(1-$B$10))</f>
        <v>6.6790007458719884</v>
      </c>
      <c r="BM173">
        <f>IF(FixedParams!$I$6=1,IF(BK173&lt;=MIN(BJ173:BL173),1,0),$H173)</f>
        <v>0</v>
      </c>
      <c r="BN173">
        <f>IF(FixedParams!$I$6=1,IF(BL173&lt;=MIN(BJ173:BL173),1,0),IF(BL173&lt;=BJ173,1,0)*(1-$H173))</f>
        <v>1</v>
      </c>
      <c r="BO173" s="24">
        <f>$BK$13*IF(BM173=1,1,IF(BN173=1,FixedParams!$C$52,FixedParams!$C$53))</f>
        <v>0.33006170822567266</v>
      </c>
      <c r="BP173">
        <f>EXP($C173*FixedParams!$B$47)*EXP(IF(BM173+BN173=1,(1-FixedParams!$B$47)*$D173,0))*($B173^((FixedParams!$B$47-1)*$B$10/($B$10-1)))*((1/$B173-1)^$B$10*(BO173)^($B$10-1)+1)^((FixedParams!$B$47-$B$10)/($B$10-1))/((1+IF(BM173=1,FixedParams!$C$25,IF(BN173=1,FixedParams!$C$23,FixedParams!$C$24)))^FixedParams!$B$47)</f>
        <v>5.5825132466797718E-2</v>
      </c>
      <c r="BQ173">
        <f t="shared" si="124"/>
        <v>1.6059635795943843</v>
      </c>
      <c r="BR173">
        <f t="shared" si="125"/>
        <v>40.958750242120431</v>
      </c>
      <c r="BS173">
        <f t="shared" si="101"/>
        <v>16.422532102063641</v>
      </c>
      <c r="BT173">
        <f t="shared" si="126"/>
        <v>57.381282344184072</v>
      </c>
      <c r="BU173" s="24">
        <f t="shared" si="127"/>
        <v>0.40095295889119514</v>
      </c>
      <c r="BV173" s="24">
        <f t="shared" si="128"/>
        <v>2.1212919119576163</v>
      </c>
      <c r="BW173" s="23">
        <f>IF(BM173=1,BR173*(1+FixedParams!$C$25)+BS173*(1+FixedParams!$C$28)/$BK$12,IF(BN173=1,BR173*(1+FixedParams!$C$23)+BS173*(1+FixedParams!$C$26)/$BK$12,BR173*(1+FixedParams!$C$24)+BS173*(1+FixedParams!$C$27)/$BK$12))</f>
        <v>104.84061829414338</v>
      </c>
      <c r="BX173" s="24">
        <f t="shared" si="129"/>
        <v>15.697051442753768</v>
      </c>
      <c r="BY173" s="24">
        <f>BX173^((FixedParams!$B$47-1)/FixedParams!$B$47)*EXP($C173)</f>
        <v>0.14199150393149668</v>
      </c>
      <c r="BZ173" s="24">
        <f t="shared" si="130"/>
        <v>0.12154387027142406</v>
      </c>
      <c r="CA173" s="24">
        <f t="shared" si="131"/>
        <v>-9.3096741415074694E-2</v>
      </c>
      <c r="CB173" s="24">
        <f t="shared" si="132"/>
        <v>-7.5768285495667442E-2</v>
      </c>
      <c r="CC173" s="24"/>
      <c r="CD173" s="24">
        <f>EXP(-$D$17)*(($B173*FixedParams!$B$30)^$B$10*(1+FixedParams!$D$24)^(1-$B$10)+(1-$B173)^$B$10*((1+FixedParams!$D$27)/$CE$12)^(1-$B$10))^(1/(1-$B$10))</f>
        <v>6.3098017261833865</v>
      </c>
      <c r="CE173" s="24">
        <f>EXP($D173-$D$17)*(($B173*FixedParams!$D$31)^$B$10*(1+FixedParams!$D$25)^(1-$B$10)+(1-$B173)^$B$10*((1+FixedParams!$D$28)/$CE$12)^(1-$B$10))^(1/(1-$B$10))</f>
        <v>6.7214235740065753</v>
      </c>
      <c r="CF173" s="24">
        <f>EXP($D173-$D$17)*(($B173*FixedParams!$D$30)^$B$10*(1+FixedParams!$D$23)^(1-$B$10)+(1-$B173)^$B$10*((1+FixedParams!$D$26)/$CE$12)^(1-$B$10))^(1/(1-$B$10))</f>
        <v>6.4535655600991024</v>
      </c>
      <c r="CG173">
        <f>IF(FixedParams!$I$6=1,IF(CE173&lt;=MIN(CD173:CF173),1,0),$H173)</f>
        <v>0</v>
      </c>
      <c r="CH173">
        <f>IF(FixedParams!$I$6=1,IF(CF173&lt;=MIN(CD173:CF173),1,0),IF(CF173&lt;=CD173,1,0)*(1-$H173))</f>
        <v>0</v>
      </c>
      <c r="CI173" s="24">
        <f>$CE$13*IF(CG173=1,1,IF(CH173=1,FixedParams!$D$52,FixedParams!$D$53))</f>
        <v>0.42008589776177102</v>
      </c>
      <c r="CJ173">
        <f>EXP($C173*FixedParams!$B$47)*EXP(IF(CG173+CH173=1,(1-FixedParams!$B$47)*$D173,0))*($B173^((FixedParams!$B$47-1)*$B$10/($B$10-1)))*((1/$B173-1)^$B$10*(CI173)^($B$10-1)+1)^((FixedParams!$B$47-$B$10)/($B$10-1))/((1+IF(CG173=1,FixedParams!$D$25,IF(CH173=1,FixedParams!$D$23,FixedParams!$D$24)))^FixedParams!$B$47)</f>
        <v>4.1392059776672034E-2</v>
      </c>
      <c r="CK173">
        <f t="shared" si="133"/>
        <v>1.0898678429775155</v>
      </c>
      <c r="CL173">
        <f t="shared" si="135"/>
        <v>29.775496571645583</v>
      </c>
      <c r="CM173">
        <f t="shared" si="102"/>
        <v>17.142212526224473</v>
      </c>
      <c r="CN173">
        <f t="shared" si="136"/>
        <v>46.917709097870059</v>
      </c>
      <c r="CO173" s="24">
        <f t="shared" si="137"/>
        <v>0.5757154203953242</v>
      </c>
      <c r="CP173" s="24">
        <f t="shared" si="138"/>
        <v>2.0385200024821173</v>
      </c>
      <c r="CQ173" s="23">
        <f>IF(CG173=1,CL173*(1+FixedParams!$D$25)+CM173*(1+FixedParams!$D$28)/$CE$12,IF(CH173=1,CL173*(1+FixedParams!$D$23)+CM173*(1+FixedParams!$D$26)/$CE$12,CL173*(1+FixedParams!$D$24)+CM173*(1+FixedParams!$D$27)/$CE$12))</f>
        <v>102.78504202018925</v>
      </c>
      <c r="CR173" s="24">
        <f t="shared" si="139"/>
        <v>16.289741972979698</v>
      </c>
      <c r="CS173" s="24">
        <f>CR173^((FixedParams!$B$47-1)/FixedParams!$B$47)*EXP($C173)</f>
        <v>0.14198623617364475</v>
      </c>
      <c r="CT173" s="24"/>
    </row>
    <row r="174" spans="1:98" x14ac:dyDescent="0.15">
      <c r="A174">
        <v>0.78500000000000003</v>
      </c>
      <c r="B174">
        <f t="shared" si="103"/>
        <v>0.38043841745627782</v>
      </c>
      <c r="C174">
        <f>(D174-$D$17)*FixedParams!$B$47+$A174*$B$9</f>
        <v>-1.9617269013261682</v>
      </c>
      <c r="D174">
        <f>(A174-$B$6)*FixedParams!$B$46/(FixedParams!$B$45*Sectors!$B$6)</f>
        <v>0.15485515751945034</v>
      </c>
      <c r="E174">
        <f t="shared" si="104"/>
        <v>0.14061538223946418</v>
      </c>
      <c r="F174" s="24">
        <f>EXP(-$D$17)*(($B174*FixedParams!$B$30)^$B$10*(1+FixedParams!$B$23)^(1-$B$10)+(1-$B174)^$B$10*((1+FixedParams!$B$26)/$B$11)^(1-$B$10))^(1/(1-$B$10))</f>
        <v>4.8512991423927252</v>
      </c>
      <c r="G174" s="24">
        <f>EXP($D174-$D$17)*(($B174*FixedParams!$B$31)^$B$10*(1+FixedParams!$B$25)^(1-$B$10)+(1-$B174)^$B$10*((1+FixedParams!$B$28)/$B$11)^(1-$B$10))^(1/(1-$B$10))</f>
        <v>5.399316539279071</v>
      </c>
      <c r="H174">
        <f t="shared" si="105"/>
        <v>0</v>
      </c>
      <c r="I174" s="24">
        <f>$B$12*IF(H174=1,1,FixedParams!$B$52)</f>
        <v>0.39101505882574561</v>
      </c>
      <c r="J174">
        <f>EXP($C174*FixedParams!$B$47)*EXP(IF(H174=1,(1-FixedParams!$B$47)*$D174,0))*($B174^((FixedParams!$B$47-1)*$B$10/($B$10-1)))*((1/$B174-1)^$B$10*(I174)^($B$10-1)+1)^((FixedParams!$B$47-$B$10)/($B$10-1))/((1+IF(H174=1,FixedParams!$B$25,FixedParams!$B$24))^FixedParams!$B$47)</f>
        <v>5.6989331644840956E-2</v>
      </c>
      <c r="K174">
        <f t="shared" si="134"/>
        <v>1.1490520961481276</v>
      </c>
      <c r="L174">
        <f>K174*FixedParams!$B$8/K$15</f>
        <v>33.406540288390119</v>
      </c>
      <c r="M174">
        <f t="shared" si="94"/>
        <v>16.975473489053872</v>
      </c>
      <c r="N174">
        <f t="shared" si="106"/>
        <v>50.382013777443987</v>
      </c>
      <c r="O174" s="24">
        <f t="shared" si="107"/>
        <v>0.50814820518703674</v>
      </c>
      <c r="P174" s="24">
        <f t="shared" si="95"/>
        <v>1.8969310195439806</v>
      </c>
      <c r="Q174" s="23">
        <f>IF(H174=1,L174*(1+FixedParams!$B$25)+M174*FixedParams!$B$33*(1+FixedParams!$B$28)/FixedParams!$B$32,L174*(1+FixedParams!$B$23)+M174*FixedParams!$B$33*(1+FixedParams!$B$26)/FixedParams!$B$32)</f>
        <v>82.697162196974602</v>
      </c>
      <c r="R174" s="24">
        <f t="shared" si="96"/>
        <v>17.04639515513102</v>
      </c>
      <c r="S174" s="24">
        <f>R174^((FixedParams!$B$47-1)/FixedParams!$B$47)*EXP($C174)</f>
        <v>0.14021677250171391</v>
      </c>
      <c r="T174" s="7">
        <f>(L174*FixedParams!$B$32*(FixedParams!$C$25-FixedParams!$C$23)+FixedParams!$B$33*(FixedParams!$C$28-FixedParams!$C$26)*M174)/N174</f>
        <v>3064.5657893515031</v>
      </c>
      <c r="U174" s="7">
        <f>(L174*FixedParams!$B$32*(FixedParams!$C$25-FixedParams!$C$23)*$Z$12/$B$11+FixedParams!$B$33*(FixedParams!$C$28-FixedParams!$C$26)*M174)/N174</f>
        <v>2398.6276000674525</v>
      </c>
      <c r="V174" s="14">
        <f t="shared" si="97"/>
        <v>-0.26202707465951447</v>
      </c>
      <c r="W174" s="14">
        <f t="shared" si="108"/>
        <v>0.91175983203850175</v>
      </c>
      <c r="X174" s="73">
        <f t="shared" si="109"/>
        <v>0.88171110500287098</v>
      </c>
      <c r="Y174" s="24">
        <f>EXP(-$D$17)*(($B174*FixedParams!$B$30)^$B$10*(1+FixedParams!$C$24)^(1-$B$10)+(1-$B174)^$B$10*((1+FixedParams!$C$27)/$Z$12)^(1-$B$10))^(1/(1-$B$10))</f>
        <v>6.6532237072704392</v>
      </c>
      <c r="Z174" s="24">
        <f>EXP($D174-$D$17)*(($B174*FixedParams!$C$31)^$B$10*(1+FixedParams!$C$25)^(1-$B$10)+(1-$B174)^$B$10*((1+FixedParams!$C$28)/$Z$12)^(1-$B$10))^(1/(1-$B$10))</f>
        <v>6.8023128779138267</v>
      </c>
      <c r="AA174" s="24">
        <f>EXP($D174-$D$17)*(($B174*FixedParams!$C$30)^$B$10*(1+FixedParams!$C$23)^(1-$B$10)+(1-$B174)^$B$10*((1+FixedParams!$C$26)/$Z$12)^(1-$B$10))^(1/(1-$B$10))</f>
        <v>6.4985128083943575</v>
      </c>
      <c r="AB174">
        <f>IF(FixedParams!$I$6=1,IF(Z174&lt;=MIN(Y174:AA174),1,0),$H174)</f>
        <v>0</v>
      </c>
      <c r="AC174">
        <f>IF(FixedParams!$I$6=1,IF(AA174&lt;=MIN(Y174:AA174),1,0),IF(AA174&lt;=Y174,1,0)*(1-$H174))</f>
        <v>1</v>
      </c>
      <c r="AD174" s="24">
        <f>$Z$13*IF(AB174=1,1,IF(AC174=1,FixedParams!$C$52,FixedParams!$C$53))</f>
        <v>0.34709202255780691</v>
      </c>
      <c r="AE174">
        <f>EXP($C174*FixedParams!$B$47)*EXP(IF(AB174+AC174=1,(1-FixedParams!$B$47)*$D174,0))*($B174^((FixedParams!$B$47-1)*$B$10/($B$10-1)))*((1/$B174-1)^$B$10*(AD174)^($B$10-1)+1)^((FixedParams!$B$47-$B$10)/($B$10-1))/((1+IF(AB174=1,FixedParams!$C$25,IF(AC174=1,FixedParams!$C$23,FixedParams!$C$24)))^FixedParams!$B$47)</f>
        <v>5.4892785478755403E-2</v>
      </c>
      <c r="AF174">
        <f t="shared" si="110"/>
        <v>1.6175356481423406</v>
      </c>
      <c r="AG174">
        <f t="shared" si="111"/>
        <v>37.993428448350507</v>
      </c>
      <c r="AH174">
        <f t="shared" si="98"/>
        <v>16.146396174320504</v>
      </c>
      <c r="AI174">
        <f t="shared" si="112"/>
        <v>54.139824622671014</v>
      </c>
      <c r="AJ174" s="24">
        <f t="shared" si="113"/>
        <v>0.42497865640818483</v>
      </c>
      <c r="AK174" s="24">
        <f t="shared" si="114"/>
        <v>2.1704631283575022</v>
      </c>
      <c r="AL174" s="23">
        <f>IF(AB174=1,AG174*(1+FixedParams!$C$25)+AH174*(1+FixedParams!$C$28)/$Z$12,IF(AC174=1,AG174*(1+FixedParams!$C$23)+AH174*(1+FixedParams!$C$26)/$Z$12,AG174*(1+FixedParams!$C$24)+AH174*(1+FixedParams!$C$27)/$Z$12))</f>
        <v>97.672620921801979</v>
      </c>
      <c r="AM174" s="24">
        <f t="shared" si="115"/>
        <v>15.029995908546157</v>
      </c>
      <c r="AN174" s="24">
        <f>AM174^((FixedParams!$B$47-1)/FixedParams!$B$47)*EXP($C174)</f>
        <v>0.14023444328951873</v>
      </c>
      <c r="AO174" s="24">
        <f t="shared" si="116"/>
        <v>7.1935802961765313E-2</v>
      </c>
      <c r="AP174" s="24">
        <f t="shared" si="117"/>
        <v>-0.12589082197825871</v>
      </c>
      <c r="AQ174" s="14">
        <f t="shared" si="118"/>
        <v>-0.20244900796725493</v>
      </c>
      <c r="AS174" s="24">
        <f>EXP(-$D$17)*(($B174*FixedParams!$B$30)^$B$10*(1+FixedParams!$D$24)^(1-$B$10)+(1-$B174)^$B$10*((1+FixedParams!$D$27)/$AT$12)^(1-$B$10))^(1/(1-$B$10))</f>
        <v>6.1314380464630602</v>
      </c>
      <c r="AT174" s="24">
        <f>EXP($D174-$D$17)*(($B174*FixedParams!$C$31)^$B$10*(1+FixedParams!$D$25)^(1-$B$10)+(1-$B174)^$B$10*((1+FixedParams!$D$28)/$AT$12)^(1-$B$10))^(1/(1-$B$10))</f>
        <v>6.5498838015310241</v>
      </c>
      <c r="AU174" s="24">
        <f>EXP($D174-$D$17)*(($B174*FixedParams!$C$30)^$B$10*(1+FixedParams!$D$23)^(1-$B$10)+(1-$B174)^$B$10*((1+FixedParams!$D$26)/$AT$12)^(1-$B$10))^(1/(1-$B$10))</f>
        <v>6.2905474796699608</v>
      </c>
      <c r="AV174">
        <f>IF(FixedParams!$I$6=1,IF(AT174&lt;=MIN(AS174:AU174),1,0),$H174)</f>
        <v>0</v>
      </c>
      <c r="AW174">
        <f>IF(FixedParams!$I$6=1,IF(AU174&lt;=MIN(AS174:AU174),1,0),IF(AU174&lt;=AS174,1,0)*(1-$H174))</f>
        <v>0</v>
      </c>
      <c r="AX174" s="24">
        <f>$AT$13*IF(AV174=1,1,IF(AW174=1,FixedParams!$D$52,FixedParams!$D$53))</f>
        <v>0.44031288407969205</v>
      </c>
      <c r="AY174">
        <f>EXP($C174*FixedParams!$B$47)*EXP(IF(AV174+AW174=1,(1-FixedParams!$B$47)*$D174,0))*($B174^((FixedParams!$B$47-1)*$B$10/($B$10-1)))*((1/$B174-1)^$B$10*(AX174)^($B$10-1)+1)^((FixedParams!$B$47-$B$10)/($B$10-1))/((1+IF(AV174=1,FixedParams!$D$25,IF(AW174=1,FixedParams!$D$23,FixedParams!$D$24)))^FixedParams!$B$47)</f>
        <v>4.0729961371525292E-2</v>
      </c>
      <c r="AZ174">
        <f t="shared" si="99"/>
        <v>1.0967593294343327</v>
      </c>
      <c r="BA174">
        <f t="shared" si="119"/>
        <v>27.594318044815193</v>
      </c>
      <c r="BB174">
        <f t="shared" si="100"/>
        <v>16.75567495887811</v>
      </c>
      <c r="BC174">
        <f t="shared" si="120"/>
        <v>44.349993003693299</v>
      </c>
      <c r="BD174" s="24">
        <f t="shared" si="121"/>
        <v>0.60721467845900978</v>
      </c>
      <c r="BE174" s="24">
        <f t="shared" si="122"/>
        <v>2.076275121320756</v>
      </c>
      <c r="BF174" s="23">
        <f>IF(AV174=1,BA174*(1+FixedParams!$C$25)+BB174*(1+FixedParams!$C$28)/$AT$12,IF(AW174=1,BA174*(1+FixedParams!$C$23)+BB174*(1+FixedParams!$C$26)/$AT$12,BA174*(1+FixedParams!$C$24)+BB174*(1+FixedParams!$C$27)/$AT$12))</f>
        <v>103.07272841747854</v>
      </c>
      <c r="BG174" s="24">
        <f t="shared" si="123"/>
        <v>16.810530847153611</v>
      </c>
      <c r="BH174" s="24">
        <f>BG174^((FixedParams!$B$47-1)/FixedParams!$B$47)*EXP($C174)</f>
        <v>0.1402187281431497</v>
      </c>
      <c r="BI174" s="7"/>
      <c r="BJ174" s="24">
        <f>EXP(-$D$17)*(($B174*FixedParams!$B$30)^$B$10*(1+FixedParams!$C$24)^(1-$B$10)+(1-$B174)^$B$10*((1+FixedParams!$C$27)/$BK$12)^(1-$B$10))^(1/(1-$B$10))</f>
        <v>6.85254073280562</v>
      </c>
      <c r="BK174" s="24">
        <f>EXP($D174-$D$17)*(($B174*FixedParams!$C$31)^$B$10*(1+FixedParams!$C$25)^(1-$B$10)+(1-$B174)^$B$10*((1+FixedParams!$C$28)/$BK$12)^(1-$B$10))^(1/(1-$B$10))</f>
        <v>7.0016963031293065</v>
      </c>
      <c r="BL174" s="24">
        <f>EXP($D174-$D$17)*(($B174*FixedParams!$C$30)^$B$10*(1+FixedParams!$C$23)^(1-$B$10)+(1-$B174)^$B$10*((1+FixedParams!$C$26)/$BK$12)^(1-$B$10))^(1/(1-$B$10))</f>
        <v>6.6799429601107914</v>
      </c>
      <c r="BM174">
        <f>IF(FixedParams!$I$6=1,IF(BK174&lt;=MIN(BJ174:BL174),1,0),$H174)</f>
        <v>0</v>
      </c>
      <c r="BN174">
        <f>IF(FixedParams!$I$6=1,IF(BL174&lt;=MIN(BJ174:BL174),1,0),IF(BL174&lt;=BJ174,1,0)*(1-$H174))</f>
        <v>1</v>
      </c>
      <c r="BO174" s="24">
        <f>$BK$13*IF(BM174=1,1,IF(BN174=1,FixedParams!$C$52,FixedParams!$C$53))</f>
        <v>0.33006170822567266</v>
      </c>
      <c r="BP174">
        <f>EXP($C174*FixedParams!$B$47)*EXP(IF(BM174+BN174=1,(1-FixedParams!$B$47)*$D174,0))*($B174^((FixedParams!$B$47-1)*$B$10/($B$10-1)))*((1/$B174-1)^$B$10*(BO174)^($B$10-1)+1)^((FixedParams!$B$47-$B$10)/($B$10-1))/((1+IF(BM174=1,FixedParams!$C$25,IF(BN174=1,FixedParams!$C$23,FixedParams!$C$24)))^FixedParams!$B$47)</f>
        <v>5.5655311183725173E-2</v>
      </c>
      <c r="BQ174">
        <f t="shared" si="124"/>
        <v>1.6010782029978003</v>
      </c>
      <c r="BR174">
        <f t="shared" si="125"/>
        <v>40.834152821356554</v>
      </c>
      <c r="BS174">
        <f t="shared" si="101"/>
        <v>16.092237564264156</v>
      </c>
      <c r="BT174">
        <f t="shared" si="126"/>
        <v>56.926390385620707</v>
      </c>
      <c r="BU174" s="24">
        <f t="shared" si="127"/>
        <v>0.39408770483534561</v>
      </c>
      <c r="BV174" s="24">
        <f t="shared" si="128"/>
        <v>2.1215911650225809</v>
      </c>
      <c r="BW174" s="23">
        <f>IF(BM174=1,BR174*(1+FixedParams!$C$25)+BS174*(1+FixedParams!$C$28)/$BK$12,IF(BN174=1,BR174*(1+FixedParams!$C$23)+BS174*(1+FixedParams!$C$26)/$BK$12,BR174*(1+FixedParams!$C$24)+BS174*(1+FixedParams!$C$27)/$BK$12))</f>
        <v>103.54008539969777</v>
      </c>
      <c r="BX174" s="24">
        <f t="shared" si="129"/>
        <v>15.500145138661557</v>
      </c>
      <c r="BY174" s="24">
        <f>BX174^((FixedParams!$B$47-1)/FixedParams!$B$47)*EXP($C174)</f>
        <v>0.14023011960737325</v>
      </c>
      <c r="BZ174" s="24">
        <f t="shared" si="130"/>
        <v>0.12212479463060157</v>
      </c>
      <c r="CA174" s="24">
        <f t="shared" si="131"/>
        <v>-9.5089365857976088E-2</v>
      </c>
      <c r="CB174" s="24">
        <f t="shared" si="132"/>
        <v>-7.7760909938568837E-2</v>
      </c>
      <c r="CC174" s="24"/>
      <c r="CD174" s="24">
        <f>EXP(-$D$17)*(($B174*FixedParams!$B$30)^$B$10*(1+FixedParams!$D$24)^(1-$B$10)+(1-$B174)^$B$10*((1+FixedParams!$D$27)/$CE$12)^(1-$B$10))^(1/(1-$B$10))</f>
        <v>6.3000272630070286</v>
      </c>
      <c r="CE174" s="24">
        <f>EXP($D174-$D$17)*(($B174*FixedParams!$D$31)^$B$10*(1+FixedParams!$D$25)^(1-$B$10)+(1-$B174)^$B$10*((1+FixedParams!$D$28)/$CE$12)^(1-$B$10))^(1/(1-$B$10))</f>
        <v>6.7273009046554959</v>
      </c>
      <c r="CF174" s="24">
        <f>EXP($D174-$D$17)*(($B174*FixedParams!$D$30)^$B$10*(1+FixedParams!$D$23)^(1-$B$10)+(1-$B174)^$B$10*((1+FixedParams!$D$26)/$CE$12)^(1-$B$10))^(1/(1-$B$10))</f>
        <v>6.454414876285143</v>
      </c>
      <c r="CG174">
        <f>IF(FixedParams!$I$6=1,IF(CE174&lt;=MIN(CD174:CF174),1,0),$H174)</f>
        <v>0</v>
      </c>
      <c r="CH174">
        <f>IF(FixedParams!$I$6=1,IF(CF174&lt;=MIN(CD174:CF174),1,0),IF(CF174&lt;=CD174,1,0)*(1-$H174))</f>
        <v>0</v>
      </c>
      <c r="CI174" s="24">
        <f>$CE$13*IF(CG174=1,1,IF(CH174=1,FixedParams!$D$52,FixedParams!$D$53))</f>
        <v>0.42008589776177102</v>
      </c>
      <c r="CJ174">
        <f>EXP($C174*FixedParams!$B$47)*EXP(IF(CG174+CH174=1,(1-FixedParams!$B$47)*$D174,0))*($B174^((FixedParams!$B$47-1)*$B$10/($B$10-1)))*((1/$B174-1)^$B$10*(CI174)^($B$10-1)+1)^((FixedParams!$B$47-$B$10)/($B$10-1))/((1+IF(CG174=1,FixedParams!$D$25,IF(CH174=1,FixedParams!$D$23,FixedParams!$D$24)))^FixedParams!$B$47)</f>
        <v>4.1287237024103585E-2</v>
      </c>
      <c r="CK174">
        <f t="shared" si="133"/>
        <v>1.0871078221461501</v>
      </c>
      <c r="CL174">
        <f t="shared" si="135"/>
        <v>29.700092024817707</v>
      </c>
      <c r="CM174">
        <f t="shared" si="102"/>
        <v>16.80602943223548</v>
      </c>
      <c r="CN174">
        <f t="shared" si="136"/>
        <v>46.506121457053183</v>
      </c>
      <c r="CO174" s="24">
        <f t="shared" si="137"/>
        <v>0.56585782354452596</v>
      </c>
      <c r="CP174" s="24">
        <f t="shared" si="138"/>
        <v>2.0353621475188071</v>
      </c>
      <c r="CQ174" s="23">
        <f>IF(CG174=1,CL174*(1+FixedParams!$D$25)+CM174*(1+FixedParams!$D$28)/$CE$12,IF(CH174=1,CL174*(1+FixedParams!$D$23)+CM174*(1+FixedParams!$D$26)/$CE$12,CL174*(1+FixedParams!$D$24)+CM174*(1+FixedParams!$D$27)/$CE$12))</f>
        <v>101.50983656656464</v>
      </c>
      <c r="CR174" s="24">
        <f t="shared" si="139"/>
        <v>16.112602744216314</v>
      </c>
      <c r="CS174" s="24">
        <f>CR174^((FixedParams!$B$47-1)/FixedParams!$B$47)*EXP($C174)</f>
        <v>0.14022468002549723</v>
      </c>
      <c r="CT174" s="24"/>
    </row>
    <row r="175" spans="1:98" x14ac:dyDescent="0.15">
      <c r="A175">
        <v>0.79</v>
      </c>
      <c r="B175">
        <f t="shared" si="103"/>
        <v>0.38315597724610462</v>
      </c>
      <c r="C175">
        <f>(D175-$D$17)*FixedParams!$B$47+$A175*$B$9</f>
        <v>-1.9742219771307936</v>
      </c>
      <c r="D175">
        <f>(A175-$B$6)*FixedParams!$B$46/(FixedParams!$B$45*Sectors!$B$6)</f>
        <v>0.15757191466891438</v>
      </c>
      <c r="E175">
        <f t="shared" si="104"/>
        <v>0.13886931372560513</v>
      </c>
      <c r="F175" s="24">
        <f>EXP(-$D$17)*(($B175*FixedParams!$B$30)^$B$10*(1+FixedParams!$B$23)^(1-$B$10)+(1-$B175)^$B$10*((1+FixedParams!$B$26)/$B$11)^(1-$B$10))^(1/(1-$B$10))</f>
        <v>4.8420593233278382</v>
      </c>
      <c r="G175" s="24">
        <f>EXP($D175-$D$17)*(($B175*FixedParams!$B$31)^$B$10*(1+FixedParams!$B$25)^(1-$B$10)+(1-$B175)^$B$10*((1+FixedParams!$B$28)/$B$11)^(1-$B$10))^(1/(1-$B$10))</f>
        <v>5.402707198668617</v>
      </c>
      <c r="H175">
        <f t="shared" si="105"/>
        <v>0</v>
      </c>
      <c r="I175" s="24">
        <f>$B$12*IF(H175=1,1,FixedParams!$B$52)</f>
        <v>0.39101505882574561</v>
      </c>
      <c r="J175">
        <f>EXP($C175*FixedParams!$B$47)*EXP(IF(H175=1,(1-FixedParams!$B$47)*$D175,0))*($B175^((FixedParams!$B$47-1)*$B$10/($B$10-1)))*((1/$B175-1)^$B$10*(I175)^($B$10-1)+1)^((FixedParams!$B$47-$B$10)/($B$10-1))/((1+IF(H175=1,FixedParams!$B$25,FixedParams!$B$24))^FixedParams!$B$47)</f>
        <v>5.6832204576457948E-2</v>
      </c>
      <c r="K175">
        <f t="shared" si="134"/>
        <v>1.1458840086819984</v>
      </c>
      <c r="L175">
        <f>K175*FixedParams!$B$8/K$15</f>
        <v>33.314434071509986</v>
      </c>
      <c r="M175">
        <f t="shared" si="94"/>
        <v>16.638811389435723</v>
      </c>
      <c r="N175">
        <f t="shared" si="106"/>
        <v>49.953245460945709</v>
      </c>
      <c r="O175" s="24">
        <f t="shared" si="107"/>
        <v>0.49944751736500276</v>
      </c>
      <c r="P175" s="24">
        <f t="shared" si="95"/>
        <v>1.8933181111487847</v>
      </c>
      <c r="Q175" s="23">
        <f>IF(H175=1,L175*(1+FixedParams!$B$25)+M175*FixedParams!$B$33*(1+FixedParams!$B$28)/FixedParams!$B$32,L175*(1+FixedParams!$B$23)+M175*FixedParams!$B$33*(1+FixedParams!$B$26)/FixedParams!$B$32)</f>
        <v>81.671148491855604</v>
      </c>
      <c r="R175" s="24">
        <f t="shared" si="96"/>
        <v>16.867027650484228</v>
      </c>
      <c r="S175" s="24">
        <f>R175^((FixedParams!$B$47-1)/FixedParams!$B$47)*EXP($C175)</f>
        <v>0.138477119937438</v>
      </c>
      <c r="T175" s="7">
        <f>(L175*FixedParams!$B$32*(FixedParams!$C$25-FixedParams!$C$23)+FixedParams!$B$33*(FixedParams!$C$28-FixedParams!$C$26)*M175)/N175</f>
        <v>3108.215404817764</v>
      </c>
      <c r="U175" s="7">
        <f>(L175*FixedParams!$B$32*(FixedParams!$C$25-FixedParams!$C$23)*$Z$12/$B$11+FixedParams!$B$33*(FixedParams!$C$28-FixedParams!$C$26)*M175)/N175</f>
        <v>2438.4130454132996</v>
      </c>
      <c r="V175" s="14">
        <f t="shared" si="97"/>
        <v>-0.24475644936343036</v>
      </c>
      <c r="W175" s="14">
        <f t="shared" si="108"/>
        <v>0.91420993242006354</v>
      </c>
      <c r="X175" s="73">
        <f t="shared" si="109"/>
        <v>0.8797677631024885</v>
      </c>
      <c r="Y175" s="24">
        <f>EXP(-$D$17)*(($B175*FixedParams!$B$30)^$B$10*(1+FixedParams!$C$24)^(1-$B$10)+(1-$B175)^$B$10*((1+FixedParams!$C$27)/$Z$12)^(1-$B$10))^(1/(1-$B$10))</f>
        <v>6.6462115724720734</v>
      </c>
      <c r="Z175" s="24">
        <f>EXP($D175-$D$17)*(($B175*FixedParams!$C$31)^$B$10*(1+FixedParams!$C$25)^(1-$B$10)+(1-$B175)^$B$10*((1+FixedParams!$C$28)/$Z$12)^(1-$B$10))^(1/(1-$B$10))</f>
        <v>6.8106931322664419</v>
      </c>
      <c r="AA175" s="24">
        <f>EXP($D175-$D$17)*(($B175*FixedParams!$C$30)^$B$10*(1+FixedParams!$C$23)^(1-$B$10)+(1-$B175)^$B$10*((1+FixedParams!$C$26)/$Z$12)^(1-$B$10))^(1/(1-$B$10))</f>
        <v>6.5004774458544725</v>
      </c>
      <c r="AB175">
        <f>IF(FixedParams!$I$6=1,IF(Z175&lt;=MIN(Y175:AA175),1,0),$H175)</f>
        <v>0</v>
      </c>
      <c r="AC175">
        <f>IF(FixedParams!$I$6=1,IF(AA175&lt;=MIN(Y175:AA175),1,0),IF(AA175&lt;=Y175,1,0)*(1-$H175))</f>
        <v>1</v>
      </c>
      <c r="AD175" s="24">
        <f>$Z$13*IF(AB175=1,1,IF(AC175=1,FixedParams!$C$52,FixedParams!$C$53))</f>
        <v>0.34709202255780691</v>
      </c>
      <c r="AE175">
        <f>EXP($C175*FixedParams!$B$47)*EXP(IF(AB175+AC175=1,(1-FixedParams!$B$47)*$D175,0))*($B175^((FixedParams!$B$47-1)*$B$10/($B$10-1)))*((1/$B175-1)^$B$10*(AD175)^($B$10-1)+1)^((FixedParams!$B$47-$B$10)/($B$10-1))/((1+IF(AB175=1,FixedParams!$C$25,IF(AC175=1,FixedParams!$C$23,FixedParams!$C$24)))^FixedParams!$B$47)</f>
        <v>5.4727655578905236E-2</v>
      </c>
      <c r="AF175">
        <f t="shared" si="110"/>
        <v>1.6126697354863835</v>
      </c>
      <c r="AG175">
        <f t="shared" si="111"/>
        <v>37.879135632274178</v>
      </c>
      <c r="AH175">
        <f t="shared" si="98"/>
        <v>15.822191701298747</v>
      </c>
      <c r="AI175">
        <f t="shared" si="112"/>
        <v>53.701327333572927</v>
      </c>
      <c r="AJ175" s="24">
        <f t="shared" si="113"/>
        <v>0.41770202612062135</v>
      </c>
      <c r="AK175" s="24">
        <f t="shared" si="114"/>
        <v>2.171119305131096</v>
      </c>
      <c r="AL175" s="23">
        <f>IF(AB175=1,AG175*(1+FixedParams!$C$25)+AH175*(1+FixedParams!$C$28)/$Z$12,IF(AC175=1,AG175*(1+FixedParams!$C$23)+AH175*(1+FixedParams!$C$26)/$Z$12,AG175*(1+FixedParams!$C$24)+AH175*(1+FixedParams!$C$27)/$Z$12))</f>
        <v>96.461021561765477</v>
      </c>
      <c r="AM175" s="24">
        <f t="shared" si="115"/>
        <v>14.839067186254331</v>
      </c>
      <c r="AN175" s="24">
        <f>AM175^((FixedParams!$B$47-1)/FixedParams!$B$47)*EXP($C175)</f>
        <v>0.13849487737901978</v>
      </c>
      <c r="AO175" s="24">
        <f t="shared" si="116"/>
        <v>7.2350241603596918E-2</v>
      </c>
      <c r="AP175" s="24">
        <f t="shared" si="117"/>
        <v>-0.12809731190444046</v>
      </c>
      <c r="AQ175" s="14">
        <f t="shared" si="118"/>
        <v>-0.18517838267117109</v>
      </c>
      <c r="AS175" s="24">
        <f>EXP(-$D$17)*(($B175*FixedParams!$B$30)^$B$10*(1+FixedParams!$D$24)^(1-$B$10)+(1-$B175)^$B$10*((1+FixedParams!$D$27)/$AT$12)^(1-$B$10))^(1/(1-$B$10))</f>
        <v>6.1228360414062646</v>
      </c>
      <c r="AT175" s="24">
        <f>EXP($D175-$D$17)*(($B175*FixedParams!$C$31)^$B$10*(1+FixedParams!$D$25)^(1-$B$10)+(1-$B175)^$B$10*((1+FixedParams!$D$28)/$AT$12)^(1-$B$10))^(1/(1-$B$10))</f>
        <v>6.5565725101452728</v>
      </c>
      <c r="AU175" s="24">
        <f>EXP($D175-$D$17)*(($B175*FixedParams!$C$30)^$B$10*(1+FixedParams!$D$23)^(1-$B$10)+(1-$B175)^$B$10*((1+FixedParams!$D$26)/$AT$12)^(1-$B$10))^(1/(1-$B$10))</f>
        <v>6.2923013252034989</v>
      </c>
      <c r="AV175">
        <f>IF(FixedParams!$I$6=1,IF(AT175&lt;=MIN(AS175:AU175),1,0),$H175)</f>
        <v>0</v>
      </c>
      <c r="AW175">
        <f>IF(FixedParams!$I$6=1,IF(AU175&lt;=MIN(AS175:AU175),1,0),IF(AU175&lt;=AS175,1,0)*(1-$H175))</f>
        <v>0</v>
      </c>
      <c r="AX175" s="24">
        <f>$AT$13*IF(AV175=1,1,IF(AW175=1,FixedParams!$D$52,FixedParams!$D$53))</f>
        <v>0.44031288407969205</v>
      </c>
      <c r="AY175">
        <f>EXP($C175*FixedParams!$B$47)*EXP(IF(AV175+AW175=1,(1-FixedParams!$B$47)*$D175,0))*($B175^((FixedParams!$B$47-1)*$B$10/($B$10-1)))*((1/$B175-1)^$B$10*(AX175)^($B$10-1)+1)^((FixedParams!$B$47-$B$10)/($B$10-1))/((1+IF(AV175=1,FixedParams!$D$25,IF(AW175=1,FixedParams!$D$23,FixedParams!$D$24)))^FixedParams!$B$47)</f>
        <v>4.062789048517608E-2</v>
      </c>
      <c r="AZ175">
        <f t="shared" si="99"/>
        <v>1.0940108073857606</v>
      </c>
      <c r="BA175">
        <f t="shared" si="119"/>
        <v>27.52516559766838</v>
      </c>
      <c r="BB175">
        <f t="shared" si="100"/>
        <v>16.427507139164117</v>
      </c>
      <c r="BC175">
        <f t="shared" si="120"/>
        <v>43.952672736832497</v>
      </c>
      <c r="BD175" s="24">
        <f t="shared" si="121"/>
        <v>0.59681774051000325</v>
      </c>
      <c r="BE175" s="24">
        <f t="shared" si="122"/>
        <v>2.0733622436307981</v>
      </c>
      <c r="BF175" s="23">
        <f>IF(AV175=1,BA175*(1+FixedParams!$C$25)+BB175*(1+FixedParams!$C$28)/$AT$12,IF(AW175=1,BA175*(1+FixedParams!$C$23)+BB175*(1+FixedParams!$C$26)/$AT$12,BA175*(1+FixedParams!$C$24)+BB175*(1+FixedParams!$C$27)/$AT$12))</f>
        <v>101.83585829442853</v>
      </c>
      <c r="BG175" s="24">
        <f t="shared" si="123"/>
        <v>16.632138702678592</v>
      </c>
      <c r="BH175" s="24">
        <f>BG175^((FixedParams!$B$47-1)/FixedParams!$B$47)*EXP($C175)</f>
        <v>0.13847906387037673</v>
      </c>
      <c r="BI175" s="7"/>
      <c r="BJ175" s="24">
        <f>EXP(-$D$17)*(($B175*FixedParams!$B$30)^$B$10*(1+FixedParams!$C$24)^(1-$B$10)+(1-$B175)^$B$10*((1+FixedParams!$C$27)/$BK$12)^(1-$B$10))^(1/(1-$B$10))</f>
        <v>6.8438743425949466</v>
      </c>
      <c r="BK175" s="24">
        <f>EXP($D175-$D$17)*(($B175*FixedParams!$C$31)^$B$10*(1+FixedParams!$C$25)^(1-$B$10)+(1-$B175)^$B$10*((1+FixedParams!$C$28)/$BK$12)^(1-$B$10))^(1/(1-$B$10))</f>
        <v>7.0088312593329167</v>
      </c>
      <c r="BL175" s="24">
        <f>EXP($D175-$D$17)*(($B175*FixedParams!$C$30)^$B$10*(1+FixedParams!$C$23)^(1-$B$10)+(1-$B175)^$B$10*((1+FixedParams!$C$26)/$BK$12)^(1-$B$10))^(1/(1-$B$10))</f>
        <v>6.6805230106723634</v>
      </c>
      <c r="BM175">
        <f>IF(FixedParams!$I$6=1,IF(BK175&lt;=MIN(BJ175:BL175),1,0),$H175)</f>
        <v>0</v>
      </c>
      <c r="BN175">
        <f>IF(FixedParams!$I$6=1,IF(BL175&lt;=MIN(BJ175:BL175),1,0),IF(BL175&lt;=BJ175,1,0)*(1-$H175))</f>
        <v>1</v>
      </c>
      <c r="BO175" s="24">
        <f>$BK$13*IF(BM175=1,1,IF(BN175=1,FixedParams!$C$52,FixedParams!$C$53))</f>
        <v>0.33006170822567266</v>
      </c>
      <c r="BP175">
        <f>EXP($C175*FixedParams!$B$47)*EXP(IF(BM175+BN175=1,(1-FixedParams!$B$47)*$D175,0))*($B175^((FixedParams!$B$47-1)*$B$10/($B$10-1)))*((1/$B175-1)^$B$10*(BO175)^($B$10-1)+1)^((FixedParams!$B$47-$B$10)/($B$10-1))/((1+IF(BM175=1,FixedParams!$C$25,IF(BN175=1,FixedParams!$C$23,FixedParams!$C$24)))^FixedParams!$B$47)</f>
        <v>5.5481898522592756E-2</v>
      </c>
      <c r="BQ175">
        <f t="shared" si="124"/>
        <v>1.5960895105269881</v>
      </c>
      <c r="BR175">
        <f t="shared" si="125"/>
        <v>40.706920416124582</v>
      </c>
      <c r="BS175">
        <f t="shared" si="101"/>
        <v>15.767418554537532</v>
      </c>
      <c r="BT175">
        <f t="shared" si="126"/>
        <v>56.474338970662117</v>
      </c>
      <c r="BU175" s="24">
        <f t="shared" si="127"/>
        <v>0.3873400000136546</v>
      </c>
      <c r="BV175" s="24">
        <f t="shared" si="128"/>
        <v>2.1217753926655485</v>
      </c>
      <c r="BW175" s="23">
        <f>IF(BM175=1,BR175*(1+FixedParams!$C$25)+BS175*(1+FixedParams!$C$28)/$BK$12,IF(BN175=1,BR175*(1+FixedParams!$C$23)+BS175*(1+FixedParams!$C$26)/$BK$12,BR175*(1+FixedParams!$C$24)+BS175*(1+FixedParams!$C$27)/$BK$12))</f>
        <v>102.25567988468246</v>
      </c>
      <c r="BX175" s="24">
        <f t="shared" si="129"/>
        <v>15.306538084117891</v>
      </c>
      <c r="BY175" s="24">
        <f>BX175^((FixedParams!$B$47-1)/FixedParams!$B$47)*EXP($C175)</f>
        <v>0.13849057749380753</v>
      </c>
      <c r="BZ175" s="24">
        <f t="shared" si="130"/>
        <v>0.12269888029520704</v>
      </c>
      <c r="CA175" s="24">
        <f t="shared" si="131"/>
        <v>-9.7080626718829124E-2</v>
      </c>
      <c r="CB175" s="24">
        <f t="shared" si="132"/>
        <v>-7.9752170799421873E-2</v>
      </c>
      <c r="CC175" s="24"/>
      <c r="CD175" s="24">
        <f>EXP(-$D$17)*(($B175*FixedParams!$B$30)^$B$10*(1+FixedParams!$D$24)^(1-$B$10)+(1-$B175)^$B$10*((1+FixedParams!$D$27)/$CE$12)^(1-$B$10))^(1/(1-$B$10))</f>
        <v>6.2899399994964247</v>
      </c>
      <c r="CE175" s="24">
        <f>EXP($D175-$D$17)*(($B175*FixedParams!$D$31)^$B$10*(1+FixedParams!$D$25)^(1-$B$10)+(1-$B175)^$B$10*((1+FixedParams!$D$28)/$CE$12)^(1-$B$10))^(1/(1-$B$10))</f>
        <v>6.7328275965528697</v>
      </c>
      <c r="CF175" s="24">
        <f>EXP($D175-$D$17)*(($B175*FixedParams!$D$30)^$B$10*(1+FixedParams!$D$23)^(1-$B$10)+(1-$B175)^$B$10*((1+FixedParams!$D$26)/$CE$12)^(1-$B$10))^(1/(1-$B$10))</f>
        <v>6.4549141497330265</v>
      </c>
      <c r="CG175">
        <f>IF(FixedParams!$I$6=1,IF(CE175&lt;=MIN(CD175:CF175),1,0),$H175)</f>
        <v>0</v>
      </c>
      <c r="CH175">
        <f>IF(FixedParams!$I$6=1,IF(CF175&lt;=MIN(CD175:CF175),1,0),IF(CF175&lt;=CD175,1,0)*(1-$H175))</f>
        <v>0</v>
      </c>
      <c r="CI175" s="24">
        <f>$CE$13*IF(CG175=1,1,IF(CH175=1,FixedParams!$D$52,FixedParams!$D$53))</f>
        <v>0.42008589776177102</v>
      </c>
      <c r="CJ175">
        <f>EXP($C175*FixedParams!$B$47)*EXP(IF(CG175+CH175=1,(1-FixedParams!$B$47)*$D175,0))*($B175^((FixedParams!$B$47-1)*$B$10/($B$10-1)))*((1/$B175-1)^$B$10*(CI175)^($B$10-1)+1)^((FixedParams!$B$47-$B$10)/($B$10-1))/((1+IF(CG175=1,FixedParams!$D$25,IF(CH175=1,FixedParams!$D$23,FixedParams!$D$24)))^FixedParams!$B$47)</f>
        <v>4.117967391979762E-2</v>
      </c>
      <c r="CK175">
        <f t="shared" si="133"/>
        <v>1.0842756468664849</v>
      </c>
      <c r="CL175">
        <f t="shared" si="135"/>
        <v>29.6227161981307</v>
      </c>
      <c r="CM175">
        <f t="shared" si="102"/>
        <v>16.47523679614876</v>
      </c>
      <c r="CN175">
        <f t="shared" si="136"/>
        <v>46.09795299427946</v>
      </c>
      <c r="CO175" s="24">
        <f t="shared" si="137"/>
        <v>0.55616901184734735</v>
      </c>
      <c r="CP175" s="24">
        <f t="shared" si="138"/>
        <v>2.0321032355388406</v>
      </c>
      <c r="CQ175" s="23">
        <f>IF(CG175=1,CL175*(1+FixedParams!$D$25)+CM175*(1+FixedParams!$D$28)/$CE$12,IF(CH175=1,CL175*(1+FixedParams!$D$23)+CM175*(1+FixedParams!$D$26)/$CE$12,CL175*(1+FixedParams!$D$24)+CM175*(1+FixedParams!$D$27)/$CE$12))</f>
        <v>100.25044675783474</v>
      </c>
      <c r="CR175" s="24">
        <f t="shared" si="139"/>
        <v>15.938219882202505</v>
      </c>
      <c r="CS175" s="24">
        <f>CR175^((FixedParams!$B$47-1)/FixedParams!$B$47)*EXP($C175)</f>
        <v>0.13848497145212449</v>
      </c>
      <c r="CT175" s="24"/>
    </row>
    <row r="176" spans="1:98" x14ac:dyDescent="0.15">
      <c r="A176">
        <v>0.79500000000000004</v>
      </c>
      <c r="B176">
        <f t="shared" si="103"/>
        <v>0.3858808587414615</v>
      </c>
      <c r="C176">
        <f>(D176-$D$17)*FixedParams!$B$47+$A176*$B$9</f>
        <v>-1.9867170529354188</v>
      </c>
      <c r="D176">
        <f>(A176-$B$6)*FixedParams!$B$46/(FixedParams!$B$45*Sectors!$B$6)</f>
        <v>0.16028867181837841</v>
      </c>
      <c r="E176">
        <f t="shared" si="104"/>
        <v>0.13714492673197906</v>
      </c>
      <c r="F176" s="24">
        <f>EXP(-$D$17)*(($B176*FixedParams!$B$30)^$B$10*(1+FixedParams!$B$23)^(1-$B$10)+(1-$B176)^$B$10*((1+FixedParams!$B$26)/$B$11)^(1-$B$10))^(1/(1-$B$10))</f>
        <v>4.8325813106936995</v>
      </c>
      <c r="G176" s="24">
        <f>EXP($D176-$D$17)*(($B176*FixedParams!$B$31)^$B$10*(1+FixedParams!$B$25)^(1-$B$10)+(1-$B176)^$B$10*((1+FixedParams!$B$28)/$B$11)^(1-$B$10))^(1/(1-$B$10))</f>
        <v>5.4058118667756982</v>
      </c>
      <c r="H176">
        <f t="shared" si="105"/>
        <v>0</v>
      </c>
      <c r="I176" s="24">
        <f>$B$12*IF(H176=1,1,FixedParams!$B$52)</f>
        <v>0.39101505882574561</v>
      </c>
      <c r="J176">
        <f>EXP($C176*FixedParams!$B$47)*EXP(IF(H176=1,(1-FixedParams!$B$47)*$D176,0))*($B176^((FixedParams!$B$47-1)*$B$10/($B$10-1)))*((1/$B176-1)^$B$10*(I176)^($B$10-1)+1)^((FixedParams!$B$47-$B$10)/($B$10-1))/((1+IF(H176=1,FixedParams!$B$25,FixedParams!$B$24))^FixedParams!$B$47)</f>
        <v>5.6671344382934738E-2</v>
      </c>
      <c r="K176">
        <f t="shared" si="134"/>
        <v>1.1426406517725589</v>
      </c>
      <c r="L176">
        <f>K176*FixedParams!$B$8/K$15</f>
        <v>33.220139536363988</v>
      </c>
      <c r="M176">
        <f t="shared" si="94"/>
        <v>16.30762716328525</v>
      </c>
      <c r="N176">
        <f t="shared" si="106"/>
        <v>49.527766699649234</v>
      </c>
      <c r="O176" s="24">
        <f t="shared" si="107"/>
        <v>0.49089580570347457</v>
      </c>
      <c r="P176" s="24">
        <f t="shared" si="95"/>
        <v>1.8896120654810957</v>
      </c>
      <c r="Q176" s="23">
        <f>IF(H176=1,L176*(1+FixedParams!$B$25)+M176*FixedParams!$B$33*(1+FixedParams!$B$28)/FixedParams!$B$32,L176*(1+FixedParams!$B$23)+M176*FixedParams!$B$33*(1+FixedParams!$B$26)/FixedParams!$B$32)</f>
        <v>80.657860145715588</v>
      </c>
      <c r="R176" s="24">
        <f t="shared" si="96"/>
        <v>16.690430012472454</v>
      </c>
      <c r="S176" s="24">
        <f>R176^((FixedParams!$B$47-1)/FixedParams!$B$47)*EXP($C176)</f>
        <v>0.13675904379389461</v>
      </c>
      <c r="T176" s="7">
        <f>(L176*FixedParams!$B$32*(FixedParams!$C$25-FixedParams!$C$23)+FixedParams!$B$33*(FixedParams!$C$28-FixedParams!$C$26)*M176)/N176</f>
        <v>3151.6140941246053</v>
      </c>
      <c r="U176" s="7">
        <f>(L176*FixedParams!$B$32*(FixedParams!$C$25-FixedParams!$C$23)*$Z$12/$B$11+FixedParams!$B$33*(FixedParams!$C$28-FixedParams!$C$26)*M176)/N176</f>
        <v>2477.9697783433603</v>
      </c>
      <c r="V176" s="14">
        <f t="shared" si="97"/>
        <v>-0.22748582406734708</v>
      </c>
      <c r="W176" s="14">
        <f t="shared" si="108"/>
        <v>0.91663916397386891</v>
      </c>
      <c r="X176" s="73">
        <f t="shared" si="109"/>
        <v>0.87782952889542532</v>
      </c>
      <c r="Y176" s="24">
        <f>EXP(-$D$17)*(($B176*FixedParams!$B$30)^$B$10*(1+FixedParams!$C$24)^(1-$B$10)+(1-$B176)^$B$10*((1+FixedParams!$C$27)/$Z$12)^(1-$B$10))^(1/(1-$B$10))</f>
        <v>6.6388697534655883</v>
      </c>
      <c r="Z176" s="24">
        <f>EXP($D176-$D$17)*(($B176*FixedParams!$C$31)^$B$10*(1+FixedParams!$C$25)^(1-$B$10)+(1-$B176)^$B$10*((1+FixedParams!$C$28)/$Z$12)^(1-$B$10))^(1/(1-$B$10))</f>
        <v>6.8187294389047812</v>
      </c>
      <c r="AA176" s="24">
        <f>EXP($D176-$D$17)*(($B176*FixedParams!$C$30)^$B$10*(1+FixedParams!$C$23)^(1-$B$10)+(1-$B176)^$B$10*((1+FixedParams!$C$26)/$Z$12)^(1-$B$10))^(1/(1-$B$10))</f>
        <v>6.5020924039229779</v>
      </c>
      <c r="AB176">
        <f>IF(FixedParams!$I$6=1,IF(Z176&lt;=MIN(Y176:AA176),1,0),$H176)</f>
        <v>0</v>
      </c>
      <c r="AC176">
        <f>IF(FixedParams!$I$6=1,IF(AA176&lt;=MIN(Y176:AA176),1,0),IF(AA176&lt;=Y176,1,0)*(1-$H176))</f>
        <v>1</v>
      </c>
      <c r="AD176" s="24">
        <f>$Z$13*IF(AB176=1,1,IF(AC176=1,FixedParams!$C$52,FixedParams!$C$53))</f>
        <v>0.34709202255780691</v>
      </c>
      <c r="AE176">
        <f>EXP($C176*FixedParams!$B$47)*EXP(IF(AB176+AC176=1,(1-FixedParams!$B$47)*$D176,0))*($B176^((FixedParams!$B$47-1)*$B$10/($B$10-1)))*((1/$B176-1)^$B$10*(AD176)^($B$10-1)+1)^((FixedParams!$B$47-$B$10)/($B$10-1))/((1+IF(AB176=1,FixedParams!$C$25,IF(AC176=1,FixedParams!$C$23,FixedParams!$C$24)))^FixedParams!$B$47)</f>
        <v>5.4558985677985609E-2</v>
      </c>
      <c r="AF176">
        <f t="shared" si="110"/>
        <v>1.6076995089779886</v>
      </c>
      <c r="AG176">
        <f t="shared" si="111"/>
        <v>37.762392643990943</v>
      </c>
      <c r="AH176">
        <f t="shared" si="98"/>
        <v>15.50334987675428</v>
      </c>
      <c r="AI176">
        <f t="shared" si="112"/>
        <v>53.265742520745221</v>
      </c>
      <c r="AJ176" s="24">
        <f t="shared" si="113"/>
        <v>0.41054998879212434</v>
      </c>
      <c r="AK176" s="24">
        <f t="shared" si="114"/>
        <v>2.17165869114831</v>
      </c>
      <c r="AL176" s="23">
        <f>IF(AB176=1,AG176*(1+FixedParams!$C$25)+AH176*(1+FixedParams!$C$28)/$Z$12,IF(AC176=1,AG176*(1+FixedParams!$C$23)+AH176*(1+FixedParams!$C$26)/$Z$12,AG176*(1+FixedParams!$C$24)+AH176*(1+FixedParams!$C$27)/$Z$12))</f>
        <v>95.264446593980608</v>
      </c>
      <c r="AM176" s="24">
        <f t="shared" si="115"/>
        <v>14.651352314910762</v>
      </c>
      <c r="AN176" s="24">
        <f>AM176^((FixedParams!$B$47-1)/FixedParams!$B$47)*EXP($C176)</f>
        <v>0.13677688289010534</v>
      </c>
      <c r="AO176" s="24">
        <f t="shared" si="116"/>
        <v>7.2759939358808243E-2</v>
      </c>
      <c r="AP176" s="24">
        <f t="shared" si="117"/>
        <v>-0.13030286263166552</v>
      </c>
      <c r="AQ176" s="14">
        <f t="shared" si="118"/>
        <v>-0.16790775737508781</v>
      </c>
      <c r="AS176" s="24">
        <f>EXP(-$D$17)*(($B176*FixedParams!$B$30)^$B$10*(1+FixedParams!$D$24)^(1-$B$10)+(1-$B176)^$B$10*((1+FixedParams!$D$27)/$AT$12)^(1-$B$10))^(1/(1-$B$10))</f>
        <v>6.1139297327085469</v>
      </c>
      <c r="AT176" s="24">
        <f>EXP($D176-$D$17)*(($B176*FixedParams!$C$31)^$B$10*(1+FixedParams!$D$25)^(1-$B$10)+(1-$B176)^$B$10*((1+FixedParams!$D$28)/$AT$12)^(1-$B$10))^(1/(1-$B$10))</f>
        <v>6.5629237212073344</v>
      </c>
      <c r="AU176" s="24">
        <f>EXP($D176-$D$17)*(($B176*FixedParams!$C$30)^$B$10*(1+FixedParams!$D$23)^(1-$B$10)+(1-$B176)^$B$10*((1+FixedParams!$D$26)/$AT$12)^(1-$B$10))^(1/(1-$B$10))</f>
        <v>6.2937163774116378</v>
      </c>
      <c r="AV176">
        <f>IF(FixedParams!$I$6=1,IF(AT176&lt;=MIN(AS176:AU176),1,0),$H176)</f>
        <v>0</v>
      </c>
      <c r="AW176">
        <f>IF(FixedParams!$I$6=1,IF(AU176&lt;=MIN(AS176:AU176),1,0),IF(AU176&lt;=AS176,1,0)*(1-$H176))</f>
        <v>0</v>
      </c>
      <c r="AX176" s="24">
        <f>$AT$13*IF(AV176=1,1,IF(AW176=1,FixedParams!$D$52,FixedParams!$D$53))</f>
        <v>0.44031288407969205</v>
      </c>
      <c r="AY176">
        <f>EXP($C176*FixedParams!$B$47)*EXP(IF(AV176+AW176=1,(1-FixedParams!$B$47)*$D176,0))*($B176^((FixedParams!$B$47-1)*$B$10/($B$10-1)))*((1/$B176-1)^$B$10*(AX176)^($B$10-1)+1)^((FixedParams!$B$47-$B$10)/($B$10-1))/((1+IF(AV176=1,FixedParams!$D$25,IF(AW176=1,FixedParams!$D$23,FixedParams!$D$24)))^FixedParams!$B$47)</f>
        <v>4.0523120278128967E-2</v>
      </c>
      <c r="AZ176">
        <f t="shared" si="99"/>
        <v>1.0911895991607505</v>
      </c>
      <c r="BA176">
        <f t="shared" si="119"/>
        <v>27.454184376043642</v>
      </c>
      <c r="BB176">
        <f t="shared" si="100"/>
        <v>16.104592227626085</v>
      </c>
      <c r="BC176">
        <f t="shared" si="120"/>
        <v>43.558776603669727</v>
      </c>
      <c r="BD176" s="24">
        <f t="shared" si="121"/>
        <v>0.58659882249785056</v>
      </c>
      <c r="BE176" s="24">
        <f t="shared" si="122"/>
        <v>2.0703463202810481</v>
      </c>
      <c r="BF176" s="23">
        <f>IF(AV176=1,BA176*(1+FixedParams!$C$25)+BB176*(1+FixedParams!$C$28)/$AT$12,IF(AW176=1,BA176*(1+FixedParams!$C$23)+BB176*(1+FixedParams!$C$26)/$AT$12,BA176*(1+FixedParams!$C$24)+BB176*(1+FixedParams!$C$27)/$AT$12))</f>
        <v>100.61391630586897</v>
      </c>
      <c r="BG176" s="24">
        <f t="shared" si="123"/>
        <v>16.456505178265395</v>
      </c>
      <c r="BH176" s="24">
        <f>BG176^((FixedParams!$B$47-1)/FixedParams!$B$47)*EXP($C176)</f>
        <v>0.13676097604601389</v>
      </c>
      <c r="BI176" s="7"/>
      <c r="BJ176" s="24">
        <f>EXP(-$D$17)*(($B176*FixedParams!$B$30)^$B$10*(1+FixedParams!$C$24)^(1-$B$10)+(1-$B176)^$B$10*((1+FixedParams!$C$27)/$BK$12)^(1-$B$10))^(1/(1-$B$10))</f>
        <v>6.8348677700688842</v>
      </c>
      <c r="BK176" s="24">
        <f>EXP($D176-$D$17)*(($B176*FixedParams!$C$31)^$B$10*(1+FixedParams!$C$25)^(1-$B$10)+(1-$B176)^$B$10*((1+FixedParams!$C$28)/$BK$12)^(1-$B$10))^(1/(1-$B$10))</f>
        <v>7.0156053729359851</v>
      </c>
      <c r="BL176" s="24">
        <f>EXP($D176-$D$17)*(($B176*FixedParams!$C$30)^$B$10*(1+FixedParams!$C$23)^(1-$B$10)+(1-$B176)^$B$10*((1+FixedParams!$C$26)/$BK$12)^(1-$B$10))^(1/(1-$B$10))</f>
        <v>6.6807410727757741</v>
      </c>
      <c r="BM176">
        <f>IF(FixedParams!$I$6=1,IF(BK176&lt;=MIN(BJ176:BL176),1,0),$H176)</f>
        <v>0</v>
      </c>
      <c r="BN176">
        <f>IF(FixedParams!$I$6=1,IF(BL176&lt;=MIN(BJ176:BL176),1,0),IF(BL176&lt;=BJ176,1,0)*(1-$H176))</f>
        <v>1</v>
      </c>
      <c r="BO176" s="24">
        <f>$BK$13*IF(BM176=1,1,IF(BN176=1,FixedParams!$C$52,FixedParams!$C$53))</f>
        <v>0.33006170822567266</v>
      </c>
      <c r="BP176">
        <f>EXP($C176*FixedParams!$B$47)*EXP(IF(BM176+BN176=1,(1-FixedParams!$B$47)*$D176,0))*($B176^((FixedParams!$B$47-1)*$B$10/($B$10-1)))*((1/$B176-1)^$B$10*(BO176)^($B$10-1)+1)^((FixedParams!$B$47-$B$10)/($B$10-1))/((1+IF(BM176=1,FixedParams!$C$25,IF(BN176=1,FixedParams!$C$23,FixedParams!$C$24)))^FixedParams!$B$47)</f>
        <v>5.5304925364180087E-2</v>
      </c>
      <c r="BQ176">
        <f t="shared" si="124"/>
        <v>1.5909983905525649</v>
      </c>
      <c r="BR176">
        <f t="shared" si="125"/>
        <v>40.577075683569852</v>
      </c>
      <c r="BS176">
        <f t="shared" si="101"/>
        <v>15.448010500536219</v>
      </c>
      <c r="BT176">
        <f t="shared" si="126"/>
        <v>56.025086184106073</v>
      </c>
      <c r="BU176" s="24">
        <f t="shared" si="127"/>
        <v>0.38070783170782574</v>
      </c>
      <c r="BV176" s="24">
        <f t="shared" si="128"/>
        <v>2.1218446505371777</v>
      </c>
      <c r="BW176" s="23">
        <f>IF(BM176=1,BR176*(1+FixedParams!$C$25)+BS176*(1+FixedParams!$C$28)/$BK$12,IF(BN176=1,BR176*(1+FixedParams!$C$23)+BS176*(1+FixedParams!$C$26)/$BK$12,BR176*(1+FixedParams!$C$24)+BS176*(1+FixedParams!$C$27)/$BK$12))</f>
        <v>100.98720183291394</v>
      </c>
      <c r="BX176" s="24">
        <f t="shared" si="129"/>
        <v>15.116167612667986</v>
      </c>
      <c r="BY176" s="24">
        <f>BX176^((FixedParams!$B$47-1)/FixedParams!$B$47)*EXP($C176)</f>
        <v>0.13677260683314829</v>
      </c>
      <c r="BZ176" s="24">
        <f t="shared" si="130"/>
        <v>0.12326610226900586</v>
      </c>
      <c r="CA176" s="24">
        <f t="shared" si="131"/>
        <v>-9.9070628166511229E-2</v>
      </c>
      <c r="CB176" s="24">
        <f t="shared" si="132"/>
        <v>-8.1742172247103978E-2</v>
      </c>
      <c r="CC176" s="24"/>
      <c r="CD176" s="24">
        <f>EXP(-$D$17)*(($B176*FixedParams!$B$30)^$B$10*(1+FixedParams!$D$24)^(1-$B$10)+(1-$B176)^$B$10*((1+FixedParams!$D$27)/$CE$12)^(1-$B$10))^(1/(1-$B$10))</f>
        <v>6.2795408169171729</v>
      </c>
      <c r="CE176" s="24">
        <f>EXP($D176-$D$17)*(($B176*FixedParams!$D$31)^$B$10*(1+FixedParams!$D$25)^(1-$B$10)+(1-$B176)^$B$10*((1+FixedParams!$D$28)/$CE$12)^(1-$B$10))^(1/(1-$B$10))</f>
        <v>6.7380023362511769</v>
      </c>
      <c r="CF176" s="24">
        <f>EXP($D176-$D$17)*(($B176*FixedParams!$D$30)^$B$10*(1+FixedParams!$D$23)^(1-$B$10)+(1-$B176)^$B$10*((1+FixedParams!$D$26)/$CE$12)^(1-$B$10))^(1/(1-$B$10))</f>
        <v>6.4550635686069304</v>
      </c>
      <c r="CG176">
        <f>IF(FixedParams!$I$6=1,IF(CE176&lt;=MIN(CD176:CF176),1,0),$H176)</f>
        <v>0</v>
      </c>
      <c r="CH176">
        <f>IF(FixedParams!$I$6=1,IF(CF176&lt;=MIN(CD176:CF176),1,0),IF(CF176&lt;=CD176,1,0)*(1-$H176))</f>
        <v>0</v>
      </c>
      <c r="CI176" s="24">
        <f>$CE$13*IF(CG176=1,1,IF(CH176=1,FixedParams!$D$52,FixedParams!$D$53))</f>
        <v>0.42008589776177102</v>
      </c>
      <c r="CJ176">
        <f>EXP($C176*FixedParams!$B$47)*EXP(IF(CG176+CH176=1,(1-FixedParams!$B$47)*$D176,0))*($B176^((FixedParams!$B$47-1)*$B$10/($B$10-1)))*((1/$B176-1)^$B$10*(CI176)^($B$10-1)+1)^((FixedParams!$B$47-$B$10)/($B$10-1))/((1+IF(CG176=1,FixedParams!$D$25,IF(CH176=1,FixedParams!$D$23,FixedParams!$D$24)))^FixedParams!$B$47)</f>
        <v>4.1069385840443444E-2</v>
      </c>
      <c r="CK176">
        <f t="shared" si="133"/>
        <v>1.0813717220122885</v>
      </c>
      <c r="CL176">
        <f t="shared" si="135"/>
        <v>29.543380152850002</v>
      </c>
      <c r="CM176">
        <f t="shared" si="102"/>
        <v>16.149773402711286</v>
      </c>
      <c r="CN176">
        <f t="shared" si="136"/>
        <v>45.693153555561288</v>
      </c>
      <c r="CO176" s="24">
        <f t="shared" si="137"/>
        <v>0.54664609530650965</v>
      </c>
      <c r="CP176" s="24">
        <f t="shared" si="138"/>
        <v>2.0287435512544199</v>
      </c>
      <c r="CQ176" s="23">
        <f>IF(CG176=1,CL176*(1+FixedParams!$D$25)+CM176*(1+FixedParams!$D$28)/$CE$12,IF(CH176=1,CL176*(1+FixedParams!$D$23)+CM176*(1+FixedParams!$D$26)/$CE$12,CL176*(1+FixedParams!$D$24)+CM176*(1+FixedParams!$D$27)/$CE$12))</f>
        <v>99.006676495884562</v>
      </c>
      <c r="CR176" s="24">
        <f t="shared" si="139"/>
        <v>15.766547170003125</v>
      </c>
      <c r="CS176" s="24">
        <f>CR176^((FixedParams!$B$47-1)/FixedParams!$B$47)*EXP($C176)</f>
        <v>0.13676683956553798</v>
      </c>
      <c r="CT176" s="24"/>
    </row>
    <row r="177" spans="1:98" x14ac:dyDescent="0.15">
      <c r="A177">
        <v>0.8</v>
      </c>
      <c r="B177">
        <f t="shared" si="103"/>
        <v>0.38861291023624256</v>
      </c>
      <c r="C177">
        <f>(D177-$D$17)*FixedParams!$B$47+$A177*$B$9</f>
        <v>-1.9992121287400444</v>
      </c>
      <c r="D177">
        <f>(A177-$B$6)*FixedParams!$B$46/(FixedParams!$B$45*Sectors!$B$6)</f>
        <v>0.16300542896784245</v>
      </c>
      <c r="E177">
        <f t="shared" si="104"/>
        <v>0.13544195203185402</v>
      </c>
      <c r="F177" s="24">
        <f>EXP(-$D$17)*(($B177*FixedParams!$B$30)^$B$10*(1+FixedParams!$B$23)^(1-$B$10)+(1-$B177)^$B$10*((1+FixedParams!$B$26)/$B$11)^(1-$B$10))^(1/(1-$B$10))</f>
        <v>4.822866340619834</v>
      </c>
      <c r="G177" s="24">
        <f>EXP($D177-$D$17)*(($B177*FixedParams!$B$31)^$B$10*(1+FixedParams!$B$25)^(1-$B$10)+(1-$B177)^$B$10*((1+FixedParams!$B$28)/$B$11)^(1-$B$10))^(1/(1-$B$10))</f>
        <v>5.4086299295212177</v>
      </c>
      <c r="H177">
        <f t="shared" si="105"/>
        <v>0</v>
      </c>
      <c r="I177" s="24">
        <f>$B$12*IF(H177=1,1,FixedParams!$B$52)</f>
        <v>0.39101505882574561</v>
      </c>
      <c r="J177">
        <f>EXP($C177*FixedParams!$B$47)*EXP(IF(H177=1,(1-FixedParams!$B$47)*$D177,0))*($B177^((FixedParams!$B$47-1)*$B$10/($B$10-1)))*((1/$B177-1)^$B$10*(I177)^($B$10-1)+1)^((FixedParams!$B$47-$B$10)/($B$10-1))/((1+IF(H177=1,FixedParams!$B$25,FixedParams!$B$24))^FixedParams!$B$47)</f>
        <v>5.6506776811759023E-2</v>
      </c>
      <c r="K177">
        <f t="shared" si="134"/>
        <v>1.1393225445556516</v>
      </c>
      <c r="L177">
        <f>K177*FixedParams!$B$8/K$15</f>
        <v>33.123671775855662</v>
      </c>
      <c r="M177">
        <f t="shared" si="94"/>
        <v>15.98185759895642</v>
      </c>
      <c r="N177">
        <f t="shared" si="106"/>
        <v>49.105529374812079</v>
      </c>
      <c r="O177" s="24">
        <f t="shared" si="107"/>
        <v>0.48249051938154497</v>
      </c>
      <c r="P177" s="24">
        <f t="shared" si="95"/>
        <v>1.8858133658861729</v>
      </c>
      <c r="Q177" s="23">
        <f>IF(H177=1,L177*(1+FixedParams!$B$25)+M177*FixedParams!$B$33*(1+FixedParams!$B$28)/FixedParams!$B$32,L177*(1+FixedParams!$B$23)+M177*FixedParams!$B$33*(1+FixedParams!$B$26)/FixedParams!$B$32)</f>
        <v>79.657139378657774</v>
      </c>
      <c r="R177" s="24">
        <f t="shared" si="96"/>
        <v>16.516555457437839</v>
      </c>
      <c r="S177" s="24">
        <f>R177^((FixedParams!$B$47-1)/FixedParams!$B$47)*EXP($C177)</f>
        <v>0.13506227654814484</v>
      </c>
      <c r="T177" s="7">
        <f>(L177*FixedParams!$B$32*(FixedParams!$C$25-FixedParams!$C$23)+FixedParams!$B$33*(FixedParams!$C$28-FixedParams!$C$26)*M177)/N177</f>
        <v>3194.7575987770397</v>
      </c>
      <c r="U177" s="7">
        <f>(L177*FixedParams!$B$32*(FixedParams!$C$25-FixedParams!$C$23)*$Z$12/$B$11+FixedParams!$B$33*(FixedParams!$C$28-FixedParams!$C$26)*M177)/N177</f>
        <v>2517.2939173544924</v>
      </c>
      <c r="V177" s="14">
        <f t="shared" si="97"/>
        <v>-0.21021519877126346</v>
      </c>
      <c r="W177" s="14">
        <f t="shared" si="108"/>
        <v>0.9190476856854779</v>
      </c>
      <c r="X177" s="73">
        <f t="shared" si="109"/>
        <v>0.87589632319226807</v>
      </c>
      <c r="Y177" s="24">
        <f>EXP(-$D$17)*(($B177*FixedParams!$B$30)^$B$10*(1+FixedParams!$C$24)^(1-$B$10)+(1-$B177)^$B$10*((1+FixedParams!$C$27)/$Z$12)^(1-$B$10))^(1/(1-$B$10))</f>
        <v>6.6311982471143622</v>
      </c>
      <c r="Z177" s="24">
        <f>EXP($D177-$D$17)*(($B177*FixedParams!$C$31)^$B$10*(1+FixedParams!$C$25)^(1-$B$10)+(1-$B177)^$B$10*((1+FixedParams!$C$28)/$Z$12)^(1-$B$10))^(1/(1-$B$10))</f>
        <v>6.8264198197672572</v>
      </c>
      <c r="AA177" s="24">
        <f>EXP($D177-$D$17)*(($B177*FixedParams!$C$30)^$B$10*(1+FixedParams!$C$23)^(1-$B$10)+(1-$B177)^$B$10*((1+FixedParams!$C$26)/$Z$12)^(1-$B$10))^(1/(1-$B$10))</f>
        <v>6.503357586176663</v>
      </c>
      <c r="AB177">
        <f>IF(FixedParams!$I$6=1,IF(Z177&lt;=MIN(Y177:AA177),1,0),$H177)</f>
        <v>0</v>
      </c>
      <c r="AC177">
        <f>IF(FixedParams!$I$6=1,IF(AA177&lt;=MIN(Y177:AA177),1,0),IF(AA177&lt;=Y177,1,0)*(1-$H177))</f>
        <v>1</v>
      </c>
      <c r="AD177" s="24">
        <f>$Z$13*IF(AB177=1,1,IF(AC177=1,FixedParams!$C$52,FixedParams!$C$53))</f>
        <v>0.34709202255780691</v>
      </c>
      <c r="AE177">
        <f>EXP($C177*FixedParams!$B$47)*EXP(IF(AB177+AC177=1,(1-FixedParams!$B$47)*$D177,0))*($B177^((FixedParams!$B$47-1)*$B$10/($B$10-1)))*((1/$B177-1)^$B$10*(AD177)^($B$10-1)+1)^((FixedParams!$B$47-$B$10)/($B$10-1))/((1+IF(AB177=1,FixedParams!$C$25,IF(AC177=1,FixedParams!$C$23,FixedParams!$C$24)))^FixedParams!$B$47)</f>
        <v>5.4386805488196438E-2</v>
      </c>
      <c r="AF177">
        <f t="shared" si="110"/>
        <v>1.602625844151931</v>
      </c>
      <c r="AG177">
        <f t="shared" si="111"/>
        <v>37.643220048468173</v>
      </c>
      <c r="AH177">
        <f t="shared" si="98"/>
        <v>15.189807629060155</v>
      </c>
      <c r="AI177">
        <f t="shared" si="112"/>
        <v>52.833027677528328</v>
      </c>
      <c r="AJ177" s="24">
        <f t="shared" si="113"/>
        <v>0.40352041109932302</v>
      </c>
      <c r="AK177" s="24">
        <f t="shared" si="114"/>
        <v>2.1720812542043877</v>
      </c>
      <c r="AL177" s="23">
        <f>IF(AB177=1,AG177*(1+FixedParams!$C$25)+AH177*(1+FixedParams!$C$28)/$Z$12,IF(AC177=1,AG177*(1+FixedParams!$C$23)+AH177*(1+FixedParams!$C$26)/$Z$12,AG177*(1+FixedParams!$C$24)+AH177*(1+FixedParams!$C$27)/$Z$12))</f>
        <v>94.082709775097484</v>
      </c>
      <c r="AM177" s="24">
        <f t="shared" si="115"/>
        <v>14.466790196970992</v>
      </c>
      <c r="AN177" s="24">
        <f>AM177^((FixedParams!$B$47-1)/FixedParams!$B$47)*EXP($C177)</f>
        <v>0.13508019242202138</v>
      </c>
      <c r="AO177" s="24">
        <f t="shared" si="116"/>
        <v>7.3164876330892886E-2</v>
      </c>
      <c r="AP177" s="24">
        <f t="shared" si="117"/>
        <v>-0.13250754757019972</v>
      </c>
      <c r="AQ177" s="14">
        <f t="shared" si="118"/>
        <v>-0.15063713207900387</v>
      </c>
      <c r="AS177" s="24">
        <f>EXP(-$D$17)*(($B177*FixedParams!$B$30)^$B$10*(1+FixedParams!$D$24)^(1-$B$10)+(1-$B177)^$B$10*((1+FixedParams!$D$27)/$AT$12)^(1-$B$10))^(1/(1-$B$10))</f>
        <v>6.1047197553602466</v>
      </c>
      <c r="AT177" s="24">
        <f>EXP($D177-$D$17)*(($B177*FixedParams!$C$31)^$B$10*(1+FixedParams!$D$25)^(1-$B$10)+(1-$B177)^$B$10*((1+FixedParams!$D$28)/$AT$12)^(1-$B$10))^(1/(1-$B$10))</f>
        <v>6.5689359274389094</v>
      </c>
      <c r="AU177" s="24">
        <f>EXP($D177-$D$17)*(($B177*FixedParams!$C$30)^$B$10*(1+FixedParams!$D$23)^(1-$B$10)+(1-$B177)^$B$10*((1+FixedParams!$D$26)/$AT$12)^(1-$B$10))^(1/(1-$B$10))</f>
        <v>6.2947925883124851</v>
      </c>
      <c r="AV177">
        <f>IF(FixedParams!$I$6=1,IF(AT177&lt;=MIN(AS177:AU177),1,0),$H177)</f>
        <v>0</v>
      </c>
      <c r="AW177">
        <f>IF(FixedParams!$I$6=1,IF(AU177&lt;=MIN(AS177:AU177),1,0),IF(AU177&lt;=AS177,1,0)*(1-$H177))</f>
        <v>0</v>
      </c>
      <c r="AX177" s="24">
        <f>$AT$13*IF(AV177=1,1,IF(AW177=1,FixedParams!$D$52,FixedParams!$D$53))</f>
        <v>0.44031288407969205</v>
      </c>
      <c r="AY177">
        <f>EXP($C177*FixedParams!$B$47)*EXP(IF(AV177+AW177=1,(1-FixedParams!$B$47)*$D177,0))*($B177^((FixedParams!$B$47-1)*$B$10/($B$10-1)))*((1/$B177-1)^$B$10*(AX177)^($B$10-1)+1)^((FixedParams!$B$47-$B$10)/($B$10-1))/((1+IF(AV177=1,FixedParams!$D$25,IF(AW177=1,FixedParams!$D$23,FixedParams!$D$24)))^FixedParams!$B$47)</f>
        <v>4.0415665496480194E-2</v>
      </c>
      <c r="AZ177">
        <f t="shared" si="99"/>
        <v>1.088296101836002</v>
      </c>
      <c r="BA177">
        <f t="shared" si="119"/>
        <v>27.381384370337635</v>
      </c>
      <c r="BB177">
        <f t="shared" si="100"/>
        <v>15.786870678676271</v>
      </c>
      <c r="BC177">
        <f t="shared" si="120"/>
        <v>43.168255049013908</v>
      </c>
      <c r="BD177" s="24">
        <f t="shared" si="121"/>
        <v>0.57655487630414526</v>
      </c>
      <c r="BE177" s="24">
        <f t="shared" si="122"/>
        <v>2.0672275662968609</v>
      </c>
      <c r="BF177" s="23">
        <f>IF(AV177=1,BA177*(1+FixedParams!$C$25)+BB177*(1+FixedParams!$C$28)/$AT$12,IF(AW177=1,BA177*(1+FixedParams!$C$23)+BB177*(1+FixedParams!$C$26)/$AT$12,BA177*(1+FixedParams!$C$24)+BB177*(1+FixedParams!$C$27)/$AT$12))</f>
        <v>99.406715413020464</v>
      </c>
      <c r="BG177" s="24">
        <f t="shared" si="123"/>
        <v>16.283583751037291</v>
      </c>
      <c r="BH177" s="24">
        <f>BG177^((FixedParams!$B$47-1)/FixedParams!$B$47)*EXP($C177)</f>
        <v>0.13506419714608253</v>
      </c>
      <c r="BI177" s="7"/>
      <c r="BJ177" s="24">
        <f>EXP(-$D$17)*(($B177*FixedParams!$B$30)^$B$10*(1+FixedParams!$C$24)^(1-$B$10)+(1-$B177)^$B$10*((1+FixedParams!$C$27)/$BK$12)^(1-$B$10))^(1/(1-$B$10))</f>
        <v>6.8255214413335201</v>
      </c>
      <c r="BK177" s="24">
        <f>EXP($D177-$D$17)*(($B177*FixedParams!$C$31)^$B$10*(1+FixedParams!$C$25)^(1-$B$10)+(1-$B177)^$B$10*((1+FixedParams!$C$28)/$BK$12)^(1-$B$10))^(1/(1-$B$10))</f>
        <v>7.022017037093363</v>
      </c>
      <c r="BL177" s="24">
        <f>EXP($D177-$D$17)*(($B177*FixedParams!$C$30)^$B$10*(1+FixedParams!$C$23)^(1-$B$10)+(1-$B177)^$B$10*((1+FixedParams!$C$26)/$BK$12)^(1-$B$10))^(1/(1-$B$10))</f>
        <v>6.6805974905497392</v>
      </c>
      <c r="BM177">
        <f>IF(FixedParams!$I$6=1,IF(BK177&lt;=MIN(BJ177:BL177),1,0),$H177)</f>
        <v>0</v>
      </c>
      <c r="BN177">
        <f>IF(FixedParams!$I$6=1,IF(BL177&lt;=MIN(BJ177:BL177),1,0),IF(BL177&lt;=BJ177,1,0)*(1-$H177))</f>
        <v>1</v>
      </c>
      <c r="BO177" s="24">
        <f>$BK$13*IF(BM177=1,1,IF(BN177=1,FixedParams!$C$52,FixedParams!$C$53))</f>
        <v>0.33006170822567266</v>
      </c>
      <c r="BP177">
        <f>EXP($C177*FixedParams!$B$47)*EXP(IF(BM177+BN177=1,(1-FixedParams!$B$47)*$D177,0))*($B177^((FixedParams!$B$47-1)*$B$10/($B$10-1)))*((1/$B177-1)^$B$10*(BO177)^($B$10-1)+1)^((FixedParams!$B$47-$B$10)/($B$10-1))/((1+IF(BM177=1,FixedParams!$C$25,IF(BN177=1,FixedParams!$C$23,FixedParams!$C$24)))^FixedParams!$B$47)</f>
        <v>5.5124423937372109E-2</v>
      </c>
      <c r="BQ177">
        <f t="shared" si="124"/>
        <v>1.5858057702271078</v>
      </c>
      <c r="BR177">
        <f t="shared" si="125"/>
        <v>40.444642269938967</v>
      </c>
      <c r="BS177">
        <f t="shared" si="101"/>
        <v>15.133949211387069</v>
      </c>
      <c r="BT177">
        <f t="shared" si="126"/>
        <v>55.578591481326036</v>
      </c>
      <c r="BU177" s="24">
        <f t="shared" si="127"/>
        <v>0.3741892216620144</v>
      </c>
      <c r="BV177" s="24">
        <f t="shared" si="128"/>
        <v>2.1217990479348754</v>
      </c>
      <c r="BW177" s="23">
        <f>IF(BM177=1,BR177*(1+FixedParams!$C$25)+BS177*(1+FixedParams!$C$28)/$BK$12,IF(BN177=1,BR177*(1+FixedParams!$C$23)+BS177*(1+FixedParams!$C$26)/$BK$12,BR177*(1+FixedParams!$C$24)+BS177*(1+FixedParams!$C$27)/$BK$12))</f>
        <v>99.734453807071674</v>
      </c>
      <c r="BX177" s="24">
        <f t="shared" si="129"/>
        <v>14.928972138817578</v>
      </c>
      <c r="BY177" s="24">
        <f>BX177^((FixedParams!$B$47-1)/FixedParams!$B$47)*EXP($C177)</f>
        <v>0.13507594022500705</v>
      </c>
      <c r="BZ177" s="24">
        <f t="shared" si="130"/>
        <v>0.12382643878944698</v>
      </c>
      <c r="CA177" s="24">
        <f t="shared" si="131"/>
        <v>-0.10105947510913389</v>
      </c>
      <c r="CB177" s="24">
        <f t="shared" si="132"/>
        <v>-8.3731019189726641E-2</v>
      </c>
      <c r="CC177" s="24"/>
      <c r="CD177" s="24">
        <f>EXP(-$D$17)*(($B177*FixedParams!$B$30)^$B$10*(1+FixedParams!$D$24)^(1-$B$10)+(1-$B177)^$B$10*((1+FixedParams!$D$27)/$CE$12)^(1-$B$10))^(1/(1-$B$10))</f>
        <v>6.2688307433080688</v>
      </c>
      <c r="CE177" s="24">
        <f>EXP($D177-$D$17)*(($B177*FixedParams!$D$31)^$B$10*(1+FixedParams!$D$25)^(1-$B$10)+(1-$B177)^$B$10*((1+FixedParams!$D$28)/$CE$12)^(1-$B$10))^(1/(1-$B$10))</f>
        <v>6.7428239700370085</v>
      </c>
      <c r="CF177" s="24">
        <f>EXP($D177-$D$17)*(($B177*FixedParams!$D$30)^$B$10*(1+FixedParams!$D$23)^(1-$B$10)+(1-$B177)^$B$10*((1+FixedParams!$D$26)/$CE$12)^(1-$B$10))^(1/(1-$B$10))</f>
        <v>6.4548634843455623</v>
      </c>
      <c r="CG177">
        <f>IF(FixedParams!$I$6=1,IF(CE177&lt;=MIN(CD177:CF177),1,0),$H177)</f>
        <v>0</v>
      </c>
      <c r="CH177">
        <f>IF(FixedParams!$I$6=1,IF(CF177&lt;=MIN(CD177:CF177),1,0),IF(CF177&lt;=CD177,1,0)*(1-$H177))</f>
        <v>0</v>
      </c>
      <c r="CI177" s="24">
        <f>$CE$13*IF(CG177=1,1,IF(CH177=1,FixedParams!$D$52,FixedParams!$D$53))</f>
        <v>0.42008589776177102</v>
      </c>
      <c r="CJ177">
        <f>EXP($C177*FixedParams!$B$47)*EXP(IF(CG177+CH177=1,(1-FixedParams!$B$47)*$D177,0))*($B177^((FixedParams!$B$47-1)*$B$10/($B$10-1)))*((1/$B177-1)^$B$10*(CI177)^($B$10-1)+1)^((FixedParams!$B$47-$B$10)/($B$10-1))/((1+IF(CG177=1,FixedParams!$D$25,IF(CH177=1,FixedParams!$D$23,FixedParams!$D$24)))^FixedParams!$B$47)</f>
        <v>4.0956389199785587E-2</v>
      </c>
      <c r="CK177">
        <f t="shared" si="133"/>
        <v>1.0783964797633658</v>
      </c>
      <c r="CL177">
        <f t="shared" si="135"/>
        <v>29.462095696249659</v>
      </c>
      <c r="CM177">
        <f t="shared" si="102"/>
        <v>15.829578424951581</v>
      </c>
      <c r="CN177">
        <f t="shared" si="136"/>
        <v>45.29167412120124</v>
      </c>
      <c r="CO177" s="24">
        <f t="shared" si="137"/>
        <v>0.53728623340825643</v>
      </c>
      <c r="CP177" s="24">
        <f t="shared" si="138"/>
        <v>2.0252834267960527</v>
      </c>
      <c r="CQ177" s="23">
        <f>IF(CG177=1,CL177*(1+FixedParams!$D$25)+CM177*(1+FixedParams!$D$28)/$CE$12,IF(CH177=1,CL177*(1+FixedParams!$D$23)+CM177*(1+FixedParams!$D$26)/$CE$12,CL177*(1+FixedParams!$D$24)+CM177*(1+FixedParams!$D$27)/$CE$12))</f>
        <v>97.778332114974774</v>
      </c>
      <c r="CR177" s="24">
        <f t="shared" si="139"/>
        <v>15.597539017838763</v>
      </c>
      <c r="CS177" s="24">
        <f>CR177^((FixedParams!$B$47-1)/FixedParams!$B$47)*EXP($C177)</f>
        <v>0.1350700168378092</v>
      </c>
      <c r="CT177" s="24"/>
    </row>
    <row r="178" spans="1:98" x14ac:dyDescent="0.15">
      <c r="A178">
        <v>0.80500000000000005</v>
      </c>
      <c r="B178">
        <f t="shared" si="103"/>
        <v>0.39135197827199292</v>
      </c>
      <c r="C178">
        <f>(D178-$D$17)*FixedParams!$B$47+$A178*$B$9</f>
        <v>-2.0117072045446696</v>
      </c>
      <c r="D178">
        <f>(A178-$B$6)*FixedParams!$B$46/(FixedParams!$B$45*Sectors!$B$6)</f>
        <v>0.16572218611730649</v>
      </c>
      <c r="E178">
        <f t="shared" si="104"/>
        <v>0.13376012374157717</v>
      </c>
      <c r="F178" s="24">
        <f>EXP(-$D$17)*(($B178*FixedParams!$B$30)^$B$10*(1+FixedParams!$B$23)^(1-$B$10)+(1-$B178)^$B$10*((1+FixedParams!$B$26)/$B$11)^(1-$B$10))^(1/(1-$B$10))</f>
        <v>4.8129157620243772</v>
      </c>
      <c r="G178" s="24">
        <f>EXP($D178-$D$17)*(($B178*FixedParams!$B$31)^$B$10*(1+FixedParams!$B$25)^(1-$B$10)+(1-$B178)^$B$10*((1+FixedParams!$B$28)/$B$11)^(1-$B$10))^(1/(1-$B$10))</f>
        <v>5.4111609049414406</v>
      </c>
      <c r="H178">
        <f t="shared" si="105"/>
        <v>0</v>
      </c>
      <c r="I178" s="24">
        <f>$B$12*IF(H178=1,1,FixedParams!$B$52)</f>
        <v>0.39101505882574561</v>
      </c>
      <c r="J178">
        <f>EXP($C178*FixedParams!$B$47)*EXP(IF(H178=1,(1-FixedParams!$B$47)*$D178,0))*($B178^((FixedParams!$B$47-1)*$B$10/($B$10-1)))*((1/$B178-1)^$B$10*(I178)^($B$10-1)+1)^((FixedParams!$B$47-$B$10)/($B$10-1))/((1+IF(H178=1,FixedParams!$B$25,FixedParams!$B$24))^FixedParams!$B$47)</f>
        <v>5.6338529022993161E-2</v>
      </c>
      <c r="K178">
        <f t="shared" si="134"/>
        <v>1.1359302346482727</v>
      </c>
      <c r="L178">
        <f>K178*FixedParams!$B$8/K$15</f>
        <v>33.025046710924798</v>
      </c>
      <c r="M178">
        <f t="shared" si="94"/>
        <v>15.661439871856723</v>
      </c>
      <c r="N178">
        <f t="shared" si="106"/>
        <v>48.686486582781519</v>
      </c>
      <c r="O178" s="24">
        <f t="shared" si="107"/>
        <v>0.47422915125433768</v>
      </c>
      <c r="P178" s="24">
        <f t="shared" si="95"/>
        <v>1.8819225398113202</v>
      </c>
      <c r="Q178" s="23">
        <f>IF(H178=1,L178*(1+FixedParams!$B$25)+M178*FixedParams!$B$33*(1+FixedParams!$B$28)/FixedParams!$B$32,L178*(1+FixedParams!$B$23)+M178*FixedParams!$B$33*(1+FixedParams!$B$26)/FixedParams!$B$32)</f>
        <v>78.668830367759938</v>
      </c>
      <c r="R178" s="24">
        <f t="shared" si="96"/>
        <v>16.345357836612283</v>
      </c>
      <c r="S178" s="24">
        <f>R178^((FixedParams!$B$47-1)/FixedParams!$B$47)*EXP($C178)</f>
        <v>0.13338655399538801</v>
      </c>
      <c r="T178" s="7">
        <f>(L178*FixedParams!$B$32*(FixedParams!$C$25-FixedParams!$C$23)+FixedParams!$B$33*(FixedParams!$C$28-FixedParams!$C$26)*M178)/N178</f>
        <v>3237.6417858689983</v>
      </c>
      <c r="U178" s="7">
        <f>(L178*FixedParams!$B$32*(FixedParams!$C$25-FixedParams!$C$23)*$Z$12/$B$11+FixedParams!$B$33*(FixedParams!$C$28-FixedParams!$C$26)*M178)/N178</f>
        <v>2556.3816954144613</v>
      </c>
      <c r="V178" s="14">
        <f t="shared" si="97"/>
        <v>-0.19294457347517982</v>
      </c>
      <c r="W178" s="14">
        <f t="shared" ref="W178:W209" si="140">N178/(N$15*COUNT($N$17:$N$217))+W177</f>
        <v>0.92143565423992613</v>
      </c>
      <c r="X178" s="73">
        <f t="shared" si="109"/>
        <v>0.87396806697231411</v>
      </c>
      <c r="Y178" s="24">
        <f>EXP(-$D$17)*(($B178*FixedParams!$B$30)^$B$10*(1+FixedParams!$C$24)^(1-$B$10)+(1-$B178)^$B$10*((1+FixedParams!$C$27)/$Z$12)^(1-$B$10))^(1/(1-$B$10))</f>
        <v>6.6231972015058576</v>
      </c>
      <c r="Z178" s="24">
        <f>EXP($D178-$D$17)*(($B178*FixedParams!$C$31)^$B$10*(1+FixedParams!$C$25)^(1-$B$10)+(1-$B178)^$B$10*((1+FixedParams!$C$28)/$Z$12)^(1-$B$10))^(1/(1-$B$10))</f>
        <v>6.8337624506219541</v>
      </c>
      <c r="AA178" s="24">
        <f>EXP($D178-$D$17)*(($B178*FixedParams!$C$30)^$B$10*(1+FixedParams!$C$23)^(1-$B$10)+(1-$B178)^$B$10*((1+FixedParams!$C$26)/$Z$12)^(1-$B$10))^(1/(1-$B$10))</f>
        <v>6.5042730591200497</v>
      </c>
      <c r="AB178">
        <f>IF(FixedParams!$I$6=1,IF(Z178&lt;=MIN(Y178:AA178),1,0),$H178)</f>
        <v>0</v>
      </c>
      <c r="AC178">
        <f>IF(FixedParams!$I$6=1,IF(AA178&lt;=MIN(Y178:AA178),1,0),IF(AA178&lt;=Y178,1,0)*(1-$H178))</f>
        <v>1</v>
      </c>
      <c r="AD178" s="24">
        <f>$Z$13*IF(AB178=1,1,IF(AC178=1,FixedParams!$C$52,FixedParams!$C$53))</f>
        <v>0.34709202255780691</v>
      </c>
      <c r="AE178">
        <f>EXP($C178*FixedParams!$B$47)*EXP(IF(AB178+AC178=1,(1-FixedParams!$B$47)*$D178,0))*($B178^((FixedParams!$B$47-1)*$B$10/($B$10-1)))*((1/$B178-1)^$B$10*(AD178)^($B$10-1)+1)^((FixedParams!$B$47-$B$10)/($B$10-1))/((1+IF(AB178=1,FixedParams!$C$25,IF(AC178=1,FixedParams!$C$23,FixedParams!$C$24)))^FixedParams!$B$47)</f>
        <v>5.4211146052430402E-2</v>
      </c>
      <c r="AF178">
        <f t="shared" si="110"/>
        <v>1.5974496557547488</v>
      </c>
      <c r="AG178">
        <f t="shared" si="111"/>
        <v>37.521639331697337</v>
      </c>
      <c r="AH178">
        <f t="shared" si="98"/>
        <v>14.881502260468277</v>
      </c>
      <c r="AI178">
        <f t="shared" si="112"/>
        <v>52.403141592165611</v>
      </c>
      <c r="AJ178" s="24">
        <f t="shared" si="113"/>
        <v>0.396611196246342</v>
      </c>
      <c r="AK178" s="24">
        <f t="shared" si="114"/>
        <v>2.1723870165114287</v>
      </c>
      <c r="AL178" s="23">
        <f>IF(AB178=1,AG178*(1+FixedParams!$C$25)+AH178*(1+FixedParams!$C$28)/$Z$12,IF(AC178=1,AG178*(1+FixedParams!$C$23)+AH178*(1+FixedParams!$C$26)/$Z$12,AG178*(1+FixedParams!$C$24)+AH178*(1+FixedParams!$C$27)/$Z$12))</f>
        <v>92.915627171121173</v>
      </c>
      <c r="AM178" s="24">
        <f t="shared" si="115"/>
        <v>14.285320792434803</v>
      </c>
      <c r="AN178" s="24">
        <f>AM178^((FixedParams!$B$47-1)/FixedParams!$B$47)*EXP($C178)</f>
        <v>0.13340454188969328</v>
      </c>
      <c r="AO178" s="24">
        <f t="shared" si="116"/>
        <v>7.3565034895508807E-2</v>
      </c>
      <c r="AP178" s="24">
        <f t="shared" si="117"/>
        <v>-0.13471144063903059</v>
      </c>
      <c r="AQ178" s="14">
        <f t="shared" si="118"/>
        <v>-0.13336650678292034</v>
      </c>
      <c r="AS178" s="24">
        <f>EXP(-$D$17)*(($B178*FixedParams!$B$30)^$B$10*(1+FixedParams!$D$24)^(1-$B$10)+(1-$B178)^$B$10*((1+FixedParams!$D$27)/$AT$12)^(1-$B$10))^(1/(1-$B$10))</f>
        <v>6.0952068864612103</v>
      </c>
      <c r="AT178" s="24">
        <f>EXP($D178-$D$17)*(($B178*FixedParams!$C$31)^$B$10*(1+FixedParams!$D$25)^(1-$B$10)+(1-$B178)^$B$10*((1+FixedParams!$D$28)/$AT$12)^(1-$B$10))^(1/(1-$B$10))</f>
        <v>6.574607774618495</v>
      </c>
      <c r="AU178" s="24">
        <f>EXP($D178-$D$17)*(($B178*FixedParams!$C$30)^$B$10*(1+FixedParams!$D$23)^(1-$B$10)+(1-$B178)^$B$10*((1+FixedParams!$D$26)/$AT$12)^(1-$B$10))^(1/(1-$B$10))</f>
        <v>6.2955300678421118</v>
      </c>
      <c r="AV178">
        <f>IF(FixedParams!$I$6=1,IF(AT178&lt;=MIN(AS178:AU178),1,0),$H178)</f>
        <v>0</v>
      </c>
      <c r="AW178">
        <f>IF(FixedParams!$I$6=1,IF(AU178&lt;=MIN(AS178:AU178),1,0),IF(AU178&lt;=AS178,1,0)*(1-$H178))</f>
        <v>0</v>
      </c>
      <c r="AX178" s="24">
        <f>$AT$13*IF(AV178=1,1,IF(AW178=1,FixedParams!$D$52,FixedParams!$D$53))</f>
        <v>0.44031288407969205</v>
      </c>
      <c r="AY178">
        <f>EXP($C178*FixedParams!$B$47)*EXP(IF(AV178+AW178=1,(1-FixedParams!$B$47)*$D178,0))*($B178^((FixedParams!$B$47-1)*$B$10/($B$10-1)))*((1/$B178-1)^$B$10*(AX178)^($B$10-1)+1)^((FixedParams!$B$47-$B$10)/($B$10-1))/((1+IF(AV178=1,FixedParams!$D$25,IF(AW178=1,FixedParams!$D$23,FixedParams!$D$24)))^FixedParams!$B$47)</f>
        <v>4.0305541907520219E-2</v>
      </c>
      <c r="AZ178">
        <f t="shared" si="99"/>
        <v>1.0853307399865042</v>
      </c>
      <c r="BA178">
        <f t="shared" si="119"/>
        <v>27.306776262800312</v>
      </c>
      <c r="BB178">
        <f t="shared" si="100"/>
        <v>15.474283326134055</v>
      </c>
      <c r="BC178">
        <f t="shared" si="120"/>
        <v>42.781059588934369</v>
      </c>
      <c r="BD178" s="24">
        <f t="shared" si="121"/>
        <v>0.56668290600141191</v>
      </c>
      <c r="BE178" s="24">
        <f t="shared" si="122"/>
        <v>2.0640062448258156</v>
      </c>
      <c r="BF178" s="23">
        <f>IF(AV178=1,BA178*(1+FixedParams!$C$25)+BB178*(1+FixedParams!$C$28)/$AT$12,IF(AW178=1,BA178*(1+FixedParams!$C$23)+BB178*(1+FixedParams!$C$26)/$AT$12,BA178*(1+FixedParams!$C$24)+BB178*(1+FixedParams!$C$27)/$AT$12))</f>
        <v>98.214071022216473</v>
      </c>
      <c r="BG178" s="24">
        <f t="shared" si="123"/>
        <v>16.113328530385317</v>
      </c>
      <c r="BH178" s="24">
        <f>BG178^((FixedParams!$B$47-1)/FixedParams!$B$47)*EXP($C178)</f>
        <v>0.13338846296479109</v>
      </c>
      <c r="BI178" s="7"/>
      <c r="BJ178" s="24">
        <f>EXP(-$D$17)*(($B178*FixedParams!$B$30)^$B$10*(1+FixedParams!$C$24)^(1-$B$10)+(1-$B178)^$B$10*((1+FixedParams!$C$27)/$BK$12)^(1-$B$10))^(1/(1-$B$10))</f>
        <v>6.8158359403666884</v>
      </c>
      <c r="BK178" s="24">
        <f>EXP($D178-$D$17)*(($B178*FixedParams!$C$31)^$B$10*(1+FixedParams!$C$25)^(1-$B$10)+(1-$B178)^$B$10*((1+FixedParams!$C$28)/$BK$12)^(1-$B$10))^(1/(1-$B$10))</f>
        <v>7.0280648086246504</v>
      </c>
      <c r="BL178" s="24">
        <f>EXP($D178-$D$17)*(($B178*FixedParams!$C$30)^$B$10*(1+FixedParams!$C$23)^(1-$B$10)+(1-$B178)^$B$10*((1+FixedParams!$C$26)/$BK$12)^(1-$B$10))^(1/(1-$B$10))</f>
        <v>6.6800927772110841</v>
      </c>
      <c r="BM178">
        <f>IF(FixedParams!$I$6=1,IF(BK178&lt;=MIN(BJ178:BL178),1,0),$H178)</f>
        <v>0</v>
      </c>
      <c r="BN178">
        <f>IF(FixedParams!$I$6=1,IF(BL178&lt;=MIN(BJ178:BL178),1,0),IF(BL178&lt;=BJ178,1,0)*(1-$H178))</f>
        <v>1</v>
      </c>
      <c r="BO178" s="24">
        <f>$BK$13*IF(BM178=1,1,IF(BN178=1,FixedParams!$C$52,FixedParams!$C$53))</f>
        <v>0.33006170822567266</v>
      </c>
      <c r="BP178">
        <f>EXP($C178*FixedParams!$B$47)*EXP(IF(BM178+BN178=1,(1-FixedParams!$B$47)*$D178,0))*($B178^((FixedParams!$B$47-1)*$B$10/($B$10-1)))*((1/$B178-1)^$B$10*(BO178)^($B$10-1)+1)^((FixedParams!$B$47-$B$10)/($B$10-1))/((1+IF(BM178=1,FixedParams!$C$25,IF(BN178=1,FixedParams!$C$23,FixedParams!$C$24)))^FixedParams!$B$47)</f>
        <v>5.4940427802838081E-2</v>
      </c>
      <c r="BQ178">
        <f t="shared" si="124"/>
        <v>1.5805126150156348</v>
      </c>
      <c r="BR178">
        <f t="shared" si="125"/>
        <v>40.309644798605113</v>
      </c>
      <c r="BS178">
        <f t="shared" si="101"/>
        <v>14.825170872853315</v>
      </c>
      <c r="BT178">
        <f t="shared" si="126"/>
        <v>55.134815671458426</v>
      </c>
      <c r="BU178" s="24">
        <f t="shared" si="127"/>
        <v>0.3677822254927518</v>
      </c>
      <c r="BV178" s="24">
        <f t="shared" si="128"/>
        <v>2.1216387478594778</v>
      </c>
      <c r="BW178" s="23">
        <f>IF(BM178=1,BR178*(1+FixedParams!$C$25)+BS178*(1+FixedParams!$C$28)/$BK$12,IF(BN178=1,BR178*(1+FixedParams!$C$23)+BS178*(1+FixedParams!$C$26)/$BK$12,BR178*(1+FixedParams!$C$24)+BS178*(1+FixedParams!$C$27)/$BK$12))</f>
        <v>98.497240817918424</v>
      </c>
      <c r="BX178" s="24">
        <f t="shared" si="129"/>
        <v>14.744891141922235</v>
      </c>
      <c r="BY178" s="24">
        <f>BX178^((FixedParams!$B$47-1)/FixedParams!$B$47)*EXP($C178)</f>
        <v>0.13340031358457108</v>
      </c>
      <c r="BZ178" s="24">
        <f t="shared" si="130"/>
        <v>0.12437987129983717</v>
      </c>
      <c r="CA178" s="24">
        <f t="shared" si="131"/>
        <v>-0.10304727313417618</v>
      </c>
      <c r="CB178" s="24">
        <f t="shared" si="132"/>
        <v>-8.5718817214768928E-2</v>
      </c>
      <c r="CC178" s="24"/>
      <c r="CD178" s="24">
        <f>EXP(-$D$17)*(($B178*FixedParams!$B$30)^$B$10*(1+FixedParams!$D$24)^(1-$B$10)+(1-$B178)^$B$10*((1+FixedParams!$D$27)/$CE$12)^(1-$B$10))^(1/(1-$B$10))</f>
        <v>6.2578109534159028</v>
      </c>
      <c r="CE178" s="24">
        <f>EXP($D178-$D$17)*(($B178*FixedParams!$D$31)^$B$10*(1+FixedParams!$D$25)^(1-$B$10)+(1-$B178)^$B$10*((1+FixedParams!$D$28)/$CE$12)^(1-$B$10))^(1/(1-$B$10))</f>
        <v>6.7472915054990352</v>
      </c>
      <c r="CF178" s="24">
        <f>EXP($D178-$D$17)*(($B178*FixedParams!$D$30)^$B$10*(1+FixedParams!$D$23)^(1-$B$10)+(1-$B178)^$B$10*((1+FixedParams!$D$26)/$CE$12)^(1-$B$10))^(1/(1-$B$10))</f>
        <v>6.4543144118167195</v>
      </c>
      <c r="CG178">
        <f>IF(FixedParams!$I$6=1,IF(CE178&lt;=MIN(CD178:CF178),1,0),$H178)</f>
        <v>0</v>
      </c>
      <c r="CH178">
        <f>IF(FixedParams!$I$6=1,IF(CF178&lt;=MIN(CD178:CF178),1,0),IF(CF178&lt;=CD178,1,0)*(1-$H178))</f>
        <v>0</v>
      </c>
      <c r="CI178" s="24">
        <f>$CE$13*IF(CG178=1,1,IF(CH178=1,FixedParams!$D$52,FixedParams!$D$53))</f>
        <v>0.42008589776177102</v>
      </c>
      <c r="CJ178">
        <f>EXP($C178*FixedParams!$B$47)*EXP(IF(CG178+CH178=1,(1-FixedParams!$B$47)*$D178,0))*($B178^((FixedParams!$B$47-1)*$B$10/($B$10-1)))*((1/$B178-1)^$B$10*(CI178)^($B$10-1)+1)^((FixedParams!$B$47-$B$10)/($B$10-1))/((1+IF(CG178=1,FixedParams!$D$25,IF(CH178=1,FixedParams!$D$23,FixedParams!$D$24)))^FixedParams!$B$47)</f>
        <v>4.0840701443350065E-2</v>
      </c>
      <c r="CK178">
        <f t="shared" si="133"/>
        <v>1.075350379466701</v>
      </c>
      <c r="CL178">
        <f t="shared" si="135"/>
        <v>29.378875377818719</v>
      </c>
      <c r="CM178">
        <f t="shared" si="102"/>
        <v>15.514591417059442</v>
      </c>
      <c r="CN178">
        <f t="shared" si="136"/>
        <v>44.893466794878165</v>
      </c>
      <c r="CO178" s="24">
        <f t="shared" si="137"/>
        <v>0.52808663427508462</v>
      </c>
      <c r="CP178" s="24">
        <f t="shared" si="138"/>
        <v>2.0217232416914852</v>
      </c>
      <c r="CQ178" s="23">
        <f>IF(CG178=1,CL178*(1+FixedParams!$D$25)+CM178*(1+FixedParams!$D$28)/$CE$12,IF(CH178=1,CL178*(1+FixedParams!$D$23)+CM178*(1+FixedParams!$D$26)/$CE$12,CL178*(1+FixedParams!$D$24)+CM178*(1+FixedParams!$D$27)/$CE$12))</f>
        <v>96.565222351534402</v>
      </c>
      <c r="CR178" s="24">
        <f t="shared" si="139"/>
        <v>15.431150456666176</v>
      </c>
      <c r="CS178" s="24">
        <f>CR178^((FixedParams!$B$47-1)/FixedParams!$B$47)*EXP($C178)</f>
        <v>0.13339423905934047</v>
      </c>
      <c r="CT178" s="24"/>
    </row>
    <row r="179" spans="1:98" x14ac:dyDescent="0.15">
      <c r="A179">
        <v>0.81</v>
      </c>
      <c r="B179">
        <f t="shared" si="103"/>
        <v>0.39409790766853869</v>
      </c>
      <c r="C179">
        <f>(D179-$D$17)*FixedParams!$B$47+$A179*$B$9</f>
        <v>-2.0242022803492943</v>
      </c>
      <c r="D179">
        <f>(A179-$B$6)*FixedParams!$B$46/(FixedParams!$B$45*Sectors!$B$6)</f>
        <v>0.16843894326677056</v>
      </c>
      <c r="E179">
        <f t="shared" si="104"/>
        <v>0.13209917927906231</v>
      </c>
      <c r="F179" s="24">
        <f>EXP(-$D$17)*(($B179*FixedParams!$B$30)^$B$10*(1+FixedParams!$B$23)^(1-$B$10)+(1-$B179)^$B$10*((1+FixedParams!$B$26)/$B$11)^(1-$B$10))^(1/(1-$B$10))</f>
        <v>4.8027310360249365</v>
      </c>
      <c r="G179" s="24">
        <f>EXP($D179-$D$17)*(($B179*FixedParams!$B$31)^$B$10*(1+FixedParams!$B$25)^(1-$B$10)+(1-$B179)^$B$10*((1+FixedParams!$B$28)/$B$11)^(1-$B$10))^(1/(1-$B$10))</f>
        <v>5.4134044440242652</v>
      </c>
      <c r="H179">
        <f t="shared" si="105"/>
        <v>0</v>
      </c>
      <c r="I179" s="24">
        <f>$B$12*IF(H179=1,1,FixedParams!$B$52)</f>
        <v>0.39101505882574561</v>
      </c>
      <c r="J179">
        <f>EXP($C179*FixedParams!$B$47)*EXP(IF(H179=1,(1-FixedParams!$B$47)*$D179,0))*($B179^((FixedParams!$B$47-1)*$B$10/($B$10-1)))*((1/$B179-1)^$B$10*(I179)^($B$10-1)+1)^((FixedParams!$B$47-$B$10)/($B$10-1))/((1+IF(H179=1,FixedParams!$B$25,FixedParams!$B$24))^FixedParams!$B$47)</f>
        <v>5.6166629577864884E-2</v>
      </c>
      <c r="K179">
        <f t="shared" si="134"/>
        <v>1.13246429791853</v>
      </c>
      <c r="L179">
        <f>K179*FixedParams!$B$8/K$15</f>
        <v>32.924281083859405</v>
      </c>
      <c r="M179">
        <f t="shared" si="94"/>
        <v>15.346311538233911</v>
      </c>
      <c r="N179">
        <f t="shared" si="106"/>
        <v>48.270592622093318</v>
      </c>
      <c r="O179" s="24">
        <f t="shared" si="107"/>
        <v>0.46610923710517072</v>
      </c>
      <c r="P179" s="24">
        <f t="shared" si="95"/>
        <v>1.8779401585755247</v>
      </c>
      <c r="Q179" s="23">
        <f>IF(H179=1,L179*(1+FixedParams!$B$25)+M179*FixedParams!$B$33*(1+FixedParams!$B$28)/FixedParams!$B$32,L179*(1+FixedParams!$B$23)+M179*FixedParams!$B$33*(1+FixedParams!$B$26)/FixedParams!$B$32)</f>
        <v>77.692779222769104</v>
      </c>
      <c r="R179" s="24">
        <f t="shared" si="96"/>
        <v>16.176791629595996</v>
      </c>
      <c r="S179" s="24">
        <f>R179^((FixedParams!$B$47-1)/FixedParams!$B$47)*EXP($C179)</f>
        <v>0.13173161520775178</v>
      </c>
      <c r="T179" s="7">
        <f>(L179*FixedParams!$B$32*(FixedParams!$C$25-FixedParams!$C$23)+FixedParams!$B$33*(FixedParams!$C$28-FixedParams!$C$26)*M179)/N179</f>
        <v>3280.2626488990077</v>
      </c>
      <c r="U179" s="7">
        <f>(L179*FixedParams!$B$32*(FixedParams!$C$25-FixedParams!$C$23)*$Z$12/$B$11+FixedParams!$B$33*(FixedParams!$C$28-FixedParams!$C$26)*M179)/N179</f>
        <v>2595.2294607054064</v>
      </c>
      <c r="V179" s="14">
        <f t="shared" si="97"/>
        <v>-0.17567394817909629</v>
      </c>
      <c r="W179" s="14">
        <f t="shared" si="140"/>
        <v>0.92380322408068982</v>
      </c>
      <c r="X179" s="73">
        <f t="shared" si="109"/>
        <v>0.87204468142154168</v>
      </c>
      <c r="Y179" s="24">
        <f>EXP(-$D$17)*(($B179*FixedParams!$B$30)^$B$10*(1+FixedParams!$C$24)^(1-$B$10)+(1-$B179)^$B$10*((1+FixedParams!$C$27)/$Z$12)^(1-$B$10))^(1/(1-$B$10))</f>
        <v>6.6148669167141829</v>
      </c>
      <c r="Z179" s="24">
        <f>EXP($D179-$D$17)*(($B179*FixedParams!$C$31)^$B$10*(1+FixedParams!$C$25)^(1-$B$10)+(1-$B179)^$B$10*((1+FixedParams!$C$28)/$Z$12)^(1-$B$10))^(1/(1-$B$10))</f>
        <v>6.8407556632146491</v>
      </c>
      <c r="AA179" s="24">
        <f>EXP($D179-$D$17)*(($B179*FixedParams!$C$30)^$B$10*(1+FixedParams!$C$23)^(1-$B$10)+(1-$B179)^$B$10*((1+FixedParams!$C$26)/$Z$12)^(1-$B$10))^(1/(1-$B$10))</f>
        <v>6.5048390525894497</v>
      </c>
      <c r="AB179">
        <f>IF(FixedParams!$I$6=1,IF(Z179&lt;=MIN(Y179:AA179),1,0),$H179)</f>
        <v>0</v>
      </c>
      <c r="AC179">
        <f>IF(FixedParams!$I$6=1,IF(AA179&lt;=MIN(Y179:AA179),1,0),IF(AA179&lt;=Y179,1,0)*(1-$H179))</f>
        <v>1</v>
      </c>
      <c r="AD179" s="24">
        <f>$Z$13*IF(AB179=1,1,IF(AC179=1,FixedParams!$C$52,FixedParams!$C$53))</f>
        <v>0.34709202255780691</v>
      </c>
      <c r="AE179">
        <f>EXP($C179*FixedParams!$B$47)*EXP(IF(AB179+AC179=1,(1-FixedParams!$B$47)*$D179,0))*($B179^((FixedParams!$B$47-1)*$B$10/($B$10-1)))*((1/$B179-1)^$B$10*(AD179)^($B$10-1)+1)^((FixedParams!$B$47-$B$10)/($B$10-1))/((1+IF(AB179=1,FixedParams!$C$25,IF(AC179=1,FixedParams!$C$23,FixedParams!$C$24)))^FixedParams!$B$47)</f>
        <v>5.4032039728815373E-2</v>
      </c>
      <c r="AF179">
        <f t="shared" si="110"/>
        <v>1.5921718972892553</v>
      </c>
      <c r="AG179">
        <f t="shared" si="111"/>
        <v>37.397672889995306</v>
      </c>
      <c r="AH179">
        <f t="shared" si="98"/>
        <v>14.578371442210791</v>
      </c>
      <c r="AI179">
        <f t="shared" si="112"/>
        <v>51.976044332206101</v>
      </c>
      <c r="AJ179" s="24">
        <f t="shared" si="113"/>
        <v>0.38982028333936319</v>
      </c>
      <c r="AK179" s="24">
        <f t="shared" si="114"/>
        <v>2.1725760548333408</v>
      </c>
      <c r="AL179" s="23">
        <f>IF(AB179=1,AG179*(1+FixedParams!$C$25)+AH179*(1+FixedParams!$C$28)/$Z$12,IF(AC179=1,AG179*(1+FixedParams!$C$23)+AH179*(1+FixedParams!$C$26)/$Z$12,AG179*(1+FixedParams!$C$24)+AH179*(1+FixedParams!$C$27)/$Z$12))</f>
        <v>91.763017128736067</v>
      </c>
      <c r="AM179" s="24">
        <f t="shared" si="115"/>
        <v>14.106885103053703</v>
      </c>
      <c r="AN179" s="24">
        <f>AM179^((FixedParams!$B$47-1)/FixedParams!$B$47)*EXP($C179)</f>
        <v>0.13174967048255454</v>
      </c>
      <c r="AO179" s="24">
        <f t="shared" si="116"/>
        <v>7.3960399682748368E-2</v>
      </c>
      <c r="AP179" s="24">
        <f t="shared" si="117"/>
        <v>-0.13691461622357126</v>
      </c>
      <c r="AQ179" s="14">
        <f t="shared" si="118"/>
        <v>-0.11609588148683685</v>
      </c>
      <c r="AS179" s="24">
        <f>EXP(-$D$17)*(($B179*FixedParams!$B$30)^$B$10*(1+FixedParams!$D$24)^(1-$B$10)+(1-$B179)^$B$10*((1+FixedParams!$D$27)/$AT$12)^(1-$B$10))^(1/(1-$B$10))</f>
        <v>6.0853920453415817</v>
      </c>
      <c r="AT179" s="24">
        <f>EXP($D179-$D$17)*(($B179*FixedParams!$C$31)^$B$10*(1+FixedParams!$D$25)^(1-$B$10)+(1-$B179)^$B$10*((1+FixedParams!$D$28)/$AT$12)^(1-$B$10))^(1/(1-$B$10))</f>
        <v>6.5799380632948754</v>
      </c>
      <c r="AU179" s="24">
        <f>EXP($D179-$D$17)*(($B179*FixedParams!$C$30)^$B$10*(1+FixedParams!$D$23)^(1-$B$10)+(1-$B179)^$B$10*((1+FixedParams!$D$26)/$AT$12)^(1-$B$10))^(1/(1-$B$10))</f>
        <v>6.2959290842028057</v>
      </c>
      <c r="AV179">
        <f>IF(FixedParams!$I$6=1,IF(AT179&lt;=MIN(AS179:AU179),1,0),$H179)</f>
        <v>0</v>
      </c>
      <c r="AW179">
        <f>IF(FixedParams!$I$6=1,IF(AU179&lt;=MIN(AS179:AU179),1,0),IF(AU179&lt;=AS179,1,0)*(1-$H179))</f>
        <v>0</v>
      </c>
      <c r="AX179" s="24">
        <f>$AT$13*IF(AV179=1,1,IF(AW179=1,FixedParams!$D$52,FixedParams!$D$53))</f>
        <v>0.44031288407969205</v>
      </c>
      <c r="AY179">
        <f>EXP($C179*FixedParams!$B$47)*EXP(IF(AV179+AW179=1,(1-FixedParams!$B$47)*$D179,0))*($B179^((FixedParams!$B$47-1)*$B$10/($B$10-1)))*((1/$B179-1)^$B$10*(AX179)^($B$10-1)+1)^((FixedParams!$B$47-$B$10)/($B$10-1))/((1+IF(AV179=1,FixedParams!$D$25,IF(AW179=1,FixedParams!$D$23,FixedParams!$D$24)))^FixedParams!$B$47)</f>
        <v>4.0192766294891005E-2</v>
      </c>
      <c r="AZ179">
        <f t="shared" si="99"/>
        <v>1.0822939655551336</v>
      </c>
      <c r="BA179">
        <f t="shared" si="119"/>
        <v>27.230371424253985</v>
      </c>
      <c r="BB179">
        <f t="shared" si="100"/>
        <v>15.166771376175127</v>
      </c>
      <c r="BC179">
        <f t="shared" si="120"/>
        <v>42.397142800429108</v>
      </c>
      <c r="BD179" s="24">
        <f t="shared" si="121"/>
        <v>0.55697996695947172</v>
      </c>
      <c r="BE179" s="24">
        <f t="shared" si="122"/>
        <v>2.060682667178618</v>
      </c>
      <c r="BF179" s="23">
        <f>IF(AV179=1,BA179*(1+FixedParams!$C$25)+BB179*(1+FixedParams!$C$28)/$AT$12,IF(AW179=1,BA179*(1+FixedParams!$C$23)+BB179*(1+FixedParams!$C$26)/$AT$12,BA179*(1+FixedParams!$C$24)+BB179*(1+FixedParams!$C$27)/$AT$12))</f>
        <v>97.035800955350481</v>
      </c>
      <c r="BG179" s="24">
        <f t="shared" si="123"/>
        <v>15.945694251470979</v>
      </c>
      <c r="BH179" s="24">
        <f>BG179^((FixedParams!$B$47-1)/FixedParams!$B$47)*EXP($C179)</f>
        <v>0.1317335125733245</v>
      </c>
      <c r="BI179" s="7"/>
      <c r="BJ179" s="24">
        <f>EXP(-$D$17)*(($B179*FixedParams!$B$30)^$B$10*(1+FixedParams!$C$24)^(1-$B$10)+(1-$B179)^$B$10*((1+FixedParams!$C$27)/$BK$12)^(1-$B$10))^(1/(1-$B$10))</f>
        <v>6.8058120094135734</v>
      </c>
      <c r="BK179" s="24">
        <f>EXP($D179-$D$17)*(($B179*FixedParams!$C$31)^$B$10*(1+FixedParams!$C$25)^(1-$B$10)+(1-$B179)^$B$10*((1+FixedParams!$C$28)/$BK$12)^(1-$B$10))^(1/(1-$B$10))</f>
        <v>7.0337474098418982</v>
      </c>
      <c r="BL179" s="24">
        <f>EXP($D179-$D$17)*(($B179*FixedParams!$C$30)^$B$10*(1+FixedParams!$C$23)^(1-$B$10)+(1-$B179)^$B$10*((1+FixedParams!$C$26)/$BK$12)^(1-$B$10))^(1/(1-$B$10))</f>
        <v>6.6792276150601637</v>
      </c>
      <c r="BM179">
        <f>IF(FixedParams!$I$6=1,IF(BK179&lt;=MIN(BJ179:BL179),1,0),$H179)</f>
        <v>0</v>
      </c>
      <c r="BN179">
        <f>IF(FixedParams!$I$6=1,IF(BL179&lt;=MIN(BJ179:BL179),1,0),IF(BL179&lt;=BJ179,1,0)*(1-$H179))</f>
        <v>1</v>
      </c>
      <c r="BO179" s="24">
        <f>$BK$13*IF(BM179=1,1,IF(BN179=1,FixedParams!$C$52,FixedParams!$C$53))</f>
        <v>0.33006170822567266</v>
      </c>
      <c r="BP179">
        <f>EXP($C179*FixedParams!$B$47)*EXP(IF(BM179+BN179=1,(1-FixedParams!$B$47)*$D179,0))*($B179^((FixedParams!$B$47-1)*$B$10/($B$10-1)))*((1/$B179-1)^$B$10*(BO179)^($B$10-1)+1)^((FixedParams!$B$47-$B$10)/($B$10-1))/((1+IF(BM179=1,FixedParams!$C$25,IF(BN179=1,FixedParams!$C$23,FixedParams!$C$24)))^FixedParams!$B$47)</f>
        <v>5.4752971835456063E-2</v>
      </c>
      <c r="BQ179">
        <f t="shared" si="124"/>
        <v>1.5751199281899975</v>
      </c>
      <c r="BR179">
        <f t="shared" si="125"/>
        <v>40.172108857172972</v>
      </c>
      <c r="BS179">
        <f t="shared" si="101"/>
        <v>14.521612042909304</v>
      </c>
      <c r="BT179">
        <f t="shared" si="126"/>
        <v>54.693720900082276</v>
      </c>
      <c r="BU179" s="24">
        <f t="shared" si="127"/>
        <v>0.36148493210896948</v>
      </c>
      <c r="BV179" s="24">
        <f t="shared" si="128"/>
        <v>2.1213639670137932</v>
      </c>
      <c r="BW179" s="23">
        <f>IF(BM179=1,BR179*(1+FixedParams!$C$25)+BS179*(1+FixedParams!$C$28)/$BK$12,IF(BN179=1,BR179*(1+FixedParams!$C$23)+BS179*(1+FixedParams!$C$26)/$BK$12,BR179*(1+FixedParams!$C$24)+BS179*(1+FixedParams!$C$27)/$BK$12))</f>
        <v>97.275370293902</v>
      </c>
      <c r="BX179" s="24">
        <f t="shared" si="129"/>
        <v>14.563865150300881</v>
      </c>
      <c r="BY179" s="24">
        <f>BX179^((FixedParams!$B$47-1)/FixedParams!$B$47)*EXP($C179)</f>
        <v>0.13174546610143334</v>
      </c>
      <c r="BZ179" s="24">
        <f t="shared" si="130"/>
        <v>0.12492638441868187</v>
      </c>
      <c r="CA179" s="24">
        <f t="shared" si="131"/>
        <v>-0.10503412844775528</v>
      </c>
      <c r="CB179" s="24">
        <f t="shared" si="132"/>
        <v>-8.770567252834803E-2</v>
      </c>
      <c r="CC179" s="24"/>
      <c r="CD179" s="24">
        <f>EXP(-$D$17)*(($B179*FixedParams!$B$30)^$B$10*(1+FixedParams!$D$24)^(1-$B$10)+(1-$B179)^$B$10*((1+FixedParams!$D$27)/$CE$12)^(1-$B$10))^(1/(1-$B$10))</f>
        <v>6.2464827684712034</v>
      </c>
      <c r="CE179" s="24">
        <f>EXP($D179-$D$17)*(($B179*FixedParams!$D$31)^$B$10*(1+FixedParams!$D$25)^(1-$B$10)+(1-$B179)^$B$10*((1+FixedParams!$D$28)/$CE$12)^(1-$B$10))^(1/(1-$B$10))</f>
        <v>6.7514041129289426</v>
      </c>
      <c r="CF179" s="24">
        <f>EXP($D179-$D$17)*(($B179*FixedParams!$D$30)^$B$10*(1+FixedParams!$D$23)^(1-$B$10)+(1-$B179)^$B$10*((1+FixedParams!$D$26)/$CE$12)^(1-$B$10))^(1/(1-$B$10))</f>
        <v>6.4534170292948883</v>
      </c>
      <c r="CG179">
        <f>IF(FixedParams!$I$6=1,IF(CE179&lt;=MIN(CD179:CF179),1,0),$H179)</f>
        <v>0</v>
      </c>
      <c r="CH179">
        <f>IF(FixedParams!$I$6=1,IF(CF179&lt;=MIN(CD179:CF179),1,0),IF(CF179&lt;=CD179,1,0)*(1-$H179))</f>
        <v>0</v>
      </c>
      <c r="CI179" s="24">
        <f>$CE$13*IF(CG179=1,1,IF(CH179=1,FixedParams!$D$52,FixedParams!$D$53))</f>
        <v>0.42008589776177102</v>
      </c>
      <c r="CJ179">
        <f>EXP($C179*FixedParams!$B$47)*EXP(IF(CG179+CH179=1,(1-FixedParams!$B$47)*$D179,0))*($B179^((FixedParams!$B$47-1)*$B$10/($B$10-1)))*((1/$B179-1)^$B$10*(CI179)^($B$10-1)+1)^((FixedParams!$B$47-$B$10)/($B$10-1))/((1+IF(CG179=1,FixedParams!$D$25,IF(CH179=1,FixedParams!$D$23,FixedParams!$D$24)))^FixedParams!$B$47)</f>
        <v>4.072234104221039E-2</v>
      </c>
      <c r="CK179">
        <f t="shared" si="133"/>
        <v>1.0722339074723124</v>
      </c>
      <c r="CL179">
        <f t="shared" si="135"/>
        <v>29.293732484776726</v>
      </c>
      <c r="CM179">
        <f t="shared" si="102"/>
        <v>15.204752307663389</v>
      </c>
      <c r="CN179">
        <f t="shared" si="136"/>
        <v>44.498484792440117</v>
      </c>
      <c r="CO179" s="24">
        <f t="shared" si="137"/>
        <v>0.51904455383297254</v>
      </c>
      <c r="CP179" s="24">
        <f t="shared" si="138"/>
        <v>2.018063422793253</v>
      </c>
      <c r="CQ179" s="23">
        <f>IF(CG179=1,CL179*(1+FixedParams!$D$25)+CM179*(1+FixedParams!$D$28)/$CE$12,IF(CH179=1,CL179*(1+FixedParams!$D$23)+CM179*(1+FixedParams!$D$26)/$CE$12,CL179*(1+FixedParams!$D$24)+CM179*(1+FixedParams!$D$27)/$CE$12))</f>
        <v>95.367158314326218</v>
      </c>
      <c r="CR179" s="24">
        <f t="shared" si="139"/>
        <v>15.267337131815522</v>
      </c>
      <c r="CS179" s="24">
        <f>CR179^((FixedParams!$B$47-1)/FixedParams!$B$47)*EXP($C179)</f>
        <v>0.13173924529765305</v>
      </c>
      <c r="CT179" s="24"/>
    </row>
    <row r="180" spans="1:98" x14ac:dyDescent="0.15">
      <c r="A180">
        <v>0.81500000000000006</v>
      </c>
      <c r="B180">
        <f t="shared" si="103"/>
        <v>0.39685054155548766</v>
      </c>
      <c r="C180">
        <f>(D180-$D$17)*FixedParams!$B$47+$A180*$B$9</f>
        <v>-2.0366973561539199</v>
      </c>
      <c r="D180">
        <f>(A180-$B$6)*FixedParams!$B$46/(FixedParams!$B$45*Sectors!$B$6)</f>
        <v>0.1711557004162346</v>
      </c>
      <c r="E180">
        <f t="shared" si="104"/>
        <v>0.13045885932279325</v>
      </c>
      <c r="F180" s="24">
        <f>EXP(-$D$17)*(($B180*FixedParams!$B$30)^$B$10*(1+FixedParams!$B$23)^(1-$B$10)+(1-$B180)^$B$10*((1+FixedParams!$B$26)/$B$11)^(1-$B$10))^(1/(1-$B$10))</f>
        <v>4.7923137352254237</v>
      </c>
      <c r="G180" s="24">
        <f>EXP($D180-$D$17)*(($B180*FixedParams!$B$31)^$B$10*(1+FixedParams!$B$25)^(1-$B$10)+(1-$B180)^$B$10*((1+FixedParams!$B$28)/$B$11)^(1-$B$10))^(1/(1-$B$10))</f>
        <v>5.4153603314046226</v>
      </c>
      <c r="H180">
        <f t="shared" si="105"/>
        <v>0</v>
      </c>
      <c r="I180" s="24">
        <f>$B$12*IF(H180=1,1,FixedParams!$B$52)</f>
        <v>0.39101505882574561</v>
      </c>
      <c r="J180">
        <f>EXP($C180*FixedParams!$B$47)*EXP(IF(H180=1,(1-FixedParams!$B$47)*$D180,0))*($B180^((FixedParams!$B$47-1)*$B$10/($B$10-1)))*((1/$B180-1)^$B$10*(I180)^($B$10-1)+1)^((FixedParams!$B$47-$B$10)/($B$10-1))/((1+IF(H180=1,FixedParams!$B$25,FixedParams!$B$24))^FixedParams!$B$47)</f>
        <v>5.5991108426041693E-2</v>
      </c>
      <c r="K180">
        <f t="shared" si="134"/>
        <v>1.1289253382290627</v>
      </c>
      <c r="L180">
        <f>K180*FixedParams!$B$8/K$15</f>
        <v>32.821392450836164</v>
      </c>
      <c r="M180">
        <f t="shared" si="94"/>
        <v>15.036410529374292</v>
      </c>
      <c r="N180">
        <f t="shared" si="106"/>
        <v>47.857802980210458</v>
      </c>
      <c r="O180" s="24">
        <f t="shared" si="107"/>
        <v>0.45812835491052489</v>
      </c>
      <c r="P180" s="24">
        <f t="shared" si="95"/>
        <v>1.8738668370905978</v>
      </c>
      <c r="Q180" s="23">
        <f>IF(H180=1,L180*(1+FixedParams!$B$25)+M180*FixedParams!$B$33*(1+FixedParams!$B$28)/FixedParams!$B$32,L180*(1+FixedParams!$B$23)+M180*FixedParams!$B$33*(1+FixedParams!$B$26)/FixedParams!$B$32)</f>
        <v>76.728833962098633</v>
      </c>
      <c r="R180" s="24">
        <f t="shared" si="96"/>
        <v>16.010811937897763</v>
      </c>
      <c r="S180" s="24">
        <f>R180^((FixedParams!$B$47-1)/FixedParams!$B$47)*EXP($C180)</f>
        <v>0.13009720249359358</v>
      </c>
      <c r="T180" s="7">
        <f>(L180*FixedParams!$B$32*(FixedParams!$C$25-FixedParams!$C$23)+FixedParams!$B$33*(FixedParams!$C$28-FixedParams!$C$26)*M180)/N180</f>
        <v>3322.6163084664145</v>
      </c>
      <c r="U180" s="7">
        <f>(L180*FixedParams!$B$32*(FixedParams!$C$25-FixedParams!$C$23)*$Z$12/$B$11+FixedParams!$B$33*(FixedParams!$C$28-FixedParams!$C$26)*M180)/N180</f>
        <v>2633.8336772584271</v>
      </c>
      <c r="V180" s="14">
        <f t="shared" si="97"/>
        <v>-0.15840332288301245</v>
      </c>
      <c r="W180" s="14">
        <f t="shared" si="140"/>
        <v>0.92615054746799996</v>
      </c>
      <c r="X180" s="73">
        <f t="shared" si="109"/>
        <v>0.87012608797062363</v>
      </c>
      <c r="Y180" s="24">
        <f>EXP(-$D$17)*(($B180*FixedParams!$B$30)^$B$10*(1+FixedParams!$C$24)^(1-$B$10)+(1-$B180)^$B$10*((1+FixedParams!$C$27)/$Z$12)^(1-$B$10))^(1/(1-$B$10))</f>
        <v>6.6062078454037447</v>
      </c>
      <c r="Z180" s="24">
        <f>EXP($D180-$D$17)*(($B180*FixedParams!$C$31)^$B$10*(1+FixedParams!$C$25)^(1-$B$10)+(1-$B180)^$B$10*((1+FixedParams!$C$28)/$Z$12)^(1-$B$10))^(1/(1-$B$10))</f>
        <v>6.8473979472604514</v>
      </c>
      <c r="AA180" s="24">
        <f>EXP($D180-$D$17)*(($B180*FixedParams!$C$30)^$B$10*(1+FixedParams!$C$23)^(1-$B$10)+(1-$B180)^$B$10*((1+FixedParams!$C$26)/$Z$12)^(1-$B$10))^(1/(1-$B$10))</f>
        <v>6.5050559599809485</v>
      </c>
      <c r="AB180">
        <f>IF(FixedParams!$I$6=1,IF(Z180&lt;=MIN(Y180:AA180),1,0),$H180)</f>
        <v>0</v>
      </c>
      <c r="AC180">
        <f>IF(FixedParams!$I$6=1,IF(AA180&lt;=MIN(Y180:AA180),1,0),IF(AA180&lt;=Y180,1,0)*(1-$H180))</f>
        <v>1</v>
      </c>
      <c r="AD180" s="24">
        <f>$Z$13*IF(AB180=1,1,IF(AC180=1,FixedParams!$C$52,FixedParams!$C$53))</f>
        <v>0.34709202255780691</v>
      </c>
      <c r="AE180">
        <f>EXP($C180*FixedParams!$B$47)*EXP(IF(AB180+AC180=1,(1-FixedParams!$B$47)*$D180,0))*($B180^((FixedParams!$B$47-1)*$B$10/($B$10-1)))*((1/$B180-1)^$B$10*(AD180)^($B$10-1)+1)^((FixedParams!$B$47-$B$10)/($B$10-1))/((1+IF(AB180=1,FixedParams!$C$25,IF(AC180=1,FixedParams!$C$23,FixedParams!$C$24)))^FixedParams!$B$47)</f>
        <v>5.3849520174017868E-2</v>
      </c>
      <c r="AF180">
        <f t="shared" si="110"/>
        <v>1.5867935605225358</v>
      </c>
      <c r="AG180">
        <f t="shared" si="111"/>
        <v>37.27134401844792</v>
      </c>
      <c r="AH180">
        <f t="shared" si="98"/>
        <v>14.280353210006181</v>
      </c>
      <c r="AI180">
        <f t="shared" si="112"/>
        <v>51.551697228454103</v>
      </c>
      <c r="AJ180" s="24">
        <f t="shared" si="113"/>
        <v>0.38314564677189911</v>
      </c>
      <c r="AK180" s="24">
        <f t="shared" si="114"/>
        <v>2.1726485005619862</v>
      </c>
      <c r="AL180" s="23">
        <f>IF(AB180=1,AG180*(1+FixedParams!$C$25)+AH180*(1+FixedParams!$C$28)/$Z$12,IF(AC180=1,AG180*(1+FixedParams!$C$23)+AH180*(1+FixedParams!$C$26)/$Z$12,AG180*(1+FixedParams!$C$24)+AH180*(1+FixedParams!$C$27)/$Z$12))</f>
        <v>90.62470024698635</v>
      </c>
      <c r="AM180" s="24">
        <f t="shared" si="115"/>
        <v>13.93142515675634</v>
      </c>
      <c r="AN180" s="24">
        <f>AM180^((FixedParams!$B$47-1)/FixedParams!$B$47)*EXP($C180)</f>
        <v>0.13011532062388703</v>
      </c>
      <c r="AO180" s="24">
        <f t="shared" si="116"/>
        <v>7.4350957557362984E-2</v>
      </c>
      <c r="AP180" s="24">
        <f t="shared" si="117"/>
        <v>-0.13911714913279113</v>
      </c>
      <c r="AQ180" s="14">
        <f t="shared" si="118"/>
        <v>-9.8825256190752803E-2</v>
      </c>
      <c r="AS180" s="24">
        <f>EXP(-$D$17)*(($B180*FixedParams!$B$30)^$B$10*(1+FixedParams!$D$24)^(1-$B$10)+(1-$B180)^$B$10*((1+FixedParams!$D$27)/$AT$12)^(1-$B$10))^(1/(1-$B$10))</f>
        <v>6.0752762935295053</v>
      </c>
      <c r="AT180" s="24">
        <f>EXP($D180-$D$17)*(($B180*FixedParams!$C$31)^$B$10*(1+FixedParams!$D$25)^(1-$B$10)+(1-$B180)^$B$10*((1+FixedParams!$D$28)/$AT$12)^(1-$B$10))^(1/(1-$B$10))</f>
        <v>6.5849257503417888</v>
      </c>
      <c r="AU180" s="24">
        <f>EXP($D180-$D$17)*(($B180*FixedParams!$C$30)^$B$10*(1+FixedParams!$D$23)^(1-$B$10)+(1-$B180)^$B$10*((1+FixedParams!$D$26)/$AT$12)^(1-$B$10))^(1/(1-$B$10))</f>
        <v>6.295990064040617</v>
      </c>
      <c r="AV180">
        <f>IF(FixedParams!$I$6=1,IF(AT180&lt;=MIN(AS180:AU180),1,0),$H180)</f>
        <v>0</v>
      </c>
      <c r="AW180">
        <f>IF(FixedParams!$I$6=1,IF(AU180&lt;=MIN(AS180:AU180),1,0),IF(AU180&lt;=AS180,1,0)*(1-$H180))</f>
        <v>0</v>
      </c>
      <c r="AX180" s="24">
        <f>$AT$13*IF(AV180=1,1,IF(AW180=1,FixedParams!$D$52,FixedParams!$D$53))</f>
        <v>0.44031288407969205</v>
      </c>
      <c r="AY180">
        <f>EXP($C180*FixedParams!$B$47)*EXP(IF(AV180+AW180=1,(1-FixedParams!$B$47)*$D180,0))*($B180^((FixedParams!$B$47-1)*$B$10/($B$10-1)))*((1/$B180-1)^$B$10*(AX180)^($B$10-1)+1)^((FixedParams!$B$47-$B$10)/($B$10-1))/((1+IF(AV180=1,FixedParams!$D$25,IF(AW180=1,FixedParams!$D$23,FixedParams!$D$24)))^FixedParams!$B$47)</f>
        <v>4.007735645279948E-2</v>
      </c>
      <c r="AZ180">
        <f t="shared" si="99"/>
        <v>1.0791862576968365</v>
      </c>
      <c r="BA180">
        <f t="shared" si="119"/>
        <v>27.152181910173034</v>
      </c>
      <c r="BB180">
        <f t="shared" si="100"/>
        <v>14.864276400667924</v>
      </c>
      <c r="BC180">
        <f t="shared" si="120"/>
        <v>42.01645831084096</v>
      </c>
      <c r="BD180" s="24">
        <f t="shared" si="121"/>
        <v>0.5474431649671132</v>
      </c>
      <c r="BE180" s="24">
        <f t="shared" si="122"/>
        <v>2.0572571928181644</v>
      </c>
      <c r="BF180" s="23">
        <f>IF(AV180=1,BA180*(1+FixedParams!$C$25)+BB180*(1+FixedParams!$C$28)/$AT$12,IF(AW180=1,BA180*(1+FixedParams!$C$23)+BB180*(1+FixedParams!$C$26)/$AT$12,BA180*(1+FixedParams!$C$24)+BB180*(1+FixedParams!$C$27)/$AT$12))</f>
        <v>95.871725420586756</v>
      </c>
      <c r="BG180" s="24">
        <f t="shared" si="123"/>
        <v>15.780636268789172</v>
      </c>
      <c r="BH180" s="24">
        <f>BG180^((FixedParams!$B$47-1)/FixedParams!$B$47)*EXP($C180)</f>
        <v>0.13009908827914574</v>
      </c>
      <c r="BI180" s="7"/>
      <c r="BJ180" s="24">
        <f>EXP(-$D$17)*(($B180*FixedParams!$B$30)^$B$10*(1+FixedParams!$C$24)^(1-$B$10)+(1-$B180)^$B$10*((1+FixedParams!$C$27)/$BK$12)^(1-$B$10))^(1/(1-$B$10))</f>
        <v>6.7954505492136787</v>
      </c>
      <c r="BK180" s="24">
        <f>EXP($D180-$D$17)*(($B180*FixedParams!$C$31)^$B$10*(1+FixedParams!$C$25)^(1-$B$10)+(1-$B180)^$B$10*((1+FixedParams!$C$28)/$BK$12)^(1-$B$10))^(1/(1-$B$10))</f>
        <v>7.0390637302074612</v>
      </c>
      <c r="BL180" s="24">
        <f>EXP($D180-$D$17)*(($B180*FixedParams!$C$30)^$B$10*(1+FixedParams!$C$23)^(1-$B$10)+(1-$B180)^$B$10*((1+FixedParams!$C$26)/$BK$12)^(1-$B$10))^(1/(1-$B$10))</f>
        <v>6.6780028552927533</v>
      </c>
      <c r="BM180">
        <f>IF(FixedParams!$I$6=1,IF(BK180&lt;=MIN(BJ180:BL180),1,0),$H180)</f>
        <v>0</v>
      </c>
      <c r="BN180">
        <f>IF(FixedParams!$I$6=1,IF(BL180&lt;=MIN(BJ180:BL180),1,0),IF(BL180&lt;=BJ180,1,0)*(1-$H180))</f>
        <v>1</v>
      </c>
      <c r="BO180" s="24">
        <f>$BK$13*IF(BM180=1,1,IF(BN180=1,FixedParams!$C$52,FixedParams!$C$53))</f>
        <v>0.33006170822567266</v>
      </c>
      <c r="BP180">
        <f>EXP($C180*FixedParams!$B$47)*EXP(IF(BM180+BN180=1,(1-FixedParams!$B$47)*$D180,0))*($B180^((FixedParams!$B$47-1)*$B$10/($B$10-1)))*((1/$B180-1)^$B$10*(BO180)^($B$10-1)+1)^((FixedParams!$B$47-$B$10)/($B$10-1))/((1+IF(BM180=1,FixedParams!$C$25,IF(BN180=1,FixedParams!$C$23,FixedParams!$C$24)))^FixedParams!$B$47)</f>
        <v>5.4562092205501331E-2</v>
      </c>
      <c r="BQ180">
        <f t="shared" si="124"/>
        <v>1.5696287502877135</v>
      </c>
      <c r="BR180">
        <f t="shared" si="125"/>
        <v>40.032060983676672</v>
      </c>
      <c r="BS180">
        <f t="shared" si="101"/>
        <v>14.223209647722388</v>
      </c>
      <c r="BT180">
        <f t="shared" si="126"/>
        <v>54.255270631399057</v>
      </c>
      <c r="BU180" s="24">
        <f t="shared" si="127"/>
        <v>0.35529546314195498</v>
      </c>
      <c r="BV180" s="24">
        <f t="shared" si="128"/>
        <v>2.1209749757428602</v>
      </c>
      <c r="BW180" s="23">
        <f>IF(BM180=1,BR180*(1+FixedParams!$C$25)+BS180*(1+FixedParams!$C$28)/$BK$12,IF(BN180=1,BR180*(1+FixedParams!$C$23)+BS180*(1+FixedParams!$C$26)/$BK$12,BR180*(1+FixedParams!$C$24)+BS180*(1+FixedParams!$C$27)/$BK$12))</f>
        <v>96.068652051134393</v>
      </c>
      <c r="BX180" s="24">
        <f t="shared" si="129"/>
        <v>14.385835725570814</v>
      </c>
      <c r="BY180" s="24">
        <f>BX180^((FixedParams!$B$47-1)/FixedParams!$B$47)*EXP($C180)</f>
        <v>0.13011114019893419</v>
      </c>
      <c r="BZ180" s="24">
        <f t="shared" si="130"/>
        <v>0.1254659659062517</v>
      </c>
      <c r="CA180" s="24">
        <f t="shared" si="131"/>
        <v>-0.10702014781314405</v>
      </c>
      <c r="CB180" s="24">
        <f t="shared" si="132"/>
        <v>-8.9691691893736797E-2</v>
      </c>
      <c r="CC180" s="24"/>
      <c r="CD180" s="24">
        <f>EXP(-$D$17)*(($B180*FixedParams!$B$30)^$B$10*(1+FixedParams!$D$24)^(1-$B$10)+(1-$B180)^$B$10*((1+FixedParams!$D$27)/$CE$12)^(1-$B$10))^(1/(1-$B$10))</f>
        <v>6.2348476558043062</v>
      </c>
      <c r="CE180" s="24">
        <f>EXP($D180-$D$17)*(($B180*FixedParams!$D$31)^$B$10*(1+FixedParams!$D$25)^(1-$B$10)+(1-$B180)^$B$10*((1+FixedParams!$D$28)/$CE$12)^(1-$B$10))^(1/(1-$B$10))</f>
        <v>6.7551611265523821</v>
      </c>
      <c r="CF180" s="24">
        <f>EXP($D180-$D$17)*(($B180*FixedParams!$D$30)^$B$10*(1+FixedParams!$D$23)^(1-$B$10)+(1-$B180)^$B$10*((1+FixedParams!$D$26)/$CE$12)^(1-$B$10))^(1/(1-$B$10))</f>
        <v>6.4521721782614208</v>
      </c>
      <c r="CG180">
        <f>IF(FixedParams!$I$6=1,IF(CE180&lt;=MIN(CD180:CF180),1,0),$H180)</f>
        <v>0</v>
      </c>
      <c r="CH180">
        <f>IF(FixedParams!$I$6=1,IF(CF180&lt;=MIN(CD180:CF180),1,0),IF(CF180&lt;=CD180,1,0)*(1-$H180))</f>
        <v>0</v>
      </c>
      <c r="CI180" s="24">
        <f>$CE$13*IF(CG180=1,1,IF(CH180=1,FixedParams!$D$52,FixedParams!$D$53))</f>
        <v>0.42008589776177102</v>
      </c>
      <c r="CJ180">
        <f>EXP($C180*FixedParams!$B$47)*EXP(IF(CG180+CH180=1,(1-FixedParams!$B$47)*$D180,0))*($B180^((FixedParams!$B$47-1)*$B$10/($B$10-1)))*((1/$B180-1)^$B$10*(CI180)^($B$10-1)+1)^((FixedParams!$B$47-$B$10)/($B$10-1))/((1+IF(CG180=1,FixedParams!$D$25,IF(CH180=1,FixedParams!$D$23,FixedParams!$D$24)))^FixedParams!$B$47)</f>
        <v>4.0601327485795813E-2</v>
      </c>
      <c r="CK180">
        <f t="shared" si="133"/>
        <v>1.0690475769438925</v>
      </c>
      <c r="CL180">
        <f t="shared" si="135"/>
        <v>29.206681036900346</v>
      </c>
      <c r="CM180">
        <f t="shared" si="102"/>
        <v>14.900001393504812</v>
      </c>
      <c r="CN180">
        <f t="shared" si="136"/>
        <v>44.106682430405158</v>
      </c>
      <c r="CO180" s="24">
        <f t="shared" si="137"/>
        <v>0.51015729499287621</v>
      </c>
      <c r="CP180" s="24">
        <f t="shared" si="138"/>
        <v>2.0143044441546403</v>
      </c>
      <c r="CQ180" s="23">
        <f>IF(CG180=1,CL180*(1+FixedParams!$D$25)+CM180*(1+FixedParams!$D$28)/$CE$12,IF(CH180=1,CL180*(1+FixedParams!$D$23)+CM180*(1+FixedParams!$D$26)/$CE$12,CL180*(1+FixedParams!$D$24)+CM180*(1+FixedParams!$D$27)/$CE$12))</f>
        <v>94.183953454984078</v>
      </c>
      <c r="CR180" s="24">
        <f t="shared" si="139"/>
        <v>15.10605529668458</v>
      </c>
      <c r="CS180" s="24">
        <f>CR180^((FixedParams!$B$47-1)/FixedParams!$B$47)*EXP($C180)</f>
        <v>0.13010477785668673</v>
      </c>
      <c r="CT180" s="24"/>
    </row>
    <row r="181" spans="1:98" x14ac:dyDescent="0.15">
      <c r="A181">
        <v>0.82000000000000006</v>
      </c>
      <c r="B181">
        <f t="shared" si="103"/>
        <v>0.39960972140458967</v>
      </c>
      <c r="C181">
        <f>(D181-$D$17)*FixedParams!$B$47+$A181*$B$9</f>
        <v>-2.0491924319585451</v>
      </c>
      <c r="D181">
        <f>(A181-$B$6)*FixedParams!$B$46/(FixedParams!$B$45*Sectors!$B$6)</f>
        <v>0.17387245756569863</v>
      </c>
      <c r="E181">
        <f t="shared" si="104"/>
        <v>0.12883890777133658</v>
      </c>
      <c r="F181" s="24">
        <f>EXP(-$D$17)*(($B181*FixedParams!$B$30)^$B$10*(1+FixedParams!$B$23)^(1-$B$10)+(1-$B181)^$B$10*((1+FixedParams!$B$26)/$B$11)^(1-$B$10))^(1/(1-$B$10))</f>
        <v>4.7816655428794128</v>
      </c>
      <c r="G181" s="24">
        <f>EXP($D181-$D$17)*(($B181*FixedParams!$B$31)^$B$10*(1+FixedParams!$B$25)^(1-$B$10)+(1-$B181)^$B$10*((1+FixedParams!$B$28)/$B$11)^(1-$B$10))^(1/(1-$B$10))</f>
        <v>5.4170284859174078</v>
      </c>
      <c r="H181">
        <f t="shared" si="105"/>
        <v>0</v>
      </c>
      <c r="I181" s="24">
        <f>$B$12*IF(H181=1,1,FixedParams!$B$52)</f>
        <v>0.39101505882574561</v>
      </c>
      <c r="J181">
        <f>EXP($C181*FixedParams!$B$47)*EXP(IF(H181=1,(1-FixedParams!$B$47)*$D181,0))*($B181^((FixedParams!$B$47-1)*$B$10/($B$10-1)))*((1/$B181-1)^$B$10*(I181)^($B$10-1)+1)^((FixedParams!$B$47-$B$10)/($B$10-1))/((1+IF(H181=1,FixedParams!$B$25,FixedParams!$B$24))^FixedParams!$B$47)</f>
        <v>5.5811996891598319E-2</v>
      </c>
      <c r="K181">
        <f t="shared" si="134"/>
        <v>1.1253139871541094</v>
      </c>
      <c r="L181">
        <f>K181*FixedParams!$B$8/K$15</f>
        <v>32.716399173694619</v>
      </c>
      <c r="M181">
        <f t="shared" si="94"/>
        <v>14.731675146208818</v>
      </c>
      <c r="N181">
        <f t="shared" si="106"/>
        <v>47.448074319903441</v>
      </c>
      <c r="O181" s="24">
        <f t="shared" si="107"/>
        <v>0.45028412411759894</v>
      </c>
      <c r="P181" s="24">
        <f t="shared" si="95"/>
        <v>1.8697032335340344</v>
      </c>
      <c r="Q181" s="23">
        <f>IF(H181=1,L181*(1+FixedParams!$B$25)+M181*FixedParams!$B$33*(1+FixedParams!$B$28)/FixedParams!$B$32,L181*(1+FixedParams!$B$23)+M181*FixedParams!$B$33*(1+FixedParams!$B$26)/FixedParams!$B$32)</f>
        <v>75.776844489123306</v>
      </c>
      <c r="R181" s="24">
        <f t="shared" si="96"/>
        <v>15.847374478536233</v>
      </c>
      <c r="S181" s="24">
        <f>R181^((FixedParams!$B$47-1)/FixedParams!$B$47)*EXP($C181)</f>
        <v>0.12848306135730822</v>
      </c>
      <c r="T181" s="7">
        <f>(L181*FixedParams!$B$32*(FixedParams!$C$25-FixedParams!$C$23)+FixedParams!$B$33*(FixedParams!$C$28-FixedParams!$C$26)*M181)/N181</f>
        <v>3364.699012849374</v>
      </c>
      <c r="U181" s="7">
        <f>(L181*FixedParams!$B$32*(FixedParams!$C$25-FixedParams!$C$23)*$Z$12/$B$11+FixedParams!$B$33*(FixedParams!$C$28-FixedParams!$C$26)*M181)/N181</f>
        <v>2672.190925480415</v>
      </c>
      <c r="V181" s="14">
        <f t="shared" si="97"/>
        <v>-0.14113269758692953</v>
      </c>
      <c r="W181" s="14">
        <f t="shared" si="140"/>
        <v>0.9284777745364885</v>
      </c>
      <c r="X181" s="73">
        <f t="shared" si="109"/>
        <v>0.86821220833294976</v>
      </c>
      <c r="Y181" s="24">
        <f>EXP(-$D$17)*(($B181*FixedParams!$B$30)^$B$10*(1+FixedParams!$C$24)^(1-$B$10)+(1-$B181)^$B$10*((1+FixedParams!$C$27)/$Z$12)^(1-$B$10))^(1/(1-$B$10))</f>
        <v>6.597220593271782</v>
      </c>
      <c r="Z181" s="24">
        <f>EXP($D181-$D$17)*(($B181*FixedParams!$C$31)^$B$10*(1+FixedParams!$C$25)^(1-$B$10)+(1-$B181)^$B$10*((1+FixedParams!$C$28)/$Z$12)^(1-$B$10))^(1/(1-$B$10))</f>
        <v>6.8536879522750649</v>
      </c>
      <c r="AA181" s="24">
        <f>EXP($D181-$D$17)*(($B181*FixedParams!$C$30)^$B$10*(1+FixedParams!$C$23)^(1-$B$10)+(1-$B181)^$B$10*((1+FixedParams!$C$26)/$Z$12)^(1-$B$10))^(1/(1-$B$10))</f>
        <v>6.5049243383015067</v>
      </c>
      <c r="AB181">
        <f>IF(FixedParams!$I$6=1,IF(Z181&lt;=MIN(Y181:AA181),1,0),$H181)</f>
        <v>0</v>
      </c>
      <c r="AC181">
        <f>IF(FixedParams!$I$6=1,IF(AA181&lt;=MIN(Y181:AA181),1,0),IF(AA181&lt;=Y181,1,0)*(1-$H181))</f>
        <v>1</v>
      </c>
      <c r="AD181" s="24">
        <f>$Z$13*IF(AB181=1,1,IF(AC181=1,FixedParams!$C$52,FixedParams!$C$53))</f>
        <v>0.34709202255780691</v>
      </c>
      <c r="AE181">
        <f>EXP($C181*FixedParams!$B$47)*EXP(IF(AB181+AC181=1,(1-FixedParams!$B$47)*$D181,0))*($B181^((FixedParams!$B$47-1)*$B$10/($B$10-1)))*((1/$B181-1)^$B$10*(AD181)^($B$10-1)+1)^((FixedParams!$B$47-$B$10)/($B$10-1))/((1+IF(AB181=1,FixedParams!$C$25,IF(AC181=1,FixedParams!$C$23,FixedParams!$C$24)))^FixedParams!$B$47)</f>
        <v>5.3663622325324178E-2</v>
      </c>
      <c r="AF181">
        <f t="shared" si="110"/>
        <v>1.5813156749579311</v>
      </c>
      <c r="AG181">
        <f t="shared" si="111"/>
        <v>37.142676898507723</v>
      </c>
      <c r="AH181">
        <f t="shared" si="98"/>
        <v>13.987385959964666</v>
      </c>
      <c r="AI181">
        <f t="shared" si="112"/>
        <v>51.130062858472385</v>
      </c>
      <c r="AJ181" s="24">
        <f t="shared" si="113"/>
        <v>0.37658529562059206</v>
      </c>
      <c r="AK181" s="24">
        <f t="shared" si="114"/>
        <v>2.1726045397342486</v>
      </c>
      <c r="AL181" s="23">
        <f>IF(AB181=1,AG181*(1+FixedParams!$C$25)+AH181*(1+FixedParams!$C$28)/$Z$12,IF(AC181=1,AG181*(1+FixedParams!$C$23)+AH181*(1+FixedParams!$C$26)/$Z$12,AG181*(1+FixedParams!$C$24)+AH181*(1+FixedParams!$C$27)/$Z$12))</f>
        <v>89.500499349308825</v>
      </c>
      <c r="AM181" s="24">
        <f t="shared" si="115"/>
        <v>13.758883992289171</v>
      </c>
      <c r="AN181" s="24">
        <f>AM181^((FixedParams!$B$47-1)/FixedParams!$B$47)*EXP($C181)</f>
        <v>0.12850123793066637</v>
      </c>
      <c r="AO181" s="24">
        <f t="shared" si="116"/>
        <v>7.4736697597011653E-2</v>
      </c>
      <c r="AP181" s="24">
        <f t="shared" si="117"/>
        <v>-0.14131911455581012</v>
      </c>
      <c r="AQ181" s="14">
        <f t="shared" si="118"/>
        <v>-8.1554630894669869E-2</v>
      </c>
      <c r="AS181" s="24">
        <f>EXP(-$D$17)*(($B181*FixedParams!$B$30)^$B$10*(1+FixedParams!$D$24)^(1-$B$10)+(1-$B181)^$B$10*((1+FixedParams!$D$27)/$AT$12)^(1-$B$10))^(1/(1-$B$10))</f>
        <v>6.0648608345647537</v>
      </c>
      <c r="AT181" s="24">
        <f>EXP($D181-$D$17)*(($B181*FixedParams!$C$31)^$B$10*(1+FixedParams!$D$25)^(1-$B$10)+(1-$B181)^$B$10*((1+FixedParams!$D$28)/$AT$12)^(1-$B$10))^(1/(1-$B$10))</f>
        <v>6.58956995035056</v>
      </c>
      <c r="AU181" s="24">
        <f>EXP($D181-$D$17)*(($B181*FixedParams!$C$30)^$B$10*(1+FixedParams!$D$23)^(1-$B$10)+(1-$B181)^$B$10*((1+FixedParams!$D$26)/$AT$12)^(1-$B$10))^(1/(1-$B$10))</f>
        <v>6.2957135924513832</v>
      </c>
      <c r="AV181">
        <f>IF(FixedParams!$I$6=1,IF(AT181&lt;=MIN(AS181:AU181),1,0),$H181)</f>
        <v>0</v>
      </c>
      <c r="AW181">
        <f>IF(FixedParams!$I$6=1,IF(AU181&lt;=MIN(AS181:AU181),1,0),IF(AU181&lt;=AS181,1,0)*(1-$H181))</f>
        <v>0</v>
      </c>
      <c r="AX181" s="24">
        <f>$AT$13*IF(AV181=1,1,IF(AW181=1,FixedParams!$D$52,FixedParams!$D$53))</f>
        <v>0.44031288407969205</v>
      </c>
      <c r="AY181">
        <f>EXP($C181*FixedParams!$B$47)*EXP(IF(AV181+AW181=1,(1-FixedParams!$B$47)*$D181,0))*($B181^((FixedParams!$B$47-1)*$B$10/($B$10-1)))*((1/$B181-1)^$B$10*(AX181)^($B$10-1)+1)^((FixedParams!$B$47-$B$10)/($B$10-1))/((1+IF(AV181=1,FixedParams!$D$25,IF(AW181=1,FixedParams!$D$23,FixedParams!$D$24)))^FixedParams!$B$47)</f>
        <v>3.9959331179288328E-2</v>
      </c>
      <c r="AZ181">
        <f t="shared" si="99"/>
        <v>1.0760081225974281</v>
      </c>
      <c r="BA181">
        <f t="shared" si="119"/>
        <v>27.072220456124864</v>
      </c>
      <c r="BB181">
        <f t="shared" si="100"/>
        <v>14.566740330895362</v>
      </c>
      <c r="BC181">
        <f t="shared" si="120"/>
        <v>41.638960787020224</v>
      </c>
      <c r="BD181" s="24">
        <f t="shared" si="121"/>
        <v>0.53806965536880291</v>
      </c>
      <c r="BE181" s="24">
        <f t="shared" si="122"/>
        <v>2.0537302292964297</v>
      </c>
      <c r="BF181" s="23">
        <f>IF(AV181=1,BA181*(1+FixedParams!$C$25)+BB181*(1+FixedParams!$C$28)/$AT$12,IF(AW181=1,BA181*(1+FixedParams!$C$23)+BB181*(1+FixedParams!$C$26)/$AT$12,BA181*(1+FixedParams!$C$24)+BB181*(1+FixedParams!$C$27)/$AT$12))</f>
        <v>94.721666983328987</v>
      </c>
      <c r="BG181" s="24">
        <f t="shared" si="123"/>
        <v>15.618110549790828</v>
      </c>
      <c r="BH181" s="24">
        <f>BG181^((FixedParams!$B$47-1)/FixedParams!$B$47)*EXP($C181)</f>
        <v>0.12848493558580262</v>
      </c>
      <c r="BI181" s="7"/>
      <c r="BJ181" s="24">
        <f>EXP(-$D$17)*(($B181*FixedParams!$B$30)^$B$10*(1+FixedParams!$C$24)^(1-$B$10)+(1-$B181)^$B$10*((1+FixedParams!$C$27)/$BK$12)^(1-$B$10))^(1/(1-$B$10))</f>
        <v>6.7847526190576675</v>
      </c>
      <c r="BK181" s="24">
        <f>EXP($D181-$D$17)*(($B181*FixedParams!$C$31)^$B$10*(1+FixedParams!$C$25)^(1-$B$10)+(1-$B181)^$B$10*((1+FixedParams!$C$28)/$BK$12)^(1-$B$10))^(1/(1-$B$10))</f>
        <v>7.0440128278185492</v>
      </c>
      <c r="BL181" s="24">
        <f>EXP($D181-$D$17)*(($B181*FixedParams!$C$30)^$B$10*(1+FixedParams!$C$23)^(1-$B$10)+(1-$B181)^$B$10*((1+FixedParams!$C$26)/$BK$12)^(1-$B$10))^(1/(1-$B$10))</f>
        <v>6.6764195176282586</v>
      </c>
      <c r="BM181">
        <f>IF(FixedParams!$I$6=1,IF(BK181&lt;=MIN(BJ181:BL181),1,0),$H181)</f>
        <v>0</v>
      </c>
      <c r="BN181">
        <f>IF(FixedParams!$I$6=1,IF(BL181&lt;=MIN(BJ181:BL181),1,0),IF(BL181&lt;=BJ181,1,0)*(1-$H181))</f>
        <v>1</v>
      </c>
      <c r="BO181" s="24">
        <f>$BK$13*IF(BM181=1,1,IF(BN181=1,FixedParams!$C$52,FixedParams!$C$53))</f>
        <v>0.33006170822567266</v>
      </c>
      <c r="BP181">
        <f>EXP($C181*FixedParams!$B$47)*EXP(IF(BM181+BN181=1,(1-FixedParams!$B$47)*$D181,0))*($B181^((FixedParams!$B$47-1)*$B$10/($B$10-1)))*((1/$B181-1)^$B$10*(BO181)^($B$10-1)+1)^((FixedParams!$B$47-$B$10)/($B$10-1))/((1+IF(BM181=1,FixedParams!$C$25,IF(BN181=1,FixedParams!$C$23,FixedParams!$C$24)))^FixedParams!$B$47)</f>
        <v>5.4367826358619344E-2</v>
      </c>
      <c r="BQ181">
        <f t="shared" si="124"/>
        <v>1.5640401585358341</v>
      </c>
      <c r="BR181">
        <f t="shared" si="125"/>
        <v>39.889528651886046</v>
      </c>
      <c r="BS181">
        <f t="shared" si="101"/>
        <v>13.929900978035896</v>
      </c>
      <c r="BT181">
        <f t="shared" si="126"/>
        <v>53.819429629921942</v>
      </c>
      <c r="BU181" s="24">
        <f t="shared" si="127"/>
        <v>0.34921197238507018</v>
      </c>
      <c r="BV181" s="24">
        <f t="shared" si="128"/>
        <v>2.1204720979158638</v>
      </c>
      <c r="BW181" s="23">
        <f>IF(BM181=1,BR181*(1+FixedParams!$C$25)+BS181*(1+FixedParams!$C$28)/$BK$12,IF(BN181=1,BR181*(1+FixedParams!$C$23)+BS181*(1+FixedParams!$C$26)/$BK$12,BR181*(1+FixedParams!$C$24)+BS181*(1+FixedParams!$C$27)/$BK$12))</f>
        <v>94.87689826374492</v>
      </c>
      <c r="BX181" s="24">
        <f t="shared" si="129"/>
        <v>14.210745447201786</v>
      </c>
      <c r="BY181" s="24">
        <f>BX181^((FixedParams!$B$47-1)/FixedParams!$B$47)*EXP($C181)</f>
        <v>0.12849708149400821</v>
      </c>
      <c r="BZ181" s="24">
        <f t="shared" si="130"/>
        <v>0.12599860662848864</v>
      </c>
      <c r="CA181" s="24">
        <f t="shared" si="131"/>
        <v>-0.10900543848857348</v>
      </c>
      <c r="CB181" s="24">
        <f t="shared" si="132"/>
        <v>-9.1676982569166232E-2</v>
      </c>
      <c r="CC181" s="24"/>
      <c r="CD181" s="24">
        <f>EXP(-$D$17)*(($B181*FixedParams!$B$30)^$B$10*(1+FixedParams!$D$24)^(1-$B$10)+(1-$B181)^$B$10*((1+FixedParams!$D$27)/$CE$12)^(1-$B$10))^(1/(1-$B$10))</f>
        <v>6.2229072283014348</v>
      </c>
      <c r="CE181" s="24">
        <f>EXP($D181-$D$17)*(($B181*FixedParams!$D$31)^$B$10*(1+FixedParams!$D$25)^(1-$B$10)+(1-$B181)^$B$10*((1+FixedParams!$D$28)/$CE$12)^(1-$B$10))^(1/(1-$B$10))</f>
        <v>6.7585620455872881</v>
      </c>
      <c r="CF181" s="24">
        <f>EXP($D181-$D$17)*(($B181*FixedParams!$D$30)^$B$10*(1+FixedParams!$D$23)^(1-$B$10)+(1-$B181)^$B$10*((1+FixedParams!$D$26)/$CE$12)^(1-$B$10))^(1/(1-$B$10))</f>
        <v>6.4505808630271932</v>
      </c>
      <c r="CG181">
        <f>IF(FixedParams!$I$6=1,IF(CE181&lt;=MIN(CD181:CF181),1,0),$H181)</f>
        <v>0</v>
      </c>
      <c r="CH181">
        <f>IF(FixedParams!$I$6=1,IF(CF181&lt;=MIN(CD181:CF181),1,0),IF(CF181&lt;=CD181,1,0)*(1-$H181))</f>
        <v>0</v>
      </c>
      <c r="CI181" s="24">
        <f>$CE$13*IF(CG181=1,1,IF(CH181=1,FixedParams!$D$52,FixedParams!$D$53))</f>
        <v>0.42008589776177102</v>
      </c>
      <c r="CJ181">
        <f>EXP($C181*FixedParams!$B$47)*EXP(IF(CG181+CH181=1,(1-FixedParams!$B$47)*$D181,0))*($B181^((FixedParams!$B$47-1)*$B$10/($B$10-1)))*((1/$B181-1)^$B$10*(CI181)^($B$10-1)+1)^((FixedParams!$B$47-$B$10)/($B$10-1))/((1+IF(CG181=1,FixedParams!$D$25,IF(CH181=1,FixedParams!$D$23,FixedParams!$D$24)))^FixedParams!$B$47)</f>
        <v>4.0477681273745347E-2</v>
      </c>
      <c r="CK181">
        <f t="shared" si="133"/>
        <v>1.0657919276443202</v>
      </c>
      <c r="CL181">
        <f t="shared" si="135"/>
        <v>29.117735780663537</v>
      </c>
      <c r="CM181">
        <f t="shared" si="102"/>
        <v>14.600279333505902</v>
      </c>
      <c r="CN181">
        <f t="shared" si="136"/>
        <v>43.71801511416944</v>
      </c>
      <c r="CO181" s="24">
        <f t="shared" si="137"/>
        <v>0.5014222068462354</v>
      </c>
      <c r="CP181" s="24">
        <f t="shared" si="138"/>
        <v>2.0104468268539595</v>
      </c>
      <c r="CQ181" s="23">
        <f>IF(CG181=1,CL181*(1+FixedParams!$D$25)+CM181*(1+FixedParams!$D$28)/$CE$12,IF(CH181=1,CL181*(1+FixedParams!$D$23)+CM181*(1+FixedParams!$D$26)/$CE$12,CL181*(1+FixedParams!$D$24)+CM181*(1+FixedParams!$D$27)/$CE$12))</f>
        <v>93.015423538915599</v>
      </c>
      <c r="CR181" s="24">
        <f t="shared" si="139"/>
        <v>14.9472618064892</v>
      </c>
      <c r="CS181" s="24">
        <f>CR181^((FixedParams!$B$47-1)/FixedParams!$B$47)*EXP($C181)</f>
        <v>0.12849058223660539</v>
      </c>
      <c r="CT181" s="24"/>
    </row>
    <row r="182" spans="1:98" x14ac:dyDescent="0.15">
      <c r="A182">
        <v>0.82500000000000007</v>
      </c>
      <c r="B182">
        <f t="shared" si="103"/>
        <v>0.40237528706294634</v>
      </c>
      <c r="C182">
        <f>(D182-$D$17)*FixedParams!$B$47+$A182*$B$9</f>
        <v>-2.0616875077631707</v>
      </c>
      <c r="D182">
        <f>(A182-$B$6)*FixedParams!$B$46/(FixedParams!$B$45*Sectors!$B$6)</f>
        <v>0.17658921471516267</v>
      </c>
      <c r="E182">
        <f t="shared" si="104"/>
        <v>0.12723907170335633</v>
      </c>
      <c r="F182" s="24">
        <f>EXP(-$D$17)*(($B182*FixedParams!$B$30)^$B$10*(1+FixedParams!$B$23)^(1-$B$10)+(1-$B182)^$B$10*((1+FixedParams!$B$26)/$B$11)^(1-$B$10))^(1/(1-$B$10))</f>
        <v>4.7707882519307159</v>
      </c>
      <c r="G182" s="24">
        <f>EXP($D182-$D$17)*(($B182*FixedParams!$B$31)^$B$10*(1+FixedParams!$B$25)^(1-$B$10)+(1-$B182)^$B$10*((1+FixedParams!$B$28)/$B$11)^(1-$B$10))^(1/(1-$B$10))</f>
        <v>5.4184089610064916</v>
      </c>
      <c r="H182">
        <f t="shared" si="105"/>
        <v>0</v>
      </c>
      <c r="I182" s="24">
        <f>$B$12*IF(H182=1,1,FixedParams!$B$52)</f>
        <v>0.39101505882574561</v>
      </c>
      <c r="J182">
        <f>EXP($C182*FixedParams!$B$47)*EXP(IF(H182=1,(1-FixedParams!$B$47)*$D182,0))*($B182^((FixedParams!$B$47-1)*$B$10/($B$10-1)))*((1/$B182-1)^$B$10*(I182)^($B$10-1)+1)^((FixedParams!$B$47-$B$10)/($B$10-1))/((1+IF(H182=1,FixedParams!$B$25,FixedParams!$B$24))^FixedParams!$B$47)</f>
        <v>5.5629327657688965E-2</v>
      </c>
      <c r="K182">
        <f t="shared" si="134"/>
        <v>1.1216309036704604</v>
      </c>
      <c r="L182">
        <f>K182*FixedParams!$B$8/K$15</f>
        <v>32.609320410952293</v>
      </c>
      <c r="M182">
        <f t="shared" si="94"/>
        <v>14.432044054322821</v>
      </c>
      <c r="N182">
        <f t="shared" si="106"/>
        <v>47.041364465275116</v>
      </c>
      <c r="O182" s="24">
        <f t="shared" si="107"/>
        <v>0.44257420493423161</v>
      </c>
      <c r="P182" s="24">
        <f t="shared" si="95"/>
        <v>1.865450048973865</v>
      </c>
      <c r="Q182" s="23">
        <f>IF(H182=1,L182*(1+FixedParams!$B$25)+M182*FixedParams!$B$33*(1+FixedParams!$B$28)/FixedParams!$B$32,L182*(1+FixedParams!$B$23)+M182*FixedParams!$B$33*(1+FixedParams!$B$26)/FixedParams!$B$32)</f>
        <v>74.836662568768418</v>
      </c>
      <c r="R182" s="24">
        <f t="shared" si="96"/>
        <v>15.686435577701937</v>
      </c>
      <c r="S182" s="24">
        <f>R182^((FixedParams!$B$47-1)/FixedParams!$B$47)*EXP($C182)</f>
        <v>0.12688894045963303</v>
      </c>
      <c r="T182" s="7">
        <f>(L182*FixedParams!$B$32*(FixedParams!$C$25-FixedParams!$C$23)+FixedParams!$B$33*(FixedParams!$C$28-FixedParams!$C$26)*M182)/N182</f>
        <v>3406.5071384660114</v>
      </c>
      <c r="U182" s="7">
        <f>(L182*FixedParams!$B$32*(FixedParams!$C$25-FixedParams!$C$23)*$Z$12/$B$11+FixedParams!$B$33*(FixedParams!$C$28-FixedParams!$C$26)*M182)/N182</f>
        <v>2710.2979025743757</v>
      </c>
      <c r="V182" s="14">
        <f t="shared" si="97"/>
        <v>-0.12386207229084559</v>
      </c>
      <c r="W182" s="14">
        <f t="shared" si="140"/>
        <v>0.93078505335214956</v>
      </c>
      <c r="X182" s="73">
        <f t="shared" si="109"/>
        <v>0.86630296454259526</v>
      </c>
      <c r="Y182" s="24">
        <f>EXP(-$D$17)*(($B182*FixedParams!$B$30)^$B$10*(1+FixedParams!$C$24)^(1-$B$10)+(1-$B182)^$B$10*((1+FixedParams!$C$27)/$Z$12)^(1-$B$10))^(1/(1-$B$10))</f>
        <v>6.5879059193280884</v>
      </c>
      <c r="Z182" s="24">
        <f>EXP($D182-$D$17)*(($B182*FixedParams!$C$31)^$B$10*(1+FixedParams!$C$25)^(1-$B$10)+(1-$B182)^$B$10*((1+FixedParams!$C$28)/$Z$12)^(1-$B$10))^(1/(1-$B$10))</f>
        <v>6.8596244892420133</v>
      </c>
      <c r="AA182" s="24">
        <f>EXP($D182-$D$17)*(($B182*FixedParams!$C$30)^$B$10*(1+FixedParams!$C$23)^(1-$B$10)+(1-$B182)^$B$10*((1+FixedParams!$C$26)/$Z$12)^(1-$B$10))^(1/(1-$B$10))</f>
        <v>6.5044449080425677</v>
      </c>
      <c r="AB182">
        <f>IF(FixedParams!$I$6=1,IF(Z182&lt;=MIN(Y182:AA182),1,0),$H182)</f>
        <v>0</v>
      </c>
      <c r="AC182">
        <f>IF(FixedParams!$I$6=1,IF(AA182&lt;=MIN(Y182:AA182),1,0),IF(AA182&lt;=Y182,1,0)*(1-$H182))</f>
        <v>1</v>
      </c>
      <c r="AD182" s="24">
        <f>$Z$13*IF(AB182=1,1,IF(AC182=1,FixedParams!$C$52,FixedParams!$C$53))</f>
        <v>0.34709202255780691</v>
      </c>
      <c r="AE182">
        <f>EXP($C182*FixedParams!$B$47)*EXP(IF(AB182+AC182=1,(1-FixedParams!$B$47)*$D182,0))*($B182^((FixedParams!$B$47-1)*$B$10/($B$10-1)))*((1/$B182-1)^$B$10*(AD182)^($B$10-1)+1)^((FixedParams!$B$47-$B$10)/($B$10-1))/((1+IF(AB182=1,FixedParams!$C$25,IF(AC182=1,FixedParams!$C$23,FixedParams!$C$24)))^FixedParams!$B$47)</f>
        <v>5.3474382381518325E-2</v>
      </c>
      <c r="AF182">
        <f t="shared" si="110"/>
        <v>1.575739307271564</v>
      </c>
      <c r="AG182">
        <f t="shared" si="111"/>
        <v>37.011696584758845</v>
      </c>
      <c r="AH182">
        <f t="shared" si="98"/>
        <v>13.699408444886807</v>
      </c>
      <c r="AI182">
        <f t="shared" si="112"/>
        <v>50.711105029645651</v>
      </c>
      <c r="AJ182" s="24">
        <f t="shared" si="113"/>
        <v>0.37013727305135552</v>
      </c>
      <c r="AK182" s="24">
        <f t="shared" si="114"/>
        <v>2.1724444129898184</v>
      </c>
      <c r="AL182" s="23">
        <f>IF(AB182=1,AG182*(1+FixedParams!$C$25)+AH182*(1+FixedParams!$C$28)/$Z$12,IF(AC182=1,AG182*(1+FixedParams!$C$23)+AH182*(1+FixedParams!$C$26)/$Z$12,AG182*(1+FixedParams!$C$24)+AH182*(1+FixedParams!$C$27)/$Z$12))</f>
        <v>88.390239455911995</v>
      </c>
      <c r="AM182" s="24">
        <f t="shared" si="115"/>
        <v>13.589205644069626</v>
      </c>
      <c r="AN182" s="24">
        <f>AM182^((FixedParams!$B$47-1)/FixedParams!$B$47)*EXP($C182)</f>
        <v>0.12690717117390518</v>
      </c>
      <c r="AO182" s="24">
        <f t="shared" si="116"/>
        <v>7.5117611068583251E-2</v>
      </c>
      <c r="AP182" s="24">
        <f t="shared" si="117"/>
        <v>-0.14352058801802578</v>
      </c>
      <c r="AQ182" s="14">
        <f t="shared" si="118"/>
        <v>-6.4284005598586338E-2</v>
      </c>
      <c r="AS182" s="24">
        <f>EXP(-$D$17)*(($B182*FixedParams!$B$30)^$B$10*(1+FixedParams!$D$24)^(1-$B$10)+(1-$B182)^$B$10*((1+FixedParams!$D$27)/$AT$12)^(1-$B$10))^(1/(1-$B$10))</f>
        <v>6.0541470136576976</v>
      </c>
      <c r="AT182" s="24">
        <f>EXP($D182-$D$17)*(($B182*FixedParams!$C$31)^$B$10*(1+FixedParams!$D$25)^(1-$B$10)+(1-$B182)^$B$10*((1+FixedParams!$D$28)/$AT$12)^(1-$B$10))^(1/(1-$B$10))</f>
        <v>6.59386993685776</v>
      </c>
      <c r="AU182" s="24">
        <f>EXP($D182-$D$17)*(($B182*FixedParams!$C$30)^$B$10*(1+FixedParams!$D$23)^(1-$B$10)+(1-$B182)^$B$10*((1+FixedParams!$D$26)/$AT$12)^(1-$B$10))^(1/(1-$B$10))</f>
        <v>6.295100412814767</v>
      </c>
      <c r="AV182">
        <f>IF(FixedParams!$I$6=1,IF(AT182&lt;=MIN(AS182:AU182),1,0),$H182)</f>
        <v>0</v>
      </c>
      <c r="AW182">
        <f>IF(FixedParams!$I$6=1,IF(AU182&lt;=MIN(AS182:AU182),1,0),IF(AU182&lt;=AS182,1,0)*(1-$H182))</f>
        <v>0</v>
      </c>
      <c r="AX182" s="24">
        <f>$AT$13*IF(AV182=1,1,IF(AW182=1,FixedParams!$D$52,FixedParams!$D$53))</f>
        <v>0.44031288407969205</v>
      </c>
      <c r="AY182">
        <f>EXP($C182*FixedParams!$B$47)*EXP(IF(AV182+AW182=1,(1-FixedParams!$B$47)*$D182,0))*($B182^((FixedParams!$B$47-1)*$B$10/($B$10-1)))*((1/$B182-1)^$B$10*(AX182)^($B$10-1)+1)^((FixedParams!$B$47-$B$10)/($B$10-1))/((1+IF(AV182=1,FixedParams!$D$25,IF(AW182=1,FixedParams!$D$23,FixedParams!$D$24)))^FixedParams!$B$47)</f>
        <v>3.983871026856687E-2</v>
      </c>
      <c r="AZ182">
        <f t="shared" si="99"/>
        <v>1.0727600932670807</v>
      </c>
      <c r="BA182">
        <f t="shared" si="119"/>
        <v>26.990500472574123</v>
      </c>
      <c r="BB182">
        <f t="shared" si="100"/>
        <v>14.274105451659587</v>
      </c>
      <c r="BC182">
        <f t="shared" si="120"/>
        <v>41.264605924233706</v>
      </c>
      <c r="BD182" s="24">
        <f t="shared" si="121"/>
        <v>0.52885664221617323</v>
      </c>
      <c r="BE182" s="24">
        <f t="shared" si="122"/>
        <v>2.0501022321389866</v>
      </c>
      <c r="BF182" s="23">
        <f>IF(AV182=1,BA182*(1+FixedParams!$C$25)+BB182*(1+FixedParams!$C$28)/$AT$12,IF(AW182=1,BA182*(1+FixedParams!$C$23)+BB182*(1+FixedParams!$C$26)/$AT$12,BA182*(1+FixedParams!$C$24)+BB182*(1+FixedParams!$C$27)/$AT$12))</f>
        <v>93.585450537442284</v>
      </c>
      <c r="BG182" s="24">
        <f t="shared" si="123"/>
        <v>15.458073668564802</v>
      </c>
      <c r="BH182" s="24">
        <f>BG182^((FixedParams!$B$47-1)/FixedParams!$B$47)*EXP($C182)</f>
        <v>0.12689080315323314</v>
      </c>
      <c r="BI182" s="7"/>
      <c r="BJ182" s="24">
        <f>EXP(-$D$17)*(($B182*FixedParams!$B$30)^$B$10*(1+FixedParams!$C$24)^(1-$B$10)+(1-$B182)^$B$10*((1+FixedParams!$C$27)/$BK$12)^(1-$B$10))^(1/(1-$B$10))</f>
        <v>6.7737194366728994</v>
      </c>
      <c r="BK182" s="24">
        <f>EXP($D182-$D$17)*(($B182*FixedParams!$C$31)^$B$10*(1+FixedParams!$C$25)^(1-$B$10)+(1-$B182)^$B$10*((1+FixedParams!$C$28)/$BK$12)^(1-$B$10))^(1/(1-$B$10))</f>
        <v>7.0485939307153886</v>
      </c>
      <c r="BL182" s="24">
        <f>EXP($D182-$D$17)*(($B182*FixedParams!$C$30)^$B$10*(1+FixedParams!$C$23)^(1-$B$10)+(1-$B182)^$B$10*((1+FixedParams!$C$26)/$BK$12)^(1-$B$10))^(1/(1-$B$10))</f>
        <v>6.6744787897544349</v>
      </c>
      <c r="BM182">
        <f>IF(FixedParams!$I$6=1,IF(BK182&lt;=MIN(BJ182:BL182),1,0),$H182)</f>
        <v>0</v>
      </c>
      <c r="BN182">
        <f>IF(FixedParams!$I$6=1,IF(BL182&lt;=MIN(BJ182:BL182),1,0),IF(BL182&lt;=BJ182,1,0)*(1-$H182))</f>
        <v>1</v>
      </c>
      <c r="BO182" s="24">
        <f>$BK$13*IF(BM182=1,1,IF(BN182=1,FixedParams!$C$52,FixedParams!$C$53))</f>
        <v>0.33006170822567266</v>
      </c>
      <c r="BP182">
        <f>EXP($C182*FixedParams!$B$47)*EXP(IF(BM182+BN182=1,(1-FixedParams!$B$47)*$D182,0))*($B182^((FixedParams!$B$47-1)*$B$10/($B$10-1)))*((1/$B182-1)^$B$10*(BO182)^($B$10-1)+1)^((FixedParams!$B$47-$B$10)/($B$10-1))/((1+IF(BM182=1,FixedParams!$C$25,IF(BN182=1,FixedParams!$C$23,FixedParams!$C$24)))^FixedParams!$B$47)</f>
        <v>5.4170212994605151E-2</v>
      </c>
      <c r="BQ182">
        <f t="shared" si="124"/>
        <v>1.5583552662404745</v>
      </c>
      <c r="BR182">
        <f t="shared" si="125"/>
        <v>39.744540255737114</v>
      </c>
      <c r="BS182">
        <f t="shared" si="101"/>
        <v>13.641623685945884</v>
      </c>
      <c r="BT182">
        <f t="shared" si="126"/>
        <v>53.386163941682995</v>
      </c>
      <c r="BU182" s="24">
        <f t="shared" si="127"/>
        <v>0.34323264524305874</v>
      </c>
      <c r="BV182" s="24">
        <f t="shared" si="128"/>
        <v>2.1198557107497749</v>
      </c>
      <c r="BW182" s="23">
        <f>IF(BM182=1,BR182*(1+FixedParams!$C$25)+BS182*(1+FixedParams!$C$28)/$BK$12,IF(BN182=1,BR182*(1+FixedParams!$C$23)+BS182*(1+FixedParams!$C$26)/$BK$12,BR182*(1+FixedParams!$C$24)+BS182*(1+FixedParams!$C$27)/$BK$12))</f>
        <v>93.699923434600038</v>
      </c>
      <c r="BX182" s="24">
        <f t="shared" si="129"/>
        <v>14.038537897286123</v>
      </c>
      <c r="BY182" s="24">
        <f>BX182^((FixedParams!$B$47-1)/FixedParams!$B$47)*EXP($C182)</f>
        <v>0.12690303875752876</v>
      </c>
      <c r="BZ182" s="24">
        <f t="shared" si="130"/>
        <v>0.12652430051831293</v>
      </c>
      <c r="CA182" s="24">
        <f t="shared" si="131"/>
        <v>-0.11099010816442938</v>
      </c>
      <c r="CB182" s="24">
        <f t="shared" si="132"/>
        <v>-9.3661652245022126E-2</v>
      </c>
      <c r="CC182" s="24"/>
      <c r="CD182" s="24">
        <f>EXP(-$D$17)*(($B182*FixedParams!$B$30)^$B$10*(1+FixedParams!$D$24)^(1-$B$10)+(1-$B182)^$B$10*((1+FixedParams!$D$27)/$CE$12)^(1-$B$10))^(1/(1-$B$10))</f>
        <v>6.2106632437007576</v>
      </c>
      <c r="CE182" s="24">
        <f>EXP($D182-$D$17)*(($B182*FixedParams!$D$31)^$B$10*(1+FixedParams!$D$25)^(1-$B$10)+(1-$B182)^$B$10*((1+FixedParams!$D$28)/$CE$12)^(1-$B$10))^(1/(1-$B$10))</f>
        <v>6.7616065351271493</v>
      </c>
      <c r="CF182" s="24">
        <f>EXP($D182-$D$17)*(($B182*FixedParams!$D$30)^$B$10*(1+FixedParams!$D$23)^(1-$B$10)+(1-$B182)^$B$10*((1+FixedParams!$D$26)/$CE$12)^(1-$B$10))^(1/(1-$B$10))</f>
        <v>6.4486442501779537</v>
      </c>
      <c r="CG182">
        <f>IF(FixedParams!$I$6=1,IF(CE182&lt;=MIN(CD182:CF182),1,0),$H182)</f>
        <v>0</v>
      </c>
      <c r="CH182">
        <f>IF(FixedParams!$I$6=1,IF(CF182&lt;=MIN(CD182:CF182),1,0),IF(CF182&lt;=CD182,1,0)*(1-$H182))</f>
        <v>0</v>
      </c>
      <c r="CI182" s="24">
        <f>$CE$13*IF(CG182=1,1,IF(CH182=1,FixedParams!$D$52,FixedParams!$D$53))</f>
        <v>0.42008589776177102</v>
      </c>
      <c r="CJ182">
        <f>EXP($C182*FixedParams!$B$47)*EXP(IF(CG182+CH182=1,(1-FixedParams!$B$47)*$D182,0))*($B182^((FixedParams!$B$47-1)*$B$10/($B$10-1)))*((1/$B182-1)^$B$10*(CI182)^($B$10-1)+1)^((FixedParams!$B$47-$B$10)/($B$10-1))/((1+IF(CG182=1,FixedParams!$D$25,IF(CH182=1,FixedParams!$D$23,FixedParams!$D$24)))^FixedParams!$B$47)</f>
        <v>4.0351423906812317E-2</v>
      </c>
      <c r="CK182">
        <f t="shared" si="133"/>
        <v>1.0624675256961746</v>
      </c>
      <c r="CL182">
        <f t="shared" si="135"/>
        <v>29.026912182694673</v>
      </c>
      <c r="CM182">
        <f t="shared" si="102"/>
        <v>14.30552714322843</v>
      </c>
      <c r="CN182">
        <f t="shared" si="136"/>
        <v>43.332439325923104</v>
      </c>
      <c r="CO182" s="24">
        <f t="shared" si="137"/>
        <v>0.49283668387425411</v>
      </c>
      <c r="CP182" s="24">
        <f t="shared" si="138"/>
        <v>2.0064911387671232</v>
      </c>
      <c r="CQ182" s="23">
        <f>IF(CG182=1,CL182*(1+FixedParams!$D$25)+CM182*(1+FixedParams!$D$28)/$CE$12,IF(CH182=1,CL182*(1+FixedParams!$D$23)+CM182*(1+FixedParams!$D$26)/$CE$12,CL182*(1+FixedParams!$D$24)+CM182*(1+FixedParams!$D$27)/$CE$12))</f>
        <v>91.861386616565269</v>
      </c>
      <c r="CR182" s="24">
        <f t="shared" si="139"/>
        <v>14.790914112069565</v>
      </c>
      <c r="CS182" s="24">
        <f>CR182^((FixedParams!$B$47-1)/FixedParams!$B$47)*EXP($C182)</f>
        <v>0.12689640709410019</v>
      </c>
      <c r="CT182" s="24"/>
    </row>
    <row r="183" spans="1:98" x14ac:dyDescent="0.15">
      <c r="A183">
        <v>0.83000000000000007</v>
      </c>
      <c r="B183">
        <f t="shared" si="103"/>
        <v>0.40514707678705481</v>
      </c>
      <c r="C183">
        <f>(D183-$D$17)*FixedParams!$B$47+$A183*$B$9</f>
        <v>-2.0741825835677954</v>
      </c>
      <c r="D183">
        <f>(A183-$B$6)*FixedParams!$B$46/(FixedParams!$B$45*Sectors!$B$6)</f>
        <v>0.17930597186462671</v>
      </c>
      <c r="E183">
        <f t="shared" si="104"/>
        <v>0.12565910133812611</v>
      </c>
      <c r="F183" s="24">
        <f>EXP(-$D$17)*(($B183*FixedParams!$B$30)^$B$10*(1+FixedParams!$B$23)^(1-$B$10)+(1-$B183)^$B$10*((1+FixedParams!$B$26)/$B$11)^(1-$B$10))^(1/(1-$B$10))</f>
        <v>4.7596837639322489</v>
      </c>
      <c r="G183" s="24">
        <f>EXP($D183-$D$17)*(($B183*FixedParams!$B$31)^$B$10*(1+FixedParams!$B$25)^(1-$B$10)+(1-$B183)^$B$10*((1+FixedParams!$B$28)/$B$11)^(1-$B$10))^(1/(1-$B$10))</f>
        <v>5.4195019449888688</v>
      </c>
      <c r="H183">
        <f t="shared" si="105"/>
        <v>0</v>
      </c>
      <c r="I183" s="24">
        <f>$B$12*IF(H183=1,1,FixedParams!$B$52)</f>
        <v>0.39101505882574561</v>
      </c>
      <c r="J183">
        <f>EXP($C183*FixedParams!$B$47)*EXP(IF(H183=1,(1-FixedParams!$B$47)*$D183,0))*($B183^((FixedParams!$B$47-1)*$B$10/($B$10-1)))*((1/$B183-1)^$B$10*(I183)^($B$10-1)+1)^((FixedParams!$B$47-$B$10)/($B$10-1))/((1+IF(H183=1,FixedParams!$B$25,FixedParams!$B$24))^FixedParams!$B$47)</f>
        <v>5.5443134749938693E-2</v>
      </c>
      <c r="K183">
        <f t="shared" si="134"/>
        <v>1.117876773822585</v>
      </c>
      <c r="L183">
        <f>K183*FixedParams!$B$8/K$15</f>
        <v>32.5001761080688</v>
      </c>
      <c r="M183">
        <f t="shared" si="94"/>
        <v>14.137456279364983</v>
      </c>
      <c r="N183">
        <f t="shared" si="106"/>
        <v>46.637632387433783</v>
      </c>
      <c r="O183" s="24">
        <f t="shared" si="107"/>
        <v>0.43499629763098685</v>
      </c>
      <c r="P183" s="24">
        <f t="shared" si="95"/>
        <v>1.8611080269459146</v>
      </c>
      <c r="Q183" s="23">
        <f>IF(H183=1,L183*(1+FixedParams!$B$25)+M183*FixedParams!$B$33*(1+FixedParams!$B$28)/FixedParams!$B$32,L183*(1+FixedParams!$B$23)+M183*FixedParams!$B$33*(1+FixedParams!$B$26)/FixedParams!$B$32)</f>
        <v>73.908141804389487</v>
      </c>
      <c r="R183" s="24">
        <f t="shared" si="96"/>
        <v>15.527952164479455</v>
      </c>
      <c r="S183" s="24">
        <f>R183^((FixedParams!$B$47-1)/FixedParams!$B$47)*EXP($C183)</f>
        <v>0.12531459157844738</v>
      </c>
      <c r="T183" s="7">
        <f>(L183*FixedParams!$B$32*(FixedParams!$C$25-FixedParams!$C$23)+FixedParams!$B$33*(FixedParams!$C$28-FixedParams!$C$26)*M183)/N183</f>
        <v>3448.0371902201932</v>
      </c>
      <c r="U183" s="7">
        <f>(L183*FixedParams!$B$32*(FixedParams!$C$25-FixedParams!$C$23)*$Z$12/$B$11+FixedParams!$B$33*(FixedParams!$C$28-FixedParams!$C$26)*M183)/N183</f>
        <v>2748.1514228546025</v>
      </c>
      <c r="V183" s="14">
        <f t="shared" si="97"/>
        <v>-0.1065914469947619</v>
      </c>
      <c r="W183" s="14">
        <f t="shared" si="140"/>
        <v>0.93307252996859735</v>
      </c>
      <c r="X183" s="73">
        <f t="shared" si="109"/>
        <v>0.86439827899220345</v>
      </c>
      <c r="Y183" s="24">
        <f>EXP(-$D$17)*(($B183*FixedParams!$B$30)^$B$10*(1+FixedParams!$C$24)^(1-$B$10)+(1-$B183)^$B$10*((1+FixedParams!$C$27)/$Z$12)^(1-$B$10))^(1/(1-$B$10))</f>
        <v>6.5782647360104152</v>
      </c>
      <c r="Z183" s="24">
        <f>EXP($D183-$D$17)*(($B183*FixedParams!$C$31)^$B$10*(1+FixedParams!$C$25)^(1-$B$10)+(1-$B183)^$B$10*((1+FixedParams!$C$28)/$Z$12)^(1-$B$10))^(1/(1-$B$10))</f>
        <v>6.8652065321125155</v>
      </c>
      <c r="AA183" s="24">
        <f>EXP($D183-$D$17)*(($B183*FixedParams!$C$30)^$B$10*(1+FixedParams!$C$23)^(1-$B$10)+(1-$B183)^$B$10*((1+FixedParams!$C$26)/$Z$12)^(1-$B$10))^(1/(1-$B$10))</f>
        <v>6.5036185528760821</v>
      </c>
      <c r="AB183">
        <f>IF(FixedParams!$I$6=1,IF(Z183&lt;=MIN(Y183:AA183),1,0),$H183)</f>
        <v>0</v>
      </c>
      <c r="AC183">
        <f>IF(FixedParams!$I$6=1,IF(AA183&lt;=MIN(Y183:AA183),1,0),IF(AA183&lt;=Y183,1,0)*(1-$H183))</f>
        <v>1</v>
      </c>
      <c r="AD183" s="24">
        <f>$Z$13*IF(AB183=1,1,IF(AC183=1,FixedParams!$C$52,FixedParams!$C$53))</f>
        <v>0.34709202255780691</v>
      </c>
      <c r="AE183">
        <f>EXP($C183*FixedParams!$B$47)*EXP(IF(AB183+AC183=1,(1-FixedParams!$B$47)*$D183,0))*($B183^((FixedParams!$B$47-1)*$B$10/($B$10-1)))*((1/$B183-1)^$B$10*(AD183)^($B$10-1)+1)^((FixedParams!$B$47-$B$10)/($B$10-1))/((1+IF(AB183=1,FixedParams!$C$25,IF(AC183=1,FixedParams!$C$23,FixedParams!$C$24)))^FixedParams!$B$47)</f>
        <v>5.3281837782577918E-2</v>
      </c>
      <c r="AF183">
        <f t="shared" si="110"/>
        <v>1.5700655607140328</v>
      </c>
      <c r="AG183">
        <f t="shared" si="111"/>
        <v>36.878428990863647</v>
      </c>
      <c r="AH183">
        <f t="shared" si="98"/>
        <v>13.416359770949205</v>
      </c>
      <c r="AI183">
        <f t="shared" si="112"/>
        <v>50.294788761812853</v>
      </c>
      <c r="AJ183" s="24">
        <f t="shared" si="113"/>
        <v>0.36379965573568784</v>
      </c>
      <c r="AK183" s="24">
        <f t="shared" si="114"/>
        <v>2.1721684154696677</v>
      </c>
      <c r="AL183" s="23">
        <f>IF(AB183=1,AG183*(1+FixedParams!$C$25)+AH183*(1+FixedParams!$C$28)/$Z$12,IF(AC183=1,AG183*(1+FixedParams!$C$23)+AH183*(1+FixedParams!$C$26)/$Z$12,AG183*(1+FixedParams!$C$24)+AH183*(1+FixedParams!$C$27)/$Z$12))</f>
        <v>87.293747756498902</v>
      </c>
      <c r="AM183" s="24">
        <f t="shared" si="115"/>
        <v>13.422335127249301</v>
      </c>
      <c r="AN183" s="24">
        <f>AM183^((FixedParams!$B$47-1)/FixedParams!$B$47)*EXP($C183)</f>
        <v>0.12533287223948955</v>
      </c>
      <c r="AO183" s="24">
        <f t="shared" si="116"/>
        <v>7.5493691402660074E-2</v>
      </c>
      <c r="AP183" s="24">
        <f t="shared" si="117"/>
        <v>-0.14572164533680759</v>
      </c>
      <c r="AQ183" s="14">
        <f t="shared" si="118"/>
        <v>-4.7013380302502267E-2</v>
      </c>
      <c r="AS183" s="24">
        <f>EXP(-$D$17)*(($B183*FixedParams!$B$30)^$B$10*(1+FixedParams!$D$24)^(1-$B$10)+(1-$B183)^$B$10*((1+FixedParams!$D$27)/$AT$12)^(1-$B$10))^(1/(1-$B$10))</f>
        <v>6.0431363171933423</v>
      </c>
      <c r="AT183" s="24">
        <f>EXP($D183-$D$17)*(($B183*FixedParams!$C$31)^$B$10*(1+FixedParams!$D$25)^(1-$B$10)+(1-$B183)^$B$10*((1+FixedParams!$D$28)/$AT$12)^(1-$B$10))^(1/(1-$B$10))</f>
        <v>6.5978251434053847</v>
      </c>
      <c r="AU183" s="24">
        <f>EXP($D183-$D$17)*(($B183*FixedParams!$C$30)^$B$10*(1+FixedParams!$D$23)^(1-$B$10)+(1-$B183)^$B$10*((1+FixedParams!$D$26)/$AT$12)^(1-$B$10))^(1/(1-$B$10))</f>
        <v>6.2941514264563097</v>
      </c>
      <c r="AV183">
        <f>IF(FixedParams!$I$6=1,IF(AT183&lt;=MIN(AS183:AU183),1,0),$H183)</f>
        <v>0</v>
      </c>
      <c r="AW183">
        <f>IF(FixedParams!$I$6=1,IF(AU183&lt;=MIN(AS183:AU183),1,0),IF(AU183&lt;=AS183,1,0)*(1-$H183))</f>
        <v>0</v>
      </c>
      <c r="AX183" s="24">
        <f>$AT$13*IF(AV183=1,1,IF(AW183=1,FixedParams!$D$52,FixedParams!$D$53))</f>
        <v>0.44031288407969205</v>
      </c>
      <c r="AY183">
        <f>EXP($C183*FixedParams!$B$47)*EXP(IF(AV183+AW183=1,(1-FixedParams!$B$47)*$D183,0))*($B183^((FixedParams!$B$47-1)*$B$10/($B$10-1)))*((1/$B183-1)^$B$10*(AX183)^($B$10-1)+1)^((FixedParams!$B$47-$B$10)/($B$10-1))/((1+IF(AV183=1,FixedParams!$D$25,IF(AW183=1,FixedParams!$D$23,FixedParams!$D$24)))^FixedParams!$B$47)</f>
        <v>3.9715514502406943E-2</v>
      </c>
      <c r="AZ183">
        <f t="shared" si="99"/>
        <v>1.0694427293086368</v>
      </c>
      <c r="BA183">
        <f t="shared" si="119"/>
        <v>26.907036039053491</v>
      </c>
      <c r="BB183">
        <f t="shared" si="100"/>
        <v>13.986314395767492</v>
      </c>
      <c r="BC183">
        <f t="shared" si="120"/>
        <v>40.893350434820981</v>
      </c>
      <c r="BD183" s="24">
        <f t="shared" si="121"/>
        <v>0.51980137743404486</v>
      </c>
      <c r="BE183" s="24">
        <f t="shared" si="122"/>
        <v>2.0463737046770576</v>
      </c>
      <c r="BF183" s="23">
        <f>IF(AV183=1,BA183*(1+FixedParams!$C$25)+BB183*(1+FixedParams!$C$28)/$AT$12,IF(AW183=1,BA183*(1+FixedParams!$C$23)+BB183*(1+FixedParams!$C$26)/$AT$12,BA183*(1+FixedParams!$C$24)+BB183*(1+FixedParams!$C$27)/$AT$12))</f>
        <v>92.46290327672628</v>
      </c>
      <c r="BG183" s="24">
        <f t="shared" si="123"/>
        <v>15.300482799578727</v>
      </c>
      <c r="BH183" s="24">
        <f>BG183^((FixedParams!$B$47-1)/FixedParams!$B$47)*EXP($C183)</f>
        <v>0.12531644275856427</v>
      </c>
      <c r="BI183" s="7"/>
      <c r="BJ183" s="24">
        <f>EXP(-$D$17)*(($B183*FixedParams!$B$30)^$B$10*(1+FixedParams!$C$24)^(1-$B$10)+(1-$B183)^$B$10*((1+FixedParams!$C$27)/$BK$12)^(1-$B$10))^(1/(1-$B$10))</f>
        <v>6.7623523779369457</v>
      </c>
      <c r="BK183" s="24">
        <f>EXP($D183-$D$17)*(($B183*FixedParams!$C$31)^$B$10*(1+FixedParams!$C$25)^(1-$B$10)+(1-$B183)^$B$10*((1+FixedParams!$C$28)/$BK$12)^(1-$B$10))^(1/(1-$B$10))</f>
        <v>7.0528064380102453</v>
      </c>
      <c r="BL183" s="24">
        <f>EXP($D183-$D$17)*(($B183*FixedParams!$C$30)^$B$10*(1+FixedParams!$C$23)^(1-$B$10)+(1-$B183)^$B$10*((1+FixedParams!$C$26)/$BK$12)^(1-$B$10))^(1/(1-$B$10))</f>
        <v>6.6721820265892715</v>
      </c>
      <c r="BM183">
        <f>IF(FixedParams!$I$6=1,IF(BK183&lt;=MIN(BJ183:BL183),1,0),$H183)</f>
        <v>0</v>
      </c>
      <c r="BN183">
        <f>IF(FixedParams!$I$6=1,IF(BL183&lt;=MIN(BJ183:BL183),1,0),IF(BL183&lt;=BJ183,1,0)*(1-$H183))</f>
        <v>1</v>
      </c>
      <c r="BO183" s="24">
        <f>$BK$13*IF(BM183=1,1,IF(BN183=1,FixedParams!$C$52,FixedParams!$C$53))</f>
        <v>0.33006170822567266</v>
      </c>
      <c r="BP183">
        <f>EXP($C183*FixedParams!$B$47)*EXP(IF(BM183+BN183=1,(1-FixedParams!$B$47)*$D183,0))*($B183^((FixedParams!$B$47-1)*$B$10/($B$10-1)))*((1/$B183-1)^$B$10*(BO183)^($B$10-1)+1)^((FixedParams!$B$47-$B$10)/($B$10-1))/((1+IF(BM183=1,FixedParams!$C$25,IF(BN183=1,FixedParams!$C$23,FixedParams!$C$24)))^FixedParams!$B$47)</f>
        <v>5.3969292045014459E-2</v>
      </c>
      <c r="BQ183">
        <f t="shared" si="124"/>
        <v>1.5525752221427362</v>
      </c>
      <c r="BR183">
        <f t="shared" si="125"/>
        <v>39.597125092905408</v>
      </c>
      <c r="BS183">
        <f t="shared" si="101"/>
        <v>13.358315782065066</v>
      </c>
      <c r="BT183">
        <f t="shared" si="126"/>
        <v>52.955440874970478</v>
      </c>
      <c r="BU183" s="24">
        <f t="shared" si="127"/>
        <v>0.33735569819078776</v>
      </c>
      <c r="BV183" s="24">
        <f t="shared" si="128"/>
        <v>2.1191262445749204</v>
      </c>
      <c r="BW183" s="23">
        <f>IF(BM183=1,BR183*(1+FixedParams!$C$25)+BS183*(1+FixedParams!$C$28)/$BK$12,IF(BN183=1,BR183*(1+FixedParams!$C$23)+BS183*(1+FixedParams!$C$26)/$BK$12,BR183*(1+FixedParams!$C$24)+BS183*(1+FixedParams!$C$27)/$BK$12))</f>
        <v>92.537544366387962</v>
      </c>
      <c r="BX183" s="24">
        <f t="shared" si="129"/>
        <v>13.869157645522433</v>
      </c>
      <c r="BY183" s="24">
        <f>BX183^((FixedParams!$B$47-1)/FixedParams!$B$47)*EXP($C183)</f>
        <v>0.12532876387514619</v>
      </c>
      <c r="BZ183" s="24">
        <f t="shared" si="130"/>
        <v>0.12704304453445286</v>
      </c>
      <c r="CA183" s="24">
        <f t="shared" si="131"/>
        <v>-0.1129742648998938</v>
      </c>
      <c r="CB183" s="24">
        <f t="shared" si="132"/>
        <v>-9.5645808980486552E-2</v>
      </c>
      <c r="CC183" s="24"/>
      <c r="CD183" s="24">
        <f>EXP(-$D$17)*(($B183*FixedParams!$B$30)^$B$10*(1+FixedParams!$D$24)^(1-$B$10)+(1-$B183)^$B$10*((1+FixedParams!$D$27)/$CE$12)^(1-$B$10))^(1/(1-$B$10))</f>
        <v>6.1981176037287922</v>
      </c>
      <c r="CE183" s="24">
        <f>EXP($D183-$D$17)*(($B183*FixedParams!$D$31)^$B$10*(1+FixedParams!$D$25)^(1-$B$10)+(1-$B183)^$B$10*((1+FixedParams!$D$28)/$CE$12)^(1-$B$10))^(1/(1-$B$10))</f>
        <v>6.7642944268473597</v>
      </c>
      <c r="CF183" s="24">
        <f>EXP($D183-$D$17)*(($B183*FixedParams!$D$30)^$B$10*(1+FixedParams!$D$23)^(1-$B$10)+(1-$B183)^$B$10*((1+FixedParams!$D$26)/$CE$12)^(1-$B$10))^(1/(1-$B$10))</f>
        <v>6.4463636678430296</v>
      </c>
      <c r="CG183">
        <f>IF(FixedParams!$I$6=1,IF(CE183&lt;=MIN(CD183:CF183),1,0),$H183)</f>
        <v>0</v>
      </c>
      <c r="CH183">
        <f>IF(FixedParams!$I$6=1,IF(CF183&lt;=MIN(CD183:CF183),1,0),IF(CF183&lt;=CD183,1,0)*(1-$H183))</f>
        <v>0</v>
      </c>
      <c r="CI183" s="24">
        <f>$CE$13*IF(CG183=1,1,IF(CH183=1,FixedParams!$D$52,FixedParams!$D$53))</f>
        <v>0.42008589776177102</v>
      </c>
      <c r="CJ183">
        <f>EXP($C183*FixedParams!$B$47)*EXP(IF(CG183+CH183=1,(1-FixedParams!$B$47)*$D183,0))*($B183^((FixedParams!$B$47-1)*$B$10/($B$10-1)))*((1/$B183-1)^$B$10*(CI183)^($B$10-1)+1)^((FixedParams!$B$47-$B$10)/($B$10-1))/((1+IF(CG183=1,FixedParams!$D$25,IF(CH183=1,FixedParams!$D$23,FixedParams!$D$24)))^FixedParams!$B$47)</f>
        <v>4.0222577876826808E-2</v>
      </c>
      <c r="CK183">
        <f t="shared" si="133"/>
        <v>1.0590749633174437</v>
      </c>
      <c r="CL183">
        <f t="shared" si="135"/>
        <v>28.934226422556065</v>
      </c>
      <c r="CM183">
        <f t="shared" si="102"/>
        <v>14.01568618972043</v>
      </c>
      <c r="CN183">
        <f t="shared" si="136"/>
        <v>42.949912612276492</v>
      </c>
      <c r="CO183" s="24">
        <f t="shared" si="137"/>
        <v>0.48439816517072365</v>
      </c>
      <c r="CP183" s="24">
        <f t="shared" si="138"/>
        <v>2.0024379942886421</v>
      </c>
      <c r="CQ183" s="23">
        <f>IF(CG183=1,CL183*(1+FixedParams!$D$25)+CM183*(1+FixedParams!$D$28)/$CE$12,IF(CH183=1,CL183*(1+FixedParams!$D$23)+CM183*(1+FixedParams!$D$26)/$CE$12,CL183*(1+FixedParams!$D$24)+CM183*(1+FixedParams!$D$27)/$CE$12))</f>
        <v>90.721662995035288</v>
      </c>
      <c r="CR183" s="24">
        <f t="shared" si="139"/>
        <v>14.636970253752054</v>
      </c>
      <c r="CS183" s="24">
        <f>CR183^((FixedParams!$B$47-1)/FixedParams!$B$47)*EXP($C183)</f>
        <v>0.12532200420318676</v>
      </c>
      <c r="CT183" s="24"/>
    </row>
    <row r="184" spans="1:98" x14ac:dyDescent="0.15">
      <c r="A184">
        <v>0.83499999999999996</v>
      </c>
      <c r="B184">
        <f t="shared" si="103"/>
        <v>0.40792492727767438</v>
      </c>
      <c r="C184">
        <f>(D184-$D$17)*FixedParams!$B$47+$A184*$B$9</f>
        <v>-2.0866776593724206</v>
      </c>
      <c r="D184">
        <f>(A184-$B$6)*FixedParams!$B$46/(FixedParams!$B$45*Sectors!$B$6)</f>
        <v>0.1820227290140907</v>
      </c>
      <c r="E184">
        <f t="shared" si="104"/>
        <v>0.12409874999653053</v>
      </c>
      <c r="F184" s="24">
        <f>EXP(-$D$17)*(($B184*FixedParams!$B$30)^$B$10*(1+FixedParams!$B$23)^(1-$B$10)+(1-$B184)^$B$10*((1+FixedParams!$B$26)/$B$11)^(1-$B$10))^(1/(1-$B$10))</f>
        <v>4.7483540878443584</v>
      </c>
      <c r="G184" s="24">
        <f>EXP($D184-$D$17)*(($B184*FixedParams!$B$31)^$B$10*(1+FixedParams!$B$25)^(1-$B$10)+(1-$B184)^$B$10*((1+FixedParams!$B$28)/$B$11)^(1-$B$10))^(1/(1-$B$10))</f>
        <v>5.420307761173019</v>
      </c>
      <c r="H184">
        <f t="shared" si="105"/>
        <v>0</v>
      </c>
      <c r="I184" s="24">
        <f>$B$12*IF(H184=1,1,FixedParams!$B$52)</f>
        <v>0.39101505882574561</v>
      </c>
      <c r="J184">
        <f>EXP($C184*FixedParams!$B$47)*EXP(IF(H184=1,(1-FixedParams!$B$47)*$D184,0))*($B184^((FixedParams!$B$47-1)*$B$10/($B$10-1)))*((1/$B184-1)^$B$10*(I184)^($B$10-1)+1)^((FixedParams!$B$47-$B$10)/($B$10-1))/((1+IF(H184=1,FixedParams!$B$25,FixedParams!$B$24))^FixedParams!$B$47)</f>
        <v>5.5253453518570486E-2</v>
      </c>
      <c r="K184">
        <f t="shared" si="134"/>
        <v>1.1140523103622677</v>
      </c>
      <c r="L184">
        <f>K184*FixedParams!$B$8/K$15</f>
        <v>32.388986986969023</v>
      </c>
      <c r="M184">
        <f t="shared" si="94"/>
        <v>13.847851202850343</v>
      </c>
      <c r="N184">
        <f t="shared" si="106"/>
        <v>46.236838189819366</v>
      </c>
      <c r="O184" s="24">
        <f t="shared" si="107"/>
        <v>0.42754814185518408</v>
      </c>
      <c r="P184" s="24">
        <f t="shared" si="95"/>
        <v>1.8566779529839315</v>
      </c>
      <c r="Q184" s="23">
        <f>IF(H184=1,L184*(1+FixedParams!$B$25)+M184*FixedParams!$B$33*(1+FixedParams!$B$28)/FixedParams!$B$32,L184*(1+FixedParams!$B$23)+M184*FixedParams!$B$33*(1+FixedParams!$B$26)/FixedParams!$B$32)</f>
        <v>72.99113761493939</v>
      </c>
      <c r="R184" s="24">
        <f t="shared" si="96"/>
        <v>15.371881764629659</v>
      </c>
      <c r="S184" s="24">
        <f>R184^((FixedParams!$B$47-1)/FixedParams!$B$47)*EXP($C184)</f>
        <v>0.12375976957005749</v>
      </c>
      <c r="T184" s="7">
        <f>(L184*FixedParams!$B$32*(FixedParams!$C$25-FixedParams!$C$23)+FixedParams!$B$33*(FixedParams!$C$28-FixedParams!$C$26)*M184)/N184</f>
        <v>3489.2858017336621</v>
      </c>
      <c r="U184" s="7">
        <f>(L184*FixedParams!$B$32*(FixedParams!$C$25-FixedParams!$C$23)*$Z$12/$B$11+FixedParams!$B$33*(FixedParams!$C$28-FixedParams!$C$26)*M184)/N184</f>
        <v>2785.7484179582516</v>
      </c>
      <c r="V184" s="14">
        <f t="shared" si="97"/>
        <v>-8.9320821698678637E-2</v>
      </c>
      <c r="W184" s="14">
        <f t="shared" si="140"/>
        <v>0.93534034848260472</v>
      </c>
      <c r="X184" s="73">
        <f t="shared" si="109"/>
        <v>0.86249807447072069</v>
      </c>
      <c r="Y184" s="24">
        <f>EXP(-$D$17)*(($B184*FixedParams!$B$30)^$B$10*(1+FixedParams!$C$24)^(1-$B$10)+(1-$B184)^$B$10*((1+FixedParams!$C$27)/$Z$12)^(1-$B$10))^(1/(1-$B$10))</f>
        <v>6.5682981091343624</v>
      </c>
      <c r="Z184" s="24">
        <f>EXP($D184-$D$17)*(($B184*FixedParams!$C$31)^$B$10*(1+FixedParams!$C$25)^(1-$B$10)+(1-$B184)^$B$10*((1+FixedParams!$C$28)/$Z$12)^(1-$B$10))^(1/(1-$B$10))</f>
        <v>6.8704332191348776</v>
      </c>
      <c r="AA184" s="24">
        <f>EXP($D184-$D$17)*(($B184*FixedParams!$C$30)^$B$10*(1+FixedParams!$C$23)^(1-$B$10)+(1-$B184)^$B$10*((1+FixedParams!$C$26)/$Z$12)^(1-$B$10))^(1/(1-$B$10))</f>
        <v>6.5024463191729911</v>
      </c>
      <c r="AB184">
        <f>IF(FixedParams!$I$6=1,IF(Z184&lt;=MIN(Y184:AA184),1,0),$H184)</f>
        <v>0</v>
      </c>
      <c r="AC184">
        <f>IF(FixedParams!$I$6=1,IF(AA184&lt;=MIN(Y184:AA184),1,0),IF(AA184&lt;=Y184,1,0)*(1-$H184))</f>
        <v>1</v>
      </c>
      <c r="AD184" s="24">
        <f>$Z$13*IF(AB184=1,1,IF(AC184=1,FixedParams!$C$52,FixedParams!$C$53))</f>
        <v>0.34709202255780691</v>
      </c>
      <c r="AE184">
        <f>EXP($C184*FixedParams!$B$47)*EXP(IF(AB184+AC184=1,(1-FixedParams!$B$47)*$D184,0))*($B184^((FixedParams!$B$47-1)*$B$10/($B$10-1)))*((1/$B184-1)^$B$10*(AD184)^($B$10-1)+1)^((FixedParams!$B$47-$B$10)/($B$10-1))/((1+IF(AB184=1,FixedParams!$C$25,IF(AC184=1,FixedParams!$C$23,FixedParams!$C$24)))^FixedParams!$B$47)</f>
        <v>5.3086027188211038E-2</v>
      </c>
      <c r="AF184">
        <f t="shared" si="110"/>
        <v>1.5642955744779554</v>
      </c>
      <c r="AG184">
        <f t="shared" si="111"/>
        <v>36.74290087470736</v>
      </c>
      <c r="AH184">
        <f t="shared" si="98"/>
        <v>13.138179394770274</v>
      </c>
      <c r="AI184">
        <f t="shared" si="112"/>
        <v>49.881080269477636</v>
      </c>
      <c r="AJ184" s="24">
        <f t="shared" si="113"/>
        <v>0.35757055327697812</v>
      </c>
      <c r="AK184" s="24">
        <f t="shared" si="114"/>
        <v>2.171776896655226</v>
      </c>
      <c r="AL184" s="23">
        <f>IF(AB184=1,AG184*(1+FixedParams!$C$25)+AH184*(1+FixedParams!$C$28)/$Z$12,IF(AC184=1,AG184*(1+FixedParams!$C$23)+AH184*(1+FixedParams!$C$26)/$Z$12,AG184*(1+FixedParams!$C$24)+AH184*(1+FixedParams!$C$27)/$Z$12))</f>
        <v>86.210853583328173</v>
      </c>
      <c r="AM184" s="24">
        <f t="shared" si="115"/>
        <v>13.258218422984665</v>
      </c>
      <c r="AN184" s="24">
        <f>AM184^((FixedParams!$B$47-1)/FixedParams!$B$47)*EXP($C184)</f>
        <v>0.12377809608950129</v>
      </c>
      <c r="AO184" s="24">
        <f t="shared" si="116"/>
        <v>7.5864934166180439E-2</v>
      </c>
      <c r="AP184" s="24">
        <f t="shared" si="117"/>
        <v>-0.14792236257682939</v>
      </c>
      <c r="AQ184" s="14">
        <f t="shared" si="118"/>
        <v>-2.974275500641901E-2</v>
      </c>
      <c r="AS184" s="24">
        <f>EXP(-$D$17)*(($B184*FixedParams!$B$30)^$B$10*(1+FixedParams!$D$24)^(1-$B$10)+(1-$B184)^$B$10*((1+FixedParams!$D$27)/$AT$12)^(1-$B$10))^(1/(1-$B$10))</f>
        <v>6.0318303720803508</v>
      </c>
      <c r="AT184" s="24">
        <f>EXP($D184-$D$17)*(($B184*FixedParams!$C$31)^$B$10*(1+FixedParams!$D$25)^(1-$B$10)+(1-$B184)^$B$10*((1+FixedParams!$D$28)/$AT$12)^(1-$B$10))^(1/(1-$B$10))</f>
        <v>6.6014351644311855</v>
      </c>
      <c r="AU184" s="24">
        <f>EXP($D184-$D$17)*(($B184*FixedParams!$C$30)^$B$10*(1+FixedParams!$D$23)^(1-$B$10)+(1-$B184)^$B$10*((1+FixedParams!$D$26)/$AT$12)^(1-$B$10))^(1/(1-$B$10))</f>
        <v>6.2928676921376105</v>
      </c>
      <c r="AV184">
        <f>IF(FixedParams!$I$6=1,IF(AT184&lt;=MIN(AS184:AU184),1,0),$H184)</f>
        <v>0</v>
      </c>
      <c r="AW184">
        <f>IF(FixedParams!$I$6=1,IF(AU184&lt;=MIN(AS184:AU184),1,0),IF(AU184&lt;=AS184,1,0)*(1-$H184))</f>
        <v>0</v>
      </c>
      <c r="AX184" s="24">
        <f>$AT$13*IF(AV184=1,1,IF(AW184=1,FixedParams!$D$52,FixedParams!$D$53))</f>
        <v>0.44031288407969205</v>
      </c>
      <c r="AY184">
        <f>EXP($C184*FixedParams!$B$47)*EXP(IF(AV184+AW184=1,(1-FixedParams!$B$47)*$D184,0))*($B184^((FixedParams!$B$47-1)*$B$10/($B$10-1)))*((1/$B184-1)^$B$10*(AX184)^($B$10-1)+1)^((FixedParams!$B$47-$B$10)/($B$10-1))/((1+IF(AV184=1,FixedParams!$D$25,IF(AW184=1,FixedParams!$D$23,FixedParams!$D$24)))^FixedParams!$B$47)</f>
        <v>3.9589765640609537E-2</v>
      </c>
      <c r="AZ184">
        <f t="shared" si="99"/>
        <v>1.0660566166608976</v>
      </c>
      <c r="BA184">
        <f t="shared" si="119"/>
        <v>26.821841897704832</v>
      </c>
      <c r="BB184">
        <f t="shared" si="100"/>
        <v>13.7033101388934</v>
      </c>
      <c r="BC184">
        <f t="shared" si="120"/>
        <v>40.525152036598229</v>
      </c>
      <c r="BD184" s="24">
        <f t="shared" si="121"/>
        <v>0.51090116000072328</v>
      </c>
      <c r="BE184" s="24">
        <f t="shared" si="122"/>
        <v>2.0425451978270757</v>
      </c>
      <c r="BF184" s="23">
        <f>IF(AV184=1,BA184*(1+FixedParams!$C$25)+BB184*(1+FixedParams!$C$28)/$AT$12,IF(AW184=1,BA184*(1+FixedParams!$C$23)+BB184*(1+FixedParams!$C$26)/$AT$12,BA184*(1+FixedParams!$C$24)+BB184*(1+FixedParams!$C$27)/$AT$12))</f>
        <v>91.353854666633538</v>
      </c>
      <c r="BG184" s="24">
        <f t="shared" si="123"/>
        <v>15.145295711478372</v>
      </c>
      <c r="BH184" s="24">
        <f>BG184^((FixedParams!$B$47-1)/FixedParams!$B$47)*EXP($C184)</f>
        <v>0.12376160925739656</v>
      </c>
      <c r="BI184" s="7"/>
      <c r="BJ184" s="24">
        <f>EXP(-$D$17)*(($B184*FixedParams!$B$30)^$B$10*(1+FixedParams!$C$24)^(1-$B$10)+(1-$B184)^$B$10*((1+FixedParams!$C$27)/$BK$12)^(1-$B$10))^(1/(1-$B$10))</f>
        <v>6.750652976418448</v>
      </c>
      <c r="BK184" s="24">
        <f>EXP($D184-$D$17)*(($B184*FixedParams!$C$31)^$B$10*(1+FixedParams!$C$25)^(1-$B$10)+(1-$B184)^$B$10*((1+FixedParams!$C$28)/$BK$12)^(1-$B$10))^(1/(1-$B$10))</f>
        <v>7.056649920834845</v>
      </c>
      <c r="BL184" s="24">
        <f>EXP($D184-$D$17)*(($B184*FixedParams!$C$30)^$B$10*(1+FixedParams!$C$23)^(1-$B$10)+(1-$B184)^$B$10*((1+FixedParams!$C$26)/$BK$12)^(1-$B$10))^(1/(1-$B$10))</f>
        <v>6.6695307493608631</v>
      </c>
      <c r="BM184">
        <f>IF(FixedParams!$I$6=1,IF(BK184&lt;=MIN(BJ184:BL184),1,0),$H184)</f>
        <v>0</v>
      </c>
      <c r="BN184">
        <f>IF(FixedParams!$I$6=1,IF(BL184&lt;=MIN(BJ184:BL184),1,0),IF(BL184&lt;=BJ184,1,0)*(1-$H184))</f>
        <v>1</v>
      </c>
      <c r="BO184" s="24">
        <f>$BK$13*IF(BM184=1,1,IF(BN184=1,FixedParams!$C$52,FixedParams!$C$53))</f>
        <v>0.33006170822567266</v>
      </c>
      <c r="BP184">
        <f>EXP($C184*FixedParams!$B$47)*EXP(IF(BM184+BN184=1,(1-FixedParams!$B$47)*$D184,0))*($B184^((FixedParams!$B$47-1)*$B$10/($B$10-1)))*((1/$B184-1)^$B$10*(BO184)^($B$10-1)+1)^((FixedParams!$B$47-$B$10)/($B$10-1))/((1+IF(BM184=1,FixedParams!$C$25,IF(BN184=1,FixedParams!$C$23,FixedParams!$C$24)))^FixedParams!$B$47)</f>
        <v>5.3765104649632418E-2</v>
      </c>
      <c r="BQ184">
        <f t="shared" si="124"/>
        <v>1.5467012097417656</v>
      </c>
      <c r="BR184">
        <f t="shared" si="125"/>
        <v>39.44731334754114</v>
      </c>
      <c r="BS184">
        <f t="shared" si="101"/>
        <v>13.079915633065569</v>
      </c>
      <c r="BT184">
        <f t="shared" si="126"/>
        <v>52.527228980606708</v>
      </c>
      <c r="BU184" s="24">
        <f t="shared" si="127"/>
        <v>0.33157937824125294</v>
      </c>
      <c r="BV184" s="24">
        <f t="shared" si="128"/>
        <v>2.1182841825427432</v>
      </c>
      <c r="BW184" s="23">
        <f>IF(BM184=1,BR184*(1+FixedParams!$C$25)+BS184*(1+FixedParams!$C$28)/$BK$12,IF(BN184=1,BR184*(1+FixedParams!$C$23)+BS184*(1+FixedParams!$C$26)/$BK$12,BR184*(1+FixedParams!$C$24)+BS184*(1+FixedParams!$C$27)/$BK$12))</f>
        <v>91.389580133061557</v>
      </c>
      <c r="BX184" s="24">
        <f t="shared" si="129"/>
        <v>13.702550234410324</v>
      </c>
      <c r="BY184" s="24">
        <f>BX184^((FixedParams!$B$47-1)/FixedParams!$B$47)*EXP($C184)</f>
        <v>0.1237740118086116</v>
      </c>
      <c r="BZ184" s="24">
        <f t="shared" si="130"/>
        <v>0.12755483861785924</v>
      </c>
      <c r="CA184" s="24">
        <f t="shared" si="131"/>
        <v>-0.11495801705912626</v>
      </c>
      <c r="CB184" s="24">
        <f t="shared" si="132"/>
        <v>-9.7629561139719004E-2</v>
      </c>
      <c r="CC184" s="24"/>
      <c r="CD184" s="24">
        <f>EXP(-$D$17)*(($B184*FixedParams!$B$30)^$B$10*(1+FixedParams!$D$24)^(1-$B$10)+(1-$B184)^$B$10*((1+FixedParams!$D$27)/$CE$12)^(1-$B$10))^(1/(1-$B$10))</f>
        <v>6.1852723530777141</v>
      </c>
      <c r="CE184" s="24">
        <f>EXP($D184-$D$17)*(($B184*FixedParams!$D$31)^$B$10*(1+FixedParams!$D$25)^(1-$B$10)+(1-$B184)^$B$10*((1+FixedParams!$D$28)/$CE$12)^(1-$B$10))^(1/(1-$B$10))</f>
        <v>6.7666257195328026</v>
      </c>
      <c r="CF184" s="24">
        <f>EXP($D184-$D$17)*(($B184*FixedParams!$D$30)^$B$10*(1+FixedParams!$D$23)^(1-$B$10)+(1-$B184)^$B$10*((1+FixedParams!$D$26)/$CE$12)^(1-$B$10))^(1/(1-$B$10))</f>
        <v>6.4437406047882364</v>
      </c>
      <c r="CG184">
        <f>IF(FixedParams!$I$6=1,IF(CE184&lt;=MIN(CD184:CF184),1,0),$H184)</f>
        <v>0</v>
      </c>
      <c r="CH184">
        <f>IF(FixedParams!$I$6=1,IF(CF184&lt;=MIN(CD184:CF184),1,0),IF(CF184&lt;=CD184,1,0)*(1-$H184))</f>
        <v>0</v>
      </c>
      <c r="CI184" s="24">
        <f>$CE$13*IF(CG184=1,1,IF(CH184=1,FixedParams!$D$52,FixedParams!$D$53))</f>
        <v>0.42008589776177102</v>
      </c>
      <c r="CJ184">
        <f>EXP($C184*FixedParams!$B$47)*EXP(IF(CG184+CH184=1,(1-FixedParams!$B$47)*$D184,0))*($B184^((FixedParams!$B$47-1)*$B$10/($B$10-1)))*((1/$B184-1)^$B$10*(CI184)^($B$10-1)+1)^((FixedParams!$B$47-$B$10)/($B$10-1))/((1+IF(CG184=1,FixedParams!$D$25,IF(CH184=1,FixedParams!$D$23,FixedParams!$D$24)))^FixedParams!$B$47)</f>
        <v>4.0091166655724202E-2</v>
      </c>
      <c r="CK184">
        <f t="shared" si="133"/>
        <v>1.0556148585326401</v>
      </c>
      <c r="CL184">
        <f t="shared" si="135"/>
        <v>28.839695384851545</v>
      </c>
      <c r="CM184">
        <f t="shared" si="102"/>
        <v>13.730698186746469</v>
      </c>
      <c r="CN184">
        <f t="shared" si="136"/>
        <v>42.570393571598018</v>
      </c>
      <c r="CO184" s="24">
        <f t="shared" si="137"/>
        <v>0.47610413367814941</v>
      </c>
      <c r="CP184" s="24">
        <f t="shared" si="138"/>
        <v>1.9982880540012222</v>
      </c>
      <c r="CQ184" s="23">
        <f>IF(CG184=1,CL184*(1+FixedParams!$D$25)+CM184*(1+FixedParams!$D$28)/$CE$12,IF(CH184=1,CL184*(1+FixedParams!$D$23)+CM184*(1+FixedParams!$D$26)/$CE$12,CL184*(1+FixedParams!$D$24)+CM184*(1+FixedParams!$D$27)/$CE$12))</f>
        <v>89.596075210057663</v>
      </c>
      <c r="CR184" s="24">
        <f t="shared" si="139"/>
        <v>14.485388855266136</v>
      </c>
      <c r="CS184" s="24">
        <f>CR184^((FixedParams!$B$47-1)/FixedParams!$B$47)*EXP($C184)</f>
        <v>0.12376712841648806</v>
      </c>
      <c r="CT184" s="24"/>
    </row>
    <row r="185" spans="1:98" x14ac:dyDescent="0.15">
      <c r="A185">
        <v>0.84</v>
      </c>
      <c r="B185">
        <f t="shared" si="103"/>
        <v>0.4107086737155014</v>
      </c>
      <c r="C185">
        <f>(D185-$D$17)*FixedParams!$B$47+$A185*$B$9</f>
        <v>-2.0991727351770462</v>
      </c>
      <c r="D185">
        <f>(A185-$B$6)*FixedParams!$B$46/(FixedParams!$B$45*Sectors!$B$6)</f>
        <v>0.18473948616355476</v>
      </c>
      <c r="E185">
        <f t="shared" si="104"/>
        <v>0.12255777406255197</v>
      </c>
      <c r="F185" s="24">
        <f>EXP(-$D$17)*(($B185*FixedParams!$B$30)^$B$10*(1+FixedParams!$B$23)^(1-$B$10)+(1-$B185)^$B$10*((1+FixedParams!$B$26)/$B$11)^(1-$B$10))^(1/(1-$B$10))</f>
        <v>4.7368013387141001</v>
      </c>
      <c r="G185" s="24">
        <f>EXP($D185-$D$17)*(($B185*FixedParams!$B$31)^$B$10*(1+FixedParams!$B$25)^(1-$B$10)+(1-$B185)^$B$10*((1+FixedParams!$B$28)/$B$11)^(1-$B$10))^(1/(1-$B$10))</f>
        <v>5.420826867831039</v>
      </c>
      <c r="H185">
        <f t="shared" si="105"/>
        <v>0</v>
      </c>
      <c r="I185" s="24">
        <f>$B$12*IF(H185=1,1,FixedParams!$B$52)</f>
        <v>0.39101505882574561</v>
      </c>
      <c r="J185">
        <f>EXP($C185*FixedParams!$B$47)*EXP(IF(H185=1,(1-FixedParams!$B$47)*$D185,0))*($B185^((FixedParams!$B$47-1)*$B$10/($B$10-1)))*((1/$B185-1)^$B$10*(I185)^($B$10-1)+1)^((FixedParams!$B$47-$B$10)/($B$10-1))/((1+IF(H185=1,FixedParams!$B$25,FixedParams!$B$24))^FixedParams!$B$47)</f>
        <v>5.5060320619286875E-2</v>
      </c>
      <c r="K185">
        <f t="shared" si="134"/>
        <v>1.1101582523631317</v>
      </c>
      <c r="L185">
        <f>K185*FixedParams!$B$8/K$15</f>
        <v>32.275774534836053</v>
      </c>
      <c r="M185">
        <f t="shared" si="94"/>
        <v>13.563168558351904</v>
      </c>
      <c r="N185">
        <f t="shared" si="106"/>
        <v>45.838943093187957</v>
      </c>
      <c r="O185" s="24">
        <f t="shared" si="107"/>
        <v>0.42022751595667629</v>
      </c>
      <c r="P185" s="24">
        <f t="shared" si="95"/>
        <v>1.8521606541031643</v>
      </c>
      <c r="Q185" s="23">
        <f>IF(H185=1,L185*(1+FixedParams!$B$25)+M185*FixedParams!$B$33*(1+FixedParams!$B$28)/FixedParams!$B$32,L185*(1+FixedParams!$B$23)+M185*FixedParams!$B$33*(1+FixedParams!$B$26)/FixedParams!$B$32)</f>
        <v>72.085507212419003</v>
      </c>
      <c r="R185" s="24">
        <f t="shared" si="96"/>
        <v>15.218182494431584</v>
      </c>
      <c r="S185" s="24">
        <f>R185^((FixedParams!$B$47-1)/FixedParams!$B$47)*EXP($C185)</f>
        <v>0.12222423233096366</v>
      </c>
      <c r="T185" s="7">
        <f>(L185*FixedParams!$B$32*(FixedParams!$C$25-FixedParams!$C$23)+FixedParams!$B$33*(FixedParams!$C$28-FixedParams!$C$26)*M185)/N185</f>
        <v>3530.2497354663328</v>
      </c>
      <c r="U185" s="7">
        <f>(L185*FixedParams!$B$32*(FixedParams!$C$25-FixedParams!$C$23)*$Z$12/$B$11+FixedParams!$B$33*(FixedParams!$C$28-FixedParams!$C$26)*M185)/N185</f>
        <v>2823.0859369549948</v>
      </c>
      <c r="V185" s="14">
        <f t="shared" si="97"/>
        <v>-7.2050196402595482E-2</v>
      </c>
      <c r="W185" s="14">
        <f t="shared" si="140"/>
        <v>0.9375886510889051</v>
      </c>
      <c r="X185" s="73">
        <f t="shared" si="109"/>
        <v>0.86060227420093593</v>
      </c>
      <c r="Y185" s="24">
        <f>EXP(-$D$17)*(($B185*FixedParams!$B$30)^$B$10*(1+FixedParams!$C$24)^(1-$B$10)+(1-$B185)^$B$10*((1+FixedParams!$C$27)/$Z$12)^(1-$B$10))^(1/(1-$B$10))</f>
        <v>6.5580072576769712</v>
      </c>
      <c r="Z185" s="24">
        <f>EXP($D185-$D$17)*(($B185*FixedParams!$C$31)^$B$10*(1+FixedParams!$C$25)^(1-$B$10)+(1-$B185)^$B$10*((1+FixedParams!$C$28)/$Z$12)^(1-$B$10))^(1/(1-$B$10))</f>
        <v>6.8753038540107205</v>
      </c>
      <c r="AA185" s="24">
        <f>EXP($D185-$D$17)*(($B185*FixedParams!$C$30)^$B$10*(1+FixedParams!$C$23)^(1-$B$10)+(1-$B185)^$B$10*((1+FixedParams!$C$26)/$Z$12)^(1-$B$10))^(1/(1-$B$10))</f>
        <v>6.5009294153448032</v>
      </c>
      <c r="AB185">
        <f>IF(FixedParams!$I$6=1,IF(Z185&lt;=MIN(Y185:AA185),1,0),$H185)</f>
        <v>0</v>
      </c>
      <c r="AC185">
        <f>IF(FixedParams!$I$6=1,IF(AA185&lt;=MIN(Y185:AA185),1,0),IF(AA185&lt;=Y185,1,0)*(1-$H185))</f>
        <v>1</v>
      </c>
      <c r="AD185" s="24">
        <f>$Z$13*IF(AB185=1,1,IF(AC185=1,FixedParams!$C$52,FixedParams!$C$53))</f>
        <v>0.34709202255780691</v>
      </c>
      <c r="AE185">
        <f>EXP($C185*FixedParams!$B$47)*EXP(IF(AB185+AC185=1,(1-FixedParams!$B$47)*$D185,0))*($B185^((FixedParams!$B$47-1)*$B$10/($B$10-1)))*((1/$B185-1)^$B$10*(AD185)^($B$10-1)+1)^((FixedParams!$B$47-$B$10)/($B$10-1))/((1+IF(AB185=1,FixedParams!$C$25,IF(AC185=1,FixedParams!$C$23,FixedParams!$C$24)))^FixedParams!$B$47)</f>
        <v>5.2886990455260061E-2</v>
      </c>
      <c r="AF185">
        <f t="shared" si="110"/>
        <v>1.5584305230321223</v>
      </c>
      <c r="AG185">
        <f t="shared" si="111"/>
        <v>36.605139822758325</v>
      </c>
      <c r="AH185">
        <f t="shared" si="98"/>
        <v>12.864807120848839</v>
      </c>
      <c r="AI185">
        <f t="shared" si="112"/>
        <v>49.469946943607162</v>
      </c>
      <c r="AJ185" s="24">
        <f t="shared" si="113"/>
        <v>0.35144810764663353</v>
      </c>
      <c r="AK185" s="24">
        <f t="shared" si="114"/>
        <v>2.171270260148471</v>
      </c>
      <c r="AL185" s="23">
        <f>IF(AB185=1,AG185*(1+FixedParams!$C$25)+AH185*(1+FixedParams!$C$28)/$Z$12,IF(AC185=1,AG185*(1+FixedParams!$C$23)+AH185*(1+FixedParams!$C$26)/$Z$12,AG185*(1+FixedParams!$C$24)+AH185*(1+FixedParams!$C$27)/$Z$12))</f>
        <v>85.141388384610309</v>
      </c>
      <c r="AM185" s="24">
        <f t="shared" si="115"/>
        <v>13.096802463912693</v>
      </c>
      <c r="AN185" s="24">
        <f>AM185^((FixedParams!$B$47-1)/FixedParams!$B$47)*EXP($C185)</f>
        <v>0.12224260072402124</v>
      </c>
      <c r="AO185" s="24">
        <f t="shared" si="116"/>
        <v>7.6231337033371233E-2</v>
      </c>
      <c r="AP185" s="24">
        <f t="shared" si="117"/>
        <v>-0.15012281600509414</v>
      </c>
      <c r="AQ185" s="14">
        <f t="shared" si="118"/>
        <v>-1.2472129710335766E-2</v>
      </c>
      <c r="AS185" s="24">
        <f>EXP(-$D$17)*(($B185*FixedParams!$B$30)^$B$10*(1+FixedParams!$D$24)^(1-$B$10)+(1-$B185)^$B$10*((1+FixedParams!$D$27)/$AT$12)^(1-$B$10))^(1/(1-$B$10))</f>
        <v>6.020230944945399</v>
      </c>
      <c r="AT185" s="24">
        <f>EXP($D185-$D$17)*(($B185*FixedParams!$C$31)^$B$10*(1+FixedParams!$D$25)^(1-$B$10)+(1-$B185)^$B$10*((1+FixedParams!$D$28)/$AT$12)^(1-$B$10))^(1/(1-$B$10))</f>
        <v>6.6046997559872462</v>
      </c>
      <c r="AU185" s="24">
        <f>EXP($D185-$D$17)*(($B185*FixedParams!$C$30)^$B$10*(1+FixedParams!$D$23)^(1-$B$10)+(1-$B185)^$B$10*((1+FixedParams!$D$26)/$AT$12)^(1-$B$10))^(1/(1-$B$10))</f>
        <v>6.2912504253752903</v>
      </c>
      <c r="AV185">
        <f>IF(FixedParams!$I$6=1,IF(AT185&lt;=MIN(AS185:AU185),1,0),$H185)</f>
        <v>0</v>
      </c>
      <c r="AW185">
        <f>IF(FixedParams!$I$6=1,IF(AU185&lt;=MIN(AS185:AU185),1,0),IF(AU185&lt;=AS185,1,0)*(1-$H185))</f>
        <v>0</v>
      </c>
      <c r="AX185" s="24">
        <f>$AT$13*IF(AV185=1,1,IF(AW185=1,FixedParams!$D$52,FixedParams!$D$53))</f>
        <v>0.44031288407969205</v>
      </c>
      <c r="AY185">
        <f>EXP($C185*FixedParams!$B$47)*EXP(IF(AV185+AW185=1,(1-FixedParams!$B$47)*$D185,0))*($B185^((FixedParams!$B$47-1)*$B$10/($B$10-1)))*((1/$B185-1)^$B$10*(AX185)^($B$10-1)+1)^((FixedParams!$B$47-$B$10)/($B$10-1))/((1+IF(AV185=1,FixedParams!$D$25,IF(AW185=1,FixedParams!$D$23,FixedParams!$D$24)))^FixedParams!$B$47)</f>
        <v>3.9461486410550618E-2</v>
      </c>
      <c r="AZ185">
        <f t="shared" si="99"/>
        <v>1.0626023673171177</v>
      </c>
      <c r="BA185">
        <f t="shared" si="119"/>
        <v>26.734933446196585</v>
      </c>
      <c r="BB185">
        <f t="shared" si="100"/>
        <v>13.425035994815945</v>
      </c>
      <c r="BC185">
        <f t="shared" si="120"/>
        <v>40.159969441012528</v>
      </c>
      <c r="BD185" s="24">
        <f t="shared" si="121"/>
        <v>0.50215333514233385</v>
      </c>
      <c r="BE185" s="24">
        <f t="shared" si="122"/>
        <v>2.0386173098178726</v>
      </c>
      <c r="BF185" s="23">
        <f>IF(AV185=1,BA185*(1+FixedParams!$C$25)+BB185*(1+FixedParams!$C$28)/$AT$12,IF(AW185=1,BA185*(1+FixedParams!$C$23)+BB185*(1+FixedParams!$C$26)/$AT$12,BA185*(1+FixedParams!$C$24)+BB185*(1+FixedParams!$C$27)/$AT$12))</f>
        <v>90.258136416232588</v>
      </c>
      <c r="BG185" s="24">
        <f t="shared" si="123"/>
        <v>14.9924707609454</v>
      </c>
      <c r="BH185" s="24">
        <f>BG185^((FixedParams!$B$47-1)/FixedParams!$B$47)*EXP($C185)</f>
        <v>0.12222606054557078</v>
      </c>
      <c r="BI185" s="7"/>
      <c r="BJ185" s="24">
        <f>EXP(-$D$17)*(($B185*FixedParams!$B$30)^$B$10*(1+FixedParams!$C$24)^(1-$B$10)+(1-$B185)^$B$10*((1+FixedParams!$C$27)/$BK$12)^(1-$B$10))^(1/(1-$B$10))</f>
        <v>6.7386229227452796</v>
      </c>
      <c r="BK185" s="24">
        <f>EXP($D185-$D$17)*(($B185*FixedParams!$C$31)^$B$10*(1+FixedParams!$C$25)^(1-$B$10)+(1-$B185)^$B$10*((1+FixedParams!$C$28)/$BK$12)^(1-$B$10))^(1/(1-$B$10))</f>
        <v>7.0601241231041652</v>
      </c>
      <c r="BL185" s="24">
        <f>EXP($D185-$D$17)*(($B185*FixedParams!$C$30)^$B$10*(1+FixedParams!$C$23)^(1-$B$10)+(1-$B185)^$B$10*((1+FixedParams!$C$26)/$BK$12)^(1-$B$10))^(1/(1-$B$10))</f>
        <v>6.6665266445067051</v>
      </c>
      <c r="BM185">
        <f>IF(FixedParams!$I$6=1,IF(BK185&lt;=MIN(BJ185:BL185),1,0),$H185)</f>
        <v>0</v>
      </c>
      <c r="BN185">
        <f>IF(FixedParams!$I$6=1,IF(BL185&lt;=MIN(BJ185:BL185),1,0),IF(BL185&lt;=BJ185,1,0)*(1-$H185))</f>
        <v>1</v>
      </c>
      <c r="BO185" s="24">
        <f>$BK$13*IF(BM185=1,1,IF(BN185=1,FixedParams!$C$52,FixedParams!$C$53))</f>
        <v>0.33006170822567266</v>
      </c>
      <c r="BP185">
        <f>EXP($C185*FixedParams!$B$47)*EXP(IF(BM185+BN185=1,(1-FixedParams!$B$47)*$D185,0))*($B185^((FixedParams!$B$47-1)*$B$10/($B$10-1)))*((1/$B185-1)^$B$10*(BO185)^($B$10-1)+1)^((FixedParams!$B$47-$B$10)/($B$10-1))/((1+IF(BM185=1,FixedParams!$C$25,IF(BN185=1,FixedParams!$C$23,FixedParams!$C$24)))^FixedParams!$B$47)</f>
        <v>5.3557693131829599E-2</v>
      </c>
      <c r="BQ185">
        <f t="shared" si="124"/>
        <v>1.5407344465858013</v>
      </c>
      <c r="BR185">
        <f t="shared" si="125"/>
        <v>39.295136072188015</v>
      </c>
      <c r="BS185">
        <f t="shared" si="101"/>
        <v>12.806361959592868</v>
      </c>
      <c r="BT185">
        <f t="shared" si="126"/>
        <v>52.101498031780885</v>
      </c>
      <c r="BU185" s="24">
        <f t="shared" si="127"/>
        <v>0.32590196242269404</v>
      </c>
      <c r="BV185" s="24">
        <f t="shared" si="128"/>
        <v>2.1173300602762146</v>
      </c>
      <c r="BW185" s="23">
        <f>IF(BM185=1,BR185*(1+FixedParams!$C$25)+BS185*(1+FixedParams!$C$28)/$BK$12,IF(BN185=1,BR185*(1+FixedParams!$C$23)+BS185*(1+FixedParams!$C$26)/$BK$12,BR185*(1+FixedParams!$C$24)+BS185*(1+FixedParams!$C$27)/$BK$12))</f>
        <v>90.255852051636992</v>
      </c>
      <c r="BX185" s="24">
        <f t="shared" si="129"/>
        <v>13.538662164653442</v>
      </c>
      <c r="BY185" s="24">
        <f>BX185^((FixedParams!$B$47-1)/FixedParams!$B$47)*EXP($C185)</f>
        <v>0.12223854055758178</v>
      </c>
      <c r="BZ185" s="24">
        <f t="shared" si="130"/>
        <v>0.12805968564583814</v>
      </c>
      <c r="CA185" s="24">
        <f t="shared" si="131"/>
        <v>-0.11694147324706655</v>
      </c>
      <c r="CB185" s="24">
        <f t="shared" si="132"/>
        <v>-9.9613017327659301E-2</v>
      </c>
      <c r="CC185" s="24"/>
      <c r="CD185" s="24">
        <f>EXP(-$D$17)*(($B185*FixedParams!$B$30)^$B$10*(1+FixedParams!$D$24)^(1-$B$10)+(1-$B185)^$B$10*((1+FixedParams!$D$27)/$CE$12)^(1-$B$10))^(1/(1-$B$10))</f>
        <v>6.1721296782245805</v>
      </c>
      <c r="CE185" s="24">
        <f>EXP($D185-$D$17)*(($B185*FixedParams!$D$31)^$B$10*(1+FixedParams!$D$25)^(1-$B$10)+(1-$B185)^$B$10*((1+FixedParams!$D$28)/$CE$12)^(1-$B$10))^(1/(1-$B$10))</f>
        <v>6.7686005794255388</v>
      </c>
      <c r="CF185" s="24">
        <f>EXP($D185-$D$17)*(($B185*FixedParams!$D$30)^$B$10*(1+FixedParams!$D$23)^(1-$B$10)+(1-$B185)^$B$10*((1+FixedParams!$D$26)/$CE$12)^(1-$B$10))^(1/(1-$B$10))</f>
        <v>6.4407767093343571</v>
      </c>
      <c r="CG185">
        <f>IF(FixedParams!$I$6=1,IF(CE185&lt;=MIN(CD185:CF185),1,0),$H185)</f>
        <v>0</v>
      </c>
      <c r="CH185">
        <f>IF(FixedParams!$I$6=1,IF(CF185&lt;=MIN(CD185:CF185),1,0),IF(CF185&lt;=CD185,1,0)*(1-$H185))</f>
        <v>0</v>
      </c>
      <c r="CI185" s="24">
        <f>$CE$13*IF(CG185=1,1,IF(CH185=1,FixedParams!$D$52,FixedParams!$D$53))</f>
        <v>0.42008589776177102</v>
      </c>
      <c r="CJ185">
        <f>EXP($C185*FixedParams!$B$47)*EXP(IF(CG185+CH185=1,(1-FixedParams!$B$47)*$D185,0))*($B185^((FixedParams!$B$47-1)*$B$10/($B$10-1)))*((1/$B185-1)^$B$10*(CI185)^($B$10-1)+1)^((FixedParams!$B$47-$B$10)/($B$10-1))/((1+IF(CG185=1,FixedParams!$D$25,IF(CH185=1,FixedParams!$D$23,FixedParams!$D$24)))^FixedParams!$B$47)</f>
        <v>3.9957214683650343E-2</v>
      </c>
      <c r="CK185">
        <f t="shared" si="133"/>
        <v>1.0520878548596071</v>
      </c>
      <c r="CL185">
        <f t="shared" si="135"/>
        <v>28.743336650669917</v>
      </c>
      <c r="CM185">
        <f t="shared" si="102"/>
        <v>13.450505190397639</v>
      </c>
      <c r="CN185">
        <f t="shared" si="136"/>
        <v>42.193841841067552</v>
      </c>
      <c r="CO185" s="24">
        <f t="shared" si="137"/>
        <v>0.46795211543695814</v>
      </c>
      <c r="CP185" s="24">
        <f t="shared" si="138"/>
        <v>1.9940420242942893</v>
      </c>
      <c r="CQ185" s="23">
        <f>IF(CG185=1,CL185*(1+FixedParams!$D$25)+CM185*(1+FixedParams!$D$28)/$CE$12,IF(CH185=1,CL185*(1+FixedParams!$D$23)+CM185*(1+FixedParams!$D$26)/$CE$12,CL185*(1+FixedParams!$D$24)+CM185*(1+FixedParams!$D$27)/$CE$12))</f>
        <v>88.484447998315574</v>
      </c>
      <c r="CR185" s="24">
        <f t="shared" si="139"/>
        <v>14.336129117716174</v>
      </c>
      <c r="CS185" s="24">
        <f>CR185^((FixedParams!$B$47-1)/FixedParams!$B$47)*EXP($C185)</f>
        <v>0.12223153762699883</v>
      </c>
      <c r="CT185" s="24"/>
    </row>
    <row r="186" spans="1:98" x14ac:dyDescent="0.15">
      <c r="A186">
        <v>0.84499999999999997</v>
      </c>
      <c r="B186">
        <f t="shared" si="103"/>
        <v>0.41349814979763677</v>
      </c>
      <c r="C186">
        <f>(D186-$D$17)*FixedParams!$B$47+$A186*$B$9</f>
        <v>-2.1116678109816713</v>
      </c>
      <c r="D186">
        <f>(A186-$B$6)*FixedParams!$B$46/(FixedParams!$B$45*Sectors!$B$6)</f>
        <v>0.18745624331301877</v>
      </c>
      <c r="E186">
        <f t="shared" si="104"/>
        <v>0.12103593294523492</v>
      </c>
      <c r="F186" s="24">
        <f>EXP(-$D$17)*(($B186*FixedParams!$B$30)^$B$10*(1+FixedParams!$B$23)^(1-$B$10)+(1-$B186)^$B$10*((1+FixedParams!$B$26)/$B$11)^(1-$B$10))^(1/(1-$B$10))</f>
        <v>4.7250277362372399</v>
      </c>
      <c r="G186" s="24">
        <f>EXP($D186-$D$17)*(($B186*FixedParams!$B$31)^$B$10*(1+FixedParams!$B$25)^(1-$B$10)+(1-$B186)^$B$10*((1+FixedParams!$B$28)/$B$11)^(1-$B$10))^(1/(1-$B$10))</f>
        <v>5.421059858024317</v>
      </c>
      <c r="H186">
        <f t="shared" si="105"/>
        <v>0</v>
      </c>
      <c r="I186" s="24">
        <f>$B$12*IF(H186=1,1,FixedParams!$B$52)</f>
        <v>0.39101505882574561</v>
      </c>
      <c r="J186">
        <f>EXP($C186*FixedParams!$B$47)*EXP(IF(H186=1,(1-FixedParams!$B$47)*$D186,0))*($B186^((FixedParams!$B$47-1)*$B$10/($B$10-1)))*((1/$B186-1)^$B$10*(I186)^($B$10-1)+1)^((FixedParams!$B$47-$B$10)/($B$10-1))/((1+IF(H186=1,FixedParams!$B$25,FixedParams!$B$24))^FixedParams!$B$47)</f>
        <v>5.4863773992926308E-2</v>
      </c>
      <c r="K186">
        <f t="shared" si="134"/>
        <v>1.1061953648104597</v>
      </c>
      <c r="L186">
        <f>K186*FixedParams!$B$8/K$15</f>
        <v>32.160560992185992</v>
      </c>
      <c r="M186">
        <f t="shared" si="94"/>
        <v>13.283348428074667</v>
      </c>
      <c r="N186">
        <f t="shared" si="106"/>
        <v>45.44390942026066</v>
      </c>
      <c r="O186" s="24">
        <f t="shared" si="107"/>
        <v>0.41303223632517183</v>
      </c>
      <c r="P186" s="24">
        <f t="shared" si="95"/>
        <v>1.8475569982380839</v>
      </c>
      <c r="Q186" s="23">
        <f>IF(H186=1,L186*(1+FixedParams!$B$25)+M186*FixedParams!$B$33*(1+FixedParams!$B$28)/FixedParams!$B$32,L186*(1+FixedParams!$B$23)+M186*FixedParams!$B$33*(1+FixedParams!$B$26)/FixedParams!$B$32)</f>
        <v>71.191109579607811</v>
      </c>
      <c r="R186" s="24">
        <f t="shared" si="96"/>
        <v>15.066813054583383</v>
      </c>
      <c r="S186" s="24">
        <f>R186^((FixedParams!$B$47-1)/FixedParams!$B$47)*EXP($C186)</f>
        <v>0.12070774076010118</v>
      </c>
      <c r="T186" s="7">
        <f>(L186*FixedParams!$B$32*(FixedParams!$C$25-FixedParams!$C$23)+FixedParams!$B$33*(FixedParams!$C$28-FixedParams!$C$26)*M186)/N186</f>
        <v>3570.9258827266622</v>
      </c>
      <c r="U186" s="7">
        <f>(L186*FixedParams!$B$32*(FixedParams!$C$25-FixedParams!$C$23)*$Z$12/$B$11+FixedParams!$B$33*(FixedParams!$C$28-FixedParams!$C$26)*M186)/N186</f>
        <v>2860.1611463564686</v>
      </c>
      <c r="V186" s="14">
        <f t="shared" si="97"/>
        <v>-5.4779571106511445E-2</v>
      </c>
      <c r="W186" s="14">
        <f t="shared" si="140"/>
        <v>0.93981757813424172</v>
      </c>
      <c r="X186" s="73">
        <f t="shared" si="109"/>
        <v>0.85871080187678894</v>
      </c>
      <c r="Y186" s="24">
        <f>EXP(-$D$17)*(($B186*FixedParams!$B$30)^$B$10*(1+FixedParams!$C$24)^(1-$B$10)+(1-$B186)^$B$10*((1+FixedParams!$C$27)/$Z$12)^(1-$B$10))^(1/(1-$B$10))</f>
        <v>6.5473935533933965</v>
      </c>
      <c r="Z186" s="24">
        <f>EXP($D186-$D$17)*(($B186*FixedParams!$C$31)^$B$10*(1+FixedParams!$C$25)^(1-$B$10)+(1-$B186)^$B$10*((1+FixedParams!$C$28)/$Z$12)^(1-$B$10))^(1/(1-$B$10))</f>
        <v>6.879817906875628</v>
      </c>
      <c r="AA186" s="24">
        <f>EXP($D186-$D$17)*(($B186*FixedParams!$C$30)^$B$10*(1+FixedParams!$C$23)^(1-$B$10)+(1-$B186)^$B$10*((1+FixedParams!$C$26)/$Z$12)^(1-$B$10))^(1/(1-$B$10))</f>
        <v>6.4990692110090356</v>
      </c>
      <c r="AB186">
        <f>IF(FixedParams!$I$6=1,IF(Z186&lt;=MIN(Y186:AA186),1,0),$H186)</f>
        <v>0</v>
      </c>
      <c r="AC186">
        <f>IF(FixedParams!$I$6=1,IF(AA186&lt;=MIN(Y186:AA186),1,0),IF(AA186&lt;=Y186,1,0)*(1-$H186))</f>
        <v>1</v>
      </c>
      <c r="AD186" s="24">
        <f>$Z$13*IF(AB186=1,1,IF(AC186=1,FixedParams!$C$52,FixedParams!$C$53))</f>
        <v>0.34709202255780691</v>
      </c>
      <c r="AE186">
        <f>EXP($C186*FixedParams!$B$47)*EXP(IF(AB186+AC186=1,(1-FixedParams!$B$47)*$D186,0))*($B186^((FixedParams!$B$47-1)*$B$10/($B$10-1)))*((1/$B186-1)^$B$10*(AD186)^($B$10-1)+1)^((FixedParams!$B$47-$B$10)/($B$10-1))/((1+IF(AB186=1,FixedParams!$C$25,IF(AC186=1,FixedParams!$C$23,FixedParams!$C$24)))^FixedParams!$B$47)</f>
        <v>5.2684768613998824E-2</v>
      </c>
      <c r="AF186">
        <f t="shared" si="110"/>
        <v>1.5524716154230407</v>
      </c>
      <c r="AG186">
        <f t="shared" si="111"/>
        <v>36.465174233662353</v>
      </c>
      <c r="AH186">
        <f t="shared" si="98"/>
        <v>12.596183099367817</v>
      </c>
      <c r="AI186">
        <f t="shared" si="112"/>
        <v>49.061357333030173</v>
      </c>
      <c r="AJ186" s="24">
        <f t="shared" si="113"/>
        <v>0.34543049262986419</v>
      </c>
      <c r="AK186" s="24">
        <f t="shared" si="114"/>
        <v>2.1706489633931922</v>
      </c>
      <c r="AL186" s="23">
        <f>IF(AB186=1,AG186*(1+FixedParams!$C$25)+AH186*(1+FixedParams!$C$28)/$Z$12,IF(AC186=1,AG186*(1+FixedParams!$C$23)+AH186*(1+FixedParams!$C$26)/$Z$12,AG186*(1+FixedParams!$C$24)+AH186*(1+FixedParams!$C$27)/$Z$12))</f>
        <v>84.085185698234056</v>
      </c>
      <c r="AM186" s="24">
        <f t="shared" si="115"/>
        <v>12.938035119828969</v>
      </c>
      <c r="AN186" s="24">
        <f>AM186^((FixedParams!$B$47-1)/FixedParams!$B$47)*EXP($C186)</f>
        <v>0.12072614714340674</v>
      </c>
      <c r="AO186" s="24">
        <f t="shared" si="116"/>
        <v>7.6592899755019983E-2</v>
      </c>
      <c r="AP186" s="24">
        <f t="shared" si="117"/>
        <v>-0.15232308204569253</v>
      </c>
      <c r="AQ186" s="14">
        <f t="shared" si="118"/>
        <v>4.7984955857480714E-3</v>
      </c>
      <c r="AS186" s="24">
        <f>EXP(-$D$17)*(($B186*FixedParams!$B$30)^$B$10*(1+FixedParams!$D$24)^(1-$B$10)+(1-$B186)^$B$10*((1+FixedParams!$D$27)/$AT$12)^(1-$B$10))^(1/(1-$B$10))</f>
        <v>6.0083399411734248</v>
      </c>
      <c r="AT186" s="24">
        <f>EXP($D186-$D$17)*(($B186*FixedParams!$C$31)^$B$10*(1+FixedParams!$D$25)^(1-$B$10)+(1-$B186)^$B$10*((1+FixedParams!$D$28)/$AT$12)^(1-$B$10))^(1/(1-$B$10))</f>
        <v>6.6076188362851669</v>
      </c>
      <c r="AU186" s="24">
        <f>EXP($D186-$D$17)*(($B186*FixedParams!$C$30)^$B$10*(1+FixedParams!$D$23)^(1-$B$10)+(1-$B186)^$B$10*((1+FixedParams!$D$26)/$AT$12)^(1-$B$10))^(1/(1-$B$10))</f>
        <v>6.2893009975896232</v>
      </c>
      <c r="AV186">
        <f>IF(FixedParams!$I$6=1,IF(AT186&lt;=MIN(AS186:AU186),1,0),$H186)</f>
        <v>0</v>
      </c>
      <c r="AW186">
        <f>IF(FixedParams!$I$6=1,IF(AU186&lt;=MIN(AS186:AU186),1,0),IF(AU186&lt;=AS186,1,0)*(1-$H186))</f>
        <v>0</v>
      </c>
      <c r="AX186" s="24">
        <f>$AT$13*IF(AV186=1,1,IF(AW186=1,FixedParams!$D$52,FixedParams!$D$53))</f>
        <v>0.44031288407969205</v>
      </c>
      <c r="AY186">
        <f>EXP($C186*FixedParams!$B$47)*EXP(IF(AV186+AW186=1,(1-FixedParams!$B$47)*$D186,0))*($B186^((FixedParams!$B$47-1)*$B$10/($B$10-1)))*((1/$B186-1)^$B$10*(AX186)^($B$10-1)+1)^((FixedParams!$B$47-$B$10)/($B$10-1))/((1+IF(AV186=1,FixedParams!$D$25,IF(AW186=1,FixedParams!$D$23,FixedParams!$D$24)))^FixedParams!$B$47)</f>
        <v>3.933070049581476E-2</v>
      </c>
      <c r="AZ186">
        <f t="shared" si="99"/>
        <v>1.0590806190189366</v>
      </c>
      <c r="BA186">
        <f t="shared" si="119"/>
        <v>26.646326730023119</v>
      </c>
      <c r="BB186">
        <f t="shared" si="100"/>
        <v>13.151435611024626</v>
      </c>
      <c r="BC186">
        <f t="shared" si="120"/>
        <v>39.797762341047743</v>
      </c>
      <c r="BD186" s="24">
        <f t="shared" si="121"/>
        <v>0.49355529354095012</v>
      </c>
      <c r="BE186" s="24">
        <f t="shared" si="122"/>
        <v>2.0345906858656786</v>
      </c>
      <c r="BF186" s="23">
        <f>IF(AV186=1,BA186*(1+FixedParams!$C$25)+BB186*(1+FixedParams!$C$28)/$AT$12,IF(AW186=1,BA186*(1+FixedParams!$C$23)+BB186*(1+FixedParams!$C$26)/$AT$12,BA186*(1+FixedParams!$C$24)+BB186*(1+FixedParams!$C$27)/$AT$12))</f>
        <v>89.175582450409806</v>
      </c>
      <c r="BG186" s="24">
        <f t="shared" si="123"/>
        <v>14.841966886612923</v>
      </c>
      <c r="BH186" s="24">
        <f>BG186^((FixedParams!$B$47-1)/FixedParams!$B$47)*EXP($C186)</f>
        <v>0.12070955752140859</v>
      </c>
      <c r="BI186" s="7"/>
      <c r="BJ186" s="24">
        <f>EXP(-$D$17)*(($B186*FixedParams!$B$30)^$B$10*(1+FixedParams!$C$24)^(1-$B$10)+(1-$B186)^$B$10*((1+FixedParams!$C$27)/$BK$12)^(1-$B$10))^(1/(1-$B$10))</f>
        <v>6.7262640638001407</v>
      </c>
      <c r="BK186" s="24">
        <f>EXP($D186-$D$17)*(($B186*FixedParams!$C$31)^$B$10*(1+FixedParams!$C$25)^(1-$B$10)+(1-$B186)^$B$10*((1+FixedParams!$C$28)/$BK$12)^(1-$B$10))^(1/(1-$B$10))</f>
        <v>7.0632289620947946</v>
      </c>
      <c r="BL186" s="24">
        <f>EXP($D186-$D$17)*(($B186*FixedParams!$C$30)^$B$10*(1+FixedParams!$C$23)^(1-$B$10)+(1-$B186)^$B$10*((1+FixedParams!$C$26)/$BK$12)^(1-$B$10))^(1/(1-$B$10))</f>
        <v>6.6631715623939467</v>
      </c>
      <c r="BM186">
        <f>IF(FixedParams!$I$6=1,IF(BK186&lt;=MIN(BJ186:BL186),1,0),$H186)</f>
        <v>0</v>
      </c>
      <c r="BN186">
        <f>IF(FixedParams!$I$6=1,IF(BL186&lt;=MIN(BJ186:BL186),1,0),IF(BL186&lt;=BJ186,1,0)*(1-$H186))</f>
        <v>1</v>
      </c>
      <c r="BO186" s="24">
        <f>$BK$13*IF(BM186=1,1,IF(BN186=1,FixedParams!$C$52,FixedParams!$C$53))</f>
        <v>0.33006170822567266</v>
      </c>
      <c r="BP186">
        <f>EXP($C186*FixedParams!$B$47)*EXP(IF(BM186+BN186=1,(1-FixedParams!$B$47)*$D186,0))*($B186^((FixedParams!$B$47-1)*$B$10/($B$10-1)))*((1/$B186-1)^$B$10*(BO186)^($B$10-1)+1)^((FixedParams!$B$47-$B$10)/($B$10-1))/((1+IF(BM186=1,FixedParams!$C$25,IF(BN186=1,FixedParams!$C$23,FixedParams!$C$24)))^FixedParams!$B$47)</f>
        <v>5.3347100972834779E-2</v>
      </c>
      <c r="BQ186">
        <f t="shared" si="124"/>
        <v>1.5346761835320597</v>
      </c>
      <c r="BR186">
        <f t="shared" si="125"/>
        <v>39.140625168907171</v>
      </c>
      <c r="BS186">
        <f t="shared" si="101"/>
        <v>12.537593834541909</v>
      </c>
      <c r="BT186">
        <f t="shared" si="126"/>
        <v>51.67821900344908</v>
      </c>
      <c r="BU186" s="24">
        <f t="shared" si="127"/>
        <v>0.32032175726466472</v>
      </c>
      <c r="BV186" s="24">
        <f t="shared" si="128"/>
        <v>2.116264465463376</v>
      </c>
      <c r="BW186" s="23">
        <f>IF(BM186=1,BR186*(1+FixedParams!$C$25)+BS186*(1+FixedParams!$C$28)/$BK$12,IF(BN186=1,BR186*(1+FixedParams!$C$23)+BS186*(1+FixedParams!$C$26)/$BK$12,BR186*(1+FixedParams!$C$24)+BS186*(1+FixedParams!$C$27)/$BK$12))</f>
        <v>89.136183654342233</v>
      </c>
      <c r="BX186" s="24">
        <f t="shared" si="129"/>
        <v>13.377440880768399</v>
      </c>
      <c r="BY186" s="24">
        <f>BX186^((FixedParams!$B$47-1)/FixedParams!$B$47)*EXP($C186)</f>
        <v>0.12072211112189869</v>
      </c>
      <c r="BZ186" s="24">
        <f t="shared" si="130"/>
        <v>0.12855759138397363</v>
      </c>
      <c r="CA186" s="24">
        <f t="shared" si="131"/>
        <v>-0.11892474224491706</v>
      </c>
      <c r="CB186" s="24">
        <f t="shared" si="132"/>
        <v>-0.10159628632550981</v>
      </c>
      <c r="CC186" s="24"/>
      <c r="CD186" s="24">
        <f>EXP(-$D$17)*(($B186*FixedParams!$B$30)^$B$10*(1+FixedParams!$D$24)^(1-$B$10)+(1-$B186)^$B$10*((1+FixedParams!$D$27)/$CE$12)^(1-$B$10))^(1/(1-$B$10))</f>
        <v>6.1586919060936367</v>
      </c>
      <c r="CE186" s="24">
        <f>EXP($D186-$D$17)*(($B186*FixedParams!$D$31)^$B$10*(1+FixedParams!$D$25)^(1-$B$10)+(1-$B186)^$B$10*((1+FixedParams!$D$28)/$CE$12)^(1-$B$10))^(1/(1-$B$10))</f>
        <v>6.7702193403914661</v>
      </c>
      <c r="CF186" s="24">
        <f>EXP($D186-$D$17)*(($B186*FixedParams!$D$30)^$B$10*(1+FixedParams!$D$23)^(1-$B$10)+(1-$B186)^$B$10*((1+FixedParams!$D$26)/$CE$12)^(1-$B$10))^(1/(1-$B$10))</f>
        <v>6.4374737881027952</v>
      </c>
      <c r="CG186">
        <f>IF(FixedParams!$I$6=1,IF(CE186&lt;=MIN(CD186:CF186),1,0),$H186)</f>
        <v>0</v>
      </c>
      <c r="CH186">
        <f>IF(FixedParams!$I$6=1,IF(CF186&lt;=MIN(CD186:CF186),1,0),IF(CF186&lt;=CD186,1,0)*(1-$H186))</f>
        <v>0</v>
      </c>
      <c r="CI186" s="24">
        <f>$CE$13*IF(CG186=1,1,IF(CH186=1,FixedParams!$D$52,FixedParams!$D$53))</f>
        <v>0.42008589776177102</v>
      </c>
      <c r="CJ186">
        <f>EXP($C186*FixedParams!$B$47)*EXP(IF(CG186+CH186=1,(1-FixedParams!$B$47)*$D186,0))*($B186^((FixedParams!$B$47-1)*$B$10/($B$10-1)))*((1/$B186-1)^$B$10*(CI186)^($B$10-1)+1)^((FixedParams!$B$47-$B$10)/($B$10-1))/((1+IF(CG186=1,FixedParams!$D$25,IF(CH186=1,FixedParams!$D$23,FixedParams!$D$24)))^FixedParams!$B$47)</f>
        <v>3.9820747356154443E-2</v>
      </c>
      <c r="CK186">
        <f t="shared" si="133"/>
        <v>1.0484946209723029</v>
      </c>
      <c r="CL186">
        <f t="shared" si="135"/>
        <v>28.645168488372139</v>
      </c>
      <c r="CM186">
        <f t="shared" si="102"/>
        <v>13.175049595076141</v>
      </c>
      <c r="CN186">
        <f t="shared" si="136"/>
        <v>41.820218083448282</v>
      </c>
      <c r="CO186" s="24">
        <f t="shared" si="137"/>
        <v>0.45993967884756048</v>
      </c>
      <c r="CP186" s="24">
        <f t="shared" si="138"/>
        <v>1.9897006569318167</v>
      </c>
      <c r="CQ186" s="23">
        <f>IF(CG186=1,CL186*(1+FixedParams!$D$25)+CM186*(1+FixedParams!$D$28)/$CE$12,IF(CH186=1,CL186*(1+FixedParams!$D$23)+CM186*(1+FixedParams!$D$26)/$CE$12,CL186*(1+FixedParams!$D$24)+CM186*(1+FixedParams!$D$27)/$CE$12))</f>
        <v>87.386608270107445</v>
      </c>
      <c r="CR186" s="24">
        <f t="shared" si="139"/>
        <v>14.189150813607663</v>
      </c>
      <c r="CS186" s="24">
        <f>CR186^((FixedParams!$B$47-1)/FixedParams!$B$47)*EXP($C186)</f>
        <v>0.12071499273032456</v>
      </c>
      <c r="CT186" s="24"/>
    </row>
    <row r="187" spans="1:98" x14ac:dyDescent="0.15">
      <c r="A187">
        <v>0.85</v>
      </c>
      <c r="B187">
        <f t="shared" si="103"/>
        <v>0.41629318777483176</v>
      </c>
      <c r="C187">
        <f>(D187-$D$17)*FixedParams!$B$47+$A187*$B$9</f>
        <v>-2.1241628867862965</v>
      </c>
      <c r="D187">
        <f>(A187-$B$6)*FixedParams!$B$46/(FixedParams!$B$45*Sectors!$B$6)</f>
        <v>0.19017300046248284</v>
      </c>
      <c r="E187">
        <f t="shared" si="104"/>
        <v>0.1195329890411226</v>
      </c>
      <c r="F187" s="24">
        <f>EXP(-$D$17)*(($B187*FixedParams!$B$30)^$B$10*(1+FixedParams!$B$23)^(1-$B$10)+(1-$B187)^$B$10*((1+FixedParams!$B$26)/$B$11)^(1-$B$10))^(1/(1-$B$10))</f>
        <v>4.7130356032048439</v>
      </c>
      <c r="G187" s="24">
        <f>EXP($D187-$D$17)*(($B187*FixedParams!$B$31)^$B$10*(1+FixedParams!$B$25)^(1-$B$10)+(1-$B187)^$B$10*((1+FixedParams!$B$28)/$B$11)^(1-$B$10))^(1/(1-$B$10))</f>
        <v>5.4210074592827793</v>
      </c>
      <c r="H187">
        <f t="shared" si="105"/>
        <v>0</v>
      </c>
      <c r="I187" s="24">
        <f>$B$12*IF(H187=1,1,FixedParams!$B$52)</f>
        <v>0.39101505882574561</v>
      </c>
      <c r="J187">
        <f>EXP($C187*FixedParams!$B$47)*EXP(IF(H187=1,(1-FixedParams!$B$47)*$D187,0))*($B187^((FixedParams!$B$47-1)*$B$10/($B$10-1)))*((1/$B187-1)^$B$10*(I187)^($B$10-1)+1)^((FixedParams!$B$47-$B$10)/($B$10-1))/((1+IF(H187=1,FixedParams!$B$25,FixedParams!$B$24))^FixedParams!$B$47)</f>
        <v>5.4663852843917608E-2</v>
      </c>
      <c r="K187">
        <f t="shared" si="134"/>
        <v>1.1021644381667781</v>
      </c>
      <c r="L187">
        <f>K187*FixedParams!$B$8/K$15</f>
        <v>32.043369340238186</v>
      </c>
      <c r="M187">
        <f t="shared" si="94"/>
        <v>13.008331239805692</v>
      </c>
      <c r="N187">
        <f t="shared" si="106"/>
        <v>45.051700580043878</v>
      </c>
      <c r="O187" s="24">
        <f t="shared" si="107"/>
        <v>0.40596015673890423</v>
      </c>
      <c r="P187" s="24">
        <f t="shared" si="95"/>
        <v>1.8428678936349754</v>
      </c>
      <c r="Q187" s="23">
        <f>IF(H187=1,L187*(1+FixedParams!$B$25)+M187*FixedParams!$B$33*(1+FixedParams!$B$28)/FixedParams!$B$32,L187*(1+FixedParams!$B$23)+M187*FixedParams!$B$33*(1+FixedParams!$B$26)/FixedParams!$B$32)</f>
        <v>70.307805448071093</v>
      </c>
      <c r="R187" s="24">
        <f t="shared" si="96"/>
        <v>14.917732724162342</v>
      </c>
      <c r="S187" s="24">
        <f>R187^((FixedParams!$B$47-1)/FixedParams!$B$47)*EXP($C187)</f>
        <v>0.11921005872155067</v>
      </c>
      <c r="T187" s="7">
        <f>(L187*FixedParams!$B$32*(FixedParams!$C$25-FixedParams!$C$23)+FixedParams!$B$33*(FixedParams!$C$28-FixedParams!$C$26)*M187)/N187</f>
        <v>3611.3112635742286</v>
      </c>
      <c r="U187" s="7">
        <f>(L187*FixedParams!$B$32*(FixedParams!$C$25-FixedParams!$C$23)*$Z$12/$B$11+FixedParams!$B$33*(FixedParams!$C$28-FixedParams!$C$26)*M187)/N187</f>
        <v>2896.9713300274802</v>
      </c>
      <c r="V187" s="14">
        <f t="shared" si="97"/>
        <v>-3.7508945810428011E-2</v>
      </c>
      <c r="W187" s="14">
        <f t="shared" si="140"/>
        <v>0.94202726817064719</v>
      </c>
      <c r="X187" s="73">
        <f t="shared" si="109"/>
        <v>0.85682358170038309</v>
      </c>
      <c r="Y187" s="24">
        <f>EXP(-$D$17)*(($B187*FixedParams!$B$30)^$B$10*(1+FixedParams!$C$24)^(1-$B$10)+(1-$B187)^$B$10*((1+FixedParams!$C$27)/$Z$12)^(1-$B$10))^(1/(1-$B$10))</f>
        <v>6.5364585202665593</v>
      </c>
      <c r="Z187" s="24">
        <f>EXP($D187-$D$17)*(($B187*FixedParams!$C$31)^$B$10*(1+FixedParams!$C$25)^(1-$B$10)+(1-$B187)^$B$10*((1+FixedParams!$C$28)/$Z$12)^(1-$B$10))^(1/(1-$B$10))</f>
        <v>6.8839750151021217</v>
      </c>
      <c r="AA187" s="24">
        <f>EXP($D187-$D$17)*(($B187*FixedParams!$C$30)^$B$10*(1+FixedParams!$C$23)^(1-$B$10)+(1-$B187)^$B$10*((1+FixedParams!$C$26)/$Z$12)^(1-$B$10))^(1/(1-$B$10))</f>
        <v>6.496867235979785</v>
      </c>
      <c r="AB187">
        <f>IF(FixedParams!$I$6=1,IF(Z187&lt;=MIN(Y187:AA187),1,0),$H187)</f>
        <v>0</v>
      </c>
      <c r="AC187">
        <f>IF(FixedParams!$I$6=1,IF(AA187&lt;=MIN(Y187:AA187),1,0),IF(AA187&lt;=Y187,1,0)*(1-$H187))</f>
        <v>1</v>
      </c>
      <c r="AD187" s="24">
        <f>$Z$13*IF(AB187=1,1,IF(AC187=1,FixedParams!$C$52,FixedParams!$C$53))</f>
        <v>0.34709202255780691</v>
      </c>
      <c r="AE187">
        <f>EXP($C187*FixedParams!$B$47)*EXP(IF(AB187+AC187=1,(1-FixedParams!$B$47)*$D187,0))*($B187^((FixedParams!$B$47-1)*$B$10/($B$10-1)))*((1/$B187-1)^$B$10*(AD187)^($B$10-1)+1)^((FixedParams!$B$47-$B$10)/($B$10-1))/((1+IF(AB187=1,FixedParams!$C$25,IF(AC187=1,FixedParams!$C$23,FixedParams!$C$24)))^FixedParams!$B$47)</f>
        <v>5.2479403843352417E-2</v>
      </c>
      <c r="AF187">
        <f t="shared" si="110"/>
        <v>1.5464200945447333</v>
      </c>
      <c r="AG187">
        <f t="shared" si="111"/>
        <v>36.323033301091428</v>
      </c>
      <c r="AH187">
        <f t="shared" si="98"/>
        <v>12.332247824354649</v>
      </c>
      <c r="AI187">
        <f t="shared" si="112"/>
        <v>48.655281125446081</v>
      </c>
      <c r="AJ187" s="24">
        <f t="shared" si="113"/>
        <v>0.33951591328095643</v>
      </c>
      <c r="AK187" s="24">
        <f t="shared" si="114"/>
        <v>2.1699135173378457</v>
      </c>
      <c r="AL187" s="23">
        <f>IF(AB187=1,AG187*(1+FixedParams!$C$25)+AH187*(1+FixedParams!$C$28)/$Z$12,IF(AC187=1,AG187*(1+FixedParams!$C$23)+AH187*(1+FixedParams!$C$26)/$Z$12,AG187*(1+FixedParams!$C$24)+AH187*(1+FixedParams!$C$27)/$Z$12))</f>
        <v>83.042081125819323</v>
      </c>
      <c r="AM187" s="24">
        <f t="shared" si="115"/>
        <v>12.78186518356579</v>
      </c>
      <c r="AN187" s="24">
        <f>AM187^((FixedParams!$B$47-1)/FixedParams!$B$47)*EXP($C187)</f>
        <v>0.11922849931103778</v>
      </c>
      <c r="AO187" s="24">
        <f t="shared" si="116"/>
        <v>7.6949624126147337E-2</v>
      </c>
      <c r="AP187" s="24">
        <f t="shared" si="117"/>
        <v>-0.1545232372343712</v>
      </c>
      <c r="AQ187" s="14">
        <f t="shared" si="118"/>
        <v>2.2069120881831605E-2</v>
      </c>
      <c r="AS187" s="24">
        <f>EXP(-$D$17)*(($B187*FixedParams!$B$30)^$B$10*(1+FixedParams!$D$24)^(1-$B$10)+(1-$B187)^$B$10*((1+FixedParams!$D$27)/$AT$12)^(1-$B$10))^(1/(1-$B$10))</f>
        <v>5.9961594037947314</v>
      </c>
      <c r="AT187" s="24">
        <f>EXP($D187-$D$17)*(($B187*FixedParams!$C$31)^$B$10*(1+FixedParams!$D$25)^(1-$B$10)+(1-$B187)^$B$10*((1+FixedParams!$D$28)/$AT$12)^(1-$B$10))^(1/(1-$B$10))</f>
        <v>6.6101924860665848</v>
      </c>
      <c r="AU187" s="24">
        <f>EXP($D187-$D$17)*(($B187*FixedParams!$C$30)^$B$10*(1+FixedParams!$D$23)^(1-$B$10)+(1-$B187)^$B$10*((1+FixedParams!$D$26)/$AT$12)^(1-$B$10))^(1/(1-$B$10))</f>
        <v>6.2870209350841151</v>
      </c>
      <c r="AV187">
        <f>IF(FixedParams!$I$6=1,IF(AT187&lt;=MIN(AS187:AU187),1,0),$H187)</f>
        <v>0</v>
      </c>
      <c r="AW187">
        <f>IF(FixedParams!$I$6=1,IF(AU187&lt;=MIN(AS187:AU187),1,0),IF(AU187&lt;=AS187,1,0)*(1-$H187))</f>
        <v>0</v>
      </c>
      <c r="AX187" s="24">
        <f>$AT$13*IF(AV187=1,1,IF(AW187=1,FixedParams!$D$52,FixedParams!$D$53))</f>
        <v>0.44031288407969205</v>
      </c>
      <c r="AY187">
        <f>EXP($C187*FixedParams!$B$47)*EXP(IF(AV187+AW187=1,(1-FixedParams!$B$47)*$D187,0))*($B187^((FixedParams!$B$47-1)*$B$10/($B$10-1)))*((1/$B187-1)^$B$10*(AX187)^($B$10-1)+1)^((FixedParams!$B$47-$B$10)/($B$10-1))/((1+IF(AV187=1,FixedParams!$D$25,IF(AW187=1,FixedParams!$D$23,FixedParams!$D$24)))^FixedParams!$B$47)</f>
        <v>3.9197432523927836E-2</v>
      </c>
      <c r="AZ187">
        <f t="shared" si="99"/>
        <v>1.055492034926049</v>
      </c>
      <c r="BA187">
        <f t="shared" si="119"/>
        <v>26.556038434193638</v>
      </c>
      <c r="BB187">
        <f t="shared" si="100"/>
        <v>12.882452964691804</v>
      </c>
      <c r="BC187">
        <f t="shared" si="120"/>
        <v>39.438491398885446</v>
      </c>
      <c r="BD187" s="24">
        <f t="shared" si="121"/>
        <v>0.48510447055628286</v>
      </c>
      <c r="BE187" s="24">
        <f t="shared" si="122"/>
        <v>2.030466017797266</v>
      </c>
      <c r="BF187" s="23">
        <f>IF(AV187=1,BA187*(1+FixedParams!$C$25)+BB187*(1+FixedParams!$C$28)/$AT$12,IF(AW187=1,BA187*(1+FixedParams!$C$23)+BB187*(1+FixedParams!$C$26)/$AT$12,BA187*(1+FixedParams!$C$24)+BB187*(1+FixedParams!$C$27)/$AT$12))</f>
        <v>88.106028882308138</v>
      </c>
      <c r="BG187" s="24">
        <f t="shared" si="123"/>
        <v>14.693743603038525</v>
      </c>
      <c r="BH187" s="24">
        <f>BG187^((FixedParams!$B$47-1)/FixedParams!$B$47)*EXP($C187)</f>
        <v>0.11921186404842235</v>
      </c>
      <c r="BI187" s="7"/>
      <c r="BJ187" s="24">
        <f>EXP(-$D$17)*(($B187*FixedParams!$B$30)^$B$10*(1+FixedParams!$C$24)^(1-$B$10)+(1-$B187)^$B$10*((1+FixedParams!$C$27)/$BK$12)^(1-$B$10))^(1/(1-$B$10))</f>
        <v>6.7135784017441473</v>
      </c>
      <c r="BK187" s="24">
        <f>EXP($D187-$D$17)*(($B187*FixedParams!$C$31)^$B$10*(1+FixedParams!$C$25)^(1-$B$10)+(1-$B187)^$B$10*((1+FixedParams!$C$28)/$BK$12)^(1-$B$10))^(1/(1-$B$10))</f>
        <v>7.0659645288365915</v>
      </c>
      <c r="BL187" s="24">
        <f>EXP($D187-$D$17)*(($B187*FixedParams!$C$30)^$B$10*(1+FixedParams!$C$23)^(1-$B$10)+(1-$B187)^$B$10*((1+FixedParams!$C$26)/$BK$12)^(1-$B$10))^(1/(1-$B$10))</f>
        <v>6.659467515862727</v>
      </c>
      <c r="BM187">
        <f>IF(FixedParams!$I$6=1,IF(BK187&lt;=MIN(BJ187:BL187),1,0),$H187)</f>
        <v>0</v>
      </c>
      <c r="BN187">
        <f>IF(FixedParams!$I$6=1,IF(BL187&lt;=MIN(BJ187:BL187),1,0),IF(BL187&lt;=BJ187,1,0)*(1-$H187))</f>
        <v>1</v>
      </c>
      <c r="BO187" s="24">
        <f>$BK$13*IF(BM187=1,1,IF(BN187=1,FixedParams!$C$52,FixedParams!$C$53))</f>
        <v>0.33006170822567266</v>
      </c>
      <c r="BP187">
        <f>EXP($C187*FixedParams!$B$47)*EXP(IF(BM187+BN187=1,(1-FixedParams!$B$47)*$D187,0))*($B187^((FixedParams!$B$47-1)*$B$10/($B$10-1)))*((1/$B187-1)^$B$10*(BO187)^($B$10-1)+1)^((FixedParams!$B$47-$B$10)/($B$10-1))/((1+IF(BM187=1,FixedParams!$C$25,IF(BN187=1,FixedParams!$C$23,FixedParams!$C$24)))^FixedParams!$B$47)</f>
        <v>5.3133372784957202E-2</v>
      </c>
      <c r="BQ187">
        <f t="shared" si="124"/>
        <v>1.5285277039764</v>
      </c>
      <c r="BR187">
        <f t="shared" si="125"/>
        <v>38.983813369630468</v>
      </c>
      <c r="BS187">
        <f t="shared" si="101"/>
        <v>12.273550681686421</v>
      </c>
      <c r="BT187">
        <f t="shared" si="126"/>
        <v>51.257364051316891</v>
      </c>
      <c r="BU187" s="24">
        <f t="shared" si="127"/>
        <v>0.31483709829290013</v>
      </c>
      <c r="BV187" s="24">
        <f t="shared" si="128"/>
        <v>2.1150880373946941</v>
      </c>
      <c r="BW187" s="23">
        <f>IF(BM187=1,BR187*(1+FixedParams!$C$25)+BS187*(1+FixedParams!$C$28)/$BK$12,IF(BN187=1,BR187*(1+FixedParams!$C$23)+BS187*(1+FixedParams!$C$26)/$BK$12,BR187*(1+FixedParams!$C$24)+BS187*(1+FixedParams!$C$27)/$BK$12))</f>
        <v>88.030400661111415</v>
      </c>
      <c r="BX187" s="24">
        <f t="shared" si="129"/>
        <v>13.218834756896799</v>
      </c>
      <c r="BY187" s="24">
        <f>BX187^((FixedParams!$B$47-1)/FixedParams!$B$47)*EXP($C187)</f>
        <v>0.11922448746433692</v>
      </c>
      <c r="BZ187" s="24">
        <f t="shared" si="130"/>
        <v>0.129048564435957</v>
      </c>
      <c r="CA187" s="24">
        <f t="shared" si="131"/>
        <v>-0.12090793294542419</v>
      </c>
      <c r="CB187" s="24">
        <f t="shared" si="132"/>
        <v>-0.10357947702601694</v>
      </c>
      <c r="CC187" s="24"/>
      <c r="CD187" s="24">
        <f>EXP(-$D$17)*(($B187*FixedParams!$B$30)^$B$10*(1+FixedParams!$D$24)^(1-$B$10)+(1-$B187)^$B$10*((1+FixedParams!$D$27)/$CE$12)^(1-$B$10))^(1/(1-$B$10))</f>
        <v>6.1449615025633912</v>
      </c>
      <c r="CE187" s="24">
        <f>EXP($D187-$D$17)*(($B187*FixedParams!$D$31)^$B$10*(1+FixedParams!$D$25)^(1-$B$10)+(1-$B187)^$B$10*((1+FixedParams!$D$28)/$CE$12)^(1-$B$10))^(1/(1-$B$10))</f>
        <v>6.7714825039054656</v>
      </c>
      <c r="CF187" s="24">
        <f>EXP($D187-$D$17)*(($B187*FixedParams!$D$30)^$B$10*(1+FixedParams!$D$23)^(1-$B$10)+(1-$B187)^$B$10*((1+FixedParams!$D$26)/$CE$12)^(1-$B$10))^(1/(1-$B$10))</f>
        <v>6.4338338045903862</v>
      </c>
      <c r="CG187">
        <f>IF(FixedParams!$I$6=1,IF(CE187&lt;=MIN(CD187:CF187),1,0),$H187)</f>
        <v>0</v>
      </c>
      <c r="CH187">
        <f>IF(FixedParams!$I$6=1,IF(CF187&lt;=MIN(CD187:CF187),1,0),IF(CF187&lt;=CD187,1,0)*(1-$H187))</f>
        <v>0</v>
      </c>
      <c r="CI187" s="24">
        <f>$CE$13*IF(CG187=1,1,IF(CH187=1,FixedParams!$D$52,FixedParams!$D$53))</f>
        <v>0.42008589776177102</v>
      </c>
      <c r="CJ187">
        <f>EXP($C187*FixedParams!$B$47)*EXP(IF(CG187+CH187=1,(1-FixedParams!$B$47)*$D187,0))*($B187^((FixedParams!$B$47-1)*$B$10/($B$10-1)))*((1/$B187-1)^$B$10*(CI187)^($B$10-1)+1)^((FixedParams!$B$47-$B$10)/($B$10-1))/((1+IF(CG187=1,FixedParams!$D$25,IF(CH187=1,FixedParams!$D$23,FixedParams!$D$24)))^FixedParams!$B$47)</f>
        <v>3.9681791010483393E-2</v>
      </c>
      <c r="CK187">
        <f t="shared" si="133"/>
        <v>1.0448358503399242</v>
      </c>
      <c r="CL187">
        <f t="shared" si="135"/>
        <v>28.545209843732064</v>
      </c>
      <c r="CM187">
        <f t="shared" si="102"/>
        <v>12.904274129849403</v>
      </c>
      <c r="CN187">
        <f t="shared" si="136"/>
        <v>41.449483973581465</v>
      </c>
      <c r="CO187" s="24">
        <f t="shared" si="137"/>
        <v>0.45206443394504997</v>
      </c>
      <c r="CP187" s="24">
        <f t="shared" si="138"/>
        <v>1.9852647485700041</v>
      </c>
      <c r="CQ187" s="23">
        <f>IF(CG187=1,CL187*(1+FixedParams!$D$25)+CM187*(1+FixedParams!$D$28)/$CE$12,IF(CH187=1,CL187*(1+FixedParams!$D$23)+CM187*(1+FixedParams!$D$26)/$CE$12,CL187*(1+FixedParams!$D$24)+CM187*(1+FixedParams!$D$27)/$CE$12))</f>
        <v>86.302385082350895</v>
      </c>
      <c r="CR187" s="24">
        <f t="shared" si="139"/>
        <v>14.044414280927484</v>
      </c>
      <c r="CS187" s="24">
        <f>CR187^((FixedParams!$B$47-1)/FixedParams!$B$47)*EXP($C187)</f>
        <v>0.11921725758738902</v>
      </c>
      <c r="CT187" s="24"/>
    </row>
    <row r="188" spans="1:98" x14ac:dyDescent="0.15">
      <c r="A188">
        <v>0.85499999999999998</v>
      </c>
      <c r="B188">
        <f t="shared" si="103"/>
        <v>0.4190936184894955</v>
      </c>
      <c r="C188">
        <f>(D188-$D$17)*FixedParams!$B$47+$A188*$B$9</f>
        <v>-2.1366579625909221</v>
      </c>
      <c r="D188">
        <f>(A188-$B$6)*FixedParams!$B$46/(FixedParams!$B$45*Sectors!$B$6)</f>
        <v>0.19288975761194688</v>
      </c>
      <c r="E188">
        <f t="shared" si="104"/>
        <v>0.11804870769716029</v>
      </c>
      <c r="F188" s="24">
        <f>EXP(-$D$17)*(($B188*FixedParams!$B$30)^$B$10*(1+FixedParams!$B$23)^(1-$B$10)+(1-$B188)^$B$10*((1+FixedParams!$B$26)/$B$11)^(1-$B$10))^(1/(1-$B$10))</f>
        <v>4.7008273638367193</v>
      </c>
      <c r="G188" s="24">
        <f>EXP($D188-$D$17)*(($B188*FixedParams!$B$31)^$B$10*(1+FixedParams!$B$25)^(1-$B$10)+(1-$B188)^$B$10*((1+FixedParams!$B$28)/$B$11)^(1-$B$10))^(1/(1-$B$10))</f>
        <v>5.4206705331381038</v>
      </c>
      <c r="H188">
        <f t="shared" si="105"/>
        <v>0</v>
      </c>
      <c r="I188" s="24">
        <f>$B$12*IF(H188=1,1,FixedParams!$B$52)</f>
        <v>0.39101505882574561</v>
      </c>
      <c r="J188">
        <f>EXP($C188*FixedParams!$B$47)*EXP(IF(H188=1,(1-FixedParams!$B$47)*$D188,0))*($B188^((FixedParams!$B$47-1)*$B$10/($B$10-1)))*((1/$B188-1)^$B$10*(I188)^($B$10-1)+1)^((FixedParams!$B$47-$B$10)/($B$10-1))/((1+IF(H188=1,FixedParams!$B$25,FixedParams!$B$24))^FixedParams!$B$47)</f>
        <v>5.4460597617557664E-2</v>
      </c>
      <c r="K188">
        <f t="shared" si="134"/>
        <v>1.0980662879137193</v>
      </c>
      <c r="L188">
        <f>K188*FixedParams!$B$8/K$15</f>
        <v>31.924223287595648</v>
      </c>
      <c r="M188">
        <f t="shared" si="94"/>
        <v>12.738057764233078</v>
      </c>
      <c r="N188">
        <f t="shared" si="106"/>
        <v>44.662281051828728</v>
      </c>
      <c r="O188" s="24">
        <f t="shared" si="107"/>
        <v>0.39900916772445105</v>
      </c>
      <c r="P188" s="24">
        <f t="shared" si="95"/>
        <v>1.8380942882002895</v>
      </c>
      <c r="Q188" s="23">
        <f>IF(H188=1,L188*(1+FixedParams!$B$25)+M188*FixedParams!$B$33*(1+FixedParams!$B$28)/FixedParams!$B$32,L188*(1+FixedParams!$B$23)+M188*FixedParams!$B$33*(1+FixedParams!$B$26)/FixedParams!$B$32)</f>
        <v>69.435457276440474</v>
      </c>
      <c r="R188" s="24">
        <f t="shared" si="96"/>
        <v>14.770901354643382</v>
      </c>
      <c r="S188" s="24">
        <f>R188^((FixedParams!$B$47-1)/FixedParams!$B$47)*EXP($C188)</f>
        <v>0.11773095300771169</v>
      </c>
      <c r="T188" s="7">
        <f>(L188*FixedParams!$B$32*(FixedParams!$C$25-FixedParams!$C$23)+FixedParams!$B$33*(FixedParams!$C$28-FixedParams!$C$26)*M188)/N188</f>
        <v>3651.4030266167242</v>
      </c>
      <c r="U188" s="7">
        <f>(L188*FixedParams!$B$32*(FixedParams!$C$25-FixedParams!$C$23)*$Z$12/$B$11+FixedParams!$B$33*(FixedParams!$C$28-FixedParams!$C$26)*M188)/N188</f>
        <v>2933.5138890009666</v>
      </c>
      <c r="V188" s="14">
        <f t="shared" si="97"/>
        <v>-2.0238320514343974E-2</v>
      </c>
      <c r="W188" s="14">
        <f t="shared" si="140"/>
        <v>0.94421785800793923</v>
      </c>
      <c r="X188" s="73">
        <f t="shared" si="109"/>
        <v>0.85494053841866191</v>
      </c>
      <c r="Y188" s="24">
        <f>EXP(-$D$17)*(($B188*FixedParams!$B$30)^$B$10*(1+FixedParams!$C$24)^(1-$B$10)+(1-$B188)^$B$10*((1+FixedParams!$C$27)/$Z$12)^(1-$B$10))^(1/(1-$B$10))</f>
        <v>6.5252038337898162</v>
      </c>
      <c r="Z188" s="24">
        <f>EXP($D188-$D$17)*(($B188*FixedParams!$C$31)^$B$10*(1+FixedParams!$C$25)^(1-$B$10)+(1-$B188)^$B$10*((1+FixedParams!$C$28)/$Z$12)^(1-$B$10))^(1/(1-$B$10))</f>
        <v>6.8877749839232481</v>
      </c>
      <c r="AA188" s="24">
        <f>EXP($D188-$D$17)*(($B188*FixedParams!$C$30)^$B$10*(1+FixedParams!$C$23)^(1-$B$10)+(1-$B188)^$B$10*((1+FixedParams!$C$26)/$Z$12)^(1-$B$10))^(1/(1-$B$10))</f>
        <v>6.4943251790849619</v>
      </c>
      <c r="AB188">
        <f>IF(FixedParams!$I$6=1,IF(Z188&lt;=MIN(Y188:AA188),1,0),$H188)</f>
        <v>0</v>
      </c>
      <c r="AC188">
        <f>IF(FixedParams!$I$6=1,IF(AA188&lt;=MIN(Y188:AA188),1,0),IF(AA188&lt;=Y188,1,0)*(1-$H188))</f>
        <v>1</v>
      </c>
      <c r="AD188" s="24">
        <f>$Z$13*IF(AB188=1,1,IF(AC188=1,FixedParams!$C$52,FixedParams!$C$53))</f>
        <v>0.34709202255780691</v>
      </c>
      <c r="AE188">
        <f>EXP($C188*FixedParams!$B$47)*EXP(IF(AB188+AC188=1,(1-FixedParams!$B$47)*$D188,0))*($B188^((FixedParams!$B$47-1)*$B$10/($B$10-1)))*((1/$B188-1)^$B$10*(AD188)^($B$10-1)+1)^((FixedParams!$B$47-$B$10)/($B$10-1))/((1+IF(AB188=1,FixedParams!$C$25,IF(AC188=1,FixedParams!$C$23,FixedParams!$C$24)))^FixedParams!$B$47)</f>
        <v>5.227093944507108E-2</v>
      </c>
      <c r="AF188">
        <f t="shared" si="110"/>
        <v>1.540277236377714</v>
      </c>
      <c r="AG188">
        <f t="shared" si="111"/>
        <v>36.178746995868387</v>
      </c>
      <c r="AH188">
        <f t="shared" si="98"/>
        <v>12.072942132189942</v>
      </c>
      <c r="AI188">
        <f t="shared" si="112"/>
        <v>48.251689128058331</v>
      </c>
      <c r="AJ188" s="24">
        <f t="shared" si="113"/>
        <v>0.33370260538787239</v>
      </c>
      <c r="AK188" s="24">
        <f t="shared" si="114"/>
        <v>2.1690644860405199</v>
      </c>
      <c r="AL188" s="23">
        <f>IF(AB188=1,AG188*(1+FixedParams!$C$25)+AH188*(1+FixedParams!$C$28)/$Z$12,IF(AC188=1,AG188*(1+FixedParams!$C$23)+AH188*(1+FixedParams!$C$26)/$Z$12,AG188*(1+FixedParams!$C$24)+AH188*(1+FixedParams!$C$27)/$Z$12))</f>
        <v>82.011912307092359</v>
      </c>
      <c r="AM188" s="24">
        <f t="shared" si="115"/>
        <v>12.628242357067755</v>
      </c>
      <c r="AN188" s="24">
        <f>AM188^((FixedParams!$B$47-1)/FixedParams!$B$47)*EXP($C188)</f>
        <v>0.11774942411652603</v>
      </c>
      <c r="AO188" s="24">
        <f t="shared" si="116"/>
        <v>7.7301513952161227E-2</v>
      </c>
      <c r="AP188" s="24">
        <f t="shared" si="117"/>
        <v>-0.15672335817295915</v>
      </c>
      <c r="AQ188" s="14">
        <f t="shared" si="118"/>
        <v>3.9339746177915219E-2</v>
      </c>
      <c r="AS188" s="24">
        <f>EXP(-$D$17)*(($B188*FixedParams!$B$30)^$B$10*(1+FixedParams!$D$24)^(1-$B$10)+(1-$B188)^$B$10*((1+FixedParams!$D$27)/$AT$12)^(1-$B$10))^(1/(1-$B$10))</f>
        <v>5.9836915122200844</v>
      </c>
      <c r="AT188" s="24">
        <f>EXP($D188-$D$17)*(($B188*FixedParams!$C$31)^$B$10*(1+FixedParams!$D$25)^(1-$B$10)+(1-$B188)^$B$10*((1+FixedParams!$D$28)/$AT$12)^(1-$B$10))^(1/(1-$B$10))</f>
        <v>6.612420948798067</v>
      </c>
      <c r="AU188" s="24">
        <f>EXP($D188-$D$17)*(($B188*FixedParams!$C$30)^$B$10*(1+FixedParams!$D$23)^(1-$B$10)+(1-$B188)^$B$10*((1+FixedParams!$D$26)/$AT$12)^(1-$B$10))^(1/(1-$B$10))</f>
        <v>6.2844119178575619</v>
      </c>
      <c r="AV188">
        <f>IF(FixedParams!$I$6=1,IF(AT188&lt;=MIN(AS188:AU188),1,0),$H188)</f>
        <v>0</v>
      </c>
      <c r="AW188">
        <f>IF(FixedParams!$I$6=1,IF(AU188&lt;=MIN(AS188:AU188),1,0),IF(AU188&lt;=AS188,1,0)*(1-$H188))</f>
        <v>0</v>
      </c>
      <c r="AX188" s="24">
        <f>$AT$13*IF(AV188=1,1,IF(AW188=1,FixedParams!$D$52,FixedParams!$D$53))</f>
        <v>0.44031288407969205</v>
      </c>
      <c r="AY188">
        <f>EXP($C188*FixedParams!$B$47)*EXP(IF(AV188+AW188=1,(1-FixedParams!$B$47)*$D188,0))*($B188^((FixedParams!$B$47-1)*$B$10/($B$10-1)))*((1/$B188-1)^$B$10*(AX188)^($B$10-1)+1)^((FixedParams!$B$47-$B$10)/($B$10-1))/((1+IF(AV188=1,FixedParams!$D$25,IF(AW188=1,FixedParams!$D$23,FixedParams!$D$24)))^FixedParams!$B$47)</f>
        <v>3.9061708053201499E-2</v>
      </c>
      <c r="AZ188">
        <f t="shared" si="99"/>
        <v>1.0518373032619597</v>
      </c>
      <c r="BA188">
        <f t="shared" si="119"/>
        <v>26.464085874319494</v>
      </c>
      <c r="BB188">
        <f t="shared" si="100"/>
        <v>12.618032359005225</v>
      </c>
      <c r="BC188">
        <f t="shared" si="120"/>
        <v>39.082118233324721</v>
      </c>
      <c r="BD188" s="24">
        <f t="shared" si="121"/>
        <v>0.47679834546069272</v>
      </c>
      <c r="BE188" s="24">
        <f t="shared" si="122"/>
        <v>2.0262440436216158</v>
      </c>
      <c r="BF188" s="23">
        <f>IF(AV188=1,BA188*(1+FixedParams!$C$25)+BB188*(1+FixedParams!$C$28)/$AT$12,IF(AW188=1,BA188*(1+FixedParams!$C$23)+BB188*(1+FixedParams!$C$26)/$AT$12,BA188*(1+FixedParams!$C$24)+BB188*(1+FixedParams!$C$27)/$AT$12))</f>
        <v>87.049313986000669</v>
      </c>
      <c r="BG188" s="24">
        <f t="shared" si="123"/>
        <v>14.547760994734739</v>
      </c>
      <c r="BH188" s="24">
        <f>BG188^((FixedParams!$B$47-1)/FixedParams!$B$47)*EXP($C188)</f>
        <v>0.1177327469184881</v>
      </c>
      <c r="BI188" s="7"/>
      <c r="BJ188" s="24">
        <f>EXP(-$D$17)*(($B188*FixedParams!$B$30)^$B$10*(1+FixedParams!$C$24)^(1-$B$10)+(1-$B188)^$B$10*((1+FixedParams!$C$27)/$BK$12)^(1-$B$10))^(1/(1-$B$10))</f>
        <v>6.7005680928692373</v>
      </c>
      <c r="BK188" s="24">
        <f>EXP($D188-$D$17)*(($B188*FixedParams!$C$31)^$B$10*(1+FixedParams!$C$25)^(1-$B$10)+(1-$B188)^$B$10*((1+FixedParams!$C$28)/$BK$12)^(1-$B$10))^(1/(1-$B$10))</f>
        <v>7.0683310883165396</v>
      </c>
      <c r="BL188" s="24">
        <f>EXP($D188-$D$17)*(($B188*FixedParams!$C$30)^$B$10*(1+FixedParams!$C$23)^(1-$B$10)+(1-$B188)^$B$10*((1+FixedParams!$C$26)/$BK$12)^(1-$B$10))^(1/(1-$B$10))</f>
        <v>6.6554166785948441</v>
      </c>
      <c r="BM188">
        <f>IF(FixedParams!$I$6=1,IF(BK188&lt;=MIN(BJ188:BL188),1,0),$H188)</f>
        <v>0</v>
      </c>
      <c r="BN188">
        <f>IF(FixedParams!$I$6=1,IF(BL188&lt;=MIN(BJ188:BL188),1,0),IF(BL188&lt;=BJ188,1,0)*(1-$H188))</f>
        <v>1</v>
      </c>
      <c r="BO188" s="24">
        <f>$BK$13*IF(BM188=1,1,IF(BN188=1,FixedParams!$C$52,FixedParams!$C$53))</f>
        <v>0.33006170822567266</v>
      </c>
      <c r="BP188">
        <f>EXP($C188*FixedParams!$B$47)*EXP(IF(BM188+BN188=1,(1-FixedParams!$B$47)*$D188,0))*($B188^((FixedParams!$B$47-1)*$B$10/($B$10-1)))*((1/$B188-1)^$B$10*(BO188)^($B$10-1)+1)^((FixedParams!$B$47-$B$10)/($B$10-1))/((1+IF(BM188=1,FixedParams!$C$25,IF(BN188=1,FixedParams!$C$23,FixedParams!$C$24)))^FixedParams!$B$47)</f>
        <v>5.2916554283792813E-2</v>
      </c>
      <c r="BQ188">
        <f t="shared" si="124"/>
        <v>1.5222903230537601</v>
      </c>
      <c r="BR188">
        <f t="shared" si="125"/>
        <v>38.824734215768274</v>
      </c>
      <c r="BS188">
        <f t="shared" si="101"/>
        <v>12.01417227465204</v>
      </c>
      <c r="BT188">
        <f t="shared" si="126"/>
        <v>50.838906490420314</v>
      </c>
      <c r="BU188" s="24">
        <f t="shared" si="127"/>
        <v>0.30944634953283479</v>
      </c>
      <c r="BV188" s="24">
        <f t="shared" si="128"/>
        <v>2.1138014664449409</v>
      </c>
      <c r="BW188" s="23">
        <f>IF(BM188=1,BR188*(1+FixedParams!$C$25)+BS188*(1+FixedParams!$C$28)/$BK$12,IF(BN188=1,BR188*(1+FixedParams!$C$23)+BS188*(1+FixedParams!$C$26)/$BK$12,BR188*(1+FixedParams!$C$24)+BS188*(1+FixedParams!$C$27)/$BK$12))</f>
        <v>86.93833095242168</v>
      </c>
      <c r="BX188" s="24">
        <f t="shared" si="129"/>
        <v>13.062793082818212</v>
      </c>
      <c r="BY188" s="24">
        <f>BX188^((FixedParams!$B$47-1)/FixedParams!$B$47)*EXP($C188)</f>
        <v>0.11774543647381505</v>
      </c>
      <c r="BZ188" s="24">
        <f t="shared" si="130"/>
        <v>0.12953261619142439</v>
      </c>
      <c r="CA188" s="24">
        <f t="shared" si="131"/>
        <v>-0.12289115428799649</v>
      </c>
      <c r="CB188" s="24">
        <f t="shared" si="132"/>
        <v>-0.10556269836858924</v>
      </c>
      <c r="CC188" s="24"/>
      <c r="CD188" s="24">
        <f>EXP(-$D$17)*(($B188*FixedParams!$B$30)^$B$10*(1+FixedParams!$D$24)^(1-$B$10)+(1-$B188)^$B$10*((1+FixedParams!$D$27)/$CE$12)^(1-$B$10))^(1/(1-$B$10))</f>
        <v>6.1309410708202137</v>
      </c>
      <c r="CE188" s="24">
        <f>EXP($D188-$D$17)*(($B188*FixedParams!$D$31)^$B$10*(1+FixedParams!$D$25)^(1-$B$10)+(1-$B188)^$B$10*((1+FixedParams!$D$28)/$CE$12)^(1-$B$10))^(1/(1-$B$10))</f>
        <v>6.7723907388546714</v>
      </c>
      <c r="CF188" s="24">
        <f>EXP($D188-$D$17)*(($B188*FixedParams!$D$30)^$B$10*(1+FixedParams!$D$23)^(1-$B$10)+(1-$B188)^$B$10*((1+FixedParams!$D$26)/$CE$12)^(1-$B$10))^(1/(1-$B$10))</f>
        <v>6.4298588775756542</v>
      </c>
      <c r="CG188">
        <f>IF(FixedParams!$I$6=1,IF(CE188&lt;=MIN(CD188:CF188),1,0),$H188)</f>
        <v>0</v>
      </c>
      <c r="CH188">
        <f>IF(FixedParams!$I$6=1,IF(CF188&lt;=MIN(CD188:CF188),1,0),IF(CF188&lt;=CD188,1,0)*(1-$H188))</f>
        <v>0</v>
      </c>
      <c r="CI188" s="24">
        <f>$CE$13*IF(CG188=1,1,IF(CH188=1,FixedParams!$D$52,FixedParams!$D$53))</f>
        <v>0.42008589776177102</v>
      </c>
      <c r="CJ188">
        <f>EXP($C188*FixedParams!$B$47)*EXP(IF(CG188+CH188=1,(1-FixedParams!$B$47)*$D188,0))*($B188^((FixedParams!$B$47-1)*$B$10/($B$10-1)))*((1/$B188-1)^$B$10*(CI188)^($B$10-1)+1)^((FixedParams!$B$47-$B$10)/($B$10-1))/((1+IF(CG188=1,FixedParams!$D$25,IF(CH188=1,FixedParams!$D$23,FixedParams!$D$24)))^FixedParams!$B$47)</f>
        <v>3.9540372910992425E-2</v>
      </c>
      <c r="CK188">
        <f t="shared" si="133"/>
        <v>1.0411122608427652</v>
      </c>
      <c r="CL188">
        <f t="shared" si="135"/>
        <v>28.443480329441623</v>
      </c>
      <c r="CM188">
        <f t="shared" si="102"/>
        <v>12.638121855167984</v>
      </c>
      <c r="CN188">
        <f t="shared" si="136"/>
        <v>41.081602184609608</v>
      </c>
      <c r="CO188" s="24">
        <f t="shared" si="137"/>
        <v>0.44432403168631807</v>
      </c>
      <c r="CP188" s="24">
        <f t="shared" si="138"/>
        <v>1.9807351402253708</v>
      </c>
      <c r="CQ188" s="23">
        <f>IF(CG188=1,CL188*(1+FixedParams!$D$25)+CM188*(1+FixedParams!$D$28)/$CE$12,IF(CH188=1,CL188*(1+FixedParams!$D$23)+CM188*(1+FixedParams!$D$26)/$CE$12,CL188*(1+FixedParams!$D$24)+CM188*(1+FixedParams!$D$27)/$CE$12))</f>
        <v>85.231609611921868</v>
      </c>
      <c r="CR188" s="24">
        <f t="shared" si="139"/>
        <v>13.901880417278152</v>
      </c>
      <c r="CS188" s="24">
        <f>CR188^((FixedParams!$B$47-1)/FixedParams!$B$47)*EXP($C188)</f>
        <v>0.1177380989876055</v>
      </c>
      <c r="CT188" s="24"/>
    </row>
    <row r="189" spans="1:98" x14ac:dyDescent="0.15">
      <c r="A189">
        <v>0.86</v>
      </c>
      <c r="B189">
        <f t="shared" si="103"/>
        <v>0.42189927141444711</v>
      </c>
      <c r="C189">
        <f>(D189-$D$17)*FixedParams!$B$47+$A189*$B$9</f>
        <v>-2.1491530383955473</v>
      </c>
      <c r="D189">
        <f>(A189-$B$6)*FixedParams!$B$46/(FixedParams!$B$45*Sectors!$B$6)</f>
        <v>0.19560651476141092</v>
      </c>
      <c r="E189">
        <f t="shared" si="104"/>
        <v>0.11658285717405933</v>
      </c>
      <c r="F189" s="24">
        <f>EXP(-$D$17)*(($B189*FixedParams!$B$30)^$B$10*(1+FixedParams!$B$23)^(1-$B$10)+(1-$B189)^$B$10*((1+FixedParams!$B$26)/$B$11)^(1-$B$10))^(1/(1-$B$10))</f>
        <v>4.6884055420040669</v>
      </c>
      <c r="G189" s="24">
        <f>EXP($D189-$D$17)*(($B189*FixedParams!$B$31)^$B$10*(1+FixedParams!$B$25)^(1-$B$10)+(1-$B189)^$B$10*((1+FixedParams!$B$28)/$B$11)^(1-$B$10))^(1/(1-$B$10))</f>
        <v>5.4200500745114919</v>
      </c>
      <c r="H189">
        <f t="shared" si="105"/>
        <v>0</v>
      </c>
      <c r="I189" s="24">
        <f>$B$12*IF(H189=1,1,FixedParams!$B$52)</f>
        <v>0.39101505882574561</v>
      </c>
      <c r="J189">
        <f>EXP($C189*FixedParams!$B$47)*EXP(IF(H189=1,(1-FixedParams!$B$47)*$D189,0))*($B189^((FixedParams!$B$47-1)*$B$10/($B$10-1)))*((1/$B189-1)^$B$10*(I189)^($B$10-1)+1)^((FixedParams!$B$47-$B$10)/($B$10-1))/((1+IF(H189=1,FixedParams!$B$25,FixedParams!$B$24))^FixedParams!$B$47)</f>
        <v>5.4254049976139418E-2</v>
      </c>
      <c r="K189">
        <f t="shared" si="134"/>
        <v>1.0939017540706983</v>
      </c>
      <c r="L189">
        <f>K189*FixedParams!$B$8/K$15</f>
        <v>31.803147256251538</v>
      </c>
      <c r="M189">
        <f t="shared" si="94"/>
        <v>12.472469112626671</v>
      </c>
      <c r="N189">
        <f t="shared" si="106"/>
        <v>44.275616368878211</v>
      </c>
      <c r="O189" s="24">
        <f t="shared" si="107"/>
        <v>0.39217719592751815</v>
      </c>
      <c r="P189" s="24">
        <f t="shared" si="95"/>
        <v>1.8332371688056719</v>
      </c>
      <c r="Q189" s="23">
        <f>IF(H189=1,L189*(1+FixedParams!$B$25)+M189*FixedParams!$B$33*(1+FixedParams!$B$28)/FixedParams!$B$32,L189*(1+FixedParams!$B$23)+M189*FixedParams!$B$33*(1+FixedParams!$B$26)/FixedParams!$B$32)</f>
        <v>68.57392922896446</v>
      </c>
      <c r="R189" s="24">
        <f t="shared" si="96"/>
        <v>14.626279363975929</v>
      </c>
      <c r="S189" s="24">
        <f>R189^((FixedParams!$B$47-1)/FixedParams!$B$47)*EXP($C189)</f>
        <v>0.11627019330293419</v>
      </c>
      <c r="T189" s="7">
        <f>(L189*FixedParams!$B$32*(FixedParams!$C$25-FixedParams!$C$23)+FixedParams!$B$33*(FixedParams!$C$28-FixedParams!$C$26)*M189)/N189</f>
        <v>3691.1984487036389</v>
      </c>
      <c r="U189" s="7">
        <f>(L189*FixedParams!$B$32*(FixedParams!$C$25-FixedParams!$C$23)*$Z$12/$B$11+FixedParams!$B$33*(FixedParams!$C$28-FixedParams!$C$26)*M189)/N189</f>
        <v>2969.7863411988019</v>
      </c>
      <c r="V189" s="14">
        <f t="shared" si="97"/>
        <v>-2.9676952182606806E-3</v>
      </c>
      <c r="W189" s="14">
        <f t="shared" si="140"/>
        <v>0.94638948276541535</v>
      </c>
      <c r="X189" s="73">
        <f t="shared" si="109"/>
        <v>0.85306159735970843</v>
      </c>
      <c r="Y189" s="24">
        <f>EXP(-$D$17)*(($B189*FixedParams!$B$30)^$B$10*(1+FixedParams!$C$24)^(1-$B$10)+(1-$B189)^$B$10*((1+FixedParams!$C$27)/$Z$12)^(1-$B$10))^(1/(1-$B$10))</f>
        <v>6.5136313200831246</v>
      </c>
      <c r="Z189" s="24">
        <f>EXP($D189-$D$17)*(($B189*FixedParams!$C$31)^$B$10*(1+FixedParams!$C$25)^(1-$B$10)+(1-$B189)^$B$10*((1+FixedParams!$C$28)/$Z$12)^(1-$B$10))^(1/(1-$B$10))</f>
        <v>6.8912177868753961</v>
      </c>
      <c r="AA189" s="24">
        <f>EXP($D189-$D$17)*(($B189*FixedParams!$C$30)^$B$10*(1+FixedParams!$C$23)^(1-$B$10)+(1-$B189)^$B$10*((1+FixedParams!$C$26)/$Z$12)^(1-$B$10))^(1/(1-$B$10))</f>
        <v>6.4914448868120829</v>
      </c>
      <c r="AB189">
        <f>IF(FixedParams!$I$6=1,IF(Z189&lt;=MIN(Y189:AA189),1,0),$H189)</f>
        <v>0</v>
      </c>
      <c r="AC189">
        <f>IF(FixedParams!$I$6=1,IF(AA189&lt;=MIN(Y189:AA189),1,0),IF(AA189&lt;=Y189,1,0)*(1-$H189))</f>
        <v>1</v>
      </c>
      <c r="AD189" s="24">
        <f>$Z$13*IF(AB189=1,1,IF(AC189=1,FixedParams!$C$52,FixedParams!$C$53))</f>
        <v>0.34709202255780691</v>
      </c>
      <c r="AE189">
        <f>EXP($C189*FixedParams!$B$47)*EXP(IF(AB189+AC189=1,(1-FixedParams!$B$47)*$D189,0))*($B189^((FixedParams!$B$47-1)*$B$10/($B$10-1)))*((1/$B189-1)^$B$10*(AD189)^($B$10-1)+1)^((FixedParams!$B$47-$B$10)/($B$10-1))/((1+IF(AB189=1,FixedParams!$C$25,IF(AC189=1,FixedParams!$C$23,FixedParams!$C$24)))^FixedParams!$B$47)</f>
        <v>5.2059419816890634E-2</v>
      </c>
      <c r="AF189">
        <f t="shared" si="110"/>
        <v>1.5340443491981028</v>
      </c>
      <c r="AG189">
        <f t="shared" si="111"/>
        <v>36.032346047390277</v>
      </c>
      <c r="AH189">
        <f t="shared" si="98"/>
        <v>11.818207200455284</v>
      </c>
      <c r="AI189">
        <f t="shared" si="112"/>
        <v>47.850553247845561</v>
      </c>
      <c r="AJ189" s="24">
        <f t="shared" si="113"/>
        <v>0.32798883494601772</v>
      </c>
      <c r="AK189" s="24">
        <f t="shared" si="114"/>
        <v>2.1681024862166369</v>
      </c>
      <c r="AL189" s="23">
        <f>IF(AB189=1,AG189*(1+FixedParams!$C$25)+AH189*(1+FixedParams!$C$28)/$Z$12,IF(AC189=1,AG189*(1+FixedParams!$C$23)+AH189*(1+FixedParams!$C$26)/$Z$12,AG189*(1+FixedParams!$C$24)+AH189*(1+FixedParams!$C$27)/$Z$12))</f>
        <v>80.994518894580096</v>
      </c>
      <c r="AM189" s="24">
        <f t="shared" si="115"/>
        <v>12.477117237662647</v>
      </c>
      <c r="AN189" s="24">
        <f>AM189^((FixedParams!$B$47-1)/FixedParams!$B$47)*EXP($C189)</f>
        <v>0.11628869133938151</v>
      </c>
      <c r="AO189" s="24">
        <f t="shared" si="116"/>
        <v>7.7648575013558416E-2</v>
      </c>
      <c r="AP189" s="24">
        <f t="shared" si="117"/>
        <v>-0.15892352148370259</v>
      </c>
      <c r="AQ189" s="14">
        <f t="shared" si="118"/>
        <v>5.6610371473998805E-2</v>
      </c>
      <c r="AS189" s="24">
        <f>EXP(-$D$17)*(($B189*FixedParams!$B$30)^$B$10*(1+FixedParams!$D$24)^(1-$B$10)+(1-$B189)^$B$10*((1+FixedParams!$D$27)/$AT$12)^(1-$B$10))^(1/(1-$B$10))</f>
        <v>5.9709385808253508</v>
      </c>
      <c r="AT189" s="24">
        <f>EXP($D189-$D$17)*(($B189*FixedParams!$C$31)^$B$10*(1+FixedParams!$D$25)^(1-$B$10)+(1-$B189)^$B$10*((1+FixedParams!$D$28)/$AT$12)^(1-$B$10))^(1/(1-$B$10))</f>
        <v>6.6143046306897668</v>
      </c>
      <c r="AU189" s="24">
        <f>EXP($D189-$D$17)*(($B189*FixedParams!$C$30)^$B$10*(1+FixedParams!$D$23)^(1-$B$10)+(1-$B189)^$B$10*((1+FixedParams!$D$26)/$AT$12)^(1-$B$10))^(1/(1-$B$10))</f>
        <v>6.2814757782505648</v>
      </c>
      <c r="AV189">
        <f>IF(FixedParams!$I$6=1,IF(AT189&lt;=MIN(AS189:AU189),1,0),$H189)</f>
        <v>0</v>
      </c>
      <c r="AW189">
        <f>IF(FixedParams!$I$6=1,IF(AU189&lt;=MIN(AS189:AU189),1,0),IF(AU189&lt;=AS189,1,0)*(1-$H189))</f>
        <v>0</v>
      </c>
      <c r="AX189" s="24">
        <f>$AT$13*IF(AV189=1,1,IF(AW189=1,FixedParams!$D$52,FixedParams!$D$53))</f>
        <v>0.44031288407969205</v>
      </c>
      <c r="AY189">
        <f>EXP($C189*FixedParams!$B$47)*EXP(IF(AV189+AW189=1,(1-FixedParams!$B$47)*$D189,0))*($B189^((FixedParams!$B$47-1)*$B$10/($B$10-1)))*((1/$B189-1)^$B$10*(AX189)^($B$10-1)+1)^((FixedParams!$B$47-$B$10)/($B$10-1))/((1+IF(AV189=1,FixedParams!$D$25,IF(AW189=1,FixedParams!$D$23,FixedParams!$D$24)))^FixedParams!$B$47)</f>
        <v>3.8923553558703472E-2</v>
      </c>
      <c r="AZ189">
        <f t="shared" si="99"/>
        <v>1.0481171369361963</v>
      </c>
      <c r="BA189">
        <f t="shared" si="119"/>
        <v>26.370486987109054</v>
      </c>
      <c r="BB189">
        <f t="shared" si="100"/>
        <v>12.358118419855664</v>
      </c>
      <c r="BC189">
        <f t="shared" si="120"/>
        <v>38.728605406964718</v>
      </c>
      <c r="BD189" s="24">
        <f t="shared" si="121"/>
        <v>0.46863444068730342</v>
      </c>
      <c r="BE189" s="24">
        <f t="shared" si="122"/>
        <v>2.0219255470506408</v>
      </c>
      <c r="BF189" s="23">
        <f>IF(AV189=1,BA189*(1+FixedParams!$C$25)+BB189*(1+FixedParams!$C$28)/$AT$12,IF(AW189=1,BA189*(1+FixedParams!$C$23)+BB189*(1+FixedParams!$C$26)/$AT$12,BA189*(1+FixedParams!$C$24)+BB189*(1+FixedParams!$C$27)/$AT$12))</f>
        <v>86.005278169395666</v>
      </c>
      <c r="BG189" s="24">
        <f t="shared" si="123"/>
        <v>14.403979710256429</v>
      </c>
      <c r="BH189" s="24">
        <f>BG189^((FixedParams!$B$47-1)/FixedParams!$B$47)*EXP($C189)</f>
        <v>0.11627197581547662</v>
      </c>
      <c r="BI189" s="7"/>
      <c r="BJ189" s="24">
        <f>EXP(-$D$17)*(($B189*FixedParams!$B$30)^$B$10*(1+FixedParams!$C$24)^(1-$B$10)+(1-$B189)^$B$10*((1+FixedParams!$C$27)/$BK$12)^(1-$B$10))^(1/(1-$B$10))</f>
        <v>6.6872354462806269</v>
      </c>
      <c r="BK189" s="24">
        <f>EXP($D189-$D$17)*(($B189*FixedParams!$C$31)^$B$10*(1+FixedParams!$C$25)^(1-$B$10)+(1-$B189)^$B$10*((1+FixedParams!$C$28)/$BK$12)^(1-$B$10))^(1/(1-$B$10))</f>
        <v>7.0703290794942184</v>
      </c>
      <c r="BL189" s="24">
        <f>EXP($D189-$D$17)*(($B189*FixedParams!$C$30)^$B$10*(1+FixedParams!$C$23)^(1-$B$10)+(1-$B189)^$B$10*((1+FixedParams!$C$26)/$BK$12)^(1-$B$10))^(1/(1-$B$10))</f>
        <v>6.6510213833105407</v>
      </c>
      <c r="BM189">
        <f>IF(FixedParams!$I$6=1,IF(BK189&lt;=MIN(BJ189:BL189),1,0),$H189)</f>
        <v>0</v>
      </c>
      <c r="BN189">
        <f>IF(FixedParams!$I$6=1,IF(BL189&lt;=MIN(BJ189:BL189),1,0),IF(BL189&lt;=BJ189,1,0)*(1-$H189))</f>
        <v>1</v>
      </c>
      <c r="BO189" s="24">
        <f>$BK$13*IF(BM189=1,1,IF(BN189=1,FixedParams!$C$52,FixedParams!$C$53))</f>
        <v>0.33006170822567266</v>
      </c>
      <c r="BP189">
        <f>EXP($C189*FixedParams!$B$47)*EXP(IF(BM189+BN189=1,(1-FixedParams!$B$47)*$D189,0))*($B189^((FixedParams!$B$47-1)*$B$10/($B$10-1)))*((1/$B189-1)^$B$10*(BO189)^($B$10-1)+1)^((FixedParams!$B$47-$B$10)/($B$10-1))/((1+IF(BM189=1,FixedParams!$C$25,IF(BN189=1,FixedParams!$C$23,FixedParams!$C$24)))^FixedParams!$B$47)</f>
        <v>5.2696692259450159E-2</v>
      </c>
      <c r="BQ189">
        <f t="shared" si="124"/>
        <v>1.5159653868103899</v>
      </c>
      <c r="BR189">
        <f t="shared" si="125"/>
        <v>38.663422037097966</v>
      </c>
      <c r="BS189">
        <f t="shared" si="101"/>
        <v>11.759398736223252</v>
      </c>
      <c r="BT189">
        <f t="shared" si="126"/>
        <v>50.42282077332122</v>
      </c>
      <c r="BU189" s="24">
        <f t="shared" si="127"/>
        <v>0.30414790302162037</v>
      </c>
      <c r="BV189" s="24">
        <f t="shared" si="128"/>
        <v>2.1124054935004821</v>
      </c>
      <c r="BW189" s="23">
        <f>IF(BM189=1,BR189*(1+FixedParams!$C$25)+BS189*(1+FixedParams!$C$28)/$BK$12,IF(BN189=1,BR189*(1+FixedParams!$C$23)+BS189*(1+FixedParams!$C$26)/$BK$12,BR189*(1+FixedParams!$C$24)+BS189*(1+FixedParams!$C$27)/$BK$12))</f>
        <v>85.859804542467344</v>
      </c>
      <c r="BX189" s="24">
        <f t="shared" si="129"/>
        <v>12.909266050161261</v>
      </c>
      <c r="BY189" s="24">
        <f>BX189^((FixedParams!$B$47-1)/FixedParams!$B$47)*EXP($C189)</f>
        <v>0.1162847279290638</v>
      </c>
      <c r="BZ189" s="24">
        <f t="shared" si="130"/>
        <v>0.13000976077190621</v>
      </c>
      <c r="CA189" s="24">
        <f t="shared" si="131"/>
        <v>-0.12487451519378084</v>
      </c>
      <c r="CB189" s="24">
        <f t="shared" si="132"/>
        <v>-0.10754605927437359</v>
      </c>
      <c r="CC189" s="24"/>
      <c r="CD189" s="24">
        <f>EXP(-$D$17)*(($B189*FixedParams!$B$30)^$B$10*(1+FixedParams!$D$24)^(1-$B$10)+(1-$B189)^$B$10*((1+FixedParams!$D$27)/$CE$12)^(1-$B$10))^(1/(1-$B$10))</f>
        <v>6.1166333495607406</v>
      </c>
      <c r="CE189" s="24">
        <f>EXP($D189-$D$17)*(($B189*FixedParams!$D$31)^$B$10*(1+FixedParams!$D$25)^(1-$B$10)+(1-$B189)^$B$10*((1+FixedParams!$D$28)/$CE$12)^(1-$B$10))^(1/(1-$B$10))</f>
        <v>6.7729448811600292</v>
      </c>
      <c r="CF189" s="24">
        <f>EXP($D189-$D$17)*(($B189*FixedParams!$D$30)^$B$10*(1+FixedParams!$D$23)^(1-$B$10)+(1-$B189)^$B$10*((1+FixedParams!$D$26)/$CE$12)^(1-$B$10))^(1/(1-$B$10))</f>
        <v>6.4255512793591985</v>
      </c>
      <c r="CG189">
        <f>IF(FixedParams!$I$6=1,IF(CE189&lt;=MIN(CD189:CF189),1,0),$H189)</f>
        <v>0</v>
      </c>
      <c r="CH189">
        <f>IF(FixedParams!$I$6=1,IF(CF189&lt;=MIN(CD189:CF189),1,0),IF(CF189&lt;=CD189,1,0)*(1-$H189))</f>
        <v>0</v>
      </c>
      <c r="CI189" s="24">
        <f>$CE$13*IF(CG189=1,1,IF(CH189=1,FixedParams!$D$52,FixedParams!$D$53))</f>
        <v>0.42008589776177102</v>
      </c>
      <c r="CJ189">
        <f>EXP($C189*FixedParams!$B$47)*EXP(IF(CG189+CH189=1,(1-FixedParams!$B$47)*$D189,0))*($B189^((FixedParams!$B$47-1)*$B$10/($B$10-1)))*((1/$B189-1)^$B$10*(CI189)^($B$10-1)+1)^((FixedParams!$B$47-$B$10)/($B$10-1))/((1+IF(CG189=1,FixedParams!$D$25,IF(CH189=1,FixedParams!$D$23,FixedParams!$D$24)))^FixedParams!$B$47)</f>
        <v>3.9396521233688551E-2</v>
      </c>
      <c r="CK189">
        <f t="shared" si="133"/>
        <v>1.0373245943652387</v>
      </c>
      <c r="CL189">
        <f t="shared" si="135"/>
        <v>28.340000213992017</v>
      </c>
      <c r="CM189">
        <f t="shared" si="102"/>
        <v>12.376536159941153</v>
      </c>
      <c r="CN189">
        <f t="shared" si="136"/>
        <v>40.716536373933167</v>
      </c>
      <c r="CO189" s="24">
        <f t="shared" si="137"/>
        <v>0.43671616324937829</v>
      </c>
      <c r="CP189" s="24">
        <f t="shared" si="138"/>
        <v>1.9761127166940031</v>
      </c>
      <c r="CQ189" s="23">
        <f>IF(CG189=1,CL189*(1+FixedParams!$D$25)+CM189*(1+FixedParams!$D$28)/$CE$12,IF(CH189=1,CL189*(1+FixedParams!$D$23)+CM189*(1+FixedParams!$D$26)/$CE$12,CL189*(1+FixedParams!$D$24)+CM189*(1+FixedParams!$D$27)/$CE$12))</f>
        <v>84.174115129325372</v>
      </c>
      <c r="CR189" s="24">
        <f t="shared" si="139"/>
        <v>13.761510674065537</v>
      </c>
      <c r="CS189" s="24">
        <f>CR189^((FixedParams!$B$47-1)/FixedParams!$B$47)*EXP($C189)</f>
        <v>0.11627728661250543</v>
      </c>
      <c r="CT189" s="24"/>
    </row>
    <row r="190" spans="1:98" x14ac:dyDescent="0.15">
      <c r="A190">
        <v>0.86499999999999999</v>
      </c>
      <c r="B190">
        <f t="shared" si="103"/>
        <v>0.42470997469239558</v>
      </c>
      <c r="C190">
        <f>(D190-$D$17)*FixedParams!$B$47+$A190*$B$9</f>
        <v>-2.1616481142001724</v>
      </c>
      <c r="D190">
        <f>(A190-$B$6)*FixedParams!$B$46/(FixedParams!$B$45*Sectors!$B$6)</f>
        <v>0.19832327191087495</v>
      </c>
      <c r="E190">
        <f t="shared" si="104"/>
        <v>0.11513520861011568</v>
      </c>
      <c r="F190" s="24">
        <f>EXP(-$D$17)*(($B190*FixedParams!$B$30)^$B$10*(1+FixedParams!$B$23)^(1-$B$10)+(1-$B190)^$B$10*((1+FixedParams!$B$26)/$B$11)^(1-$B$10))^(1/(1-$B$10))</f>
        <v>4.6757727593439897</v>
      </c>
      <c r="G190" s="24">
        <f>EXP($D190-$D$17)*(($B190*FixedParams!$B$31)^$B$10*(1+FixedParams!$B$25)^(1-$B$10)+(1-$B190)^$B$10*((1+FixedParams!$B$28)/$B$11)^(1-$B$10))^(1/(1-$B$10))</f>
        <v>5.4191472109569743</v>
      </c>
      <c r="H190">
        <f t="shared" si="105"/>
        <v>0</v>
      </c>
      <c r="I190" s="24">
        <f>$B$12*IF(H190=1,1,FixedParams!$B$52)</f>
        <v>0.39101505882574561</v>
      </c>
      <c r="J190">
        <f>EXP($C190*FixedParams!$B$47)*EXP(IF(H190=1,(1-FixedParams!$B$47)*$D190,0))*($B190^((FixedParams!$B$47-1)*$B$10/($B$10-1)))*((1/$B190-1)^$B$10*(I190)^($B$10-1)+1)^((FixedParams!$B$47-$B$10)/($B$10-1))/((1+IF(H190=1,FixedParams!$B$25,FixedParams!$B$24))^FixedParams!$B$47)</f>
        <v>5.4044252773958711E-2</v>
      </c>
      <c r="K190">
        <f t="shared" si="134"/>
        <v>1.0896717006909868</v>
      </c>
      <c r="L190">
        <f>K190*FixedParams!$B$8/K$15</f>
        <v>31.680166366938444</v>
      </c>
      <c r="M190">
        <f t="shared" si="94"/>
        <v>12.211506734872243</v>
      </c>
      <c r="N190">
        <f t="shared" si="106"/>
        <v>43.891673101810689</v>
      </c>
      <c r="O190" s="24">
        <f t="shared" si="107"/>
        <v>0.38546220349449373</v>
      </c>
      <c r="P190" s="24">
        <f t="shared" si="95"/>
        <v>1.828297560550709</v>
      </c>
      <c r="Q190" s="23">
        <f>IF(H190=1,L190*(1+FixedParams!$B$25)+M190*FixedParams!$B$33*(1+FixedParams!$B$28)/FixedParams!$B$32,L190*(1+FixedParams!$B$23)+M190*FixedParams!$B$33*(1+FixedParams!$B$26)/FixedParams!$B$32)</f>
        <v>67.723087154325071</v>
      </c>
      <c r="R190" s="24">
        <f t="shared" si="96"/>
        <v>14.483827730718593</v>
      </c>
      <c r="S190" s="24">
        <f>R190^((FixedParams!$B$47-1)/FixedParams!$B$47)*EXP($C190)</f>
        <v>0.11482755214760124</v>
      </c>
      <c r="T190" s="7">
        <f>(L190*FixedParams!$B$32*(FixedParams!$C$25-FixedParams!$C$23)+FixedParams!$B$33*(FixedParams!$C$28-FixedParams!$C$26)*M190)/N190</f>
        <v>3730.6949345191174</v>
      </c>
      <c r="U190" s="7">
        <f>(L190*FixedParams!$B$32*(FixedParams!$C$25-FixedParams!$C$23)*$Z$12/$B$11+FixedParams!$B$33*(FixedParams!$C$28-FixedParams!$C$26)*M190)/N190</f>
        <v>3005.7863210606943</v>
      </c>
      <c r="V190" s="14">
        <f t="shared" si="97"/>
        <v>1.4302930077822833E-2</v>
      </c>
      <c r="W190" s="14">
        <f t="shared" si="140"/>
        <v>0.94854227592273288</v>
      </c>
      <c r="X190" s="73">
        <f t="shared" si="109"/>
        <v>0.85118668446859991</v>
      </c>
      <c r="Y190" s="24">
        <f>EXP(-$D$17)*(($B190*FixedParams!$B$30)^$B$10*(1+FixedParams!$C$24)^(1-$B$10)+(1-$B190)^$B$10*((1+FixedParams!$C$27)/$Z$12)^(1-$B$10))^(1/(1-$B$10))</f>
        <v>6.5017429548435226</v>
      </c>
      <c r="Z190" s="24">
        <f>EXP($D190-$D$17)*(($B190*FixedParams!$C$31)^$B$10*(1+FixedParams!$C$25)^(1-$B$10)+(1-$B190)^$B$10*((1+FixedParams!$C$28)/$Z$12)^(1-$B$10))^(1/(1-$B$10))</f>
        <v>6.8943035660592971</v>
      </c>
      <c r="AA190" s="24">
        <f>EXP($D190-$D$17)*(($B190*FixedParams!$C$30)^$B$10*(1+FixedParams!$C$23)^(1-$B$10)+(1-$B190)^$B$10*((1+FixedParams!$C$26)/$Z$12)^(1-$B$10))^(1/(1-$B$10))</f>
        <v>6.4882283617848762</v>
      </c>
      <c r="AB190">
        <f>IF(FixedParams!$I$6=1,IF(Z190&lt;=MIN(Y190:AA190),1,0),$H190)</f>
        <v>0</v>
      </c>
      <c r="AC190">
        <f>IF(FixedParams!$I$6=1,IF(AA190&lt;=MIN(Y190:AA190),1,0),IF(AA190&lt;=Y190,1,0)*(1-$H190))</f>
        <v>1</v>
      </c>
      <c r="AD190" s="24">
        <f>$Z$13*IF(AB190=1,1,IF(AC190=1,FixedParams!$C$52,FixedParams!$C$53))</f>
        <v>0.34709202255780691</v>
      </c>
      <c r="AE190">
        <f>EXP($C190*FixedParams!$B$47)*EXP(IF(AB190+AC190=1,(1-FixedParams!$B$47)*$D190,0))*($B190^((FixedParams!$B$47-1)*$B$10/($B$10-1)))*((1/$B190-1)^$B$10*(AD190)^($B$10-1)+1)^((FixedParams!$B$47-$B$10)/($B$10-1))/((1+IF(AB190=1,FixedParams!$C$25,IF(AC190=1,FixedParams!$C$23,FixedParams!$C$24)))^FixedParams!$B$47)</f>
        <v>5.1844890424713248E-2</v>
      </c>
      <c r="AF190">
        <f t="shared" si="110"/>
        <v>1.5277227727578704</v>
      </c>
      <c r="AG190">
        <f t="shared" si="111"/>
        <v>35.883861924373527</v>
      </c>
      <c r="AH190">
        <f t="shared" si="98"/>
        <v>11.567984547110532</v>
      </c>
      <c r="AI190">
        <f t="shared" si="112"/>
        <v>47.45184647148406</v>
      </c>
      <c r="AJ190" s="24">
        <f t="shared" si="113"/>
        <v>0.32237289764101917</v>
      </c>
      <c r="AK190" s="24">
        <f t="shared" si="114"/>
        <v>2.1670281867301493</v>
      </c>
      <c r="AL190" s="23">
        <f>IF(AB190=1,AG190*(1+FixedParams!$C$25)+AH190*(1+FixedParams!$C$28)/$Z$12,IF(AC190=1,AG190*(1+FixedParams!$C$23)+AH190*(1+FixedParams!$C$26)/$Z$12,AG190*(1+FixedParams!$C$24)+AH190*(1+FixedParams!$C$27)/$Z$12))</f>
        <v>79.989742528617469</v>
      </c>
      <c r="AM190" s="24">
        <f t="shared" si="115"/>
        <v>12.328441304524725</v>
      </c>
      <c r="AN190" s="24">
        <f>AM190^((FixedParams!$B$47-1)/FixedParams!$B$47)*EXP($C190)</f>
        <v>0.11484607361313003</v>
      </c>
      <c r="AO190" s="24">
        <f t="shared" si="116"/>
        <v>7.7990815029245833E-2</v>
      </c>
      <c r="AP190" s="24">
        <f t="shared" si="117"/>
        <v>-0.16112380376358965</v>
      </c>
      <c r="AQ190" s="14">
        <f t="shared" si="118"/>
        <v>7.3880996770082766E-2</v>
      </c>
      <c r="AS190" s="24">
        <f>EXP(-$D$17)*(($B190*FixedParams!$B$30)^$B$10*(1+FixedParams!$D$24)^(1-$B$10)+(1-$B190)^$B$10*((1+FixedParams!$D$27)/$AT$12)^(1-$B$10))^(1/(1-$B$10))</f>
        <v>5.957903057387516</v>
      </c>
      <c r="AT190" s="24">
        <f>EXP($D190-$D$17)*(($B190*FixedParams!$C$31)^$B$10*(1+FixedParams!$D$25)^(1-$B$10)+(1-$B190)^$B$10*((1+FixedParams!$D$28)/$AT$12)^(1-$B$10))^(1/(1-$B$10))</f>
        <v>6.6158441005376165</v>
      </c>
      <c r="AU190" s="24">
        <f>EXP($D190-$D$17)*(($B190*FixedParams!$C$30)^$B$10*(1+FixedParams!$D$23)^(1-$B$10)+(1-$B190)^$B$10*((1+FixedParams!$D$26)/$AT$12)^(1-$B$10))^(1/(1-$B$10))</f>
        <v>6.2782144994286844</v>
      </c>
      <c r="AV190">
        <f>IF(FixedParams!$I$6=1,IF(AT190&lt;=MIN(AS190:AU190),1,0),$H190)</f>
        <v>0</v>
      </c>
      <c r="AW190">
        <f>IF(FixedParams!$I$6=1,IF(AU190&lt;=MIN(AS190:AU190),1,0),IF(AU190&lt;=AS190,1,0)*(1-$H190))</f>
        <v>0</v>
      </c>
      <c r="AX190" s="24">
        <f>$AT$13*IF(AV190=1,1,IF(AW190=1,FixedParams!$D$52,FixedParams!$D$53))</f>
        <v>0.44031288407969205</v>
      </c>
      <c r="AY190">
        <f>EXP($C190*FixedParams!$B$47)*EXP(IF(AV190+AW190=1,(1-FixedParams!$B$47)*$D190,0))*($B190^((FixedParams!$B$47-1)*$B$10/($B$10-1)))*((1/$B190-1)^$B$10*(AX190)^($B$10-1)+1)^((FixedParams!$B$47-$B$10)/($B$10-1))/((1+IF(AV190=1,FixedParams!$D$25,IF(AW190=1,FixedParams!$D$23,FixedParams!$D$24)))^FixedParams!$B$47)</f>
        <v>3.8782996417368605E-2</v>
      </c>
      <c r="AZ190">
        <f t="shared" si="99"/>
        <v>1.0443322731433862</v>
      </c>
      <c r="BA190">
        <f t="shared" si="119"/>
        <v>26.275260320280537</v>
      </c>
      <c r="BB190">
        <f t="shared" si="100"/>
        <v>12.102656092873721</v>
      </c>
      <c r="BC190">
        <f t="shared" si="120"/>
        <v>38.37791641315426</v>
      </c>
      <c r="BD190" s="24">
        <f t="shared" si="121"/>
        <v>0.46061032109098826</v>
      </c>
      <c r="BE190" s="24">
        <f t="shared" si="122"/>
        <v>2.0175113569695746</v>
      </c>
      <c r="BF190" s="23">
        <f>IF(AV190=1,BA190*(1+FixedParams!$C$25)+BB190*(1+FixedParams!$C$28)/$AT$12,IF(AW190=1,BA190*(1+FixedParams!$C$23)+BB190*(1+FixedParams!$C$26)/$AT$12,BA190*(1+FixedParams!$C$24)+BB190*(1+FixedParams!$C$27)/$AT$12))</f>
        <v>84.973763947369847</v>
      </c>
      <c r="BG190" s="24">
        <f t="shared" si="123"/>
        <v>14.262360956344603</v>
      </c>
      <c r="BH190" s="24">
        <f>BG190^((FixedParams!$B$47-1)/FixedParams!$B$47)*EXP($C190)</f>
        <v>0.11482932327933559</v>
      </c>
      <c r="BI190" s="7"/>
      <c r="BJ190" s="24">
        <f>EXP(-$D$17)*(($B190*FixedParams!$B$30)^$B$10*(1+FixedParams!$C$24)^(1-$B$10)+(1-$B190)^$B$10*((1+FixedParams!$C$27)/$BK$12)^(1-$B$10))^(1/(1-$B$10))</f>
        <v>6.6735829224108674</v>
      </c>
      <c r="BK190" s="24">
        <f>EXP($D190-$D$17)*(($B190*FixedParams!$C$31)^$B$10*(1+FixedParams!$C$25)^(1-$B$10)+(1-$B190)^$B$10*((1+FixedParams!$C$28)/$BK$12)^(1-$B$10))^(1/(1-$B$10))</f>
        <v>7.0719591151286219</v>
      </c>
      <c r="BL190" s="24">
        <f>EXP($D190-$D$17)*(($B190*FixedParams!$C$30)^$B$10*(1+FixedParams!$C$23)^(1-$B$10)+(1-$B190)^$B$10*((1+FixedParams!$C$26)/$BK$12)^(1-$B$10))^(1/(1-$B$10))</f>
        <v>6.6462841197963938</v>
      </c>
      <c r="BM190">
        <f>IF(FixedParams!$I$6=1,IF(BK190&lt;=MIN(BJ190:BL190),1,0),$H190)</f>
        <v>0</v>
      </c>
      <c r="BN190">
        <f>IF(FixedParams!$I$6=1,IF(BL190&lt;=MIN(BJ190:BL190),1,0),IF(BL190&lt;=BJ190,1,0)*(1-$H190))</f>
        <v>1</v>
      </c>
      <c r="BO190" s="24">
        <f>$BK$13*IF(BM190=1,1,IF(BN190=1,FixedParams!$C$52,FixedParams!$C$53))</f>
        <v>0.33006170822567266</v>
      </c>
      <c r="BP190">
        <f>EXP($C190*FixedParams!$B$47)*EXP(IF(BM190+BN190=1,(1-FixedParams!$B$47)*$D190,0))*($B190^((FixedParams!$B$47-1)*$B$10/($B$10-1)))*((1/$B190-1)^$B$10*(BO190)^($B$10-1)+1)^((FixedParams!$B$47-$B$10)/($B$10-1))/((1+IF(BM190=1,FixedParams!$C$25,IF(BN190=1,FixedParams!$C$23,FixedParams!$C$24)))^FixedParams!$B$47)</f>
        <v>5.2473834546832757E-2</v>
      </c>
      <c r="BQ190">
        <f t="shared" si="124"/>
        <v>1.509554271348942</v>
      </c>
      <c r="BR190">
        <f t="shared" si="125"/>
        <v>38.499911929960192</v>
      </c>
      <c r="BS190">
        <f t="shared" si="101"/>
        <v>11.509170537973839</v>
      </c>
      <c r="BT190">
        <f t="shared" si="126"/>
        <v>50.009082467934029</v>
      </c>
      <c r="BU190" s="24">
        <f t="shared" si="127"/>
        <v>0.29894017832849984</v>
      </c>
      <c r="BV190" s="24">
        <f t="shared" si="128"/>
        <v>2.1109009093329205</v>
      </c>
      <c r="BW190" s="23">
        <f>IF(BM190=1,BR190*(1+FixedParams!$C$25)+BS190*(1+FixedParams!$C$28)/$BK$12,IF(BN190=1,BR190*(1+FixedParams!$C$23)+BS190*(1+FixedParams!$C$26)/$BK$12,BR190*(1+FixedParams!$C$24)+BS190*(1+FixedParams!$C$27)/$BK$12))</f>
        <v>84.794653552667029</v>
      </c>
      <c r="BX190" s="24">
        <f t="shared" si="129"/>
        <v>12.758204738810456</v>
      </c>
      <c r="BY190" s="24">
        <f>BX190^((FixedParams!$B$47-1)/FixedParams!$B$47)*EXP($C190)</f>
        <v>0.11484213446274584</v>
      </c>
      <c r="BZ190" s="24">
        <f t="shared" si="130"/>
        <v>0.13048001497499156</v>
      </c>
      <c r="CA190" s="24">
        <f t="shared" si="131"/>
        <v>-0.12685812450075279</v>
      </c>
      <c r="CB190" s="24">
        <f t="shared" si="132"/>
        <v>-0.10952966858134554</v>
      </c>
      <c r="CC190" s="24"/>
      <c r="CD190" s="24">
        <f>EXP(-$D$17)*(($B190*FixedParams!$B$30)^$B$10*(1+FixedParams!$D$24)^(1-$B$10)+(1-$B190)^$B$10*((1+FixedParams!$D$27)/$CE$12)^(1-$B$10))^(1/(1-$B$10))</f>
        <v>6.1020412110455213</v>
      </c>
      <c r="CE190" s="24">
        <f>EXP($D190-$D$17)*(($B190*FixedParams!$D$31)^$B$10*(1+FixedParams!$D$25)^(1-$B$10)+(1-$B190)^$B$10*((1+FixedParams!$D$28)/$CE$12)^(1-$B$10))^(1/(1-$B$10))</f>
        <v>6.7731459332165667</v>
      </c>
      <c r="CF190" s="24">
        <f>EXP($D190-$D$17)*(($B190*FixedParams!$D$30)^$B$10*(1+FixedParams!$D$23)^(1-$B$10)+(1-$B190)^$B$10*((1+FixedParams!$D$26)/$CE$12)^(1-$B$10))^(1/(1-$B$10))</f>
        <v>6.4209134338411227</v>
      </c>
      <c r="CG190">
        <f>IF(FixedParams!$I$6=1,IF(CE190&lt;=MIN(CD190:CF190),1,0),$H190)</f>
        <v>0</v>
      </c>
      <c r="CH190">
        <f>IF(FixedParams!$I$6=1,IF(CF190&lt;=MIN(CD190:CF190),1,0),IF(CF190&lt;=CD190,1,0)*(1-$H190))</f>
        <v>0</v>
      </c>
      <c r="CI190" s="24">
        <f>$CE$13*IF(CG190=1,1,IF(CH190=1,FixedParams!$D$52,FixedParams!$D$53))</f>
        <v>0.42008589776177102</v>
      </c>
      <c r="CJ190">
        <f>EXP($C190*FixedParams!$B$47)*EXP(IF(CG190+CH190=1,(1-FixedParams!$B$47)*$D190,0))*($B190^((FixedParams!$B$47-1)*$B$10/($B$10-1)))*((1/$B190-1)^$B$10*(CI190)^($B$10-1)+1)^((FixedParams!$B$47-$B$10)/($B$10-1))/((1+IF(CG190=1,FixedParams!$D$25,IF(CH190=1,FixedParams!$D$23,FixedParams!$D$24)))^FixedParams!$B$47)</f>
        <v>3.925026504992421E-2</v>
      </c>
      <c r="CK190">
        <f t="shared" si="133"/>
        <v>1.0334736163665259</v>
      </c>
      <c r="CL190">
        <f t="shared" si="135"/>
        <v>28.234790409943763</v>
      </c>
      <c r="CM190">
        <f t="shared" si="102"/>
        <v>12.119460758963404</v>
      </c>
      <c r="CN190">
        <f t="shared" si="136"/>
        <v>40.354251168907169</v>
      </c>
      <c r="CO190" s="24">
        <f t="shared" si="137"/>
        <v>0.42923855934468552</v>
      </c>
      <c r="CP190" s="24">
        <f t="shared" si="138"/>
        <v>1.9713984059227427</v>
      </c>
      <c r="CQ190" s="23">
        <f>IF(CG190=1,CL190*(1+FixedParams!$D$25)+CM190*(1+FixedParams!$D$28)/$CE$12,IF(CH190=1,CL190*(1+FixedParams!$D$23)+CM190*(1+FixedParams!$D$26)/$CE$12,CL190*(1+FixedParams!$D$24)+CM190*(1+FixedParams!$D$27)/$CE$12))</f>
        <v>83.129736972692484</v>
      </c>
      <c r="CR190" s="24">
        <f t="shared" si="139"/>
        <v>13.623267050739742</v>
      </c>
      <c r="CS190" s="24">
        <f>CR190^((FixedParams!$B$47-1)/FixedParams!$B$47)*EXP($C190)</f>
        <v>0.11483459299981857</v>
      </c>
      <c r="CT190" s="24"/>
    </row>
    <row r="191" spans="1:98" x14ac:dyDescent="0.15">
      <c r="A191">
        <v>0.87</v>
      </c>
      <c r="B191">
        <f t="shared" si="103"/>
        <v>0.42752555517612839</v>
      </c>
      <c r="C191">
        <f>(D191-$D$17)*FixedParams!$B$47+$A191*$B$9</f>
        <v>-2.1741431900047976</v>
      </c>
      <c r="D191">
        <f>(A191-$B$6)*FixedParams!$B$46/(FixedParams!$B$45*Sectors!$B$6)</f>
        <v>0.20104002906033899</v>
      </c>
      <c r="E191">
        <f t="shared" si="104"/>
        <v>0.11370553598547808</v>
      </c>
      <c r="F191" s="24">
        <f>EXP(-$D$17)*(($B191*FixedParams!$B$30)^$B$10*(1+FixedParams!$B$23)^(1-$B$10)+(1-$B191)^$B$10*((1+FixedParams!$B$26)/$B$11)^(1-$B$10))^(1/(1-$B$10))</f>
        <v>4.6629317332687279</v>
      </c>
      <c r="G191" s="24">
        <f>EXP($D191-$D$17)*(($B191*FixedParams!$B$31)^$B$10*(1+FixedParams!$B$25)^(1-$B$10)+(1-$B191)^$B$10*((1+FixedParams!$B$28)/$B$11)^(1-$B$10))^(1/(1-$B$10))</f>
        <v>5.4179632017614585</v>
      </c>
      <c r="H191">
        <f t="shared" si="105"/>
        <v>0</v>
      </c>
      <c r="I191" s="24">
        <f>$B$12*IF(H191=1,1,FixedParams!$B$52)</f>
        <v>0.39101505882574561</v>
      </c>
      <c r="J191">
        <f>EXP($C191*FixedParams!$B$47)*EXP(IF(H191=1,(1-FixedParams!$B$47)*$D191,0))*($B191^((FixedParams!$B$47-1)*$B$10/($B$10-1)))*((1/$B191-1)^$B$10*(I191)^($B$10-1)+1)^((FixedParams!$B$47-$B$10)/($B$10-1))/((1+IF(H191=1,FixedParams!$B$25,FixedParams!$B$24))^FixedParams!$B$47)</f>
        <v>5.383125003123173E-2</v>
      </c>
      <c r="K191">
        <f t="shared" si="134"/>
        <v>1.085377015335822</v>
      </c>
      <c r="L191">
        <f>K191*FixedParams!$B$8/K$15</f>
        <v>31.555306423839063</v>
      </c>
      <c r="M191">
        <f t="shared" si="94"/>
        <v>11.955112417851247</v>
      </c>
      <c r="N191">
        <f t="shared" si="106"/>
        <v>43.51041884169031</v>
      </c>
      <c r="O191" s="24">
        <f t="shared" si="107"/>
        <v>0.37886218746459477</v>
      </c>
      <c r="P191" s="24">
        <f t="shared" si="95"/>
        <v>1.8232765259845076</v>
      </c>
      <c r="Q191" s="23">
        <f>IF(H191=1,L191*(1+FixedParams!$B$25)+M191*FixedParams!$B$33*(1+FixedParams!$B$28)/FixedParams!$B$32,L191*(1+FixedParams!$B$23)+M191*FixedParams!$B$33*(1+FixedParams!$B$26)/FixedParams!$B$32)</f>
        <v>66.882798564718087</v>
      </c>
      <c r="R191" s="24">
        <f t="shared" si="96"/>
        <v>14.343507988231485</v>
      </c>
      <c r="S191" s="24">
        <f>R191^((FixedParams!$B$47-1)/FixedParams!$B$47)*EXP($C191)</f>
        <v>0.11340280490265865</v>
      </c>
      <c r="T191" s="7">
        <f>(L191*FixedParams!$B$32*(FixedParams!$C$25-FixedParams!$C$23)+FixedParams!$B$33*(FixedParams!$C$28-FixedParams!$C$26)*M191)/N191</f>
        <v>3769.8900160764811</v>
      </c>
      <c r="U191" s="7">
        <f>(L191*FixedParams!$B$32*(FixedParams!$C$25-FixedParams!$C$23)*$Z$12/$B$11+FixedParams!$B$33*(FixedParams!$C$28-FixedParams!$C$26)*M191)/N191</f>
        <v>3041.5115790834557</v>
      </c>
      <c r="V191" s="14">
        <f t="shared" si="97"/>
        <v>3.1573555373906402E-2</v>
      </c>
      <c r="W191" s="14">
        <f t="shared" si="140"/>
        <v>0.95067636936996014</v>
      </c>
      <c r="X191" s="73">
        <f t="shared" si="109"/>
        <v>0.84931572634280283</v>
      </c>
      <c r="Y191" s="24">
        <f>EXP(-$D$17)*(($B191*FixedParams!$B$30)^$B$10*(1+FixedParams!$C$24)^(1-$B$10)+(1-$B191)^$B$10*((1+FixedParams!$C$27)/$Z$12)^(1-$B$10))^(1/(1-$B$10))</f>
        <v>6.4895408621309851</v>
      </c>
      <c r="Z191" s="24">
        <f>EXP($D191-$D$17)*(($B191*FixedParams!$C$31)^$B$10*(1+FixedParams!$C$25)^(1-$B$10)+(1-$B191)^$B$10*((1+FixedParams!$C$28)/$Z$12)^(1-$B$10))^(1/(1-$B$10))</f>
        <v>6.8970326322185889</v>
      </c>
      <c r="AA191" s="24">
        <f>EXP($D191-$D$17)*(($B191*FixedParams!$C$30)^$B$10*(1+FixedParams!$C$23)^(1-$B$10)+(1-$B191)^$B$10*((1+FixedParams!$C$26)/$Z$12)^(1-$B$10))^(1/(1-$B$10))</f>
        <v>6.4846777610732644</v>
      </c>
      <c r="AB191">
        <f>IF(FixedParams!$I$6=1,IF(Z191&lt;=MIN(Y191:AA191),1,0),$H191)</f>
        <v>0</v>
      </c>
      <c r="AC191">
        <f>IF(FixedParams!$I$6=1,IF(AA191&lt;=MIN(Y191:AA191),1,0),IF(AA191&lt;=Y191,1,0)*(1-$H191))</f>
        <v>1</v>
      </c>
      <c r="AD191" s="24">
        <f>$Z$13*IF(AB191=1,1,IF(AC191=1,FixedParams!$C$52,FixedParams!$C$53))</f>
        <v>0.34709202255780691</v>
      </c>
      <c r="AE191">
        <f>EXP($C191*FixedParams!$B$47)*EXP(IF(AB191+AC191=1,(1-FixedParams!$B$47)*$D191,0))*($B191^((FixedParams!$B$47-1)*$B$10/($B$10-1)))*((1/$B191-1)^$B$10*(AD191)^($B$10-1)+1)^((FixedParams!$B$47-$B$10)/($B$10-1))/((1+IF(AB191=1,FixedParams!$C$25,IF(AC191=1,FixedParams!$C$23,FixedParams!$C$24)))^FixedParams!$B$47)</f>
        <v>5.1627397773846076E-2</v>
      </c>
      <c r="AF191">
        <f t="shared" si="110"/>
        <v>1.5213138774373227</v>
      </c>
      <c r="AG191">
        <f t="shared" si="111"/>
        <v>35.733326814947134</v>
      </c>
      <c r="AH191">
        <f t="shared" si="98"/>
        <v>11.322216029991178</v>
      </c>
      <c r="AI191">
        <f t="shared" si="112"/>
        <v>47.055542844938316</v>
      </c>
      <c r="AJ191" s="24">
        <f t="shared" si="113"/>
        <v>0.31685311834035929</v>
      </c>
      <c r="AK191" s="24">
        <f t="shared" si="114"/>
        <v>2.1658423080290841</v>
      </c>
      <c r="AL191" s="23">
        <f>IF(AB191=1,AG191*(1+FixedParams!$C$25)+AH191*(1+FixedParams!$C$28)/$Z$12,IF(AC191=1,AG191*(1+FixedParams!$C$23)+AH191*(1+FixedParams!$C$26)/$Z$12,AG191*(1+FixedParams!$C$24)+AH191*(1+FixedParams!$C$27)/$Z$12))</f>
        <v>78.9974268126672</v>
      </c>
      <c r="AM191" s="24">
        <f t="shared" si="115"/>
        <v>12.182166905328618</v>
      </c>
      <c r="AN191" s="24">
        <f>AM191^((FixedParams!$B$47-1)/FixedParams!$B$47)*EXP($C191)</f>
        <v>0.11342134638987736</v>
      </c>
      <c r="AO191" s="24">
        <f t="shared" si="116"/>
        <v>7.8328243618567578E-2</v>
      </c>
      <c r="AP191" s="24">
        <f t="shared" si="117"/>
        <v>-0.16332428153868653</v>
      </c>
      <c r="AQ191" s="14">
        <f t="shared" si="118"/>
        <v>9.1151622066165977E-2</v>
      </c>
      <c r="AS191" s="24">
        <f>EXP(-$D$17)*(($B191*FixedParams!$B$30)^$B$10*(1+FixedParams!$D$24)^(1-$B$10)+(1-$B191)^$B$10*((1+FixedParams!$D$27)/$AT$12)^(1-$B$10))^(1/(1-$B$10))</f>
        <v>5.944587521374145</v>
      </c>
      <c r="AT191" s="24">
        <f>EXP($D191-$D$17)*(($B191*FixedParams!$C$31)^$B$10*(1+FixedParams!$D$25)^(1-$B$10)+(1-$B191)^$B$10*((1+FixedParams!$D$28)/$AT$12)^(1-$B$10))^(1/(1-$B$10))</f>
        <v>6.6170400893891594</v>
      </c>
      <c r="AU191" s="24">
        <f>EXP($D191-$D$17)*(($B191*FixedParams!$C$30)^$B$10*(1+FixedParams!$D$23)^(1-$B$10)+(1-$B191)^$B$10*((1+FixedParams!$D$26)/$AT$12)^(1-$B$10))^(1/(1-$B$10))</f>
        <v>6.2746302137048717</v>
      </c>
      <c r="AV191">
        <f>IF(FixedParams!$I$6=1,IF(AT191&lt;=MIN(AS191:AU191),1,0),$H191)</f>
        <v>0</v>
      </c>
      <c r="AW191">
        <f>IF(FixedParams!$I$6=1,IF(AU191&lt;=MIN(AS191:AU191),1,0),IF(AU191&lt;=AS191,1,0)*(1-$H191))</f>
        <v>0</v>
      </c>
      <c r="AX191" s="24">
        <f>$AT$13*IF(AV191=1,1,IF(AW191=1,FixedParams!$D$52,FixedParams!$D$53))</f>
        <v>0.44031288407969205</v>
      </c>
      <c r="AY191">
        <f>EXP($C191*FixedParams!$B$47)*EXP(IF(AV191+AW191=1,(1-FixedParams!$B$47)*$D191,0))*($B191^((FixedParams!$B$47-1)*$B$10/($B$10-1)))*((1/$B191-1)^$B$10*(AX191)^($B$10-1)+1)^((FixedParams!$B$47-$B$10)/($B$10-1))/((1+IF(AV191=1,FixedParams!$D$25,IF(AW191=1,FixedParams!$D$23,FixedParams!$D$24)))^FixedParams!$B$47)</f>
        <v>3.8640064892268872E-2</v>
      </c>
      <c r="AZ191">
        <f t="shared" si="99"/>
        <v>1.0404834729396866</v>
      </c>
      <c r="BA191">
        <f t="shared" si="119"/>
        <v>26.178425021905085</v>
      </c>
      <c r="BB191">
        <f t="shared" si="100"/>
        <v>11.851590640809869</v>
      </c>
      <c r="BC191">
        <f t="shared" si="120"/>
        <v>38.030015662714952</v>
      </c>
      <c r="BD191" s="24">
        <f t="shared" si="121"/>
        <v>0.45272359322201089</v>
      </c>
      <c r="BE191" s="24">
        <f t="shared" si="122"/>
        <v>2.013002346857736</v>
      </c>
      <c r="BF191" s="23">
        <f>IF(AV191=1,BA191*(1+FixedParams!$C$25)+BB191*(1+FixedParams!$C$28)/$AT$12,IF(AW191=1,BA191*(1+FixedParams!$C$23)+BB191*(1+FixedParams!$C$26)/$AT$12,BA191*(1+FixedParams!$C$24)+BB191*(1+FixedParams!$C$27)/$AT$12))</f>
        <v>83.954615915130319</v>
      </c>
      <c r="BG191" s="24">
        <f t="shared" si="123"/>
        <v>14.122866492126851</v>
      </c>
      <c r="BH191" s="24">
        <f>BG191^((FixedParams!$B$47-1)/FixedParams!$B$47)*EXP($C191)</f>
        <v>0.11340456467061874</v>
      </c>
      <c r="BI191" s="7"/>
      <c r="BJ191" s="24">
        <f>EXP(-$D$17)*(($B191*FixedParams!$B$30)^$B$10*(1+FixedParams!$C$24)^(1-$B$10)+(1-$B191)^$B$10*((1+FixedParams!$C$27)/$BK$12)^(1-$B$10))^(1/(1-$B$10))</f>
        <v>6.659613131367375</v>
      </c>
      <c r="BK191" s="24">
        <f>EXP($D191-$D$17)*(($B191*FixedParams!$C$31)^$B$10*(1+FixedParams!$C$25)^(1-$B$10)+(1-$B191)^$B$10*((1+FixedParams!$C$28)/$BK$12)^(1-$B$10))^(1/(1-$B$10))</f>
        <v>7.0732219814164354</v>
      </c>
      <c r="BL191" s="24">
        <f>EXP($D191-$D$17)*(($B191*FixedParams!$C$30)^$B$10*(1+FixedParams!$C$23)^(1-$B$10)+(1-$B191)^$B$10*((1+FixedParams!$C$26)/$BK$12)^(1-$B$10))^(1/(1-$B$10))</f>
        <v>6.6412075327677149</v>
      </c>
      <c r="BM191">
        <f>IF(FixedParams!$I$6=1,IF(BK191&lt;=MIN(BJ191:BL191),1,0),$H191)</f>
        <v>0</v>
      </c>
      <c r="BN191">
        <f>IF(FixedParams!$I$6=1,IF(BL191&lt;=MIN(BJ191:BL191),1,0),IF(BL191&lt;=BJ191,1,0)*(1-$H191))</f>
        <v>1</v>
      </c>
      <c r="BO191" s="24">
        <f>$BK$13*IF(BM191=1,1,IF(BN191=1,FixedParams!$C$52,FixedParams!$C$53))</f>
        <v>0.33006170822567266</v>
      </c>
      <c r="BP191">
        <f>EXP($C191*FixedParams!$B$47)*EXP(IF(BM191+BN191=1,(1-FixedParams!$B$47)*$D191,0))*($B191^((FixedParams!$B$47-1)*$B$10/($B$10-1)))*((1/$B191-1)^$B$10*(BO191)^($B$10-1)+1)^((FixedParams!$B$47-$B$10)/($B$10-1))/((1+IF(BM191=1,FixedParams!$C$25,IF(BN191=1,FixedParams!$C$23,FixedParams!$C$24)))^FixedParams!$B$47)</f>
        <v>5.2248029995018257E-2</v>
      </c>
      <c r="BQ191">
        <f t="shared" si="124"/>
        <v>1.5030583819475798</v>
      </c>
      <c r="BR191">
        <f t="shared" si="125"/>
        <v>38.334239734792462</v>
      </c>
      <c r="BS191">
        <f t="shared" si="101"/>
        <v>11.263428500210425</v>
      </c>
      <c r="BT191">
        <f t="shared" si="126"/>
        <v>49.597668235002885</v>
      </c>
      <c r="BU191" s="24">
        <f t="shared" si="127"/>
        <v>0.29382162208339424</v>
      </c>
      <c r="BV191" s="24">
        <f t="shared" si="128"/>
        <v>2.1092885539201829</v>
      </c>
      <c r="BW191" s="23">
        <f>IF(BM191=1,BR191*(1+FixedParams!$C$25)+BS191*(1+FixedParams!$C$28)/$BK$12,IF(BN191=1,BR191*(1+FixedParams!$C$23)+BS191*(1+FixedParams!$C$26)/$BK$12,BR191*(1+FixedParams!$C$24)+BS191*(1+FixedParams!$C$27)/$BK$12))</f>
        <v>83.742712185501091</v>
      </c>
      <c r="BX191" s="24">
        <f t="shared" si="129"/>
        <v>12.609561103506341</v>
      </c>
      <c r="BY191" s="24">
        <f>BX191^((FixedParams!$B$47-1)/FixedParams!$B$47)*EXP($C191)</f>
        <v>0.1134174315260216</v>
      </c>
      <c r="BZ191" s="24">
        <f t="shared" si="130"/>
        <v>0.1309433982168299</v>
      </c>
      <c r="CA191" s="24">
        <f t="shared" si="131"/>
        <v>-0.12884209089891091</v>
      </c>
      <c r="CB191" s="24">
        <f t="shared" si="132"/>
        <v>-0.11151363497950366</v>
      </c>
      <c r="CC191" s="24"/>
      <c r="CD191" s="24">
        <f>EXP(-$D$17)*(($B191*FixedParams!$B$30)^$B$10*(1+FixedParams!$D$24)^(1-$B$10)+(1-$B191)^$B$10*((1+FixedParams!$D$27)/$CE$12)^(1-$B$10))^(1/(1-$B$10))</f>
        <v>6.0871676590067247</v>
      </c>
      <c r="CE191" s="24">
        <f>EXP($D191-$D$17)*(($B191*FixedParams!$D$31)^$B$10*(1+FixedParams!$D$25)^(1-$B$10)+(1-$B191)^$B$10*((1+FixedParams!$D$28)/$CE$12)^(1-$B$10))^(1/(1-$B$10))</f>
        <v>6.7729950631532487</v>
      </c>
      <c r="CF191" s="24">
        <f>EXP($D191-$D$17)*(($B191*FixedParams!$D$30)^$B$10*(1+FixedParams!$D$23)^(1-$B$10)+(1-$B191)^$B$10*((1+FixedParams!$D$26)/$CE$12)^(1-$B$10))^(1/(1-$B$10))</f>
        <v>6.4159479144388465</v>
      </c>
      <c r="CG191">
        <f>IF(FixedParams!$I$6=1,IF(CE191&lt;=MIN(CD191:CF191),1,0),$H191)</f>
        <v>0</v>
      </c>
      <c r="CH191">
        <f>IF(FixedParams!$I$6=1,IF(CF191&lt;=MIN(CD191:CF191),1,0),IF(CF191&lt;=CD191,1,0)*(1-$H191))</f>
        <v>0</v>
      </c>
      <c r="CI191" s="24">
        <f>$CE$13*IF(CG191=1,1,IF(CH191=1,FixedParams!$D$52,FixedParams!$D$53))</f>
        <v>0.42008589776177102</v>
      </c>
      <c r="CJ191">
        <f>EXP($C191*FixedParams!$B$47)*EXP(IF(CG191+CH191=1,(1-FixedParams!$B$47)*$D191,0))*($B191^((FixedParams!$B$47-1)*$B$10/($B$10-1)))*((1/$B191-1)^$B$10*(CI191)^($B$10-1)+1)^((FixedParams!$B$47-$B$10)/($B$10-1))/((1+IF(CG191=1,FixedParams!$D$25,IF(CH191=1,FixedParams!$D$23,FixedParams!$D$24)))^FixedParams!$B$47)</f>
        <v>3.9101634309261252E-2</v>
      </c>
      <c r="CK191">
        <f t="shared" si="133"/>
        <v>1.0295601154293781</v>
      </c>
      <c r="CL191">
        <f t="shared" si="135"/>
        <v>28.127872461599839</v>
      </c>
      <c r="CM191">
        <f t="shared" si="102"/>
        <v>11.866839690685095</v>
      </c>
      <c r="CN191">
        <f t="shared" si="136"/>
        <v>39.994712152284933</v>
      </c>
      <c r="CO191" s="24">
        <f t="shared" si="137"/>
        <v>0.42188898953824894</v>
      </c>
      <c r="CP191" s="24">
        <f t="shared" si="138"/>
        <v>1.9665931783332244</v>
      </c>
      <c r="CQ191" s="23">
        <f>IF(CG191=1,CL191*(1+FixedParams!$D$25)+CM191*(1+FixedParams!$D$28)/$CE$12,IF(CH191=1,CL191*(1+FixedParams!$D$23)+CM191*(1+FixedParams!$D$26)/$CE$12,CL191*(1+FixedParams!$D$24)+CM191*(1+FixedParams!$D$27)/$CE$12))</f>
        <v>82.098312522101139</v>
      </c>
      <c r="CR191" s="24">
        <f t="shared" si="139"/>
        <v>13.487112089088994</v>
      </c>
      <c r="CS191" s="24">
        <f>CR191^((FixedParams!$B$47-1)/FixedParams!$B$47)*EXP($C191)</f>
        <v>0.11340979350799976</v>
      </c>
      <c r="CT191" s="24"/>
    </row>
    <row r="192" spans="1:98" x14ac:dyDescent="0.15">
      <c r="A192">
        <v>0.875</v>
      </c>
      <c r="B192">
        <f t="shared" si="103"/>
        <v>0.43034583846939128</v>
      </c>
      <c r="C192">
        <f>(D192-$D$17)*FixedParams!$B$47+$A192*$B$9</f>
        <v>-2.1866382658094232</v>
      </c>
      <c r="D192">
        <f>(A192-$B$6)*FixedParams!$B$46/(FixedParams!$B$45*Sectors!$B$6)</f>
        <v>0.20375678620980306</v>
      </c>
      <c r="E192">
        <f t="shared" si="104"/>
        <v>0.11229361608685981</v>
      </c>
      <c r="F192" s="24">
        <f>EXP(-$D$17)*(($B192*FixedParams!$B$30)^$B$10*(1+FixedParams!$B$23)^(1-$B$10)+(1-$B192)^$B$10*((1+FixedParams!$B$26)/$B$11)^(1-$B$10))^(1/(1-$B$10))</f>
        <v>4.649885274872589</v>
      </c>
      <c r="G192" s="24">
        <f>EXP($D192-$D$17)*(($B192*FixedParams!$B$31)^$B$10*(1+FixedParams!$B$25)^(1-$B$10)+(1-$B192)^$B$10*((1+FixedParams!$B$28)/$B$11)^(1-$B$10))^(1/(1-$B$10))</f>
        <v>5.4164994369029325</v>
      </c>
      <c r="H192">
        <f t="shared" si="105"/>
        <v>0</v>
      </c>
      <c r="I192" s="24">
        <f>$B$12*IF(H192=1,1,FixedParams!$B$52)</f>
        <v>0.39101505882574561</v>
      </c>
      <c r="J192">
        <f>EXP($C192*FixedParams!$B$47)*EXP(IF(H192=1,(1-FixedParams!$B$47)*$D192,0))*($B192^((FixedParams!$B$47-1)*$B$10/($B$10-1)))*((1/$B192-1)^$B$10*(I192)^($B$10-1)+1)^((FixedParams!$B$47-$B$10)/($B$10-1))/((1+IF(H192=1,FixedParams!$B$25,FixedParams!$B$24))^FixedParams!$B$47)</f>
        <v>5.3615086906955586E-2</v>
      </c>
      <c r="K192">
        <f t="shared" si="134"/>
        <v>1.0810186085272044</v>
      </c>
      <c r="L192">
        <f>K192*FixedParams!$B$8/K$15</f>
        <v>31.428593898677367</v>
      </c>
      <c r="M192">
        <f t="shared" si="94"/>
        <v>11.703228284157193</v>
      </c>
      <c r="N192">
        <f t="shared" si="106"/>
        <v>43.131822182834561</v>
      </c>
      <c r="O192" s="24">
        <f t="shared" si="107"/>
        <v>0.37237517917241947</v>
      </c>
      <c r="P192" s="24">
        <f t="shared" si="95"/>
        <v>1.8181751642872737</v>
      </c>
      <c r="Q192" s="23">
        <f>IF(H192=1,L192*(1+FixedParams!$B$25)+M192*FixedParams!$B$33*(1+FixedParams!$B$28)/FixedParams!$B$32,L192*(1+FixedParams!$B$23)+M192*FixedParams!$B$33*(1+FixedParams!$B$26)/FixedParams!$B$32)</f>
        <v>66.052932615193271</v>
      </c>
      <c r="R192" s="24">
        <f t="shared" si="96"/>
        <v>14.205282218925968</v>
      </c>
      <c r="S192" s="24">
        <f>R192^((FixedParams!$B$47-1)/FixedParams!$B$47)*EXP($C192)</f>
        <v>0.11199572971458528</v>
      </c>
      <c r="T192" s="7">
        <f>(L192*FixedParams!$B$32*(FixedParams!$C$25-FixedParams!$C$23)+FixedParams!$B$33*(FixedParams!$C$28-FixedParams!$C$26)*M192)/N192</f>
        <v>3808.7813521170588</v>
      </c>
      <c r="U192" s="7">
        <f>(L192*FixedParams!$B$32*(FixedParams!$C$25-FixedParams!$C$23)*$Z$12/$B$11+FixedParams!$B$33*(FixedParams!$C$28-FixedParams!$C$26)*M192)/N192</f>
        <v>3076.9599812730553</v>
      </c>
      <c r="V192" s="14">
        <f t="shared" si="97"/>
        <v>4.8844180669990231E-2</v>
      </c>
      <c r="W192" s="14">
        <f t="shared" si="140"/>
        <v>0.95279189345678317</v>
      </c>
      <c r="X192" s="73">
        <f t="shared" si="109"/>
        <v>0.84794116961510069</v>
      </c>
      <c r="Y192" s="24">
        <f>EXP(-$D$17)*(($B192*FixedParams!$B$30)^$B$10*(1+FixedParams!$C$24)^(1-$B$10)+(1-$B192)^$B$10*((1+FixedParams!$C$27)/$Z$12)^(1-$B$10))^(1/(1-$B$10))</f>
        <v>6.4770273129910922</v>
      </c>
      <c r="Z192" s="24">
        <f>EXP($D192-$D$17)*(($B192*FixedParams!$C$31)^$B$10*(1+FixedParams!$C$25)^(1-$B$10)+(1-$B192)^$B$10*((1+FixedParams!$C$28)/$Z$12)^(1-$B$10))^(1/(1-$B$10))</f>
        <v>6.899405464635529</v>
      </c>
      <c r="AA192" s="24">
        <f>EXP($D192-$D$17)*(($B192*FixedParams!$C$30)^$B$10*(1+FixedParams!$C$23)^(1-$B$10)+(1-$B192)^$B$10*((1+FixedParams!$C$26)/$Z$12)^(1-$B$10))^(1/(1-$B$10))</f>
        <v>6.4807953943395482</v>
      </c>
      <c r="AB192">
        <f>IF(FixedParams!$I$6=1,IF(Z192&lt;=MIN(Y192:AA192),1,0),$H192)</f>
        <v>0</v>
      </c>
      <c r="AC192">
        <f>IF(FixedParams!$I$6=1,IF(AA192&lt;=MIN(Y192:AA192),1,0),IF(AA192&lt;=Y192,1,0)*(1-$H192))</f>
        <v>0</v>
      </c>
      <c r="AD192" s="24">
        <f>$Z$13*IF(AB192=1,1,IF(AC192=1,FixedParams!$C$52,FixedParams!$C$53))</f>
        <v>0.47851548426682239</v>
      </c>
      <c r="AE192">
        <f>EXP($C192*FixedParams!$B$47)*EXP(IF(AB192+AC192=1,(1-FixedParams!$B$47)*$D192,0))*($B192^((FixedParams!$B$47-1)*$B$10/($B$10-1)))*((1/$B192-1)^$B$10*(AD192)^($B$10-1)+1)^((FixedParams!$B$47-$B$10)/($B$10-1))/((1+IF(AB192=1,FixedParams!$C$25,IF(AC192=1,FixedParams!$C$23,FixedParams!$C$24)))^FixedParams!$B$47)</f>
        <v>3.3087701556525906E-2</v>
      </c>
      <c r="AF192">
        <f t="shared" si="110"/>
        <v>0.9750012923554221</v>
      </c>
      <c r="AG192">
        <f t="shared" si="111"/>
        <v>22.901283122073867</v>
      </c>
      <c r="AH192">
        <f t="shared" si="98"/>
        <v>11.545009896456351</v>
      </c>
      <c r="AI192">
        <f t="shared" si="112"/>
        <v>34.44629301853022</v>
      </c>
      <c r="AJ192" s="24">
        <f t="shared" si="113"/>
        <v>0.5041206571228517</v>
      </c>
      <c r="AK192" s="24">
        <f t="shared" si="114"/>
        <v>2.1632871056362659</v>
      </c>
      <c r="AL192" s="23">
        <f>IF(AB192=1,AG192*(1+FixedParams!$C$25)+AH192*(1+FixedParams!$C$28)/$Z$12,IF(AC192=1,AG192*(1+FixedParams!$C$23)+AH192*(1+FixedParams!$C$26)/$Z$12,AG192*(1+FixedParams!$C$24)+AH192*(1+FixedParams!$C$27)/$Z$12))</f>
        <v>78.01737191467123</v>
      </c>
      <c r="AM192" s="24">
        <f t="shared" si="115"/>
        <v>12.045243619428678</v>
      </c>
      <c r="AN192" s="24">
        <f>AM192^((FixedParams!$B$47-1)/FixedParams!$B$47)*EXP($C192)</f>
        <v>0.11201422275874566</v>
      </c>
      <c r="AO192" s="24">
        <f t="shared" si="116"/>
        <v>-0.22485967140112662</v>
      </c>
      <c r="AP192" s="24">
        <f t="shared" si="117"/>
        <v>-0.16494402105071279</v>
      </c>
      <c r="AQ192" s="14">
        <f t="shared" si="118"/>
        <v>-5.2127068089572223E-2</v>
      </c>
      <c r="AS192" s="24">
        <f>EXP(-$D$17)*(($B192*FixedParams!$B$30)^$B$10*(1+FixedParams!$D$24)^(1-$B$10)+(1-$B192)^$B$10*((1+FixedParams!$D$27)/$AT$12)^(1-$B$10))^(1/(1-$B$10))</f>
        <v>5.9309946820886967</v>
      </c>
      <c r="AT192" s="24">
        <f>EXP($D192-$D$17)*(($B192*FixedParams!$C$31)^$B$10*(1+FixedParams!$D$25)^(1-$B$10)+(1-$B192)^$B$10*((1+FixedParams!$D$28)/$AT$12)^(1-$B$10))^(1/(1-$B$10))</f>
        <v>6.617893490033353</v>
      </c>
      <c r="AU192" s="24">
        <f>EXP($D192-$D$17)*(($B192*FixedParams!$C$30)^$B$10*(1+FixedParams!$D$23)^(1-$B$10)+(1-$B192)^$B$10*((1+FixedParams!$D$26)/$AT$12)^(1-$B$10))^(1/(1-$B$10))</f>
        <v>6.2707252007039171</v>
      </c>
      <c r="AV192">
        <f>IF(FixedParams!$I$6=1,IF(AT192&lt;=MIN(AS192:AU192),1,0),$H192)</f>
        <v>0</v>
      </c>
      <c r="AW192">
        <f>IF(FixedParams!$I$6=1,IF(AU192&lt;=MIN(AS192:AU192),1,0),IF(AU192&lt;=AS192,1,0)*(1-$H192))</f>
        <v>0</v>
      </c>
      <c r="AX192" s="24">
        <f>$AT$13*IF(AV192=1,1,IF(AW192=1,FixedParams!$D$52,FixedParams!$D$53))</f>
        <v>0.44031288407969205</v>
      </c>
      <c r="AY192">
        <f>EXP($C192*FixedParams!$B$47)*EXP(IF(AV192+AW192=1,(1-FixedParams!$B$47)*$D192,0))*($B192^((FixedParams!$B$47-1)*$B$10/($B$10-1)))*((1/$B192-1)^$B$10*(AX192)^($B$10-1)+1)^((FixedParams!$B$47-$B$10)/($B$10-1))/((1+IF(AV192=1,FixedParams!$D$25,IF(AW192=1,FixedParams!$D$23,FixedParams!$D$24)))^FixedParams!$B$47)</f>
        <v>3.8494788116060046E-2</v>
      </c>
      <c r="AZ192">
        <f t="shared" si="99"/>
        <v>1.0365715207970418</v>
      </c>
      <c r="BA192">
        <f t="shared" si="119"/>
        <v>26.080000829191892</v>
      </c>
      <c r="BB192">
        <f t="shared" si="100"/>
        <v>11.60486764125071</v>
      </c>
      <c r="BC192">
        <f t="shared" si="120"/>
        <v>37.684868470442602</v>
      </c>
      <c r="BD192" s="24">
        <f t="shared" si="121"/>
        <v>0.44497190461210179</v>
      </c>
      <c r="BE192" s="24">
        <f t="shared" si="122"/>
        <v>2.0083994341604829</v>
      </c>
      <c r="BF192" s="23">
        <f>IF(AV192=1,BA192*(1+FixedParams!$C$25)+BB192*(1+FixedParams!$C$28)/$AT$12,IF(AW192=1,BA192*(1+FixedParams!$C$23)+BB192*(1+FixedParams!$C$26)/$AT$12,BA192*(1+FixedParams!$C$24)+BB192*(1+FixedParams!$C$27)/$AT$12))</f>
        <v>82.947680721800452</v>
      </c>
      <c r="BG192" s="24">
        <f t="shared" si="123"/>
        <v>13.985458623373621</v>
      </c>
      <c r="BH192" s="24">
        <f>BG192^((FixedParams!$B$47-1)/FixedParams!$B$47)*EXP($C192)</f>
        <v>0.11199747813545523</v>
      </c>
      <c r="BI192" s="7"/>
      <c r="BJ192" s="24">
        <f>EXP(-$D$17)*(($B192*FixedParams!$B$30)^$B$10*(1+FixedParams!$C$24)^(1-$B$10)+(1-$B192)^$B$10*((1+FixedParams!$C$27)/$BK$12)^(1-$B$10))^(1/(1-$B$10))</f>
        <v>6.6453288311156182</v>
      </c>
      <c r="BK192" s="24">
        <f>EXP($D192-$D$17)*(($B192*FixedParams!$C$31)^$B$10*(1+FixedParams!$C$25)^(1-$B$10)+(1-$B192)^$B$10*((1+FixedParams!$C$28)/$BK$12)^(1-$B$10))^(1/(1-$B$10))</f>
        <v>7.0741186374421936</v>
      </c>
      <c r="BL192" s="24">
        <f>EXP($D192-$D$17)*(($B192*FixedParams!$C$30)^$B$10*(1+FixedParams!$C$23)^(1-$B$10)+(1-$B192)^$B$10*((1+FixedParams!$C$26)/$BK$12)^(1-$B$10))^(1/(1-$B$10))</f>
        <v>6.6357944195690584</v>
      </c>
      <c r="BM192">
        <f>IF(FixedParams!$I$6=1,IF(BK192&lt;=MIN(BJ192:BL192),1,0),$H192)</f>
        <v>0</v>
      </c>
      <c r="BN192">
        <f>IF(FixedParams!$I$6=1,IF(BL192&lt;=MIN(BJ192:BL192),1,0),IF(BL192&lt;=BJ192,1,0)*(1-$H192))</f>
        <v>1</v>
      </c>
      <c r="BO192" s="24">
        <f>$BK$13*IF(BM192=1,1,IF(BN192=1,FixedParams!$C$52,FixedParams!$C$53))</f>
        <v>0.33006170822567266</v>
      </c>
      <c r="BP192">
        <f>EXP($C192*FixedParams!$B$47)*EXP(IF(BM192+BN192=1,(1-FixedParams!$B$47)*$D192,0))*($B192^((FixedParams!$B$47-1)*$B$10/($B$10-1)))*((1/$B192-1)^$B$10*(BO192)^($B$10-1)+1)^((FixedParams!$B$47-$B$10)/($B$10-1))/((1+IF(BM192=1,FixedParams!$C$25,IF(BN192=1,FixedParams!$C$23,FixedParams!$C$24)))^FixedParams!$B$47)</f>
        <v>5.2019328435773844E-2</v>
      </c>
      <c r="BQ192">
        <f t="shared" si="124"/>
        <v>1.4964791521542349</v>
      </c>
      <c r="BR192">
        <f t="shared" si="125"/>
        <v>38.166442013028934</v>
      </c>
      <c r="BS192">
        <f t="shared" si="101"/>
        <v>11.022113792217839</v>
      </c>
      <c r="BT192">
        <f t="shared" si="126"/>
        <v>49.188555805246772</v>
      </c>
      <c r="BU192" s="24">
        <f t="shared" si="127"/>
        <v>0.28879070751355873</v>
      </c>
      <c r="BV192" s="24">
        <f t="shared" si="128"/>
        <v>2.1075693157161868</v>
      </c>
      <c r="BW192" s="23">
        <f>IF(BM192=1,BR192*(1+FixedParams!$C$25)+BS192*(1+FixedParams!$C$28)/$BK$12,IF(BN192=1,BR192*(1+FixedParams!$C$23)+BS192*(1+FixedParams!$C$26)/$BK$12,BR192*(1+FixedParams!$C$24)+BS192*(1+FixedParams!$C$27)/$BK$12))</f>
        <v>82.70381669867345</v>
      </c>
      <c r="BX192" s="24">
        <f t="shared" si="129"/>
        <v>12.46328796063643</v>
      </c>
      <c r="BY192" s="24">
        <f>BX192^((FixedParams!$B$47-1)/FixedParams!$B$47)*EXP($C192)</f>
        <v>0.11201039735355579</v>
      </c>
      <c r="BZ192" s="24">
        <f t="shared" si="130"/>
        <v>0.13139993247305443</v>
      </c>
      <c r="CA192" s="24">
        <f t="shared" si="131"/>
        <v>-0.13082652286566943</v>
      </c>
      <c r="CB192" s="24">
        <f t="shared" si="132"/>
        <v>-0.11349806694626217</v>
      </c>
      <c r="CC192" s="24"/>
      <c r="CD192" s="24">
        <f>EXP(-$D$17)*(($B192*FixedParams!$B$30)^$B$10*(1+FixedParams!$D$24)^(1-$B$10)+(1-$B192)^$B$10*((1+FixedParams!$D$27)/$CE$12)^(1-$B$10))^(1/(1-$B$10))</f>
        <v>6.072015826412926</v>
      </c>
      <c r="CE192" s="24">
        <f>EXP($D192-$D$17)*(($B192*FixedParams!$D$31)^$B$10*(1+FixedParams!$D$25)^(1-$B$10)+(1-$B192)^$B$10*((1+FixedParams!$D$28)/$CE$12)^(1-$B$10))^(1/(1-$B$10))</f>
        <v>6.7724936039134782</v>
      </c>
      <c r="CF192" s="24">
        <f>EXP($D192-$D$17)*(($B192*FixedParams!$D$30)^$B$10*(1+FixedParams!$D$23)^(1-$B$10)+(1-$B192)^$B$10*((1+FixedParams!$D$26)/$CE$12)^(1-$B$10))^(1/(1-$B$10))</f>
        <v>6.4106574418487963</v>
      </c>
      <c r="CG192">
        <f>IF(FixedParams!$I$6=1,IF(CE192&lt;=MIN(CD192:CF192),1,0),$H192)</f>
        <v>0</v>
      </c>
      <c r="CH192">
        <f>IF(FixedParams!$I$6=1,IF(CF192&lt;=MIN(CD192:CF192),1,0),IF(CF192&lt;=CD192,1,0)*(1-$H192))</f>
        <v>0</v>
      </c>
      <c r="CI192" s="24">
        <f>$CE$13*IF(CG192=1,1,IF(CH192=1,FixedParams!$D$52,FixedParams!$D$53))</f>
        <v>0.42008589776177102</v>
      </c>
      <c r="CJ192">
        <f>EXP($C192*FixedParams!$B$47)*EXP(IF(CG192+CH192=1,(1-FixedParams!$B$47)*$D192,0))*($B192^((FixedParams!$B$47-1)*$B$10/($B$10-1)))*((1/$B192-1)^$B$10*(CI192)^($B$10-1)+1)^((FixedParams!$B$47-$B$10)/($B$10-1))/((1+IF(CG192=1,FixedParams!$D$25,IF(CH192=1,FixedParams!$D$23,FixedParams!$D$24)))^FixedParams!$B$47)</f>
        <v>3.8950659821525652E-2</v>
      </c>
      <c r="CK192">
        <f t="shared" si="133"/>
        <v>1.0255849027876103</v>
      </c>
      <c r="CL192">
        <f t="shared" si="135"/>
        <v>28.019268532096653</v>
      </c>
      <c r="CM192">
        <f t="shared" si="102"/>
        <v>11.618617315319565</v>
      </c>
      <c r="CN192">
        <f t="shared" si="136"/>
        <v>39.637885847416214</v>
      </c>
      <c r="CO192" s="24">
        <f t="shared" si="137"/>
        <v>0.41466526158633288</v>
      </c>
      <c r="CP192" s="24">
        <f t="shared" si="138"/>
        <v>1.9616980460997426</v>
      </c>
      <c r="CQ192" s="23">
        <f>IF(CG192=1,CL192*(1+FixedParams!$D$25)+CM192*(1+FixedParams!$D$28)/$CE$12,IF(CH192=1,CL192*(1+FixedParams!$D$23)+CM192*(1+FixedParams!$D$26)/$CE$12,CL192*(1+FixedParams!$D$24)+CM192*(1+FixedParams!$D$27)/$CE$12))</f>
        <v>81.079681174215608</v>
      </c>
      <c r="CR192" s="24">
        <f t="shared" si="139"/>
        <v>13.35300886758621</v>
      </c>
      <c r="CS192" s="24">
        <f>CR192^((FixedParams!$B$47-1)/FixedParams!$B$47)*EXP($C192)</f>
        <v>0.11200266628119628</v>
      </c>
      <c r="CT192" s="24"/>
    </row>
    <row r="193" spans="1:98" x14ac:dyDescent="0.15">
      <c r="A193">
        <v>0.88</v>
      </c>
      <c r="B193">
        <f t="shared" si="103"/>
        <v>0.43317064896843865</v>
      </c>
      <c r="C193">
        <f>(D193-$D$17)*FixedParams!$B$47+$A193*$B$9</f>
        <v>-2.1991333416140484</v>
      </c>
      <c r="D193">
        <f>(A193-$B$6)*FixedParams!$B$46/(FixedParams!$B$45*Sectors!$B$6)</f>
        <v>0.2064735433592671</v>
      </c>
      <c r="E193">
        <f t="shared" si="104"/>
        <v>0.11089922847268875</v>
      </c>
      <c r="F193" s="24">
        <f>EXP(-$D$17)*(($B193*FixedParams!$B$30)^$B$10*(1+FixedParams!$B$23)^(1-$B$10)+(1-$B193)^$B$10*((1+FixedParams!$B$26)/$B$11)^(1-$B$10))^(1/(1-$B$10))</f>
        <v>4.6366362867399271</v>
      </c>
      <c r="G193" s="24">
        <f>EXP($D193-$D$17)*(($B193*FixedParams!$B$31)^$B$10*(1+FixedParams!$B$25)^(1-$B$10)+(1-$B193)^$B$10*((1+FixedParams!$B$28)/$B$11)^(1-$B$10))^(1/(1-$B$10))</f>
        <v>5.4147574358687356</v>
      </c>
      <c r="H193">
        <f t="shared" si="105"/>
        <v>0</v>
      </c>
      <c r="I193" s="24">
        <f>$B$12*IF(H193=1,1,FixedParams!$B$52)</f>
        <v>0.39101505882574561</v>
      </c>
      <c r="J193">
        <f>EXP($C193*FixedParams!$B$47)*EXP(IF(H193=1,(1-FixedParams!$B$47)*$D193,0))*($B193^((FixedParams!$B$47-1)*$B$10/($B$10-1)))*((1/$B193-1)^$B$10*(I193)^($B$10-1)+1)^((FixedParams!$B$47-$B$10)/($B$10-1))/((1+IF(H193=1,FixedParams!$B$25,FixedParams!$B$24))^FixedParams!$B$47)</f>
        <v>5.3395809670746641E-2</v>
      </c>
      <c r="K193">
        <f t="shared" si="134"/>
        <v>1.0765974131800879</v>
      </c>
      <c r="L193">
        <f>K193*FixedParams!$B$8/K$15</f>
        <v>31.300055914210514</v>
      </c>
      <c r="M193">
        <f t="shared" si="94"/>
        <v>11.455796791139621</v>
      </c>
      <c r="N193">
        <f t="shared" si="106"/>
        <v>42.755852705350136</v>
      </c>
      <c r="O193" s="24">
        <f t="shared" si="107"/>
        <v>0.36599924366073044</v>
      </c>
      <c r="P193" s="24">
        <f t="shared" si="95"/>
        <v>1.8129946104131993</v>
      </c>
      <c r="Q193" s="23">
        <f>IF(H193=1,L193*(1+FixedParams!$B$25)+M193*FixedParams!$B$33*(1+FixedParams!$B$28)/FixedParams!$B$32,L193*(1+FixedParams!$B$23)+M193*FixedParams!$B$33*(1+FixedParams!$B$26)/FixedParams!$B$32)</f>
        <v>65.23336008325137</v>
      </c>
      <c r="R193" s="24">
        <f t="shared" si="96"/>
        <v>14.069113048571188</v>
      </c>
      <c r="S193" s="24">
        <f>R193^((FixedParams!$B$47-1)/FixedParams!$B$47)*EXP($C193)</f>
        <v>0.11060610748079895</v>
      </c>
      <c r="T193" s="7">
        <f>(L193*FixedParams!$B$32*(FixedParams!$C$25-FixedParams!$C$23)+FixedParams!$B$33*(FixedParams!$C$28-FixedParams!$C$26)*M193)/N193</f>
        <v>3847.3667274160171</v>
      </c>
      <c r="U193" s="7">
        <f>(L193*FixedParams!$B$32*(FixedParams!$C$25-FixedParams!$C$23)*$Z$12/$B$11+FixedParams!$B$33*(FixedParams!$C$28-FixedParams!$C$26)*M193)/N193</f>
        <v>3112.1295085118986</v>
      </c>
      <c r="V193" s="14">
        <f t="shared" si="97"/>
        <v>6.6114805966073456E-2</v>
      </c>
      <c r="W193" s="14">
        <f t="shared" si="140"/>
        <v>0.95488897704085729</v>
      </c>
      <c r="X193" s="73">
        <f t="shared" si="109"/>
        <v>0.8472030654075674</v>
      </c>
      <c r="Y193" s="24">
        <f>EXP(-$D$17)*(($B193*FixedParams!$B$30)^$B$10*(1+FixedParams!$C$24)^(1-$B$10)+(1-$B193)^$B$10*((1+FixedParams!$C$27)/$Z$12)^(1-$B$10))^(1/(1-$B$10))</f>
        <v>6.4642047239162999</v>
      </c>
      <c r="Z193" s="24">
        <f>EXP($D193-$D$17)*(($B193*FixedParams!$C$31)^$B$10*(1+FixedParams!$C$25)^(1-$B$10)+(1-$B193)^$B$10*((1+FixedParams!$C$28)/$Z$12)^(1-$B$10))^(1/(1-$B$10))</f>
        <v>6.9014227108439972</v>
      </c>
      <c r="AA193" s="24">
        <f>EXP($D193-$D$17)*(($B193*FixedParams!$C$30)^$B$10*(1+FixedParams!$C$23)^(1-$B$10)+(1-$B193)^$B$10*((1+FixedParams!$C$26)/$Z$12)^(1-$B$10))^(1/(1-$B$10))</f>
        <v>6.4765837218240909</v>
      </c>
      <c r="AB193">
        <f>IF(FixedParams!$I$6=1,IF(Z193&lt;=MIN(Y193:AA193),1,0),$H193)</f>
        <v>0</v>
      </c>
      <c r="AC193">
        <f>IF(FixedParams!$I$6=1,IF(AA193&lt;=MIN(Y193:AA193),1,0),IF(AA193&lt;=Y193,1,0)*(1-$H193))</f>
        <v>0</v>
      </c>
      <c r="AD193" s="24">
        <f>$Z$13*IF(AB193=1,1,IF(AC193=1,FixedParams!$C$52,FixedParams!$C$53))</f>
        <v>0.47851548426682239</v>
      </c>
      <c r="AE193">
        <f>EXP($C193*FixedParams!$B$47)*EXP(IF(AB193+AC193=1,(1-FixedParams!$B$47)*$D193,0))*($B193^((FixedParams!$B$47-1)*$B$10/($B$10-1)))*((1/$B193-1)^$B$10*(AD193)^($B$10-1)+1)^((FixedParams!$B$47-$B$10)/($B$10-1))/((1+IF(AB193=1,FixedParams!$C$25,IF(AC193=1,FixedParams!$C$23,FixedParams!$C$24)))^FixedParams!$B$47)</f>
        <v>3.2966772527500188E-2</v>
      </c>
      <c r="AF193">
        <f t="shared" si="110"/>
        <v>0.97143785476269795</v>
      </c>
      <c r="AG193">
        <f t="shared" si="111"/>
        <v>22.81758344512096</v>
      </c>
      <c r="AH193">
        <f t="shared" si="98"/>
        <v>11.305860014620498</v>
      </c>
      <c r="AI193">
        <f t="shared" si="112"/>
        <v>34.123443459741459</v>
      </c>
      <c r="AJ193" s="24">
        <f t="shared" si="113"/>
        <v>0.49548893035988911</v>
      </c>
      <c r="AK193" s="24">
        <f t="shared" si="114"/>
        <v>2.1590044401068598</v>
      </c>
      <c r="AL193" s="23">
        <f>IF(AB193=1,AG193*(1+FixedParams!$C$25)+AH193*(1+FixedParams!$C$28)/$Z$12,IF(AC193=1,AG193*(1+FixedParams!$C$23)+AH193*(1+FixedParams!$C$26)/$Z$12,AG193*(1+FixedParams!$C$24)+AH193*(1+FixedParams!$C$27)/$Z$12))</f>
        <v>77.049414005133016</v>
      </c>
      <c r="AM193" s="24">
        <f t="shared" si="115"/>
        <v>11.919395702315116</v>
      </c>
      <c r="AN193" s="24">
        <f>AM193^((FixedParams!$B$47-1)/FixedParams!$B$47)*EXP($C193)</f>
        <v>0.11062446749989523</v>
      </c>
      <c r="AO193" s="24">
        <f t="shared" si="116"/>
        <v>-0.22552145183691441</v>
      </c>
      <c r="AP193" s="24">
        <f t="shared" si="117"/>
        <v>-0.16581486642059939</v>
      </c>
      <c r="AQ193" s="14">
        <f t="shared" si="118"/>
        <v>-3.4856442793489116E-2</v>
      </c>
      <c r="AS193" s="24">
        <f>EXP(-$D$17)*(($B193*FixedParams!$B$30)^$B$10*(1+FixedParams!$D$24)^(1-$B$10)+(1-$B193)^$B$10*((1+FixedParams!$D$27)/$AT$12)^(1-$B$10))^(1/(1-$B$10))</f>
        <v>5.9171273766743981</v>
      </c>
      <c r="AT193" s="24">
        <f>EXP($D193-$D$17)*(($B193*FixedParams!$C$31)^$B$10*(1+FixedParams!$D$25)^(1-$B$10)+(1-$B193)^$B$10*((1+FixedParams!$D$28)/$AT$12)^(1-$B$10))^(1/(1-$B$10))</f>
        <v>6.6184053563152876</v>
      </c>
      <c r="AU193" s="24">
        <f>EXP($D193-$D$17)*(($B193*FixedParams!$C$30)^$B$10*(1+FixedParams!$D$23)^(1-$B$10)+(1-$B193)^$B$10*((1+FixedParams!$D$26)/$AT$12)^(1-$B$10))^(1/(1-$B$10))</f>
        <v>6.2665018853722225</v>
      </c>
      <c r="AV193">
        <f>IF(FixedParams!$I$6=1,IF(AT193&lt;=MIN(AS193:AU193),1,0),$H193)</f>
        <v>0</v>
      </c>
      <c r="AW193">
        <f>IF(FixedParams!$I$6=1,IF(AU193&lt;=MIN(AS193:AU193),1,0),IF(AU193&lt;=AS193,1,0)*(1-$H193))</f>
        <v>0</v>
      </c>
      <c r="AX193" s="24">
        <f>$AT$13*IF(AV193=1,1,IF(AW193=1,FixedParams!$D$52,FixedParams!$D$53))</f>
        <v>0.44031288407969205</v>
      </c>
      <c r="AY193">
        <f>EXP($C193*FixedParams!$B$47)*EXP(IF(AV193+AW193=1,(1-FixedParams!$B$47)*$D193,0))*($B193^((FixedParams!$B$47-1)*$B$10/($B$10-1)))*((1/$B193-1)^$B$10*(AX193)^($B$10-1)+1)^((FixedParams!$B$47-$B$10)/($B$10-1))/((1+IF(AV193=1,FixedParams!$D$25,IF(AW193=1,FixedParams!$D$23,FixedParams!$D$24)))^FixedParams!$B$47)</f>
        <v>3.83471960736253E-2</v>
      </c>
      <c r="AZ193">
        <f t="shared" si="99"/>
        <v>1.0325972241358192</v>
      </c>
      <c r="BA193">
        <f t="shared" si="119"/>
        <v>25.980008056729417</v>
      </c>
      <c r="BB193">
        <f t="shared" si="100"/>
        <v>11.362432984664627</v>
      </c>
      <c r="BC193">
        <f t="shared" si="120"/>
        <v>37.342441041394046</v>
      </c>
      <c r="BD193" s="24">
        <f t="shared" si="121"/>
        <v>0.43735294307276001</v>
      </c>
      <c r="BE193" s="24">
        <f t="shared" si="122"/>
        <v>2.0037035796132656</v>
      </c>
      <c r="BF193" s="23">
        <f>IF(AV193=1,BA193*(1+FixedParams!$C$25)+BB193*(1+FixedParams!$C$28)/$AT$12,IF(AW193=1,BA193*(1+FixedParams!$C$23)+BB193*(1+FixedParams!$C$26)/$AT$12,BA193*(1+FixedParams!$C$24)+BB193*(1+FixedParams!$C$27)/$AT$12))</f>
        <v>81.952807044229843</v>
      </c>
      <c r="BG193" s="24">
        <f t="shared" si="123"/>
        <v>13.850100196810324</v>
      </c>
      <c r="BH193" s="24">
        <f>BG193^((FixedParams!$B$47-1)/FixedParams!$B$47)*EXP($C193)</f>
        <v>0.11060784457095532</v>
      </c>
      <c r="BI193" s="7"/>
      <c r="BJ193" s="24">
        <f>EXP(-$D$17)*(($B193*FixedParams!$B$30)^$B$10*(1+FixedParams!$C$24)^(1-$B$10)+(1-$B193)^$B$10*((1+FixedParams!$C$27)/$BK$12)^(1-$B$10))^(1/(1-$B$10))</f>
        <v>6.63073292550055</v>
      </c>
      <c r="BK193" s="24">
        <f>EXP($D193-$D$17)*(($B193*FixedParams!$C$31)^$B$10*(1+FixedParams!$C$25)^(1-$B$10)+(1-$B193)^$B$10*((1+FixedParams!$C$28)/$BK$12)^(1-$B$10))^(1/(1-$B$10))</f>
        <v>7.0746502144412435</v>
      </c>
      <c r="BL193" s="24">
        <f>EXP($D193-$D$17)*(($B193*FixedParams!$C$30)^$B$10*(1+FixedParams!$C$23)^(1-$B$10)+(1-$B193)^$B$10*((1+FixedParams!$C$26)/$BK$12)^(1-$B$10))^(1/(1-$B$10))</f>
        <v>6.630047727716903</v>
      </c>
      <c r="BM193">
        <f>IF(FixedParams!$I$6=1,IF(BK193&lt;=MIN(BJ193:BL193),1,0),$H193)</f>
        <v>0</v>
      </c>
      <c r="BN193">
        <f>IF(FixedParams!$I$6=1,IF(BL193&lt;=MIN(BJ193:BL193),1,0),IF(BL193&lt;=BJ193,1,0)*(1-$H193))</f>
        <v>1</v>
      </c>
      <c r="BO193" s="24">
        <f>$BK$13*IF(BM193=1,1,IF(BN193=1,FixedParams!$C$52,FixedParams!$C$53))</f>
        <v>0.33006170822567266</v>
      </c>
      <c r="BP193">
        <f>EXP($C193*FixedParams!$B$47)*EXP(IF(BM193+BN193=1,(1-FixedParams!$B$47)*$D193,0))*($B193^((FixedParams!$B$47-1)*$B$10/($B$10-1)))*((1/$B193-1)^$B$10*(BO193)^($B$10-1)+1)^((FixedParams!$B$47-$B$10)/($B$10-1))/((1+IF(BM193=1,FixedParams!$C$25,IF(BN193=1,FixedParams!$C$23,FixedParams!$C$24)))^FixedParams!$B$47)</f>
        <v>5.1787780651250177E-2</v>
      </c>
      <c r="BQ193">
        <f t="shared" si="124"/>
        <v>1.4898180428572361</v>
      </c>
      <c r="BR193">
        <f t="shared" si="125"/>
        <v>37.996556023397616</v>
      </c>
      <c r="BS193">
        <f t="shared" si="101"/>
        <v>10.785167932795348</v>
      </c>
      <c r="BT193">
        <f t="shared" si="126"/>
        <v>48.781723956192963</v>
      </c>
      <c r="BU193" s="24">
        <f t="shared" si="127"/>
        <v>0.28384593398817592</v>
      </c>
      <c r="BV193" s="24">
        <f t="shared" si="128"/>
        <v>2.1057441308703813</v>
      </c>
      <c r="BW193" s="23">
        <f>IF(BM193=1,BR193*(1+FixedParams!$C$25)+BS193*(1+FixedParams!$C$28)/$BK$12,IF(BN193=1,BR193*(1+FixedParams!$C$23)+BS193*(1+FixedParams!$C$26)/$BK$12,BR193*(1+FixedParams!$C$24)+BS193*(1+FixedParams!$C$27)/$BK$12))</f>
        <v>81.677805379595469</v>
      </c>
      <c r="BX193" s="24">
        <f t="shared" si="129"/>
        <v>12.319338975214544</v>
      </c>
      <c r="BY193" s="24">
        <f>BX193^((FixedParams!$B$47-1)/FixedParams!$B$47)*EXP($C193)</f>
        <v>0.11062081292895916</v>
      </c>
      <c r="BZ193" s="24">
        <f t="shared" si="130"/>
        <v>0.13184964221826087</v>
      </c>
      <c r="CA193" s="24">
        <f t="shared" si="131"/>
        <v>-0.13281152860150339</v>
      </c>
      <c r="CB193" s="24">
        <f t="shared" si="132"/>
        <v>-0.11548307268209614</v>
      </c>
      <c r="CC193" s="24"/>
      <c r="CD193" s="24">
        <f>EXP(-$D$17)*(($B193*FixedParams!$B$30)^$B$10*(1+FixedParams!$D$24)^(1-$B$10)+(1-$B193)^$B$10*((1+FixedParams!$D$27)/$CE$12)^(1-$B$10))^(1/(1-$B$10))</f>
        <v>6.0565889730944056</v>
      </c>
      <c r="CE193" s="24">
        <f>EXP($D193-$D$17)*(($B193*FixedParams!$D$31)^$B$10*(1+FixedParams!$D$25)^(1-$B$10)+(1-$B193)^$B$10*((1+FixedParams!$D$28)/$CE$12)^(1-$B$10))^(1/(1-$B$10))</f>
        <v>6.7716430521578683</v>
      </c>
      <c r="CF193" s="24">
        <f>EXP($D193-$D$17)*(($B193*FixedParams!$D$30)^$B$10*(1+FixedParams!$D$23)^(1-$B$10)+(1-$B193)^$B$10*((1+FixedParams!$D$26)/$CE$12)^(1-$B$10))^(1/(1-$B$10))</f>
        <v>6.4050448816559307</v>
      </c>
      <c r="CG193">
        <f>IF(FixedParams!$I$6=1,IF(CE193&lt;=MIN(CD193:CF193),1,0),$H193)</f>
        <v>0</v>
      </c>
      <c r="CH193">
        <f>IF(FixedParams!$I$6=1,IF(CF193&lt;=MIN(CD193:CF193),1,0),IF(CF193&lt;=CD193,1,0)*(1-$H193))</f>
        <v>0</v>
      </c>
      <c r="CI193" s="24">
        <f>$CE$13*IF(CG193=1,1,IF(CH193=1,FixedParams!$D$52,FixedParams!$D$53))</f>
        <v>0.42008589776177102</v>
      </c>
      <c r="CJ193">
        <f>EXP($C193*FixedParams!$B$47)*EXP(IF(CG193+CH193=1,(1-FixedParams!$B$47)*$D193,0))*($B193^((FixedParams!$B$47-1)*$B$10/($B$10-1)))*((1/$B193-1)^$B$10*(CI193)^($B$10-1)+1)^((FixedParams!$B$47-$B$10)/($B$10-1))/((1+IF(CG193=1,FixedParams!$D$25,IF(CH193=1,FixedParams!$D$23,FixedParams!$D$24)))^FixedParams!$B$47)</f>
        <v>3.8797373238075437E-2</v>
      </c>
      <c r="CK193">
        <f t="shared" si="133"/>
        <v>1.0215488118328802</v>
      </c>
      <c r="CL193">
        <f t="shared" si="135"/>
        <v>27.909001389929131</v>
      </c>
      <c r="CM193">
        <f t="shared" si="102"/>
        <v>11.374738313279082</v>
      </c>
      <c r="CN193">
        <f t="shared" si="136"/>
        <v>39.283739703208212</v>
      </c>
      <c r="CO193" s="24">
        <f t="shared" si="137"/>
        <v>0.40756522078155105</v>
      </c>
      <c r="CP193" s="24">
        <f t="shared" si="138"/>
        <v>1.9567140623820509</v>
      </c>
      <c r="CQ193" s="23">
        <f>IF(CG193=1,CL193*(1+FixedParams!$D$25)+CM193*(1+FixedParams!$D$28)/$CE$12,IF(CH193=1,CL193*(1+FixedParams!$D$23)+CM193*(1+FixedParams!$D$26)/$CE$12,CL193*(1+FixedParams!$D$24)+CM193*(1+FixedParams!$D$27)/$CE$12))</f>
        <v>80.073684317241785</v>
      </c>
      <c r="CR193" s="24">
        <f t="shared" si="139"/>
        <v>13.22092099578798</v>
      </c>
      <c r="CS193" s="24">
        <f>CR193^((FixedParams!$B$47-1)/FixedParams!$B$47)*EXP($C193)</f>
        <v>0.11061299221465089</v>
      </c>
      <c r="CT193" s="24"/>
    </row>
    <row r="194" spans="1:98" x14ac:dyDescent="0.15">
      <c r="A194">
        <v>0.88500000000000001</v>
      </c>
      <c r="B194">
        <f t="shared" si="103"/>
        <v>0.43599980990423531</v>
      </c>
      <c r="C194">
        <f>(D194-$D$17)*FixedParams!$B$47+$A194*$B$9</f>
        <v>-2.211628417418674</v>
      </c>
      <c r="D194">
        <f>(A194-$B$6)*FixedParams!$B$46/(FixedParams!$B$45*Sectors!$B$6)</f>
        <v>0.20919030050873114</v>
      </c>
      <c r="E194">
        <f t="shared" si="104"/>
        <v>0.10952215543868976</v>
      </c>
      <c r="F194" s="24">
        <f>EXP(-$D$17)*(($B194*FixedParams!$B$30)^$B$10*(1+FixedParams!$B$23)^(1-$B$10)+(1-$B194)^$B$10*((1+FixedParams!$B$26)/$B$11)^(1-$B$10))^(1/(1-$B$10))</f>
        <v>4.6231877606575136</v>
      </c>
      <c r="G194" s="24">
        <f>EXP($D194-$D$17)*(($B194*FixedParams!$B$31)^$B$10*(1+FixedParams!$B$25)^(1-$B$10)+(1-$B194)^$B$10*((1+FixedParams!$B$28)/$B$11)^(1-$B$10))^(1/(1-$B$10))</f>
        <v>5.4127388463358059</v>
      </c>
      <c r="H194">
        <f t="shared" si="105"/>
        <v>0</v>
      </c>
      <c r="I194" s="24">
        <f>$B$12*IF(H194=1,1,FixedParams!$B$52)</f>
        <v>0.39101505882574561</v>
      </c>
      <c r="J194">
        <f>EXP($C194*FixedParams!$B$47)*EXP(IF(H194=1,(1-FixedParams!$B$47)*$D194,0))*($B194^((FixedParams!$B$47-1)*$B$10/($B$10-1)))*((1/$B194-1)^$B$10*(I194)^($B$10-1)+1)^((FixedParams!$B$47-$B$10)/($B$10-1))/((1+IF(H194=1,FixedParams!$B$25,FixedParams!$B$24))^FixedParams!$B$47)</f>
        <v>5.3173465673692792E-2</v>
      </c>
      <c r="K194">
        <f t="shared" si="134"/>
        <v>1.0721143840146843</v>
      </c>
      <c r="L194">
        <f>K194*FixedParams!$B$8/K$15</f>
        <v>31.169720227142783</v>
      </c>
      <c r="M194">
        <f t="shared" si="94"/>
        <v>11.212760730266069</v>
      </c>
      <c r="N194">
        <f t="shared" si="106"/>
        <v>42.382480957408852</v>
      </c>
      <c r="O194" s="24">
        <f t="shared" si="107"/>
        <v>0.35973247910329104</v>
      </c>
      <c r="P194" s="24">
        <f t="shared" si="95"/>
        <v>1.8077360341959647</v>
      </c>
      <c r="Q194" s="23">
        <f>IF(H194=1,L194*(1+FixedParams!$B$25)+M194*FixedParams!$B$33*(1+FixedParams!$B$28)/FixedParams!$B$32,L194*(1+FixedParams!$B$23)+M194*FixedParams!$B$33*(1+FixedParams!$B$26)/FixedParams!$B$32)</f>
        <v>64.423953348694468</v>
      </c>
      <c r="R194" s="24">
        <f t="shared" si="96"/>
        <v>13.934963640657339</v>
      </c>
      <c r="S194" s="24">
        <f>R194^((FixedParams!$B$47-1)/FixedParams!$B$47)*EXP($C194)</f>
        <v>0.10923372181549174</v>
      </c>
      <c r="T194" s="7">
        <f>(L194*FixedParams!$B$32*(FixedParams!$C$25-FixedParams!$C$23)+FixedParams!$B$33*(FixedParams!$C$28-FixedParams!$C$26)*M194)/N194</f>
        <v>3885.644051997986</v>
      </c>
      <c r="U194" s="7">
        <f>(L194*FixedParams!$B$32*(FixedParams!$C$25-FixedParams!$C$23)*$Z$12/$B$11+FixedParams!$B$33*(FixedParams!$C$28-FixedParams!$C$26)*M194)/N194</f>
        <v>3147.0182558438942</v>
      </c>
      <c r="V194" s="14">
        <f t="shared" si="97"/>
        <v>8.3385431262157514E-2</v>
      </c>
      <c r="W194" s="14">
        <f t="shared" si="140"/>
        <v>0.95696774753528824</v>
      </c>
      <c r="X194" s="73">
        <f t="shared" si="109"/>
        <v>0.84646570310693325</v>
      </c>
      <c r="Y194" s="24">
        <f>EXP(-$D$17)*(($B194*FixedParams!$B$30)^$B$10*(1+FixedParams!$C$24)^(1-$B$10)+(1-$B194)^$B$10*((1+FixedParams!$C$27)/$Z$12)^(1-$B$10))^(1/(1-$B$10))</f>
        <v>6.4510756551478972</v>
      </c>
      <c r="Z194" s="24">
        <f>EXP($D194-$D$17)*(($B194*FixedParams!$C$31)^$B$10*(1+FixedParams!$C$25)^(1-$B$10)+(1-$B194)^$B$10*((1+FixedParams!$C$28)/$Z$12)^(1-$B$10))^(1/(1-$B$10))</f>
        <v>6.9030851861601779</v>
      </c>
      <c r="AA194" s="24">
        <f>EXP($D194-$D$17)*(($B194*FixedParams!$C$30)^$B$10*(1+FixedParams!$C$23)^(1-$B$10)+(1-$B194)^$B$10*((1+FixedParams!$C$26)/$Z$12)^(1-$B$10))^(1/(1-$B$10))</f>
        <v>6.4720453521739589</v>
      </c>
      <c r="AB194">
        <f>IF(FixedParams!$I$6=1,IF(Z194&lt;=MIN(Y194:AA194),1,0),$H194)</f>
        <v>0</v>
      </c>
      <c r="AC194">
        <f>IF(FixedParams!$I$6=1,IF(AA194&lt;=MIN(Y194:AA194),1,0),IF(AA194&lt;=Y194,1,0)*(1-$H194))</f>
        <v>0</v>
      </c>
      <c r="AD194" s="24">
        <f>$Z$13*IF(AB194=1,1,IF(AC194=1,FixedParams!$C$52,FixedParams!$C$53))</f>
        <v>0.47851548426682239</v>
      </c>
      <c r="AE194">
        <f>EXP($C194*FixedParams!$B$47)*EXP(IF(AB194+AC194=1,(1-FixedParams!$B$47)*$D194,0))*($B194^((FixedParams!$B$47-1)*$B$10/($B$10-1)))*((1/$B194-1)^$B$10*(AD194)^($B$10-1)+1)^((FixedParams!$B$47-$B$10)/($B$10-1))/((1+IF(AB194=1,FixedParams!$C$25,IF(AC194=1,FixedParams!$C$23,FixedParams!$C$24)))^FixedParams!$B$47)</f>
        <v>3.2843835343836142E-2</v>
      </c>
      <c r="AF194">
        <f t="shared" si="110"/>
        <v>0.96781524251366613</v>
      </c>
      <c r="AG194">
        <f t="shared" si="111"/>
        <v>22.732493846361404</v>
      </c>
      <c r="AH194">
        <f t="shared" si="98"/>
        <v>11.070838142517607</v>
      </c>
      <c r="AI194">
        <f t="shared" si="112"/>
        <v>33.803331988879009</v>
      </c>
      <c r="AJ194" s="24">
        <f t="shared" si="113"/>
        <v>0.48700499898253008</v>
      </c>
      <c r="AK194" s="24">
        <f t="shared" si="114"/>
        <v>2.1546194122533056</v>
      </c>
      <c r="AL194" s="23">
        <f>IF(AB194=1,AG194*(1+FixedParams!$C$25)+AH194*(1+FixedParams!$C$28)/$Z$12,IF(AC194=1,AG194*(1+FixedParams!$C$23)+AH194*(1+FixedParams!$C$26)/$Z$12,AG194*(1+FixedParams!$C$24)+AH194*(1+FixedParams!$C$27)/$Z$12))</f>
        <v>76.093461590019871</v>
      </c>
      <c r="AM194" s="24">
        <f t="shared" si="115"/>
        <v>11.795468795858564</v>
      </c>
      <c r="AN194" s="24">
        <f>AM194^((FixedParams!$B$47-1)/FixedParams!$B$47)*EXP($C194)</f>
        <v>0.10925194924985274</v>
      </c>
      <c r="AO194" s="24">
        <f t="shared" si="116"/>
        <v>-0.22617571470374911</v>
      </c>
      <c r="AP194" s="24">
        <f t="shared" si="117"/>
        <v>-0.1666855943467781</v>
      </c>
      <c r="AQ194" s="14">
        <f t="shared" si="118"/>
        <v>-1.7585817497404871E-2</v>
      </c>
      <c r="AS194" s="24">
        <f>EXP(-$D$17)*(($B194*FixedParams!$B$30)^$B$10*(1+FixedParams!$D$24)^(1-$B$10)+(1-$B194)^$B$10*((1+FixedParams!$D$27)/$AT$12)^(1-$B$10))^(1/(1-$B$10))</f>
        <v>5.9029885679796461</v>
      </c>
      <c r="AT194" s="24">
        <f>EXP($D194-$D$17)*(($B194*FixedParams!$C$31)^$B$10*(1+FixedParams!$D$25)^(1-$B$10)+(1-$B194)^$B$10*((1+FixedParams!$D$28)/$AT$12)^(1-$B$10))^(1/(1-$B$10))</f>
        <v>6.6185769022768532</v>
      </c>
      <c r="AU194" s="24">
        <f>EXP($D194-$D$17)*(($B194*FixedParams!$C$30)^$B$10*(1+FixedParams!$D$23)^(1-$B$10)+(1-$B194)^$B$10*((1+FixedParams!$D$26)/$AT$12)^(1-$B$10))^(1/(1-$B$10))</f>
        <v>6.2619628358362922</v>
      </c>
      <c r="AV194">
        <f>IF(FixedParams!$I$6=1,IF(AT194&lt;=MIN(AS194:AU194),1,0),$H194)</f>
        <v>0</v>
      </c>
      <c r="AW194">
        <f>IF(FixedParams!$I$6=1,IF(AU194&lt;=MIN(AS194:AU194),1,0),IF(AU194&lt;=AS194,1,0)*(1-$H194))</f>
        <v>0</v>
      </c>
      <c r="AX194" s="24">
        <f>$AT$13*IF(AV194=1,1,IF(AW194=1,FixedParams!$D$52,FixedParams!$D$53))</f>
        <v>0.44031288407969205</v>
      </c>
      <c r="AY194">
        <f>EXP($C194*FixedParams!$B$47)*EXP(IF(AV194+AW194=1,(1-FixedParams!$B$47)*$D194,0))*($B194^((FixedParams!$B$47-1)*$B$10/($B$10-1)))*((1/$B194-1)^$B$10*(AX194)^($B$10-1)+1)^((FixedParams!$B$47-$B$10)/($B$10-1))/((1+IF(AV194=1,FixedParams!$D$25,IF(AW194=1,FixedParams!$D$23,FixedParams!$D$24)))^FixedParams!$B$47)</f>
        <v>3.8197319583937135E-2</v>
      </c>
      <c r="AZ194">
        <f t="shared" si="99"/>
        <v>1.0285614128363938</v>
      </c>
      <c r="BA194">
        <f t="shared" si="119"/>
        <v>25.878467584196908</v>
      </c>
      <c r="BB194">
        <f t="shared" si="100"/>
        <v>11.124232872769182</v>
      </c>
      <c r="BC194">
        <f t="shared" si="120"/>
        <v>37.002700456966089</v>
      </c>
      <c r="BD194" s="24">
        <f t="shared" si="121"/>
        <v>0.42986443600556817</v>
      </c>
      <c r="BE194" s="24">
        <f t="shared" si="122"/>
        <v>1.9989157865187954</v>
      </c>
      <c r="BF194" s="23">
        <f>IF(AV194=1,BA194*(1+FixedParams!$C$25)+BB194*(1+FixedParams!$C$28)/$AT$12,IF(AW194=1,BA194*(1+FixedParams!$C$23)+BB194*(1+FixedParams!$C$26)/$AT$12,BA194*(1+FixedParams!$C$24)+BB194*(1+FixedParams!$C$27)/$AT$12))</f>
        <v>80.969845561025622</v>
      </c>
      <c r="BG194" s="24">
        <f t="shared" si="123"/>
        <v>13.716754594484724</v>
      </c>
      <c r="BH194" s="24">
        <f>BG194^((FixedParams!$B$47-1)/FixedParams!$B$47)*EXP($C194)</f>
        <v>0.10923544759104484</v>
      </c>
      <c r="BI194" s="7"/>
      <c r="BJ194" s="24">
        <f>EXP(-$D$17)*(($B194*FixedParams!$B$30)^$B$10*(1+FixedParams!$C$24)^(1-$B$10)+(1-$B194)^$B$10*((1+FixedParams!$C$27)/$BK$12)^(1-$B$10))^(1/(1-$B$10))</f>
        <v>6.6158284621091061</v>
      </c>
      <c r="BK194" s="24">
        <f>EXP($D194-$D$17)*(($B194*FixedParams!$C$31)^$B$10*(1+FixedParams!$C$25)^(1-$B$10)+(1-$B194)^$B$10*((1+FixedParams!$C$28)/$BK$12)^(1-$B$10))^(1/(1-$B$10))</f>
        <v>7.0748180148767057</v>
      </c>
      <c r="BL194" s="24">
        <f>EXP($D194-$D$17)*(($B194*FixedParams!$C$30)^$B$10*(1+FixedParams!$C$23)^(1-$B$10)+(1-$B194)^$B$10*((1+FixedParams!$C$26)/$BK$12)^(1-$B$10))^(1/(1-$B$10))</f>
        <v>6.6239705522887489</v>
      </c>
      <c r="BM194">
        <f>IF(FixedParams!$I$6=1,IF(BK194&lt;=MIN(BJ194:BL194),1,0),$H194)</f>
        <v>0</v>
      </c>
      <c r="BN194">
        <f>IF(FixedParams!$I$6=1,IF(BL194&lt;=MIN(BJ194:BL194),1,0),IF(BL194&lt;=BJ194,1,0)*(1-$H194))</f>
        <v>0</v>
      </c>
      <c r="BO194" s="24">
        <f>$BK$13*IF(BM194=1,1,IF(BN194=1,FixedParams!$C$52,FixedParams!$C$53))</f>
        <v>0.4550367853045027</v>
      </c>
      <c r="BP194">
        <f>EXP($C194*FixedParams!$B$47)*EXP(IF(BM194+BN194=1,(1-FixedParams!$B$47)*$D194,0))*($B194^((FixedParams!$B$47-1)*$B$10/($B$10-1)))*((1/$B194-1)^$B$10*(BO194)^($B$10-1)+1)^((FixedParams!$B$47-$B$10)/($B$10-1))/((1+IF(BM194=1,FixedParams!$C$25,IF(BN194=1,FixedParams!$C$23,FixedParams!$C$24)))^FixedParams!$B$47)</f>
        <v>3.3261426325400918E-2</v>
      </c>
      <c r="BQ194">
        <f t="shared" si="124"/>
        <v>0.95685647169266574</v>
      </c>
      <c r="BR194">
        <f t="shared" si="125"/>
        <v>24.403819451195179</v>
      </c>
      <c r="BS194">
        <f t="shared" si="101"/>
        <v>11.020898147772881</v>
      </c>
      <c r="BT194">
        <f t="shared" si="126"/>
        <v>35.424717598968058</v>
      </c>
      <c r="BU194" s="24">
        <f t="shared" si="127"/>
        <v>0.45160546158823228</v>
      </c>
      <c r="BV194" s="24">
        <f t="shared" si="128"/>
        <v>2.1012280042407445</v>
      </c>
      <c r="BW194" s="23">
        <f>IF(BM194=1,BR194*(1+FixedParams!$C$25)+BS194*(1+FixedParams!$C$28)/$BK$12,IF(BN194=1,BR194*(1+FixedParams!$C$23)+BS194*(1+FixedParams!$C$26)/$BK$12,BR194*(1+FixedParams!$C$24)+BS194*(1+FixedParams!$C$27)/$BK$12))</f>
        <v>80.664419307583231</v>
      </c>
      <c r="BX194" s="24">
        <f t="shared" si="129"/>
        <v>12.192640690364522</v>
      </c>
      <c r="BY194" s="24">
        <f>BX194^((FixedParams!$B$47-1)/FixedParams!$B$47)*EXP($C194)</f>
        <v>0.1092483275814907</v>
      </c>
      <c r="BZ194" s="24">
        <f t="shared" si="130"/>
        <v>-0.17932527814221988</v>
      </c>
      <c r="CA194" s="24">
        <f t="shared" si="131"/>
        <v>-0.13356850409412233</v>
      </c>
      <c r="CB194" s="24">
        <f t="shared" si="132"/>
        <v>-0.11624004817471507</v>
      </c>
      <c r="CC194" s="24"/>
      <c r="CD194" s="24">
        <f>EXP(-$D$17)*(($B194*FixedParams!$B$30)^$B$10*(1+FixedParams!$D$24)^(1-$B$10)+(1-$B194)^$B$10*((1+FixedParams!$D$27)/$CE$12)^(1-$B$10))^(1/(1-$B$10))</f>
        <v>6.0408904832325145</v>
      </c>
      <c r="CE194" s="24">
        <f>EXP($D194-$D$17)*(($B194*FixedParams!$D$31)^$B$10*(1+FixedParams!$D$25)^(1-$B$10)+(1-$B194)^$B$10*((1+FixedParams!$D$28)/$CE$12)^(1-$B$10))^(1/(1-$B$10))</f>
        <v>6.7704450669911518</v>
      </c>
      <c r="CF194" s="24">
        <f>EXP($D194-$D$17)*(($B194*FixedParams!$D$30)^$B$10*(1+FixedParams!$D$23)^(1-$B$10)+(1-$B194)^$B$10*((1+FixedParams!$D$26)/$CE$12)^(1-$B$10))^(1/(1-$B$10))</f>
        <v>6.3991132417952281</v>
      </c>
      <c r="CG194">
        <f>IF(FixedParams!$I$6=1,IF(CE194&lt;=MIN(CD194:CF194),1,0),$H194)</f>
        <v>0</v>
      </c>
      <c r="CH194">
        <f>IF(FixedParams!$I$6=1,IF(CF194&lt;=MIN(CD194:CF194),1,0),IF(CF194&lt;=CD194,1,0)*(1-$H194))</f>
        <v>0</v>
      </c>
      <c r="CI194" s="24">
        <f>$CE$13*IF(CG194=1,1,IF(CH194=1,FixedParams!$D$52,FixedParams!$D$53))</f>
        <v>0.42008589776177102</v>
      </c>
      <c r="CJ194">
        <f>EXP($C194*FixedParams!$B$47)*EXP(IF(CG194+CH194=1,(1-FixedParams!$B$47)*$D194,0))*($B194^((FixedParams!$B$47-1)*$B$10/($B$10-1)))*((1/$B194-1)^$B$10*(CI194)^($B$10-1)+1)^((FixedParams!$B$47-$B$10)/($B$10-1))/((1+IF(CG194=1,FixedParams!$D$25,IF(CH194=1,FixedParams!$D$23,FixedParams!$D$24)))^FixedParams!$B$47)</f>
        <v>3.8641807032304909E-2</v>
      </c>
      <c r="CK194">
        <f t="shared" si="133"/>
        <v>1.017452697601356</v>
      </c>
      <c r="CL194">
        <f t="shared" si="135"/>
        <v>27.797094394926312</v>
      </c>
      <c r="CM194">
        <f t="shared" si="102"/>
        <v>11.135147683931073</v>
      </c>
      <c r="CN194">
        <f t="shared" si="136"/>
        <v>38.932242078857385</v>
      </c>
      <c r="CO194" s="24">
        <f t="shared" si="137"/>
        <v>0.40058674931015542</v>
      </c>
      <c r="CP194" s="24">
        <f t="shared" si="138"/>
        <v>1.9516423205142468</v>
      </c>
      <c r="CQ194" s="23">
        <f>IF(CG194=1,CL194*(1+FixedParams!$D$25)+CM194*(1+FixedParams!$D$28)/$CE$12,IF(CH194=1,CL194*(1+FixedParams!$D$23)+CM194*(1+FixedParams!$D$26)/$CE$12,CL194*(1+FixedParams!$D$24)+CM194*(1+FixedParams!$D$27)/$CE$12))</f>
        <v>79.080165306192441</v>
      </c>
      <c r="CR194" s="24">
        <f t="shared" si="139"/>
        <v>13.090812608785484</v>
      </c>
      <c r="CS194" s="24">
        <f>CR194^((FixedParams!$B$47-1)/FixedParams!$B$47)*EXP($C194)</f>
        <v>0.10924055492053428</v>
      </c>
      <c r="CT194" s="24"/>
    </row>
    <row r="195" spans="1:98" x14ac:dyDescent="0.15">
      <c r="A195">
        <v>0.89</v>
      </c>
      <c r="B195">
        <f t="shared" si="103"/>
        <v>0.43883314338528795</v>
      </c>
      <c r="C195">
        <f>(D195-$D$17)*FixedParams!$B$47+$A195*$B$9</f>
        <v>-2.2241234932232987</v>
      </c>
      <c r="D195">
        <f>(A195-$B$6)*FixedParams!$B$46/(FixedParams!$B$45*Sectors!$B$6)</f>
        <v>0.21190705765819517</v>
      </c>
      <c r="E195">
        <f t="shared" si="104"/>
        <v>0.1081621819838952</v>
      </c>
      <c r="F195" s="24">
        <f>EXP(-$D$17)*(($B195*FixedParams!$B$30)^$B$10*(1+FixedParams!$B$23)^(1-$B$10)+(1-$B195)^$B$10*((1+FixedParams!$B$26)/$B$11)^(1-$B$10))^(1/(1-$B$10))</f>
        <v>4.6095427752349893</v>
      </c>
      <c r="G195" s="24">
        <f>EXP($D195-$D$17)*(($B195*FixedParams!$B$31)^$B$10*(1+FixedParams!$B$25)^(1-$B$10)+(1-$B195)^$B$10*((1+FixedParams!$B$28)/$B$11)^(1-$B$10))^(1/(1-$B$10))</f>
        <v>5.4104454427153019</v>
      </c>
      <c r="H195">
        <f t="shared" si="105"/>
        <v>0</v>
      </c>
      <c r="I195" s="24">
        <f>$B$12*IF(H195=1,1,FixedParams!$B$52)</f>
        <v>0.39101505882574561</v>
      </c>
      <c r="J195">
        <f>EXP($C195*FixedParams!$B$47)*EXP(IF(H195=1,(1-FixedParams!$B$47)*$D195,0))*($B195^((FixedParams!$B$47-1)*$B$10/($B$10-1)))*((1/$B195-1)^$B$10*(I195)^($B$10-1)+1)^((FixedParams!$B$47-$B$10)/($B$10-1))/((1+IF(H195=1,FixedParams!$B$25,FixedParams!$B$24))^FixedParams!$B$47)</f>
        <v>5.2948103318258471E-2</v>
      </c>
      <c r="K195">
        <f t="shared" si="134"/>
        <v>1.067570496949672</v>
      </c>
      <c r="L195">
        <f>K195*FixedParams!$B$8/K$15</f>
        <v>31.037615210484198</v>
      </c>
      <c r="M195">
        <f t="shared" si="94"/>
        <v>10.974063226792492</v>
      </c>
      <c r="N195">
        <f t="shared" si="106"/>
        <v>42.011678437276686</v>
      </c>
      <c r="O195" s="24">
        <f t="shared" si="107"/>
        <v>0.35357301623758652</v>
      </c>
      <c r="P195" s="24">
        <f t="shared" si="95"/>
        <v>1.8024006394183001</v>
      </c>
      <c r="Q195" s="23">
        <f>IF(H195=1,L195*(1+FixedParams!$B$25)+M195*FixedParams!$B$33*(1+FixedParams!$B$28)/FixedParams!$B$32,L195*(1+FixedParams!$B$23)+M195*FixedParams!$B$33*(1+FixedParams!$B$26)/FixedParams!$B$32)</f>
        <v>63.62458637372761</v>
      </c>
      <c r="R195" s="24">
        <f t="shared" si="96"/>
        <v>13.802797690815245</v>
      </c>
      <c r="S195" s="24">
        <f>R195^((FixedParams!$B$47-1)/FixedParams!$B$47)*EXP($C195)</f>
        <v>0.1078783590158912</v>
      </c>
      <c r="T195" s="7">
        <f>(L195*FixedParams!$B$32*(FixedParams!$C$25-FixedParams!$C$23)+FixedParams!$B$33*(FixedParams!$C$28-FixedParams!$C$26)*M195)/N195</f>
        <v>3923.611360265314</v>
      </c>
      <c r="U195" s="7">
        <f>(L195*FixedParams!$B$32*(FixedParams!$C$25-FixedParams!$C$23)*$Z$12/$B$11+FixedParams!$B$33*(FixedParams!$C$28-FixedParams!$C$26)*M195)/N195</f>
        <v>3181.6244316798839</v>
      </c>
      <c r="V195" s="14">
        <f t="shared" si="97"/>
        <v>0.10065605655824078</v>
      </c>
      <c r="W195" s="14">
        <f t="shared" si="140"/>
        <v>0.95902833095523232</v>
      </c>
      <c r="X195" s="73">
        <f t="shared" si="109"/>
        <v>0.84572919159318116</v>
      </c>
      <c r="Y195" s="24">
        <f>EXP(-$D$17)*(($B195*FixedParams!$B$30)^$B$10*(1+FixedParams!$C$24)^(1-$B$10)+(1-$B195)^$B$10*((1+FixedParams!$C$27)/$Z$12)^(1-$B$10))^(1/(1-$B$10))</f>
        <v>6.4376428088210078</v>
      </c>
      <c r="Z195" s="24">
        <f>EXP($D195-$D$17)*(($B195*FixedParams!$C$31)^$B$10*(1+FixedParams!$C$25)^(1-$B$10)+(1-$B195)^$B$10*((1+FixedParams!$C$28)/$Z$12)^(1-$B$10))^(1/(1-$B$10))</f>
        <v>6.9043938730315952</v>
      </c>
      <c r="AA195" s="24">
        <f>EXP($D195-$D$17)*(($B195*FixedParams!$C$30)^$B$10*(1+FixedParams!$C$23)^(1-$B$10)+(1-$B195)^$B$10*((1+FixedParams!$C$26)/$Z$12)^(1-$B$10))^(1/(1-$B$10))</f>
        <v>6.4671830401183072</v>
      </c>
      <c r="AB195">
        <f>IF(FixedParams!$I$6=1,IF(Z195&lt;=MIN(Y195:AA195),1,0),$H195)</f>
        <v>0</v>
      </c>
      <c r="AC195">
        <f>IF(FixedParams!$I$6=1,IF(AA195&lt;=MIN(Y195:AA195),1,0),IF(AA195&lt;=Y195,1,0)*(1-$H195))</f>
        <v>0</v>
      </c>
      <c r="AD195" s="24">
        <f>$Z$13*IF(AB195=1,1,IF(AC195=1,FixedParams!$C$52,FixedParams!$C$53))</f>
        <v>0.47851548426682239</v>
      </c>
      <c r="AE195">
        <f>EXP($C195*FixedParams!$B$47)*EXP(IF(AB195+AC195=1,(1-FixedParams!$B$47)*$D195,0))*($B195^((FixedParams!$B$47-1)*$B$10/($B$10-1)))*((1/$B195-1)^$B$10*(AD195)^($B$10-1)+1)^((FixedParams!$B$47-$B$10)/($B$10-1))/((1+IF(AB195=1,FixedParams!$C$25,IF(AC195=1,FixedParams!$C$23,FixedParams!$C$24)))^FixedParams!$B$47)</f>
        <v>3.2718915252116586E-2</v>
      </c>
      <c r="AF195">
        <f t="shared" si="110"/>
        <v>0.96413419955395341</v>
      </c>
      <c r="AG195">
        <f t="shared" si="111"/>
        <v>22.646031799935557</v>
      </c>
      <c r="AH195">
        <f t="shared" si="98"/>
        <v>10.839892984805887</v>
      </c>
      <c r="AI195">
        <f t="shared" si="112"/>
        <v>33.485924784741442</v>
      </c>
      <c r="AJ195" s="24">
        <f t="shared" si="113"/>
        <v>0.47866633238750173</v>
      </c>
      <c r="AK195" s="24">
        <f t="shared" si="114"/>
        <v>2.15013292457204</v>
      </c>
      <c r="AL195" s="23">
        <f>IF(AB195=1,AG195*(1+FixedParams!$C$25)+AH195*(1+FixedParams!$C$28)/$Z$12,IF(AC195=1,AG195*(1+FixedParams!$C$23)+AH195*(1+FixedParams!$C$26)/$Z$12,AG195*(1+FixedParams!$C$24)+AH195*(1+FixedParams!$C$27)/$Z$12))</f>
        <v>75.149365823377551</v>
      </c>
      <c r="AM195" s="24">
        <f t="shared" si="115"/>
        <v>11.673428932777405</v>
      </c>
      <c r="AN195" s="24">
        <f>AM195^((FixedParams!$B$47-1)/FixedParams!$B$47)*EXP($C195)</f>
        <v>0.10789645430154909</v>
      </c>
      <c r="AO195" s="24">
        <f t="shared" si="116"/>
        <v>-0.22682244280126398</v>
      </c>
      <c r="AP195" s="24">
        <f t="shared" si="117"/>
        <v>-0.16755607512008103</v>
      </c>
      <c r="AQ195" s="14">
        <f t="shared" si="118"/>
        <v>-3.1519220132164084E-4</v>
      </c>
      <c r="AS195" s="24">
        <f>EXP(-$D$17)*(($B195*FixedParams!$B$30)^$B$10*(1+FixedParams!$D$24)^(1-$B$10)+(1-$B195)^$B$10*((1+FixedParams!$D$27)/$AT$12)^(1-$B$10))^(1/(1-$B$10))</f>
        <v>5.8885813422881341</v>
      </c>
      <c r="AT195" s="24">
        <f>EXP($D195-$D$17)*(($B195*FixedParams!$C$31)^$B$10*(1+FixedParams!$D$25)^(1-$B$10)+(1-$B195)^$B$10*((1+FixedParams!$D$28)/$AT$12)^(1-$B$10))^(1/(1-$B$10))</f>
        <v>6.6184095011248134</v>
      </c>
      <c r="AU195" s="24">
        <f>EXP($D195-$D$17)*(($B195*FixedParams!$C$30)^$B$10*(1+FixedParams!$D$23)^(1-$B$10)+(1-$B195)^$B$10*((1+FixedParams!$D$26)/$AT$12)^(1-$B$10))^(1/(1-$B$10))</f>
        <v>6.2571107611136902</v>
      </c>
      <c r="AV195">
        <f>IF(FixedParams!$I$6=1,IF(AT195&lt;=MIN(AS195:AU195),1,0),$H195)</f>
        <v>0</v>
      </c>
      <c r="AW195">
        <f>IF(FixedParams!$I$6=1,IF(AU195&lt;=MIN(AS195:AU195),1,0),IF(AU195&lt;=AS195,1,0)*(1-$H195))</f>
        <v>0</v>
      </c>
      <c r="AX195" s="24">
        <f>$AT$13*IF(AV195=1,1,IF(AW195=1,FixedParams!$D$52,FixedParams!$D$53))</f>
        <v>0.44031288407969205</v>
      </c>
      <c r="AY195">
        <f>EXP($C195*FixedParams!$B$47)*EXP(IF(AV195+AW195=1,(1-FixedParams!$B$47)*$D195,0))*($B195^((FixedParams!$B$47-1)*$B$10/($B$10-1)))*((1/$B195-1)^$B$10*(AX195)^($B$10-1)+1)^((FixedParams!$B$47-$B$10)/($B$10-1))/((1+IF(AV195=1,FixedParams!$D$25,IF(AW195=1,FixedParams!$D$23,FixedParams!$D$24)))^FixedParams!$B$47)</f>
        <v>3.8045190281160365E-2</v>
      </c>
      <c r="AZ195">
        <f t="shared" si="99"/>
        <v>1.0244649387302973</v>
      </c>
      <c r="BA195">
        <f t="shared" si="119"/>
        <v>25.775400843561769</v>
      </c>
      <c r="BB195">
        <f t="shared" si="100"/>
        <v>10.890213817212588</v>
      </c>
      <c r="BC195">
        <f t="shared" si="120"/>
        <v>36.665614660774359</v>
      </c>
      <c r="BD195" s="24">
        <f t="shared" si="121"/>
        <v>0.4225041497243201</v>
      </c>
      <c r="BE195" s="24">
        <f t="shared" si="122"/>
        <v>1.9940370999784012</v>
      </c>
      <c r="BF195" s="23">
        <f>IF(AV195=1,BA195*(1+FixedParams!$C$25)+BB195*(1+FixedParams!$C$28)/$AT$12,IF(AW195=1,BA195*(1+FixedParams!$C$23)+BB195*(1+FixedParams!$C$26)/$AT$12,BA195*(1+FixedParams!$C$24)+BB195*(1+FixedParams!$C$27)/$AT$12))</f>
        <v>79.998648926804918</v>
      </c>
      <c r="BG195" s="24">
        <f t="shared" si="123"/>
        <v>13.585385728189625</v>
      </c>
      <c r="BH195" s="24">
        <f>BG195^((FixedParams!$B$47-1)/FixedParams!$B$47)*EXP($C195)</f>
        <v>0.10788007349272573</v>
      </c>
      <c r="BI195" s="7"/>
      <c r="BJ195" s="24">
        <f>EXP(-$D$17)*(($B195*FixedParams!$B$30)^$B$10*(1+FixedParams!$C$24)^(1-$B$10)+(1-$B195)^$B$10*((1+FixedParams!$C$27)/$BK$12)^(1-$B$10))^(1/(1-$B$10))</f>
        <v>6.6006186299769576</v>
      </c>
      <c r="BK195" s="24">
        <f>EXP($D195-$D$17)*(($B195*FixedParams!$C$31)^$B$10*(1+FixedParams!$C$25)^(1-$B$10)+(1-$B195)^$B$10*((1+FixedParams!$C$28)/$BK$12)^(1-$B$10))^(1/(1-$B$10))</f>
        <v>7.0746235113319589</v>
      </c>
      <c r="BL195" s="24">
        <f>EXP($D195-$D$17)*(($B195*FixedParams!$C$30)^$B$10*(1+FixedParams!$C$23)^(1-$B$10)+(1-$B195)^$B$10*((1+FixedParams!$C$26)/$BK$12)^(1-$B$10))^(1/(1-$B$10))</f>
        <v>6.6175661331631845</v>
      </c>
      <c r="BM195">
        <f>IF(FixedParams!$I$6=1,IF(BK195&lt;=MIN(BJ195:BL195),1,0),$H195)</f>
        <v>0</v>
      </c>
      <c r="BN195">
        <f>IF(FixedParams!$I$6=1,IF(BL195&lt;=MIN(BJ195:BL195),1,0),IF(BL195&lt;=BJ195,1,0)*(1-$H195))</f>
        <v>0</v>
      </c>
      <c r="BO195" s="24">
        <f>$BK$13*IF(BM195=1,1,IF(BN195=1,FixedParams!$C$52,FixedParams!$C$53))</f>
        <v>0.4550367853045027</v>
      </c>
      <c r="BP195">
        <f>EXP($C195*FixedParams!$B$47)*EXP(IF(BM195+BN195=1,(1-FixedParams!$B$47)*$D195,0))*($B195^((FixedParams!$B$47-1)*$B$10/($B$10-1)))*((1/$B195-1)^$B$10*(BO195)^($B$10-1)+1)^((FixedParams!$B$47-$B$10)/($B$10-1))/((1+IF(BM195=1,FixedParams!$C$25,IF(BN195=1,FixedParams!$C$23,FixedParams!$C$24)))^FixedParams!$B$47)</f>
        <v>3.313131219816582E-2</v>
      </c>
      <c r="BQ195">
        <f t="shared" si="124"/>
        <v>0.95311338071738583</v>
      </c>
      <c r="BR195">
        <f t="shared" si="125"/>
        <v>24.308355064369703</v>
      </c>
      <c r="BS195">
        <f t="shared" si="101"/>
        <v>10.789820494483438</v>
      </c>
      <c r="BT195">
        <f t="shared" si="126"/>
        <v>35.098175558853143</v>
      </c>
      <c r="BU195" s="24">
        <f t="shared" si="127"/>
        <v>0.44387291801158368</v>
      </c>
      <c r="BV195" s="24">
        <f t="shared" si="128"/>
        <v>2.0963972675614437</v>
      </c>
      <c r="BW195" s="23">
        <f>IF(BM195=1,BR195*(1+FixedParams!$C$25)+BS195*(1+FixedParams!$C$28)/$BK$12,IF(BN195=1,BR195*(1+FixedParams!$C$23)+BS195*(1+FixedParams!$C$26)/$BK$12,BR195*(1+FixedParams!$C$24)+BS195*(1+FixedParams!$C$27)/$BK$12))</f>
        <v>79.663594112579034</v>
      </c>
      <c r="BX195" s="24">
        <f t="shared" si="129"/>
        <v>12.069110272601394</v>
      </c>
      <c r="BY195" s="24">
        <f>BX195^((FixedParams!$B$47-1)/FixedParams!$B$47)*EXP($C195)</f>
        <v>0.10789285413118656</v>
      </c>
      <c r="BZ195" s="24">
        <f t="shared" si="130"/>
        <v>-0.17979848692215114</v>
      </c>
      <c r="CA195" s="24">
        <f t="shared" si="131"/>
        <v>-0.13422198439385674</v>
      </c>
      <c r="CB195" s="24">
        <f t="shared" si="132"/>
        <v>-0.11689352847444949</v>
      </c>
      <c r="CC195" s="24"/>
      <c r="CD195" s="24">
        <f>EXP(-$D$17)*(($B195*FixedParams!$B$30)^$B$10*(1+FixedParams!$D$24)^(1-$B$10)+(1-$B195)^$B$10*((1+FixedParams!$D$27)/$CE$12)^(1-$B$10))^(1/(1-$B$10))</f>
        <v>6.0249238627170651</v>
      </c>
      <c r="CE195" s="24">
        <f>EXP($D195-$D$17)*(($B195*FixedParams!$D$31)^$B$10*(1+FixedParams!$D$25)^(1-$B$10)+(1-$B195)^$B$10*((1+FixedParams!$D$28)/$CE$12)^(1-$B$10))^(1/(1-$B$10))</f>
        <v>6.768901468515347</v>
      </c>
      <c r="CF195" s="24">
        <f>EXP($D195-$D$17)*(($B195*FixedParams!$D$30)^$B$10*(1+FixedParams!$D$23)^(1-$B$10)+(1-$B195)^$B$10*((1+FixedParams!$D$26)/$CE$12)^(1-$B$10))^(1/(1-$B$10))</f>
        <v>6.3928656698695665</v>
      </c>
      <c r="CG195">
        <f>IF(FixedParams!$I$6=1,IF(CE195&lt;=MIN(CD195:CF195),1,0),$H195)</f>
        <v>0</v>
      </c>
      <c r="CH195">
        <f>IF(FixedParams!$I$6=1,IF(CF195&lt;=MIN(CD195:CF195),1,0),IF(CF195&lt;=CD195,1,0)*(1-$H195))</f>
        <v>0</v>
      </c>
      <c r="CI195" s="24">
        <f>$CE$13*IF(CG195=1,1,IF(CH195=1,FixedParams!$D$52,FixedParams!$D$53))</f>
        <v>0.42008589776177102</v>
      </c>
      <c r="CJ195">
        <f>EXP($C195*FixedParams!$B$47)*EXP(IF(CG195+CH195=1,(1-FixedParams!$B$47)*$D195,0))*($B195^((FixedParams!$B$47-1)*$B$10/($B$10-1)))*((1/$B195-1)^$B$10*(CI195)^($B$10-1)+1)^((FixedParams!$B$47-$B$10)/($B$10-1))/((1+IF(CG195=1,FixedParams!$D$25,IF(CH195=1,FixedParams!$D$23,FixedParams!$D$24)))^FixedParams!$B$47)</f>
        <v>3.8483994479410887E-2</v>
      </c>
      <c r="CK195">
        <f t="shared" si="133"/>
        <v>1.0132974362409557</v>
      </c>
      <c r="CL195">
        <f t="shared" si="135"/>
        <v>27.683571483696198</v>
      </c>
      <c r="CM195">
        <f t="shared" si="102"/>
        <v>10.899790744666447</v>
      </c>
      <c r="CN195">
        <f t="shared" si="136"/>
        <v>38.583362228362645</v>
      </c>
      <c r="CO195" s="24">
        <f t="shared" si="137"/>
        <v>0.39372776562033213</v>
      </c>
      <c r="CP195" s="24">
        <f t="shared" si="138"/>
        <v>1.9464839531510185</v>
      </c>
      <c r="CQ195" s="23">
        <f>IF(CG195=1,CL195*(1+FixedParams!$D$25)+CM195*(1+FixedParams!$D$28)/$CE$12,IF(CH195=1,CL195*(1+FixedParams!$D$23)+CM195*(1+FixedParams!$D$26)/$CE$12,CL195*(1+FixedParams!$D$24)+CM195*(1+FixedParams!$D$27)/$CE$12))</f>
        <v>78.098969438461637</v>
      </c>
      <c r="CR195" s="24">
        <f t="shared" si="139"/>
        <v>12.962648361707476</v>
      </c>
      <c r="CS195" s="24">
        <f>CR195^((FixedParams!$B$47-1)/FixedParams!$B$47)*EXP($C195)</f>
        <v>0.10788514069420292</v>
      </c>
      <c r="CT195" s="24"/>
    </row>
    <row r="196" spans="1:98" x14ac:dyDescent="0.15">
      <c r="A196">
        <v>0.89500000000000002</v>
      </c>
      <c r="B196">
        <f t="shared" si="103"/>
        <v>0.44167047044108759</v>
      </c>
      <c r="C196">
        <f>(D196-$D$17)*FixedParams!$B$47+$A196*$B$9</f>
        <v>-2.2366185690279243</v>
      </c>
      <c r="D196">
        <f>(A196-$B$6)*FixedParams!$B$46/(FixedParams!$B$45*Sectors!$B$6)</f>
        <v>0.21462381480765921</v>
      </c>
      <c r="E196">
        <f t="shared" si="104"/>
        <v>0.10681909577707641</v>
      </c>
      <c r="F196" s="24">
        <f>EXP(-$D$17)*(($B196*FixedParams!$B$30)^$B$10*(1+FixedParams!$B$23)^(1-$B$10)+(1-$B196)^$B$10*((1+FixedParams!$B$26)/$B$11)^(1-$B$10))^(1/(1-$B$10))</f>
        <v>4.5957044934371423</v>
      </c>
      <c r="G196" s="24">
        <f>EXP($D196-$D$17)*(($B196*FixedParams!$B$31)^$B$10*(1+FixedParams!$B$25)^(1-$B$10)+(1-$B196)^$B$10*((1+FixedParams!$B$28)/$B$11)^(1-$B$10))^(1/(1-$B$10))</f>
        <v>5.407879124564122</v>
      </c>
      <c r="H196">
        <f t="shared" si="105"/>
        <v>0</v>
      </c>
      <c r="I196" s="24">
        <f>$B$12*IF(H196=1,1,FixedParams!$B$52)</f>
        <v>0.39101505882574561</v>
      </c>
      <c r="J196">
        <f>EXP($C196*FixedParams!$B$47)*EXP(IF(H196=1,(1-FixedParams!$B$47)*$D196,0))*($B196^((FixedParams!$B$47-1)*$B$10/($B$10-1)))*((1/$B196-1)^$B$10*(I196)^($B$10-1)+1)^((FixedParams!$B$47-$B$10)/($B$10-1))/((1+IF(H196=1,FixedParams!$B$25,FixedParams!$B$24))^FixedParams!$B$47)</f>
        <v>5.2719772027280586E-2</v>
      </c>
      <c r="K196">
        <f t="shared" si="134"/>
        <v>1.0629667484770735</v>
      </c>
      <c r="L196">
        <f>K196*FixedParams!$B$8/K$15</f>
        <v>30.903769835376291</v>
      </c>
      <c r="M196">
        <f t="shared" si="94"/>
        <v>10.739647739731442</v>
      </c>
      <c r="N196">
        <f t="shared" si="106"/>
        <v>41.643417575107733</v>
      </c>
      <c r="O196" s="24">
        <f t="shared" si="107"/>
        <v>0.34751901780725497</v>
      </c>
      <c r="P196" s="24">
        <f t="shared" si="95"/>
        <v>1.7969896628470676</v>
      </c>
      <c r="Q196" s="23">
        <f>IF(H196=1,L196*(1+FixedParams!$B$25)+M196*FixedParams!$B$33*(1+FixedParams!$B$28)/FixedParams!$B$32,L196*(1+FixedParams!$B$23)+M196*FixedParams!$B$33*(1+FixedParams!$B$26)/FixedParams!$B$32)</f>
        <v>62.83513468330667</v>
      </c>
      <c r="R196" s="24">
        <f t="shared" si="96"/>
        <v>13.672579421291744</v>
      </c>
      <c r="S196" s="24">
        <f>R196^((FixedParams!$B$47-1)/FixedParams!$B$47)*EXP($C196)</f>
        <v>0.1065398080289397</v>
      </c>
      <c r="T196" s="7">
        <f>(L196*FixedParams!$B$32*(FixedParams!$C$25-FixedParams!$C$23)+FixedParams!$B$33*(FixedParams!$C$28-FixedParams!$C$26)*M196)/N196</f>
        <v>3961.266810041896</v>
      </c>
      <c r="U196" s="7">
        <f>(L196*FixedParams!$B$32*(FixedParams!$C$25-FixedParams!$C$23)*$Z$12/$B$11+FixedParams!$B$33*(FixedParams!$C$28-FixedParams!$C$26)*M196)/N196</f>
        <v>3215.9463569261079</v>
      </c>
      <c r="V196" s="14">
        <f t="shared" si="97"/>
        <v>0.11792668185432437</v>
      </c>
      <c r="W196" s="14">
        <f t="shared" si="140"/>
        <v>0.96107085196360353</v>
      </c>
      <c r="X196" s="73">
        <f t="shared" si="109"/>
        <v>0.84499363924115423</v>
      </c>
      <c r="Y196" s="24">
        <f>EXP(-$D$17)*(($B196*FixedParams!$B$30)^$B$10*(1+FixedParams!$C$24)^(1-$B$10)+(1-$B196)^$B$10*((1+FixedParams!$C$27)/$Z$12)^(1-$B$10))^(1/(1-$B$10))</f>
        <v>6.4239090269553802</v>
      </c>
      <c r="Z196" s="24">
        <f>EXP($D196-$D$17)*(($B196*FixedParams!$C$31)^$B$10*(1+FixedParams!$C$25)^(1-$B$10)+(1-$B196)^$B$10*((1+FixedParams!$C$28)/$Z$12)^(1-$B$10))^(1/(1-$B$10))</f>
        <v>6.9053499202057633</v>
      </c>
      <c r="AA196" s="24">
        <f>EXP($D196-$D$17)*(($B196*FixedParams!$C$30)^$B$10*(1+FixedParams!$C$23)^(1-$B$10)+(1-$B196)^$B$10*((1+FixedParams!$C$26)/$Z$12)^(1-$B$10))^(1/(1-$B$10))</f>
        <v>6.4619996839946321</v>
      </c>
      <c r="AB196">
        <f>IF(FixedParams!$I$6=1,IF(Z196&lt;=MIN(Y196:AA196),1,0),$H196)</f>
        <v>0</v>
      </c>
      <c r="AC196">
        <f>IF(FixedParams!$I$6=1,IF(AA196&lt;=MIN(Y196:AA196),1,0),IF(AA196&lt;=Y196,1,0)*(1-$H196))</f>
        <v>0</v>
      </c>
      <c r="AD196" s="24">
        <f>$Z$13*IF(AB196=1,1,IF(AC196=1,FixedParams!$C$52,FixedParams!$C$53))</f>
        <v>0.47851548426682239</v>
      </c>
      <c r="AE196">
        <f>EXP($C196*FixedParams!$B$47)*EXP(IF(AB196+AC196=1,(1-FixedParams!$B$47)*$D196,0))*($B196^((FixedParams!$B$47-1)*$B$10/($B$10-1)))*((1/$B196-1)^$B$10*(AD196)^($B$10-1)+1)^((FixedParams!$B$47-$B$10)/($B$10-1))/((1+IF(AB196=1,FixedParams!$C$25,IF(AC196=1,FixedParams!$C$23,FixedParams!$C$24)))^FixedParams!$B$47)</f>
        <v>3.2592038215889359E-2</v>
      </c>
      <c r="AF196">
        <f t="shared" si="110"/>
        <v>0.96039549095612475</v>
      </c>
      <c r="AG196">
        <f t="shared" si="111"/>
        <v>22.558215276223098</v>
      </c>
      <c r="AH196">
        <f t="shared" si="98"/>
        <v>10.612973541092789</v>
      </c>
      <c r="AI196">
        <f t="shared" si="112"/>
        <v>33.171188817315887</v>
      </c>
      <c r="AJ196" s="24">
        <f t="shared" si="113"/>
        <v>0.47047044330138643</v>
      </c>
      <c r="AK196" s="24">
        <f t="shared" si="114"/>
        <v>2.1455459262801009</v>
      </c>
      <c r="AL196" s="23">
        <f>IF(AB196=1,AG196*(1+FixedParams!$C$25)+AH196*(1+FixedParams!$C$28)/$Z$12,IF(AC196=1,AG196*(1+FixedParams!$C$23)+AH196*(1+FixedParams!$C$26)/$Z$12,AG196*(1+FixedParams!$C$24)+AH196*(1+FixedParams!$C$27)/$Z$12))</f>
        <v>74.216979705044352</v>
      </c>
      <c r="AM196" s="24">
        <f t="shared" si="115"/>
        <v>11.553242643011025</v>
      </c>
      <c r="AN196" s="24">
        <f>AM196^((FixedParams!$B$47-1)/FixedParams!$B$47)*EXP($C196)</f>
        <v>0.10655777159803068</v>
      </c>
      <c r="AO196" s="24">
        <f t="shared" si="116"/>
        <v>-0.22746162225614905</v>
      </c>
      <c r="AP196" s="24">
        <f t="shared" si="117"/>
        <v>-0.16842617917855643</v>
      </c>
      <c r="AQ196" s="14">
        <f t="shared" si="118"/>
        <v>1.6955433094761867E-2</v>
      </c>
      <c r="AS196" s="24">
        <f>EXP(-$D$17)*(($B196*FixedParams!$B$30)^$B$10*(1+FixedParams!$D$24)^(1-$B$10)+(1-$B196)^$B$10*((1+FixedParams!$D$27)/$AT$12)^(1-$B$10))^(1/(1-$B$10))</f>
        <v>5.8739089069172605</v>
      </c>
      <c r="AT196" s="24">
        <f>EXP($D196-$D$17)*(($B196*FixedParams!$C$31)^$B$10*(1+FixedParams!$D$25)^(1-$B$10)+(1-$B196)^$B$10*((1+FixedParams!$D$28)/$AT$12)^(1-$B$10))^(1/(1-$B$10))</f>
        <v>6.617904684028173</v>
      </c>
      <c r="AU196" s="24">
        <f>EXP($D196-$D$17)*(($B196*FixedParams!$C$30)^$B$10*(1+FixedParams!$D$23)^(1-$B$10)+(1-$B196)^$B$10*((1+FixedParams!$D$26)/$AT$12)^(1-$B$10))^(1/(1-$B$10))</f>
        <v>6.2519485086805275</v>
      </c>
      <c r="AV196">
        <f>IF(FixedParams!$I$6=1,IF(AT196&lt;=MIN(AS196:AU196),1,0),$H196)</f>
        <v>0</v>
      </c>
      <c r="AW196">
        <f>IF(FixedParams!$I$6=1,IF(AU196&lt;=MIN(AS196:AU196),1,0),IF(AU196&lt;=AS196,1,0)*(1-$H196))</f>
        <v>0</v>
      </c>
      <c r="AX196" s="24">
        <f>$AT$13*IF(AV196=1,1,IF(AW196=1,FixedParams!$D$52,FixedParams!$D$53))</f>
        <v>0.44031288407969205</v>
      </c>
      <c r="AY196">
        <f>EXP($C196*FixedParams!$B$47)*EXP(IF(AV196+AW196=1,(1-FixedParams!$B$47)*$D196,0))*($B196^((FixedParams!$B$47-1)*$B$10/($B$10-1)))*((1/$B196-1)^$B$10*(AX196)^($B$10-1)+1)^((FixedParams!$B$47-$B$10)/($B$10-1))/((1+IF(AV196=1,FixedParams!$D$25,IF(AW196=1,FixedParams!$D$23,FixedParams!$D$24)))^FixedParams!$B$47)</f>
        <v>3.7890840595019813E-2</v>
      </c>
      <c r="AZ196">
        <f t="shared" si="99"/>
        <v>1.0203086750715682</v>
      </c>
      <c r="BA196">
        <f t="shared" si="119"/>
        <v>25.670829805778819</v>
      </c>
      <c r="BB196">
        <f t="shared" si="100"/>
        <v>10.660322638560675</v>
      </c>
      <c r="BC196">
        <f t="shared" si="120"/>
        <v>36.331152444339494</v>
      </c>
      <c r="BD196" s="24">
        <f t="shared" si="121"/>
        <v>0.4152698887887491</v>
      </c>
      <c r="BE196" s="24">
        <f t="shared" si="122"/>
        <v>1.9890686060787843</v>
      </c>
      <c r="BF196" s="23">
        <f>IF(AV196=1,BA196*(1+FixedParams!$C$25)+BB196*(1+FixedParams!$C$28)/$AT$12,IF(AW196=1,BA196*(1+FixedParams!$C$23)+BB196*(1+FixedParams!$C$26)/$AT$12,BA196*(1+FixedParams!$C$24)+BB196*(1+FixedParams!$C$27)/$AT$12))</f>
        <v>79.039071746665485</v>
      </c>
      <c r="BG196" s="24">
        <f t="shared" si="123"/>
        <v>13.455958033940076</v>
      </c>
      <c r="BH196" s="24">
        <f>BG196^((FixedParams!$B$47-1)/FixedParams!$B$47)*EXP($C196)</f>
        <v>0.10654151122275468</v>
      </c>
      <c r="BI196" s="7"/>
      <c r="BJ196" s="24">
        <f>EXP(-$D$17)*(($B196*FixedParams!$B$30)^$B$10*(1+FixedParams!$C$24)^(1-$B$10)+(1-$B196)^$B$10*((1+FixedParams!$C$27)/$BK$12)^(1-$B$10))^(1/(1-$B$10))</f>
        <v>6.5851067571429924</v>
      </c>
      <c r="BK196" s="24">
        <f>EXP($D196-$D$17)*(($B196*FixedParams!$C$31)^$B$10*(1+FixedParams!$C$25)^(1-$B$10)+(1-$B196)^$B$10*((1+FixedParams!$C$28)/$BK$12)^(1-$B$10))^(1/(1-$B$10))</f>
        <v>7.0740683452206836</v>
      </c>
      <c r="BL196" s="24">
        <f>EXP($D196-$D$17)*(($B196*FixedParams!$C$30)^$B$10*(1+FixedParams!$C$23)^(1-$B$10)+(1-$B196)^$B$10*((1+FixedParams!$C$26)/$BK$12)^(1-$B$10))^(1/(1-$B$10))</f>
        <v>6.6108378521157434</v>
      </c>
      <c r="BM196">
        <f>IF(FixedParams!$I$6=1,IF(BK196&lt;=MIN(BJ196:BL196),1,0),$H196)</f>
        <v>0</v>
      </c>
      <c r="BN196">
        <f>IF(FixedParams!$I$6=1,IF(BL196&lt;=MIN(BJ196:BL196),1,0),IF(BL196&lt;=BJ196,1,0)*(1-$H196))</f>
        <v>0</v>
      </c>
      <c r="BO196" s="24">
        <f>$BK$13*IF(BM196=1,1,IF(BN196=1,FixedParams!$C$52,FixedParams!$C$53))</f>
        <v>0.4550367853045027</v>
      </c>
      <c r="BP196">
        <f>EXP($C196*FixedParams!$B$47)*EXP(IF(BM196+BN196=1,(1-FixedParams!$B$47)*$D196,0))*($B196^((FixedParams!$B$47-1)*$B$10/($B$10-1)))*((1/$B196-1)^$B$10*(BO196)^($B$10-1)+1)^((FixedParams!$B$47-$B$10)/($B$10-1))/((1+IF(BM196=1,FixedParams!$C$25,IF(BN196=1,FixedParams!$C$23,FixedParams!$C$24)))^FixedParams!$B$47)</f>
        <v>3.299924498068918E-2</v>
      </c>
      <c r="BQ196">
        <f t="shared" si="124"/>
        <v>0.94931410372593394</v>
      </c>
      <c r="BR196">
        <f t="shared" si="125"/>
        <v>24.211457700462599</v>
      </c>
      <c r="BS196">
        <f t="shared" si="101"/>
        <v>10.562799806244806</v>
      </c>
      <c r="BT196">
        <f t="shared" si="126"/>
        <v>34.774257506707407</v>
      </c>
      <c r="BU196" s="24">
        <f t="shared" si="127"/>
        <v>0.43627277369767731</v>
      </c>
      <c r="BV196" s="24">
        <f t="shared" si="128"/>
        <v>2.091470600888687</v>
      </c>
      <c r="BW196" s="23">
        <f>IF(BM196=1,BR196*(1+FixedParams!$C$25)+BS196*(1+FixedParams!$C$28)/$BK$12,IF(BN196=1,BR196*(1+FixedParams!$C$23)+BS196*(1+FixedParams!$C$26)/$BK$12,BR196*(1+FixedParams!$C$24)+BS196*(1+FixedParams!$C$27)/$BK$12))</f>
        <v>78.67518239927783</v>
      </c>
      <c r="BX196" s="24">
        <f t="shared" si="129"/>
        <v>11.94744220569201</v>
      </c>
      <c r="BY196" s="24">
        <f>BX196^((FixedParams!$B$47-1)/FixedParams!$B$47)*EXP($C196)</f>
        <v>0.10655419295235426</v>
      </c>
      <c r="BZ196" s="24">
        <f t="shared" si="130"/>
        <v>-0.18026592848021872</v>
      </c>
      <c r="CA196" s="24">
        <f t="shared" si="131"/>
        <v>-0.13487511095385665</v>
      </c>
      <c r="CB196" s="24">
        <f t="shared" si="132"/>
        <v>-0.1175466550344494</v>
      </c>
      <c r="CC196" s="24"/>
      <c r="CD196" s="24">
        <f>EXP(-$D$17)*(($B196*FixedParams!$B$30)^$B$10*(1+FixedParams!$D$24)^(1-$B$10)+(1-$B196)^$B$10*((1+FixedParams!$D$27)/$CE$12)^(1-$B$10))^(1/(1-$B$10))</f>
        <v>6.0086927363758296</v>
      </c>
      <c r="CE196" s="24">
        <f>EXP($D196-$D$17)*(($B196*FixedParams!$D$31)^$B$10*(1+FixedParams!$D$25)^(1-$B$10)+(1-$B196)^$B$10*((1+FixedParams!$D$28)/$CE$12)^(1-$B$10))^(1/(1-$B$10))</f>
        <v>6.7670142362118675</v>
      </c>
      <c r="CF196" s="24">
        <f>EXP($D196-$D$17)*(($B196*FixedParams!$D$30)^$B$10*(1+FixedParams!$D$23)^(1-$B$10)+(1-$B196)^$B$10*((1+FixedParams!$D$26)/$CE$12)^(1-$B$10))^(1/(1-$B$10))</f>
        <v>6.3863054503286669</v>
      </c>
      <c r="CG196">
        <f>IF(FixedParams!$I$6=1,IF(CE196&lt;=MIN(CD196:CF196),1,0),$H196)</f>
        <v>0</v>
      </c>
      <c r="CH196">
        <f>IF(FixedParams!$I$6=1,IF(CF196&lt;=MIN(CD196:CF196),1,0),IF(CF196&lt;=CD196,1,0)*(1-$H196))</f>
        <v>0</v>
      </c>
      <c r="CI196" s="24">
        <f>$CE$13*IF(CG196=1,1,IF(CH196=1,FixedParams!$D$52,FixedParams!$D$53))</f>
        <v>0.42008589776177102</v>
      </c>
      <c r="CJ196">
        <f>EXP($C196*FixedParams!$B$47)*EXP(IF(CG196+CH196=1,(1-FixedParams!$B$47)*$D196,0))*($B196^((FixedParams!$B$47-1)*$B$10/($B$10-1)))*((1/$B196-1)^$B$10*(CI196)^($B$10-1)+1)^((FixedParams!$B$47-$B$10)/($B$10-1))/((1+IF(CG196=1,FixedParams!$D$25,IF(CH196=1,FixedParams!$D$23,FixedParams!$D$24)))^FixedParams!$B$47)</f>
        <v>3.832396963544607E-2</v>
      </c>
      <c r="CK196">
        <f t="shared" si="133"/>
        <v>1.0090839244598135</v>
      </c>
      <c r="CL196">
        <f t="shared" si="135"/>
        <v>27.568457154557692</v>
      </c>
      <c r="CM196">
        <f t="shared" si="102"/>
        <v>10.668613130270494</v>
      </c>
      <c r="CN196">
        <f t="shared" si="136"/>
        <v>38.237070284828185</v>
      </c>
      <c r="CO196" s="24">
        <f t="shared" si="137"/>
        <v>0.3869862238013102</v>
      </c>
      <c r="CP196" s="24">
        <f t="shared" si="138"/>
        <v>1.9412401313725747</v>
      </c>
      <c r="CQ196" s="23">
        <f>IF(CG196=1,CL196*(1+FixedParams!$D$25)+CM196*(1+FixedParams!$D$28)/$CE$12,IF(CH196=1,CL196*(1+FixedParams!$D$23)+CM196*(1+FixedParams!$D$26)/$CE$12,CL196*(1+FixedParams!$D$24)+CM196*(1+FixedParams!$D$27)/$CE$12))</f>
        <v>77.129943929701</v>
      </c>
      <c r="CR196" s="24">
        <f t="shared" si="139"/>
        <v>12.836393424274558</v>
      </c>
      <c r="CS196" s="24">
        <f>CR196^((FixedParams!$B$47-1)/FixedParams!$B$47)*EXP($C196)</f>
        <v>0.10654653848087553</v>
      </c>
      <c r="CT196" s="24"/>
    </row>
    <row r="197" spans="1:98" x14ac:dyDescent="0.15">
      <c r="A197">
        <v>0.9</v>
      </c>
      <c r="B197">
        <f t="shared" si="103"/>
        <v>0.44451161106613785</v>
      </c>
      <c r="C197">
        <f>(D197-$D$17)*FixedParams!$B$47+$A197*$B$9</f>
        <v>-2.2491136448325495</v>
      </c>
      <c r="D197">
        <f>(A197-$B$6)*FixedParams!$B$46/(FixedParams!$B$45*Sectors!$B$6)</f>
        <v>0.21734057195712325</v>
      </c>
      <c r="E197">
        <f t="shared" si="104"/>
        <v>0.10549268712359341</v>
      </c>
      <c r="F197" s="24">
        <f>EXP(-$D$17)*(($B197*FixedParams!$B$30)^$B$10*(1+FixedParams!$B$23)^(1-$B$10)+(1-$B197)^$B$10*((1+FixedParams!$B$26)/$B$11)^(1-$B$10))^(1/(1-$B$10))</f>
        <v>4.5816761600319573</v>
      </c>
      <c r="G197" s="24">
        <f>EXP($D197-$D$17)*(($B197*FixedParams!$B$31)^$B$10*(1+FixedParams!$B$25)^(1-$B$10)+(1-$B197)^$B$10*((1+FixedParams!$B$28)/$B$11)^(1-$B$10))^(1/(1-$B$10))</f>
        <v>5.4050419148661586</v>
      </c>
      <c r="H197">
        <f t="shared" si="105"/>
        <v>0</v>
      </c>
      <c r="I197" s="24">
        <f>$B$12*IF(H197=1,1,FixedParams!$B$52)</f>
        <v>0.39101505882574561</v>
      </c>
      <c r="J197">
        <f>EXP($C197*FixedParams!$B$47)*EXP(IF(H197=1,(1-FixedParams!$B$47)*$D197,0))*($B197^((FixedParams!$B$47-1)*$B$10/($B$10-1)))*((1/$B197-1)^$B$10*(I197)^($B$10-1)+1)^((FixedParams!$B$47-$B$10)/($B$10-1))/((1+IF(H197=1,FixedParams!$B$25,FixedParams!$B$24))^FixedParams!$B$47)</f>
        <v>5.2488522212098106E-2</v>
      </c>
      <c r="K197">
        <f t="shared" si="134"/>
        <v>1.0583041550196655</v>
      </c>
      <c r="L197">
        <f>K197*FixedParams!$B$8/K$15</f>
        <v>30.768213652409969</v>
      </c>
      <c r="M197">
        <f t="shared" si="94"/>
        <v>10.509458062108086</v>
      </c>
      <c r="N197">
        <f t="shared" si="106"/>
        <v>41.277671714518057</v>
      </c>
      <c r="O197" s="24">
        <f t="shared" si="107"/>
        <v>0.34156867801406848</v>
      </c>
      <c r="P197" s="24">
        <f t="shared" si="95"/>
        <v>1.7915043732354121</v>
      </c>
      <c r="Q197" s="23">
        <f>IF(H197=1,L197*(1+FixedParams!$B$25)+M197*FixedParams!$B$33*(1+FixedParams!$B$28)/FixedParams!$B$32,L197*(1+FixedParams!$B$23)+M197*FixedParams!$B$33*(1+FixedParams!$B$26)/FixedParams!$B$32)</f>
        <v>62.055475345731864</v>
      </c>
      <c r="R197" s="24">
        <f t="shared" si="96"/>
        <v>13.544273575480949</v>
      </c>
      <c r="S197" s="24">
        <f>R197^((FixedParams!$B$47-1)/FixedParams!$B$47)*EXP($C197)</f>
        <v>0.10521786041838962</v>
      </c>
      <c r="T197" s="7">
        <f>(L197*FixedParams!$B$32*(FixedParams!$C$25-FixedParams!$C$23)+FixedParams!$B$33*(FixedParams!$C$28-FixedParams!$C$26)*M197)/N197</f>
        <v>3998.6086815355025</v>
      </c>
      <c r="U197" s="7">
        <f>(L197*FixedParams!$B$32*(FixedParams!$C$25-FixedParams!$C$23)*$Z$12/$B$11+FixedParams!$B$33*(FixedParams!$C$28-FixedParams!$C$26)*M197)/N197</f>
        <v>3249.9824640384118</v>
      </c>
      <c r="V197" s="14">
        <f t="shared" si="97"/>
        <v>0.1351973071504079</v>
      </c>
      <c r="W197" s="14">
        <f t="shared" si="140"/>
        <v>0.96309543391587704</v>
      </c>
      <c r="X197" s="73">
        <f t="shared" si="109"/>
        <v>0.84425915385721717</v>
      </c>
      <c r="Y197" s="24">
        <f>EXP(-$D$17)*(($B197*FixedParams!$B$30)^$B$10*(1+FixedParams!$C$24)^(1-$B$10)+(1-$B197)^$B$10*((1+FixedParams!$C$27)/$Z$12)^(1-$B$10))^(1/(1-$B$10))</f>
        <v>6.4098772892949585</v>
      </c>
      <c r="Z197" s="24">
        <f>EXP($D197-$D$17)*(($B197*FixedParams!$C$31)^$B$10*(1+FixedParams!$C$25)^(1-$B$10)+(1-$B197)^$B$10*((1+FixedParams!$C$28)/$Z$12)^(1-$B$10))^(1/(1-$B$10))</f>
        <v>6.9059546417197852</v>
      </c>
      <c r="AA197" s="24">
        <f>EXP($D197-$D$17)*(($B197*FixedParams!$C$30)^$B$10*(1+FixedParams!$C$23)^(1-$B$10)+(1-$B197)^$B$10*((1+FixedParams!$C$26)/$Z$12)^(1-$B$10))^(1/(1-$B$10))</f>
        <v>6.4564983231302389</v>
      </c>
      <c r="AB197">
        <f>IF(FixedParams!$I$6=1,IF(Z197&lt;=MIN(Y197:AA197),1,0),$H197)</f>
        <v>0</v>
      </c>
      <c r="AC197">
        <f>IF(FixedParams!$I$6=1,IF(AA197&lt;=MIN(Y197:AA197),1,0),IF(AA197&lt;=Y197,1,0)*(1-$H197))</f>
        <v>0</v>
      </c>
      <c r="AD197" s="24">
        <f>$Z$13*IF(AB197=1,1,IF(AC197=1,FixedParams!$C$52,FixedParams!$C$53))</f>
        <v>0.47851548426682239</v>
      </c>
      <c r="AE197">
        <f>EXP($C197*FixedParams!$B$47)*EXP(IF(AB197+AC197=1,(1-FixedParams!$B$47)*$D197,0))*($B197^((FixedParams!$B$47-1)*$B$10/($B$10-1)))*((1/$B197-1)^$B$10*(AD197)^($B$10-1)+1)^((FixedParams!$B$47-$B$10)/($B$10-1))/((1+IF(AB197=1,FixedParams!$C$25,IF(AC197=1,FixedParams!$C$23,FixedParams!$C$24)))^FixedParams!$B$47)</f>
        <v>3.2463230899832864E-2</v>
      </c>
      <c r="AF197">
        <f t="shared" si="110"/>
        <v>0.95659990245308624</v>
      </c>
      <c r="AG197">
        <f t="shared" si="111"/>
        <v>22.469062730883408</v>
      </c>
      <c r="AH197">
        <f t="shared" si="98"/>
        <v>10.390029104567272</v>
      </c>
      <c r="AI197">
        <f t="shared" si="112"/>
        <v>32.859091835450684</v>
      </c>
      <c r="AJ197" s="24">
        <f t="shared" si="113"/>
        <v>0.46241488703871592</v>
      </c>
      <c r="AK197" s="24">
        <f t="shared" si="114"/>
        <v>2.1408594125935556</v>
      </c>
      <c r="AL197" s="23">
        <f>IF(AB197=1,AG197*(1+FixedParams!$C$25)+AH197*(1+FixedParams!$C$28)/$Z$12,IF(AC197=1,AG197*(1+FixedParams!$C$23)+AH197*(1+FixedParams!$C$26)/$Z$12,AG197*(1+FixedParams!$C$24)+AH197*(1+FixedParams!$C$27)/$Z$12))</f>
        <v>73.296158057727808</v>
      </c>
      <c r="AM197" s="24">
        <f t="shared" si="115"/>
        <v>11.434876948446211</v>
      </c>
      <c r="AN197" s="24">
        <f>AM197^((FixedParams!$B$47-1)/FixedParams!$B$47)*EXP($C197)</f>
        <v>0.1052356926995463</v>
      </c>
      <c r="AO197" s="24">
        <f t="shared" si="116"/>
        <v>-0.22809324247823573</v>
      </c>
      <c r="AP197" s="24">
        <f t="shared" si="117"/>
        <v>-0.1692957771845183</v>
      </c>
      <c r="AQ197" s="14">
        <f t="shared" si="118"/>
        <v>3.4226058390845568E-2</v>
      </c>
      <c r="AS197" s="24">
        <f>EXP(-$D$17)*(($B197*FixedParams!$B$30)^$B$10*(1+FixedParams!$D$24)^(1-$B$10)+(1-$B197)^$B$10*((1+FixedParams!$D$27)/$AT$12)^(1-$B$10))^(1/(1-$B$10))</f>
        <v>5.8589745876885315</v>
      </c>
      <c r="AT197" s="24">
        <f>EXP($D197-$D$17)*(($B197*FixedParams!$C$31)^$B$10*(1+FixedParams!$D$25)^(1-$B$10)+(1-$B197)^$B$10*((1+FixedParams!$D$28)/$AT$12)^(1-$B$10))^(1/(1-$B$10))</f>
        <v>6.6170641387468976</v>
      </c>
      <c r="AU197" s="24">
        <f>EXP($D197-$D$17)*(($B197*FixedParams!$C$30)^$B$10*(1+FixedParams!$D$23)^(1-$B$10)+(1-$B197)^$B$10*((1+FixedParams!$D$26)/$AT$12)^(1-$B$10))^(1/(1-$B$10))</f>
        <v>6.2464790618997217</v>
      </c>
      <c r="AV197">
        <f>IF(FixedParams!$I$6=1,IF(AT197&lt;=MIN(AS197:AU197),1,0),$H197)</f>
        <v>0</v>
      </c>
      <c r="AW197">
        <f>IF(FixedParams!$I$6=1,IF(AU197&lt;=MIN(AS197:AU197),1,0),IF(AU197&lt;=AS197,1,0)*(1-$H197))</f>
        <v>0</v>
      </c>
      <c r="AX197" s="24">
        <f>$AT$13*IF(AV197=1,1,IF(AW197=1,FixedParams!$D$52,FixedParams!$D$53))</f>
        <v>0.44031288407969205</v>
      </c>
      <c r="AY197">
        <f>EXP($C197*FixedParams!$B$47)*EXP(IF(AV197+AW197=1,(1-FixedParams!$B$47)*$D197,0))*($B197^((FixedParams!$B$47-1)*$B$10/($B$10-1)))*((1/$B197-1)^$B$10*(AX197)^($B$10-1)+1)^((FixedParams!$B$47-$B$10)/($B$10-1))/((1+IF(AV197=1,FixedParams!$D$25,IF(AW197=1,FixedParams!$D$23,FixedParams!$D$24)))^FixedParams!$B$47)</f>
        <v>3.7734303730458732E-2</v>
      </c>
      <c r="AZ197">
        <f t="shared" si="99"/>
        <v>1.0160935159890019</v>
      </c>
      <c r="BA197">
        <f t="shared" si="119"/>
        <v>25.564776967008971</v>
      </c>
      <c r="BB197">
        <f t="shared" si="100"/>
        <v>10.434506465581254</v>
      </c>
      <c r="BC197">
        <f t="shared" si="120"/>
        <v>35.999283432590225</v>
      </c>
      <c r="BD197" s="24">
        <f t="shared" si="121"/>
        <v>0.40815949534967022</v>
      </c>
      <c r="BE197" s="24">
        <f t="shared" si="122"/>
        <v>1.9840114310354255</v>
      </c>
      <c r="BF197" s="23">
        <f>IF(AV197=1,BA197*(1+FixedParams!$C$25)+BB197*(1+FixedParams!$C$28)/$AT$12,IF(AW197=1,BA197*(1+FixedParams!$C$23)+BB197*(1+FixedParams!$C$26)/$AT$12,BA197*(1+FixedParams!$C$24)+BB197*(1+FixedParams!$C$27)/$AT$12))</f>
        <v>78.090970550875966</v>
      </c>
      <c r="BG197" s="24">
        <f t="shared" si="123"/>
        <v>13.32843646650535</v>
      </c>
      <c r="BH197" s="24">
        <f>BG197^((FixedParams!$B$47-1)/FixedParams!$B$47)*EXP($C197)</f>
        <v>0.10521955234473772</v>
      </c>
      <c r="BI197" s="7"/>
      <c r="BJ197" s="24">
        <f>EXP(-$D$17)*(($B197*FixedParams!$B$30)^$B$10*(1+FixedParams!$C$24)^(1-$B$10)+(1-$B197)^$B$10*((1+FixedParams!$C$27)/$BK$12)^(1-$B$10))^(1/(1-$B$10))</f>
        <v>6.5692963080553062</v>
      </c>
      <c r="BK197" s="24">
        <f>EXP($D197-$D$17)*(($B197*FixedParams!$C$31)^$B$10*(1+FixedParams!$C$25)^(1-$B$10)+(1-$B197)^$B$10*((1+FixedParams!$C$28)/$BK$12)^(1-$B$10))^(1/(1-$B$10))</f>
        <v>7.0731543253166773</v>
      </c>
      <c r="BL197" s="24">
        <f>EXP($D197-$D$17)*(($B197*FixedParams!$C$30)^$B$10*(1+FixedParams!$C$23)^(1-$B$10)+(1-$B197)^$B$10*((1+FixedParams!$C$26)/$BK$12)^(1-$B$10))^(1/(1-$B$10))</f>
        <v>6.6037892297756784</v>
      </c>
      <c r="BM197">
        <f>IF(FixedParams!$I$6=1,IF(BK197&lt;=MIN(BJ197:BL197),1,0),$H197)</f>
        <v>0</v>
      </c>
      <c r="BN197">
        <f>IF(FixedParams!$I$6=1,IF(BL197&lt;=MIN(BJ197:BL197),1,0),IF(BL197&lt;=BJ197,1,0)*(1-$H197))</f>
        <v>0</v>
      </c>
      <c r="BO197" s="24">
        <f>$BK$13*IF(BM197=1,1,IF(BN197=1,FixedParams!$C$52,FixedParams!$C$53))</f>
        <v>0.4550367853045027</v>
      </c>
      <c r="BP197">
        <f>EXP($C197*FixedParams!$B$47)*EXP(IF(BM197+BN197=1,(1-FixedParams!$B$47)*$D197,0))*($B197^((FixedParams!$B$47-1)*$B$10/($B$10-1)))*((1/$B197-1)^$B$10*(BO197)^($B$10-1)+1)^((FixedParams!$B$47-$B$10)/($B$10-1))/((1+IF(BM197=1,FixedParams!$C$25,IF(BN197=1,FixedParams!$C$23,FixedParams!$C$24)))^FixedParams!$B$47)</f>
        <v>3.2865252838654886E-2</v>
      </c>
      <c r="BQ197">
        <f t="shared" si="124"/>
        <v>0.94545945098172601</v>
      </c>
      <c r="BR197">
        <f t="shared" si="125"/>
        <v>24.11314802456074</v>
      </c>
      <c r="BS197">
        <f t="shared" si="101"/>
        <v>10.33978446527056</v>
      </c>
      <c r="BT197">
        <f t="shared" si="126"/>
        <v>34.452932489831298</v>
      </c>
      <c r="BU197" s="24">
        <f t="shared" si="127"/>
        <v>0.42880276166093478</v>
      </c>
      <c r="BV197" s="24">
        <f t="shared" si="128"/>
        <v>2.086449104552599</v>
      </c>
      <c r="BW197" s="23">
        <f>IF(BM197=1,BR197*(1+FixedParams!$C$25)+BS197*(1+FixedParams!$C$28)/$BK$12,IF(BN197=1,BR197*(1+FixedParams!$C$23)+BS197*(1+FixedParams!$C$26)/$BK$12,BR197*(1+FixedParams!$C$24)+BS197*(1+FixedParams!$C$27)/$BK$12))</f>
        <v>77.699030264001905</v>
      </c>
      <c r="BX197" s="24">
        <f t="shared" si="129"/>
        <v>11.827603234874173</v>
      </c>
      <c r="BY197" s="24">
        <f>BX197^((FixedParams!$B$47-1)/FixedParams!$B$47)*EXP($C197)</f>
        <v>0.10523213560464864</v>
      </c>
      <c r="BZ197" s="24">
        <f t="shared" si="130"/>
        <v>-0.1807276004091273</v>
      </c>
      <c r="CA197" s="24">
        <f t="shared" si="131"/>
        <v>-0.13552778678177682</v>
      </c>
      <c r="CB197" s="24">
        <f t="shared" si="132"/>
        <v>-0.11819933086236957</v>
      </c>
      <c r="CC197" s="24"/>
      <c r="CD197" s="24">
        <f>EXP(-$D$17)*(($B197*FixedParams!$B$30)^$B$10*(1+FixedParams!$D$24)^(1-$B$10)+(1-$B197)^$B$10*((1+FixedParams!$D$27)/$CE$12)^(1-$B$10))^(1/(1-$B$10))</f>
        <v>5.9922008450806006</v>
      </c>
      <c r="CE197" s="24">
        <f>EXP($D197-$D$17)*(($B197*FixedParams!$D$31)^$B$10*(1+FixedParams!$D$25)^(1-$B$10)+(1-$B197)^$B$10*((1+FixedParams!$D$28)/$CE$12)^(1-$B$10))^(1/(1-$B$10))</f>
        <v>6.764785507155314</v>
      </c>
      <c r="CF197" s="24">
        <f>EXP($D197-$D$17)*(($B197*FixedParams!$D$30)^$B$10*(1+FixedParams!$D$23)^(1-$B$10)+(1-$B197)^$B$10*((1+FixedParams!$D$26)/$CE$12)^(1-$B$10))^(1/(1-$B$10))</f>
        <v>6.3794360015141187</v>
      </c>
      <c r="CG197">
        <f>IF(FixedParams!$I$6=1,IF(CE197&lt;=MIN(CD197:CF197),1,0),$H197)</f>
        <v>0</v>
      </c>
      <c r="CH197">
        <f>IF(FixedParams!$I$6=1,IF(CF197&lt;=MIN(CD197:CF197),1,0),IF(CF197&lt;=CD197,1,0)*(1-$H197))</f>
        <v>0</v>
      </c>
      <c r="CI197" s="24">
        <f>$CE$13*IF(CG197=1,1,IF(CH197=1,FixedParams!$D$52,FixedParams!$D$53))</f>
        <v>0.42008589776177102</v>
      </c>
      <c r="CJ197">
        <f>EXP($C197*FixedParams!$B$47)*EXP(IF(CG197+CH197=1,(1-FixedParams!$B$47)*$D197,0))*($B197^((FixedParams!$B$47-1)*$B$10/($B$10-1)))*((1/$B197-1)^$B$10*(CI197)^($B$10-1)+1)^((FixedParams!$B$47-$B$10)/($B$10-1))/((1+IF(CG197=1,FixedParams!$D$25,IF(CH197=1,FixedParams!$D$23,FixedParams!$D$24)))^FixedParams!$B$47)</f>
        <v>3.8161767315687892E-2</v>
      </c>
      <c r="CK197">
        <f t="shared" si="133"/>
        <v>1.0048130789567244</v>
      </c>
      <c r="CL197">
        <f t="shared" si="135"/>
        <v>27.451776451980177</v>
      </c>
      <c r="CM197">
        <f t="shared" si="102"/>
        <v>10.441560792587598</v>
      </c>
      <c r="CN197">
        <f t="shared" si="136"/>
        <v>37.893337244567775</v>
      </c>
      <c r="CO197" s="24">
        <f t="shared" si="137"/>
        <v>0.38036011297310479</v>
      </c>
      <c r="CP197" s="24">
        <f t="shared" si="138"/>
        <v>1.9359120637496923</v>
      </c>
      <c r="CQ197" s="23">
        <f>IF(CG197=1,CL197*(1+FixedParams!$D$25)+CM197*(1+FixedParams!$D$28)/$CE$12,IF(CH197=1,CL197*(1+FixedParams!$D$23)+CM197*(1+FixedParams!$D$26)/$CE$12,CL197*(1+FixedParams!$D$24)+CM197*(1+FixedParams!$D$27)/$CE$12))</f>
        <v>76.172937889997513</v>
      </c>
      <c r="CR197" s="24">
        <f t="shared" si="139"/>
        <v>12.712013475404948</v>
      </c>
      <c r="CS197" s="24">
        <f>CR197^((FixedParams!$B$47-1)/FixedParams!$B$47)*EXP($C197)</f>
        <v>0.10522453984272492</v>
      </c>
      <c r="CT197" s="24"/>
    </row>
    <row r="198" spans="1:98" x14ac:dyDescent="0.15">
      <c r="A198">
        <v>0.90500000000000003</v>
      </c>
      <c r="B198">
        <f t="shared" si="103"/>
        <v>0.44735638426454916</v>
      </c>
      <c r="C198">
        <f>(D198-$D$17)*FixedParams!$B$47+$A198*$B$9</f>
        <v>-2.2616087206371751</v>
      </c>
      <c r="D198">
        <f>(A198-$B$6)*FixedParams!$B$46/(FixedParams!$B$45*Sectors!$B$6)</f>
        <v>0.22005732910658729</v>
      </c>
      <c r="E198">
        <f t="shared" si="104"/>
        <v>0.10418274893265489</v>
      </c>
      <c r="F198" s="24">
        <f>EXP(-$D$17)*(($B198*FixedParams!$B$30)^$B$10*(1+FixedParams!$B$23)^(1-$B$10)+(1-$B198)^$B$10*((1+FixedParams!$B$26)/$B$11)^(1-$B$10))^(1/(1-$B$10))</f>
        <v>4.5674610989586286</v>
      </c>
      <c r="G198" s="24">
        <f>EXP($D198-$D$17)*(($B198*FixedParams!$B$31)^$B$10*(1+FixedParams!$B$25)^(1-$B$10)+(1-$B198)^$B$10*((1+FixedParams!$B$28)/$B$11)^(1-$B$10))^(1/(1-$B$10))</f>
        <v>5.4019359581863808</v>
      </c>
      <c r="H198">
        <f t="shared" si="105"/>
        <v>0</v>
      </c>
      <c r="I198" s="24">
        <f>$B$12*IF(H198=1,1,FixedParams!$B$52)</f>
        <v>0.39101505882574561</v>
      </c>
      <c r="J198">
        <f>EXP($C198*FixedParams!$B$47)*EXP(IF(H198=1,(1-FixedParams!$B$47)*$D198,0))*($B198^((FixedParams!$B$47-1)*$B$10/($B$10-1)))*((1/$B198-1)^$B$10*(I198)^($B$10-1)+1)^((FixedParams!$B$47-$B$10)/($B$10-1))/((1+IF(H198=1,FixedParams!$B$25,FixedParams!$B$24))^FixedParams!$B$47)</f>
        <v>5.2254405239856069E-2</v>
      </c>
      <c r="K198">
        <f t="shared" si="134"/>
        <v>1.0535837522717431</v>
      </c>
      <c r="L198">
        <f>K198*FixedParams!$B$8/K$15</f>
        <v>30.630976772459515</v>
      </c>
      <c r="M198">
        <f t="shared" si="94"/>
        <v>10.283438321492753</v>
      </c>
      <c r="N198">
        <f t="shared" si="106"/>
        <v>40.914415093952272</v>
      </c>
      <c r="O198" s="24">
        <f t="shared" si="107"/>
        <v>0.33572022197929552</v>
      </c>
      <c r="P198" s="24">
        <f t="shared" si="95"/>
        <v>1.785946070293613</v>
      </c>
      <c r="Q198" s="23">
        <f>IF(H198=1,L198*(1+FixedParams!$B$25)+M198*FixedParams!$B$33*(1+FixedParams!$B$28)/FixedParams!$B$32,L198*(1+FixedParams!$B$23)+M198*FixedParams!$B$33*(1+FixedParams!$B$26)/FixedParams!$B$32)</f>
        <v>61.285486953481694</v>
      </c>
      <c r="R198" s="24">
        <f t="shared" si="96"/>
        <v>13.417845412510387</v>
      </c>
      <c r="S198" s="24">
        <f>R198^((FixedParams!$B$47-1)/FixedParams!$B$47)*EXP($C198)</f>
        <v>0.10391231033230636</v>
      </c>
      <c r="T198" s="7">
        <f>(L198*FixedParams!$B$32*(FixedParams!$C$25-FixedParams!$C$23)+FixedParams!$B$33*(FixedParams!$C$28-FixedParams!$C$26)*M198)/N198</f>
        <v>4035.6353762216659</v>
      </c>
      <c r="U198" s="7">
        <f>(L198*FixedParams!$B$32*(FixedParams!$C$25-FixedParams!$C$23)*$Z$12/$B$11+FixedParams!$B$33*(FixedParams!$C$28-FixedParams!$C$26)*M198)/N198</f>
        <v>3283.7312960049235</v>
      </c>
      <c r="V198" s="14">
        <f t="shared" si="97"/>
        <v>0.15246793244649159</v>
      </c>
      <c r="W198" s="14">
        <f t="shared" si="140"/>
        <v>0.96510219890397864</v>
      </c>
      <c r="X198" s="73">
        <f t="shared" si="109"/>
        <v>0.84352584261662988</v>
      </c>
      <c r="Y198" s="24">
        <f>EXP(-$D$17)*(($B198*FixedParams!$B$30)^$B$10*(1+FixedParams!$C$24)^(1-$B$10)+(1-$B198)^$B$10*((1+FixedParams!$C$27)/$Z$12)^(1-$B$10))^(1/(1-$B$10))</f>
        <v>6.3955507109995891</v>
      </c>
      <c r="Z198" s="24">
        <f>EXP($D198-$D$17)*(($B198*FixedParams!$C$31)^$B$10*(1+FixedParams!$C$25)^(1-$B$10)+(1-$B198)^$B$10*((1+FixedParams!$C$28)/$Z$12)^(1-$B$10))^(1/(1-$B$10))</f>
        <v>6.9062095157128915</v>
      </c>
      <c r="AA198" s="24">
        <f>EXP($D198-$D$17)*(($B198*FixedParams!$C$30)^$B$10*(1+FixedParams!$C$23)^(1-$B$10)+(1-$B198)^$B$10*((1+FixedParams!$C$26)/$Z$12)^(1-$B$10))^(1/(1-$B$10))</f>
        <v>6.4506821350835768</v>
      </c>
      <c r="AB198">
        <f>IF(FixedParams!$I$6=1,IF(Z198&lt;=MIN(Y198:AA198),1,0),$H198)</f>
        <v>0</v>
      </c>
      <c r="AC198">
        <f>IF(FixedParams!$I$6=1,IF(AA198&lt;=MIN(Y198:AA198),1,0),IF(AA198&lt;=Y198,1,0)*(1-$H198))</f>
        <v>0</v>
      </c>
      <c r="AD198" s="24">
        <f>$Z$13*IF(AB198=1,1,IF(AC198=1,FixedParams!$C$52,FixedParams!$C$53))</f>
        <v>0.47851548426682239</v>
      </c>
      <c r="AE198">
        <f>EXP($C198*FixedParams!$B$47)*EXP(IF(AB198+AC198=1,(1-FixedParams!$B$47)*$D198,0))*($B198^((FixedParams!$B$47-1)*$B$10/($B$10-1)))*((1/$B198-1)^$B$10*(AD198)^($B$10-1)+1)^((FixedParams!$B$47-$B$10)/($B$10-1))/((1+IF(AB198=1,FixedParams!$C$25,IF(AC198=1,FixedParams!$C$23,FixedParams!$C$24)))^FixedParams!$B$47)</f>
        <v>3.2332520653286324E-2</v>
      </c>
      <c r="AF198">
        <f t="shared" si="110"/>
        <v>0.95274823995276869</v>
      </c>
      <c r="AG198">
        <f t="shared" si="111"/>
        <v>22.378593093456207</v>
      </c>
      <c r="AH198">
        <f t="shared" si="98"/>
        <v>10.171009260924155</v>
      </c>
      <c r="AI198">
        <f t="shared" si="112"/>
        <v>32.549602354380362</v>
      </c>
      <c r="AJ198" s="24">
        <f t="shared" si="113"/>
        <v>0.45449726077276464</v>
      </c>
      <c r="AK198" s="24">
        <f t="shared" si="114"/>
        <v>2.1360744239565461</v>
      </c>
      <c r="AL198" s="23">
        <f>IF(AB198=1,AG198*(1+FixedParams!$C$25)+AH198*(1+FixedParams!$C$28)/$Z$12,IF(AC198=1,AG198*(1+FixedParams!$C$23)+AH198*(1+FixedParams!$C$26)/$Z$12,AG198*(1+FixedParams!$C$24)+AH198*(1+FixedParams!$C$27)/$Z$12))</f>
        <v>72.38675750436451</v>
      </c>
      <c r="AM198" s="24">
        <f t="shared" si="115"/>
        <v>11.318299357687506</v>
      </c>
      <c r="AN198" s="24">
        <f>AM198^((FixedParams!$B$47-1)/FixedParams!$B$47)*EXP($C198)</f>
        <v>0.10393001175104202</v>
      </c>
      <c r="AO198" s="24">
        <f t="shared" si="116"/>
        <v>-0.22871729611402974</v>
      </c>
      <c r="AP198" s="24">
        <f t="shared" si="117"/>
        <v>-0.17016474010131485</v>
      </c>
      <c r="AQ198" s="14">
        <f t="shared" si="118"/>
        <v>5.1496683686929189E-2</v>
      </c>
      <c r="AS198" s="24">
        <f>EXP(-$D$17)*(($B198*FixedParams!$B$30)^$B$10*(1+FixedParams!$D$24)^(1-$B$10)+(1-$B198)^$B$10*((1+FixedParams!$D$27)/$AT$12)^(1-$B$10))^(1/(1-$B$10))</f>
        <v>5.8437818262740411</v>
      </c>
      <c r="AT198" s="24">
        <f>EXP($D198-$D$17)*(($B198*FixedParams!$C$31)^$B$10*(1+FixedParams!$D$25)^(1-$B$10)+(1-$B198)^$B$10*((1+FixedParams!$D$28)/$AT$12)^(1-$B$10))^(1/(1-$B$10))</f>
        <v>6.6158897080945582</v>
      </c>
      <c r="AU198" s="24">
        <f>EXP($D198-$D$17)*(($B198*FixedParams!$C$30)^$B$10*(1+FixedParams!$D$23)^(1-$B$10)+(1-$B198)^$B$10*((1+FixedParams!$D$26)/$AT$12)^(1-$B$10))^(1/(1-$B$10))</f>
        <v>6.2407055373146338</v>
      </c>
      <c r="AV198">
        <f>IF(FixedParams!$I$6=1,IF(AT198&lt;=MIN(AS198:AU198),1,0),$H198)</f>
        <v>0</v>
      </c>
      <c r="AW198">
        <f>IF(FixedParams!$I$6=1,IF(AU198&lt;=MIN(AS198:AU198),1,0),IF(AU198&lt;=AS198,1,0)*(1-$H198))</f>
        <v>0</v>
      </c>
      <c r="AX198" s="24">
        <f>$AT$13*IF(AV198=1,1,IF(AW198=1,FixedParams!$D$52,FixedParams!$D$53))</f>
        <v>0.44031288407969205</v>
      </c>
      <c r="AY198">
        <f>EXP($C198*FixedParams!$B$47)*EXP(IF(AV198+AW198=1,(1-FixedParams!$B$47)*$D198,0))*($B198^((FixedParams!$B$47-1)*$B$10/($B$10-1)))*((1/$B198-1)^$B$10*(AX198)^($B$10-1)+1)^((FixedParams!$B$47-$B$10)/($B$10-1))/((1+IF(AV198=1,FixedParams!$D$25,IF(AW198=1,FixedParams!$D$23,FixedParams!$D$24)))^FixedParams!$B$47)</f>
        <v>3.757561364661334E-2</v>
      </c>
      <c r="AZ198">
        <f t="shared" si="99"/>
        <v>1.0118203759199855</v>
      </c>
      <c r="BA198">
        <f t="shared" si="119"/>
        <v>25.457265334374583</v>
      </c>
      <c r="BB198">
        <f t="shared" si="100"/>
        <v>10.212712734816437</v>
      </c>
      <c r="BC198">
        <f t="shared" si="120"/>
        <v>35.669978069191018</v>
      </c>
      <c r="BD198" s="24">
        <f t="shared" si="121"/>
        <v>0.40117084850533241</v>
      </c>
      <c r="BE198" s="24">
        <f t="shared" si="122"/>
        <v>1.9788667402940319</v>
      </c>
      <c r="BF198" s="23">
        <f>IF(AV198=1,BA198*(1+FixedParams!$C$25)+BB198*(1+FixedParams!$C$28)/$AT$12,IF(AW198=1,BA198*(1+FixedParams!$C$23)+BB198*(1+FixedParams!$C$26)/$AT$12,BA198*(1+FixedParams!$C$24)+BB198*(1+FixedParams!$C$27)/$AT$12))</f>
        <v>77.154203769782299</v>
      </c>
      <c r="BG198" s="24">
        <f t="shared" si="123"/>
        <v>13.202786493994649</v>
      </c>
      <c r="BH198" s="24">
        <f>BG198^((FixedParams!$B$47-1)/FixedParams!$B$47)*EXP($C198)</f>
        <v>0.10391399100663236</v>
      </c>
      <c r="BI198" s="7"/>
      <c r="BJ198" s="24">
        <f>EXP(-$D$17)*(($B198*FixedParams!$B$30)^$B$10*(1+FixedParams!$C$24)^(1-$B$10)+(1-$B198)^$B$10*((1+FixedParams!$C$27)/$BK$12)^(1-$B$10))^(1/(1-$B$10))</f>
        <v>6.5531908808327968</v>
      </c>
      <c r="BK198" s="24">
        <f>EXP($D198-$D$17)*(($B198*FixedParams!$C$31)^$B$10*(1+FixedParams!$C$25)^(1-$B$10)+(1-$B198)^$B$10*((1+FixedParams!$C$28)/$BK$12)^(1-$B$10))^(1/(1-$B$10))</f>
        <v>7.0718834261062016</v>
      </c>
      <c r="BL198" s="24">
        <f>EXP($D198-$D$17)*(($B198*FixedParams!$C$30)^$B$10*(1+FixedParams!$C$23)^(1-$B$10)+(1-$B198)^$B$10*((1+FixedParams!$C$26)/$BK$12)^(1-$B$10))^(1/(1-$B$10))</f>
        <v>6.5964239224489667</v>
      </c>
      <c r="BM198">
        <f>IF(FixedParams!$I$6=1,IF(BK198&lt;=MIN(BJ198:BL198),1,0),$H198)</f>
        <v>0</v>
      </c>
      <c r="BN198">
        <f>IF(FixedParams!$I$6=1,IF(BL198&lt;=MIN(BJ198:BL198),1,0),IF(BL198&lt;=BJ198,1,0)*(1-$H198))</f>
        <v>0</v>
      </c>
      <c r="BO198" s="24">
        <f>$BK$13*IF(BM198=1,1,IF(BN198=1,FixedParams!$C$52,FixedParams!$C$53))</f>
        <v>0.4550367853045027</v>
      </c>
      <c r="BP198">
        <f>EXP($C198*FixedParams!$B$47)*EXP(IF(BM198+BN198=1,(1-FixedParams!$B$47)*$D198,0))*($B198^((FixedParams!$B$47-1)*$B$10/($B$10-1)))*((1/$B198-1)^$B$10*(BO198)^($B$10-1)+1)^((FixedParams!$B$47-$B$10)/($B$10-1))/((1+IF(BM198=1,FixedParams!$C$25,IF(BN198=1,FixedParams!$C$23,FixedParams!$C$24)))^FixedParams!$B$47)</f>
        <v>3.2729364609430843E-2</v>
      </c>
      <c r="BQ198">
        <f t="shared" si="124"/>
        <v>0.94155025207101717</v>
      </c>
      <c r="BR198">
        <f t="shared" si="125"/>
        <v>24.013447194563753</v>
      </c>
      <c r="BS198">
        <f t="shared" si="101"/>
        <v>10.120723152976865</v>
      </c>
      <c r="BT198">
        <f t="shared" si="126"/>
        <v>34.134170347540618</v>
      </c>
      <c r="BU198" s="24">
        <f t="shared" si="127"/>
        <v>0.42146065373188191</v>
      </c>
      <c r="BV198" s="24">
        <f t="shared" si="128"/>
        <v>2.0813339213379769</v>
      </c>
      <c r="BW198" s="23">
        <f>IF(BM198=1,BR198*(1+FixedParams!$C$25)+BS198*(1+FixedParams!$C$28)/$BK$12,IF(BN198=1,BR198*(1+FixedParams!$C$23)+BS198*(1+FixedParams!$C$26)/$BK$12,BR198*(1+FixedParams!$C$24)+BS198*(1+FixedParams!$C$27)/$BK$12))</f>
        <v>76.734985711449283</v>
      </c>
      <c r="BX198" s="24">
        <f t="shared" si="129"/>
        <v>11.709560595264945</v>
      </c>
      <c r="BY198" s="24">
        <f>BX198^((FixedParams!$B$47-1)/FixedParams!$B$47)*EXP($C198)</f>
        <v>0.10392647623234444</v>
      </c>
      <c r="BZ198" s="24">
        <f t="shared" si="130"/>
        <v>-0.18118350270145317</v>
      </c>
      <c r="CA198" s="24">
        <f t="shared" si="131"/>
        <v>-0.1361799151533237</v>
      </c>
      <c r="CB198" s="24">
        <f t="shared" si="132"/>
        <v>-0.11885145923391645</v>
      </c>
      <c r="CC198" s="24"/>
      <c r="CD198" s="24">
        <f>EXP(-$D$17)*(($B198*FixedParams!$B$30)^$B$10*(1+FixedParams!$D$24)^(1-$B$10)+(1-$B198)^$B$10*((1+FixedParams!$D$27)/$CE$12)^(1-$B$10))^(1/(1-$B$10))</f>
        <v>5.9754520427344309</v>
      </c>
      <c r="CE198" s="24">
        <f>EXP($D198-$D$17)*(($B198*FixedParams!$D$31)^$B$10*(1+FixedParams!$D$25)^(1-$B$10)+(1-$B198)^$B$10*((1+FixedParams!$D$28)/$CE$12)^(1-$B$10))^(1/(1-$B$10))</f>
        <v>6.7622175740623343</v>
      </c>
      <c r="CF198" s="24">
        <f>EXP($D198-$D$17)*(($B198*FixedParams!$D$30)^$B$10*(1+FixedParams!$D$23)^(1-$B$10)+(1-$B198)^$B$10*((1+FixedParams!$D$26)/$CE$12)^(1-$B$10))^(1/(1-$B$10))</f>
        <v>6.3722608725755734</v>
      </c>
      <c r="CG198">
        <f>IF(FixedParams!$I$6=1,IF(CE198&lt;=MIN(CD198:CF198),1,0),$H198)</f>
        <v>0</v>
      </c>
      <c r="CH198">
        <f>IF(FixedParams!$I$6=1,IF(CF198&lt;=MIN(CD198:CF198),1,0),IF(CF198&lt;=CD198,1,0)*(1-$H198))</f>
        <v>0</v>
      </c>
      <c r="CI198" s="24">
        <f>$CE$13*IF(CG198=1,1,IF(CH198=1,FixedParams!$D$52,FixedParams!$D$53))</f>
        <v>0.42008589776177102</v>
      </c>
      <c r="CJ198">
        <f>EXP($C198*FixedParams!$B$47)*EXP(IF(CG198+CH198=1,(1-FixedParams!$B$47)*$D198,0))*($B198^((FixedParams!$B$47-1)*$B$10/($B$10-1)))*((1/$B198-1)^$B$10*(CI198)^($B$10-1)+1)^((FixedParams!$B$47-$B$10)/($B$10-1))/((1+IF(CG198=1,FixedParams!$D$25,IF(CH198=1,FixedParams!$D$23,FixedParams!$D$24)))^FixedParams!$B$47)</f>
        <v>3.7997423072350177E-2</v>
      </c>
      <c r="CK198">
        <f t="shared" si="133"/>
        <v>1.0004858358342841</v>
      </c>
      <c r="CL198">
        <f t="shared" si="135"/>
        <v>27.33355495055034</v>
      </c>
      <c r="CM198">
        <f t="shared" si="102"/>
        <v>10.218580000469629</v>
      </c>
      <c r="CN198">
        <f t="shared" si="136"/>
        <v>37.552134951019966</v>
      </c>
      <c r="CO198" s="24">
        <f t="shared" si="137"/>
        <v>0.37384745668670827</v>
      </c>
      <c r="CP198" s="24">
        <f t="shared" si="138"/>
        <v>1.9305009953703791</v>
      </c>
      <c r="CQ198" s="23">
        <f>IF(CG198=1,CL198*(1+FixedParams!$D$25)+CM198*(1+FixedParams!$D$28)/$CE$12,IF(CH198=1,CL198*(1+FixedParams!$D$23)+CM198*(1+FixedParams!$D$26)/$CE$12,CL198*(1+FixedParams!$D$24)+CM198*(1+FixedParams!$D$27)/$CE$12))</f>
        <v>75.227802300346355</v>
      </c>
      <c r="CR198" s="24">
        <f t="shared" si="139"/>
        <v>12.589474697870942</v>
      </c>
      <c r="CS198" s="24">
        <f>CR198^((FixedParams!$B$47-1)/FixedParams!$B$47)*EXP($C198)</f>
        <v>0.10391893892637789</v>
      </c>
      <c r="CT198" s="24"/>
    </row>
    <row r="199" spans="1:98" x14ac:dyDescent="0.15">
      <c r="A199">
        <v>0.91</v>
      </c>
      <c r="B199">
        <f t="shared" si="103"/>
        <v>0.45020460809517604</v>
      </c>
      <c r="C199">
        <f>(D199-$D$17)*FixedParams!$B$47+$A199*$B$9</f>
        <v>-2.2741037964417998</v>
      </c>
      <c r="D199">
        <f>(A199-$B$6)*FixedParams!$B$46/(FixedParams!$B$45*Sectors!$B$6)</f>
        <v>0.22277408625605136</v>
      </c>
      <c r="E199">
        <f t="shared" si="104"/>
        <v>0.10288907668498576</v>
      </c>
      <c r="F199" s="24">
        <f>EXP(-$D$17)*(($B199*FixedParams!$B$30)^$B$10*(1+FixedParams!$B$23)^(1-$B$10)+(1-$B199)^$B$10*((1+FixedParams!$B$26)/$B$11)^(1-$B$10))^(1/(1-$B$10))</f>
        <v>4.553062710619634</v>
      </c>
      <c r="G199" s="24">
        <f>EXP($D199-$D$17)*(($B199*FixedParams!$B$31)^$B$10*(1+FixedParams!$B$25)^(1-$B$10)+(1-$B199)^$B$10*((1+FixedParams!$B$28)/$B$11)^(1-$B$10))^(1/(1-$B$10))</f>
        <v>5.3985635187009935</v>
      </c>
      <c r="H199">
        <f t="shared" si="105"/>
        <v>0</v>
      </c>
      <c r="I199" s="24">
        <f>$B$12*IF(H199=1,1,FixedParams!$B$52)</f>
        <v>0.39101505882574561</v>
      </c>
      <c r="J199">
        <f>EXP($C199*FixedParams!$B$47)*EXP(IF(H199=1,(1-FixedParams!$B$47)*$D199,0))*($B199^((FixedParams!$B$47-1)*$B$10/($B$10-1)))*((1/$B199-1)^$B$10*(I199)^($B$10-1)+1)^((FixedParams!$B$47-$B$10)/($B$10-1))/((1+IF(H199=1,FixedParams!$B$25,FixedParams!$B$24))^FixedParams!$B$47)</f>
        <v>5.2017473400028928E-2</v>
      </c>
      <c r="K199">
        <f t="shared" si="134"/>
        <v>1.0488065945241447</v>
      </c>
      <c r="L199">
        <f>K199*FixedParams!$B$8/K$15</f>
        <v>30.492089847058907</v>
      </c>
      <c r="M199">
        <f t="shared" si="94"/>
        <v>10.061532980799235</v>
      </c>
      <c r="N199">
        <f t="shared" si="106"/>
        <v>40.553622827858142</v>
      </c>
      <c r="O199" s="24">
        <f t="shared" si="107"/>
        <v>0.32997190521428671</v>
      </c>
      <c r="P199" s="24">
        <f t="shared" si="95"/>
        <v>1.780316083630245</v>
      </c>
      <c r="Q199" s="23">
        <f>IF(H199=1,L199*(1+FixedParams!$B$25)+M199*FixedParams!$B$33*(1+FixedParams!$B$28)/FixedParams!$B$32,L199*(1+FixedParams!$B$23)+M199*FixedParams!$B$33*(1+FixedParams!$B$26)/FixedParams!$B$32)</f>
        <v>60.525049604285869</v>
      </c>
      <c r="R199" s="24">
        <f t="shared" si="96"/>
        <v>13.293260701882341</v>
      </c>
      <c r="S199" s="24">
        <f>R199^((FixedParams!$B$47-1)/FixedParams!$B$47)*EXP($C199)</f>
        <v>0.10262295447097668</v>
      </c>
      <c r="T199" s="7">
        <f>(L199*FixedParams!$B$32*(FixedParams!$C$25-FixedParams!$C$23)+FixedParams!$B$33*(FixedParams!$C$28-FixedParams!$C$26)*M199)/N199</f>
        <v>4072.3454156521475</v>
      </c>
      <c r="U199" s="7">
        <f>(L199*FixedParams!$B$32*(FixedParams!$C$25-FixedParams!$C$23)*$Z$12/$B$11+FixedParams!$B$33*(FixedParams!$C$28-FixedParams!$C$26)*M199)/N199</f>
        <v>3317.1915052600139</v>
      </c>
      <c r="V199" s="14">
        <f t="shared" si="97"/>
        <v>0.16973855774257551</v>
      </c>
      <c r="W199" s="14">
        <f t="shared" si="140"/>
        <v>0.96709126779925048</v>
      </c>
      <c r="X199" s="73">
        <f t="shared" si="109"/>
        <v>0.84279381200170889</v>
      </c>
      <c r="Y199" s="24">
        <f>EXP(-$D$17)*(($B199*FixedParams!$B$30)^$B$10*(1+FixedParams!$C$24)^(1-$B$10)+(1-$B199)^$B$10*((1+FixedParams!$C$27)/$Z$12)^(1-$B$10))^(1/(1-$B$10))</f>
        <v>6.3809325401923971</v>
      </c>
      <c r="Z199" s="24">
        <f>EXP($D199-$D$17)*(($B199*FixedParams!$C$31)^$B$10*(1+FixedParams!$C$25)^(1-$B$10)+(1-$B199)^$B$10*((1+FixedParams!$C$28)/$Z$12)^(1-$B$10))^(1/(1-$B$10))</f>
        <v>6.9061161830638689</v>
      </c>
      <c r="AA199" s="24">
        <f>EXP($D199-$D$17)*(($B199*FixedParams!$C$30)^$B$10*(1+FixedParams!$C$23)^(1-$B$10)+(1-$B199)^$B$10*((1+FixedParams!$C$26)/$Z$12)^(1-$B$10))^(1/(1-$B$10))</f>
        <v>6.4445544327502589</v>
      </c>
      <c r="AB199">
        <f>IF(FixedParams!$I$6=1,IF(Z199&lt;=MIN(Y199:AA199),1,0),$H199)</f>
        <v>0</v>
      </c>
      <c r="AC199">
        <f>IF(FixedParams!$I$6=1,IF(AA199&lt;=MIN(Y199:AA199),1,0),IF(AA199&lt;=Y199,1,0)*(1-$H199))</f>
        <v>0</v>
      </c>
      <c r="AD199" s="24">
        <f>$Z$13*IF(AB199=1,1,IF(AC199=1,FixedParams!$C$52,FixedParams!$C$53))</f>
        <v>0.47851548426682239</v>
      </c>
      <c r="AE199">
        <f>EXP($C199*FixedParams!$B$47)*EXP(IF(AB199+AC199=1,(1-FixedParams!$B$47)*$D199,0))*($B199^((FixedParams!$B$47-1)*$B$10/($B$10-1)))*((1/$B199-1)^$B$10*(AD199)^($B$10-1)+1)^((FixedParams!$B$47-$B$10)/($B$10-1))/((1+IF(AB199=1,FixedParams!$C$25,IF(AC199=1,FixedParams!$C$23,FixedParams!$C$24)))^FixedParams!$B$47)</f>
        <v>3.2199935493167089E-2</v>
      </c>
      <c r="AF199">
        <f t="shared" si="110"/>
        <v>0.94884132903474783</v>
      </c>
      <c r="AG199">
        <f t="shared" si="111"/>
        <v>22.286825755537951</v>
      </c>
      <c r="AH199">
        <f t="shared" si="98"/>
        <v>9.9558638875730612</v>
      </c>
      <c r="AI199">
        <f t="shared" si="112"/>
        <v>32.242689643111014</v>
      </c>
      <c r="AJ199" s="24">
        <f t="shared" si="113"/>
        <v>0.44671520281883004</v>
      </c>
      <c r="AK199" s="24">
        <f t="shared" si="114"/>
        <v>2.1311920452221291</v>
      </c>
      <c r="AL199" s="23">
        <f>IF(AB199=1,AG199*(1+FixedParams!$C$25)+AH199*(1+FixedParams!$C$28)/$Z$12,IF(AC199=1,AG199*(1+FixedParams!$C$23)+AH199*(1+FixedParams!$C$26)/$Z$12,AG199*(1+FixedParams!$C$24)+AH199*(1+FixedParams!$C$27)/$Z$12))</f>
        <v>71.488636445762808</v>
      </c>
      <c r="AM199" s="24">
        <f t="shared" si="115"/>
        <v>11.20347786087193</v>
      </c>
      <c r="AN199" s="24">
        <f>AM199^((FixedParams!$B$47-1)/FixedParams!$B$47)*EXP($C199)</f>
        <v>0.10264052545006071</v>
      </c>
      <c r="AO199" s="24">
        <f t="shared" si="116"/>
        <v>-0.22933377899777702</v>
      </c>
      <c r="AP199" s="24">
        <f t="shared" si="117"/>
        <v>-0.17103293926972049</v>
      </c>
      <c r="AQ199" s="14">
        <f t="shared" si="118"/>
        <v>6.8767308983013239E-2</v>
      </c>
      <c r="AS199" s="24">
        <f>EXP(-$D$17)*(($B199*FixedParams!$B$30)^$B$10*(1+FixedParams!$D$24)^(1-$B$10)+(1-$B199)^$B$10*((1+FixedParams!$D$27)/$AT$12)^(1-$B$10))^(1/(1-$B$10))</f>
        <v>5.8283341774231339</v>
      </c>
      <c r="AT199" s="24">
        <f>EXP($D199-$D$17)*(($B199*FixedParams!$C$31)^$B$10*(1+FixedParams!$D$25)^(1-$B$10)+(1-$B199)^$B$10*((1+FixedParams!$D$28)/$AT$12)^(1-$B$10))^(1/(1-$B$10))</f>
        <v>6.6143833882375525</v>
      </c>
      <c r="AU199" s="24">
        <f>EXP($D199-$D$17)*(($B199*FixedParams!$C$30)^$B$10*(1+FixedParams!$D$23)^(1-$B$10)+(1-$B199)^$B$10*((1+FixedParams!$D$26)/$AT$12)^(1-$B$10))^(1/(1-$B$10))</f>
        <v>6.2346311818127562</v>
      </c>
      <c r="AV199">
        <f>IF(FixedParams!$I$6=1,IF(AT199&lt;=MIN(AS199:AU199),1,0),$H199)</f>
        <v>0</v>
      </c>
      <c r="AW199">
        <f>IF(FixedParams!$I$6=1,IF(AU199&lt;=MIN(AS199:AU199),1,0),IF(AU199&lt;=AS199,1,0)*(1-$H199))</f>
        <v>0</v>
      </c>
      <c r="AX199" s="24">
        <f>$AT$13*IF(AV199=1,1,IF(AW199=1,FixedParams!$D$52,FixedParams!$D$53))</f>
        <v>0.44031288407969205</v>
      </c>
      <c r="AY199">
        <f>EXP($C199*FixedParams!$B$47)*EXP(IF(AV199+AW199=1,(1-FixedParams!$B$47)*$D199,0))*($B199^((FixedParams!$B$47-1)*$B$10/($B$10-1)))*((1/$B199-1)^$B$10*(AX199)^($B$10-1)+1)^((FixedParams!$B$47-$B$10)/($B$10-1))/((1+IF(AV199=1,FixedParams!$D$25,IF(AW199=1,FixedParams!$D$23,FixedParams!$D$24)))^FixedParams!$B$47)</f>
        <v>3.7414805035132004E-2</v>
      </c>
      <c r="AZ199">
        <f t="shared" si="99"/>
        <v>1.007490189026687</v>
      </c>
      <c r="BA199">
        <f t="shared" si="119"/>
        <v>25.348318411270863</v>
      </c>
      <c r="BB199">
        <f t="shared" si="100"/>
        <v>9.9948891904340353</v>
      </c>
      <c r="BC199">
        <f t="shared" si="120"/>
        <v>35.343207601704897</v>
      </c>
      <c r="BD199" s="24">
        <f t="shared" si="121"/>
        <v>0.39430186366879127</v>
      </c>
      <c r="BE199" s="24">
        <f t="shared" si="122"/>
        <v>1.9736357375914049</v>
      </c>
      <c r="BF199" s="23">
        <f>IF(AV199=1,BA199*(1+FixedParams!$C$25)+BB199*(1+FixedParams!$C$28)/$AT$12,IF(AW199=1,BA199*(1+FixedParams!$C$23)+BB199*(1+FixedParams!$C$26)/$AT$12,BA199*(1+FixedParams!$C$24)+BB199*(1+FixedParams!$C$27)/$AT$12))</f>
        <v>76.228631708931857</v>
      </c>
      <c r="BG199" s="24">
        <f t="shared" si="123"/>
        <v>13.078974092496978</v>
      </c>
      <c r="BH199" s="24">
        <f>BG199^((FixedParams!$B$47-1)/FixedParams!$B$47)*EXP($C199)</f>
        <v>0.10262462390865527</v>
      </c>
      <c r="BI199" s="7"/>
      <c r="BJ199" s="24">
        <f>EXP(-$D$17)*(($B199*FixedParams!$B$30)^$B$10*(1+FixedParams!$C$24)^(1-$B$10)+(1-$B199)^$B$10*((1+FixedParams!$C$27)/$BK$12)^(1-$B$10))^(1/(1-$B$10))</f>
        <v>6.5367942043866387</v>
      </c>
      <c r="BK199" s="24">
        <f>EXP($D199-$D$17)*(($B199*FixedParams!$C$31)^$B$10*(1+FixedParams!$C$25)^(1-$B$10)+(1-$B199)^$B$10*((1+FixedParams!$C$28)/$BK$12)^(1-$B$10))^(1/(1-$B$10))</f>
        <v>7.070257785965663</v>
      </c>
      <c r="BL199" s="24">
        <f>EXP($D199-$D$17)*(($B199*FixedParams!$C$30)^$B$10*(1+FixedParams!$C$23)^(1-$B$10)+(1-$B199)^$B$10*((1+FixedParams!$C$26)/$BK$12)^(1-$B$10))^(1/(1-$B$10))</f>
        <v>6.5887457188130529</v>
      </c>
      <c r="BM199">
        <f>IF(FixedParams!$I$6=1,IF(BK199&lt;=MIN(BJ199:BL199),1,0),$H199)</f>
        <v>0</v>
      </c>
      <c r="BN199">
        <f>IF(FixedParams!$I$6=1,IF(BL199&lt;=MIN(BJ199:BL199),1,0),IF(BL199&lt;=BJ199,1,0)*(1-$H199))</f>
        <v>0</v>
      </c>
      <c r="BO199" s="24">
        <f>$BK$13*IF(BM199=1,1,IF(BN199=1,FixedParams!$C$52,FixedParams!$C$53))</f>
        <v>0.4550367853045027</v>
      </c>
      <c r="BP199">
        <f>EXP($C199*FixedParams!$B$47)*EXP(IF(BM199+BN199=1,(1-FixedParams!$B$47)*$D199,0))*($B199^((FixedParams!$B$47-1)*$B$10/($B$10-1)))*((1/$B199-1)^$B$10*(BO199)^($B$10-1)+1)^((FixedParams!$B$47-$B$10)/($B$10-1))/((1+IF(BM199=1,FixedParams!$C$25,IF(BN199=1,FixedParams!$C$23,FixedParams!$C$24)))^FixedParams!$B$47)</f>
        <v>3.2591609783801878E-2</v>
      </c>
      <c r="BQ199">
        <f t="shared" si="124"/>
        <v>0.93758735537739857</v>
      </c>
      <c r="BR199">
        <f t="shared" si="125"/>
        <v>23.912376847781513</v>
      </c>
      <c r="BS199">
        <f t="shared" si="101"/>
        <v>9.9055648495804274</v>
      </c>
      <c r="BT199">
        <f t="shared" si="126"/>
        <v>33.817941697361938</v>
      </c>
      <c r="BU199" s="24">
        <f t="shared" si="127"/>
        <v>0.41424425989252606</v>
      </c>
      <c r="BV199" s="24">
        <f t="shared" si="128"/>
        <v>2.0761262355700545</v>
      </c>
      <c r="BW199" s="23">
        <f>IF(BM199=1,BR199*(1+FixedParams!$C$25)+BS199*(1+FixedParams!$C$28)/$BK$12,IF(BN199=1,BR199*(1+FixedParams!$C$23)+BS199*(1+FixedParams!$C$26)/$BK$12,BR199*(1+FixedParams!$C$24)+BS199*(1+FixedParams!$C$27)/$BK$12))</f>
        <v>75.782898630993827</v>
      </c>
      <c r="BX199" s="24">
        <f t="shared" si="129"/>
        <v>11.593282006665943</v>
      </c>
      <c r="BY199" s="24">
        <f>BX199^((FixedParams!$B$47-1)/FixedParams!$B$47)*EXP($C199)</f>
        <v>0.10263701153223816</v>
      </c>
      <c r="BZ199" s="24">
        <f t="shared" si="130"/>
        <v>-0.18163363770854232</v>
      </c>
      <c r="CA199" s="24">
        <f t="shared" si="131"/>
        <v>-0.13683139966940669</v>
      </c>
      <c r="CB199" s="24">
        <f t="shared" si="132"/>
        <v>-0.11950294374999944</v>
      </c>
      <c r="CC199" s="24"/>
      <c r="CD199" s="24">
        <f>EXP(-$D$17)*(($B199*FixedParams!$B$30)^$B$10*(1+FixedParams!$D$24)^(1-$B$10)+(1-$B199)^$B$10*((1+FixedParams!$D$27)/$CE$12)^(1-$B$10))^(1/(1-$B$10))</f>
        <v>5.9584502931448249</v>
      </c>
      <c r="CE199" s="24">
        <f>EXP($D199-$D$17)*(($B199*FixedParams!$D$31)^$B$10*(1+FixedParams!$D$25)^(1-$B$10)+(1-$B199)^$B$10*((1+FixedParams!$D$28)/$CE$12)^(1-$B$10))^(1/(1-$B$10))</f>
        <v>6.7593128831788505</v>
      </c>
      <c r="CF199" s="24">
        <f>EXP($D199-$D$17)*(($B199*FixedParams!$D$30)^$B$10*(1+FixedParams!$D$23)^(1-$B$10)+(1-$B199)^$B$10*((1+FixedParams!$D$26)/$CE$12)^(1-$B$10))^(1/(1-$B$10))</f>
        <v>6.3647837402635163</v>
      </c>
      <c r="CG199">
        <f>IF(FixedParams!$I$6=1,IF(CE199&lt;=MIN(CD199:CF199),1,0),$H199)</f>
        <v>0</v>
      </c>
      <c r="CH199">
        <f>IF(FixedParams!$I$6=1,IF(CF199&lt;=MIN(CD199:CF199),1,0),IF(CF199&lt;=CD199,1,0)*(1-$H199))</f>
        <v>0</v>
      </c>
      <c r="CI199" s="24">
        <f>$CE$13*IF(CG199=1,1,IF(CH199=1,FixedParams!$D$52,FixedParams!$D$53))</f>
        <v>0.42008589776177102</v>
      </c>
      <c r="CJ199">
        <f>EXP($C199*FixedParams!$B$47)*EXP(IF(CG199+CH199=1,(1-FixedParams!$B$47)*$D199,0))*($B199^((FixedParams!$B$47-1)*$B$10/($B$10-1)))*((1/$B199-1)^$B$10*(CI199)^($B$10-1)+1)^((FixedParams!$B$47-$B$10)/($B$10-1))/((1+IF(CG199=1,FixedParams!$D$25,IF(CH199=1,FixedParams!$D$23,FixedParams!$D$24)))^FixedParams!$B$47)</f>
        <v>3.7830973171668107E-2</v>
      </c>
      <c r="CK199">
        <f t="shared" si="133"/>
        <v>0.9961031499955274</v>
      </c>
      <c r="CL199">
        <f t="shared" si="135"/>
        <v>27.213818738488165</v>
      </c>
      <c r="CM199">
        <f t="shared" si="102"/>
        <v>9.9996173399983519</v>
      </c>
      <c r="CN199">
        <f t="shared" si="136"/>
        <v>37.213436078486517</v>
      </c>
      <c r="CO199" s="24">
        <f t="shared" si="137"/>
        <v>0.36744631233455</v>
      </c>
      <c r="CP199" s="24">
        <f t="shared" si="138"/>
        <v>1.9250082068296896</v>
      </c>
      <c r="CQ199" s="23">
        <f>IF(CG199=1,CL199*(1+FixedParams!$D$25)+CM199*(1+FixedParams!$D$28)/$CE$12,IF(CH199=1,CL199*(1+FixedParams!$D$23)+CM199*(1+FixedParams!$D$26)/$CE$12,CL199*(1+FixedParams!$D$24)+CM199*(1+FixedParams!$D$27)/$CE$12))</f>
        <v>74.294389989416999</v>
      </c>
      <c r="CR199" s="24">
        <f t="shared" si="139"/>
        <v>12.468743773006283</v>
      </c>
      <c r="CS199" s="24">
        <f>CR199^((FixedParams!$B$47-1)/FixedParams!$B$47)*EXP($C199)</f>
        <v>0.10262953243082018</v>
      </c>
      <c r="CT199" s="24"/>
    </row>
    <row r="200" spans="1:98" x14ac:dyDescent="0.15">
      <c r="A200">
        <v>0.91500000000000004</v>
      </c>
      <c r="B200">
        <f t="shared" si="103"/>
        <v>0.45305609971727218</v>
      </c>
      <c r="C200">
        <f>(D200-$D$17)*FixedParams!$B$47+$A200*$B$9</f>
        <v>-2.2865988722464254</v>
      </c>
      <c r="D200">
        <f>(A200-$B$6)*FixedParams!$B$46/(FixedParams!$B$45*Sectors!$B$6)</f>
        <v>0.2254908434055154</v>
      </c>
      <c r="E200">
        <f t="shared" si="104"/>
        <v>0.10161146840089529</v>
      </c>
      <c r="F200" s="24">
        <f>EXP(-$D$17)*(($B200*FixedParams!$B$30)^$B$10*(1+FixedParams!$B$23)^(1-$B$10)+(1-$B200)^$B$10*((1+FixedParams!$B$26)/$B$11)^(1-$B$10))^(1/(1-$B$10))</f>
        <v>4.5384844691013724</v>
      </c>
      <c r="G200" s="24">
        <f>EXP($D200-$D$17)*(($B200*FixedParams!$B$31)^$B$10*(1+FixedParams!$B$25)^(1-$B$10)+(1-$B200)^$B$10*((1+FixedParams!$B$28)/$B$11)^(1-$B$10))^(1/(1-$B$10))</f>
        <v>5.39492697810726</v>
      </c>
      <c r="H200">
        <f t="shared" si="105"/>
        <v>0</v>
      </c>
      <c r="I200" s="24">
        <f>$B$12*IF(H200=1,1,FixedParams!$B$52)</f>
        <v>0.39101505882574561</v>
      </c>
      <c r="J200">
        <f>EXP($C200*FixedParams!$B$47)*EXP(IF(H200=1,(1-FixedParams!$B$47)*$D200,0))*($B200^((FixedParams!$B$47-1)*$B$10/($B$10-1)))*((1/$B200-1)^$B$10*(I200)^($B$10-1)+1)^((FixedParams!$B$47-$B$10)/($B$10-1))/((1+IF(H200=1,FixedParams!$B$25,FixedParams!$B$24))^FixedParams!$B$47)</f>
        <v>5.1777779870206958E-2</v>
      </c>
      <c r="K200">
        <f t="shared" si="134"/>
        <v>1.0439737539744167</v>
      </c>
      <c r="L200">
        <f>K200*FixedParams!$B$8/K$15</f>
        <v>30.351584048346155</v>
      </c>
      <c r="M200">
        <f t="shared" si="94"/>
        <v>9.8436868393372947</v>
      </c>
      <c r="N200">
        <f t="shared" si="106"/>
        <v>40.195270887683449</v>
      </c>
      <c r="O200" s="24">
        <f t="shared" si="107"/>
        <v>0.32432201310012593</v>
      </c>
      <c r="P200" s="24">
        <f t="shared" si="95"/>
        <v>1.7746157716654059</v>
      </c>
      <c r="Q200" s="23">
        <f>IF(H200=1,L200*(1+FixedParams!$B$25)+M200*FixedParams!$B$33*(1+FixedParams!$B$28)/FixedParams!$B$32,L200*(1+FixedParams!$B$23)+M200*FixedParams!$B$33*(1+FixedParams!$B$26)/FixedParams!$B$32)</f>
        <v>59.774044882433031</v>
      </c>
      <c r="R200" s="24">
        <f t="shared" si="96"/>
        <v>13.170485718169351</v>
      </c>
      <c r="S200" s="24">
        <f>R200^((FixedParams!$B$47-1)/FixedParams!$B$47)*EXP($C200)</f>
        <v>0.10134959205521529</v>
      </c>
      <c r="T200" s="7">
        <f>(L200*FixedParams!$B$32*(FixedParams!$C$25-FixedParams!$C$23)+FixedParams!$B$33*(FixedParams!$C$28-FixedParams!$C$26)*M200)/N200</f>
        <v>4108.7374401910984</v>
      </c>
      <c r="U200" s="7">
        <f>(L200*FixedParams!$B$32*(FixedParams!$C$25-FixedParams!$C$23)*$Z$12/$B$11+FixedParams!$B$33*(FixedParams!$C$28-FixedParams!$C$26)*M200)/N200</f>
        <v>3350.3618525323345</v>
      </c>
      <c r="V200" s="14">
        <f t="shared" si="97"/>
        <v>0.18700918303865896</v>
      </c>
      <c r="W200" s="14">
        <f t="shared" si="140"/>
        <v>0.96906276029448557</v>
      </c>
      <c r="X200" s="73">
        <f t="shared" si="109"/>
        <v>0.84206316774086232</v>
      </c>
      <c r="Y200" s="24">
        <f>EXP(-$D$17)*(($B200*FixedParams!$B$30)^$B$10*(1+FixedParams!$C$24)^(1-$B$10)+(1-$B200)^$B$10*((1+FixedParams!$C$27)/$Z$12)^(1-$B$10))^(1/(1-$B$10))</f>
        <v>6.3660261553667334</v>
      </c>
      <c r="Z200" s="24">
        <f>EXP($D200-$D$17)*(($B200*FixedParams!$C$31)^$B$10*(1+FixedParams!$C$25)^(1-$B$10)+(1-$B200)^$B$10*((1+FixedParams!$C$28)/$Z$12)^(1-$B$10))^(1/(1-$B$10))</f>
        <v>6.9056764458561162</v>
      </c>
      <c r="AA200" s="24">
        <f>EXP($D200-$D$17)*(($B200*FixedParams!$C$30)^$B$10*(1+FixedParams!$C$23)^(1-$B$10)+(1-$B200)^$B$10*((1+FixedParams!$C$26)/$Z$12)^(1-$B$10))^(1/(1-$B$10))</f>
        <v>6.438118661338919</v>
      </c>
      <c r="AB200">
        <f>IF(FixedParams!$I$6=1,IF(Z200&lt;=MIN(Y200:AA200),1,0),$H200)</f>
        <v>0</v>
      </c>
      <c r="AC200">
        <f>IF(FixedParams!$I$6=1,IF(AA200&lt;=MIN(Y200:AA200),1,0),IF(AA200&lt;=Y200,1,0)*(1-$H200))</f>
        <v>0</v>
      </c>
      <c r="AD200" s="24">
        <f>$Z$13*IF(AB200=1,1,IF(AC200=1,FixedParams!$C$52,FixedParams!$C$53))</f>
        <v>0.47851548426682239</v>
      </c>
      <c r="AE200">
        <f>EXP($C200*FixedParams!$B$47)*EXP(IF(AB200+AC200=1,(1-FixedParams!$B$47)*$D200,0))*($B200^((FixedParams!$B$47-1)*$B$10/($B$10-1)))*((1/$B200-1)^$B$10*(AD200)^($B$10-1)+1)^((FixedParams!$B$47-$B$10)/($B$10-1))/((1+IF(AB200=1,FixedParams!$C$25,IF(AC200=1,FixedParams!$C$23,FixedParams!$C$24)))^FixedParams!$B$47)</f>
        <v>3.2065504086295833E-2</v>
      </c>
      <c r="AF200">
        <f t="shared" si="110"/>
        <v>0.94488001442941894</v>
      </c>
      <c r="AG200">
        <f t="shared" si="111"/>
        <v>22.193780558548433</v>
      </c>
      <c r="AH200">
        <f t="shared" si="98"/>
        <v>9.7445431531232778</v>
      </c>
      <c r="AI200">
        <f t="shared" si="112"/>
        <v>31.93832371167171</v>
      </c>
      <c r="AJ200" s="24">
        <f t="shared" si="113"/>
        <v>0.43906639192978542</v>
      </c>
      <c r="AK200" s="24">
        <f t="shared" si="114"/>
        <v>2.1262134047862098</v>
      </c>
      <c r="AL200" s="23">
        <f>IF(AB200=1,AG200*(1+FixedParams!$C$25)+AH200*(1+FixedParams!$C$28)/$Z$12,IF(AC200=1,AG200*(1+FixedParams!$C$23)+AH200*(1+FixedParams!$C$26)/$Z$12,AG200*(1+FixedParams!$C$24)+AH200*(1+FixedParams!$C$27)/$Z$12))</f>
        <v>70.601655038522154</v>
      </c>
      <c r="AM200" s="24">
        <f t="shared" si="115"/>
        <v>11.090380924527469</v>
      </c>
      <c r="AN200" s="24">
        <f>AM200^((FixedParams!$B$47-1)/FixedParams!$B$47)*EXP($C200)</f>
        <v>0.10136703301504012</v>
      </c>
      <c r="AO200" s="24">
        <f t="shared" si="116"/>
        <v>-0.22994269010019977</v>
      </c>
      <c r="AP200" s="24">
        <f t="shared" si="117"/>
        <v>-0.17190024648384231</v>
      </c>
      <c r="AQ200" s="14">
        <f t="shared" si="118"/>
        <v>8.6037934279096617E-2</v>
      </c>
      <c r="AS200" s="24">
        <f>EXP(-$D$17)*(($B200*FixedParams!$B$30)^$B$10*(1+FixedParams!$D$24)^(1-$B$10)+(1-$B200)^$B$10*((1+FixedParams!$D$27)/$AT$12)^(1-$B$10))^(1/(1-$B$10))</f>
        <v>5.8126353060738412</v>
      </c>
      <c r="AT200" s="24">
        <f>EXP($D200-$D$17)*(($B200*FixedParams!$C$31)^$B$10*(1+FixedParams!$D$25)^(1-$B$10)+(1-$B200)^$B$10*((1+FixedParams!$D$28)/$AT$12)^(1-$B$10))^(1/(1-$B$10))</f>
        <v>6.6125473268341279</v>
      </c>
      <c r="AU200" s="24">
        <f>EXP($D200-$D$17)*(($B200*FixedParams!$C$30)^$B$10*(1+FixedParams!$D$23)^(1-$B$10)+(1-$B200)^$B$10*((1+FixedParams!$D$26)/$AT$12)^(1-$B$10))^(1/(1-$B$10))</f>
        <v>6.2282593696645696</v>
      </c>
      <c r="AV200">
        <f>IF(FixedParams!$I$6=1,IF(AT200&lt;=MIN(AS200:AU200),1,0),$H200)</f>
        <v>0</v>
      </c>
      <c r="AW200">
        <f>IF(FixedParams!$I$6=1,IF(AU200&lt;=MIN(AS200:AU200),1,0),IF(AU200&lt;=AS200,1,0)*(1-$H200))</f>
        <v>0</v>
      </c>
      <c r="AX200" s="24">
        <f>$AT$13*IF(AV200=1,1,IF(AW200=1,FixedParams!$D$52,FixedParams!$D$53))</f>
        <v>0.44031288407969205</v>
      </c>
      <c r="AY200">
        <f>EXP($C200*FixedParams!$B$47)*EXP(IF(AV200+AW200=1,(1-FixedParams!$B$47)*$D200,0))*($B200^((FixedParams!$B$47-1)*$B$10/($B$10-1)))*((1/$B200-1)^$B$10*(AX200)^($B$10-1)+1)^((FixedParams!$B$47-$B$10)/($B$10-1))/((1+IF(AV200=1,FixedParams!$D$25,IF(AW200=1,FixedParams!$D$23,FixedParams!$D$24)))^FixedParams!$B$47)</f>
        <v>3.7251913297866757E-2</v>
      </c>
      <c r="AZ200">
        <f t="shared" si="99"/>
        <v>1.0031039085953404</v>
      </c>
      <c r="BA200">
        <f t="shared" si="119"/>
        <v>25.237960182251964</v>
      </c>
      <c r="BB200">
        <f t="shared" si="100"/>
        <v>9.7809838843482222</v>
      </c>
      <c r="BC200">
        <f t="shared" si="120"/>
        <v>35.018944066600184</v>
      </c>
      <c r="BD200" s="24">
        <f t="shared" si="121"/>
        <v>0.38755049194611546</v>
      </c>
      <c r="BE200" s="24">
        <f t="shared" si="122"/>
        <v>1.9683196639772951</v>
      </c>
      <c r="BF200" s="23">
        <f>IF(AV200=1,BA200*(1+FixedParams!$C$25)+BB200*(1+FixedParams!$C$28)/$AT$12,IF(AW200=1,BA200*(1+FixedParams!$C$23)+BB200*(1+FixedParams!$C$26)/$AT$12,BA200*(1+FixedParams!$C$24)+BB200*(1+FixedParams!$C$27)/$AT$12))</f>
        <v>75.314116524412739</v>
      </c>
      <c r="BG200" s="24">
        <f t="shared" si="123"/>
        <v>12.9569657407741</v>
      </c>
      <c r="BH200" s="24">
        <f>BG200^((FixedParams!$B$47-1)/FixedParams!$B$47)*EXP($C200)</f>
        <v>0.10135125027158798</v>
      </c>
      <c r="BI200" s="7"/>
      <c r="BJ200" s="24">
        <f>EXP(-$D$17)*(($B200*FixedParams!$B$30)^$B$10*(1+FixedParams!$C$24)^(1-$B$10)+(1-$B200)^$B$10*((1+FixedParams!$C$27)/$BK$12)^(1-$B$10))^(1/(1-$B$10))</f>
        <v>6.5201101354062931</v>
      </c>
      <c r="BK200" s="24">
        <f>EXP($D200-$D$17)*(($B200*FixedParams!$C$31)^$B$10*(1+FixedParams!$C$25)^(1-$B$10)+(1-$B200)^$B$10*((1+FixedParams!$C$28)/$BK$12)^(1-$B$10))^(1/(1-$B$10))</f>
        <v>7.0682797051681749</v>
      </c>
      <c r="BL200" s="24">
        <f>EXP($D200-$D$17)*(($B200*FixedParams!$C$30)^$B$10*(1+FixedParams!$C$23)^(1-$B$10)+(1-$B200)^$B$10*((1+FixedParams!$C$26)/$BK$12)^(1-$B$10))^(1/(1-$B$10))</f>
        <v>6.580758536489177</v>
      </c>
      <c r="BM200">
        <f>IF(FixedParams!$I$6=1,IF(BK200&lt;=MIN(BJ200:BL200),1,0),$H200)</f>
        <v>0</v>
      </c>
      <c r="BN200">
        <f>IF(FixedParams!$I$6=1,IF(BL200&lt;=MIN(BJ200:BL200),1,0),IF(BL200&lt;=BJ200,1,0)*(1-$H200))</f>
        <v>0</v>
      </c>
      <c r="BO200" s="24">
        <f>$BK$13*IF(BM200=1,1,IF(BN200=1,FixedParams!$C$52,FixedParams!$C$53))</f>
        <v>0.4550367853045027</v>
      </c>
      <c r="BP200">
        <f>EXP($C200*FixedParams!$B$47)*EXP(IF(BM200+BN200=1,(1-FixedParams!$B$47)*$D200,0))*($B200^((FixedParams!$B$47-1)*$B$10/($B$10-1)))*((1/$B200-1)^$B$10*(BO200)^($B$10-1)+1)^((FixedParams!$B$47-$B$10)/($B$10-1))/((1+IF(BM200=1,FixedParams!$C$25,IF(BN200=1,FixedParams!$C$23,FixedParams!$C$24)))^FixedParams!$B$47)</f>
        <v>3.2452018487134381E-2</v>
      </c>
      <c r="BQ200">
        <f t="shared" si="124"/>
        <v>0.93357162753994671</v>
      </c>
      <c r="BR200">
        <f t="shared" si="125"/>
        <v>23.809959087114699</v>
      </c>
      <c r="BS200">
        <f t="shared" si="101"/>
        <v>9.6942588339666962</v>
      </c>
      <c r="BT200">
        <f t="shared" si="126"/>
        <v>33.504217921081391</v>
      </c>
      <c r="BU200" s="24">
        <f t="shared" si="127"/>
        <v>0.40715142762311446</v>
      </c>
      <c r="BV200" s="24">
        <f t="shared" si="128"/>
        <v>2.0708272721572381</v>
      </c>
      <c r="BW200" s="23">
        <f>IF(BM200=1,BR200*(1+FixedParams!$C$25)+BS200*(1+FixedParams!$C$28)/$BK$12,IF(BN200=1,BR200*(1+FixedParams!$C$23)+BS200*(1+FixedParams!$C$26)/$BK$12,BR200*(1+FixedParams!$C$24)+BS200*(1+FixedParams!$C$27)/$BK$12))</f>
        <v>74.842620773278853</v>
      </c>
      <c r="BX200" s="24">
        <f t="shared" si="129"/>
        <v>11.478735668414458</v>
      </c>
      <c r="BY200" s="24">
        <f>BX200^((FixedParams!$B$47-1)/FixedParams!$B$47)*EXP($C200)</f>
        <v>0.10136354072194732</v>
      </c>
      <c r="BZ200" s="24">
        <f t="shared" si="130"/>
        <v>-0.18207801009778521</v>
      </c>
      <c r="CA200" s="24">
        <f t="shared" si="131"/>
        <v>-0.13748214431287126</v>
      </c>
      <c r="CB200" s="24">
        <f t="shared" si="132"/>
        <v>-0.12015368839346401</v>
      </c>
      <c r="CC200" s="24"/>
      <c r="CD200" s="24">
        <f>EXP(-$D$17)*(($B200*FixedParams!$B$30)^$B$10*(1+FixedParams!$D$24)^(1-$B$10)+(1-$B200)^$B$10*((1+FixedParams!$D$27)/$CE$12)^(1-$B$10))^(1/(1-$B$10))</f>
        <v>5.9411996667880276</v>
      </c>
      <c r="CE200" s="24">
        <f>EXP($D200-$D$17)*(($B200*FixedParams!$D$31)^$B$10*(1+FixedParams!$D$25)^(1-$B$10)+(1-$B200)^$B$10*((1+FixedParams!$D$28)/$CE$12)^(1-$B$10))^(1/(1-$B$10))</f>
        <v>6.75607403200965</v>
      </c>
      <c r="CF200" s="24">
        <f>EXP($D200-$D$17)*(($B200*FixedParams!$D$30)^$B$10*(1+FixedParams!$D$23)^(1-$B$10)+(1-$B200)^$B$10*((1+FixedParams!$D$26)/$CE$12)^(1-$B$10))^(1/(1-$B$10))</f>
        <v>6.3570084056042546</v>
      </c>
      <c r="CG200">
        <f>IF(FixedParams!$I$6=1,IF(CE200&lt;=MIN(CD200:CF200),1,0),$H200)</f>
        <v>0</v>
      </c>
      <c r="CH200">
        <f>IF(FixedParams!$I$6=1,IF(CF200&lt;=MIN(CD200:CF200),1,0),IF(CF200&lt;=CD200,1,0)*(1-$H200))</f>
        <v>0</v>
      </c>
      <c r="CI200" s="24">
        <f>$CE$13*IF(CG200=1,1,IF(CH200=1,FixedParams!$D$52,FixedParams!$D$53))</f>
        <v>0.42008589776177102</v>
      </c>
      <c r="CJ200">
        <f>EXP($C200*FixedParams!$B$47)*EXP(IF(CG200+CH200=1,(1-FixedParams!$B$47)*$D200,0))*($B200^((FixedParams!$B$47-1)*$B$10/($B$10-1)))*((1/$B200-1)^$B$10*(CI200)^($B$10-1)+1)^((FixedParams!$B$47-$B$10)/($B$10-1))/((1+IF(CG200=1,FixedParams!$D$25,IF(CH200=1,FixedParams!$D$23,FixedParams!$D$24)))^FixedParams!$B$47)</f>
        <v>3.7662454570386042E-2</v>
      </c>
      <c r="CK200">
        <f t="shared" si="133"/>
        <v>0.99166599452484505</v>
      </c>
      <c r="CL200">
        <f t="shared" si="135"/>
        <v>27.092594400733407</v>
      </c>
      <c r="CM200">
        <f t="shared" si="102"/>
        <v>9.7846197149714591</v>
      </c>
      <c r="CN200">
        <f t="shared" si="136"/>
        <v>36.877214115704867</v>
      </c>
      <c r="CO200" s="24">
        <f t="shared" si="137"/>
        <v>0.36115477057105266</v>
      </c>
      <c r="CP200" s="24">
        <f t="shared" si="138"/>
        <v>1.9194350131843565</v>
      </c>
      <c r="CQ200" s="23">
        <f>IF(CG200=1,CL200*(1+FixedParams!$D$25)+CM200*(1+FixedParams!$D$28)/$CE$12,IF(CH200=1,CL200*(1+FixedParams!$D$23)+CM200*(1+FixedParams!$D$26)/$CE$12,CL200*(1+FixedParams!$D$24)+CM200*(1+FixedParams!$D$27)/$CE$12))</f>
        <v>73.372555610607691</v>
      </c>
      <c r="CR200" s="24">
        <f t="shared" si="139"/>
        <v>12.349787875463688</v>
      </c>
      <c r="CS200" s="24">
        <f>CR200^((FixedParams!$B$47-1)/FixedParams!$B$47)*EXP($C200)</f>
        <v>0.10135611957569979</v>
      </c>
      <c r="CT200" s="24"/>
    </row>
    <row r="201" spans="1:98" x14ac:dyDescent="0.15">
      <c r="A201">
        <v>0.92</v>
      </c>
      <c r="B201">
        <f t="shared" si="103"/>
        <v>0.45591067543664249</v>
      </c>
      <c r="C201">
        <f>(D201-$D$17)*FixedParams!$B$47+$A201*$B$9</f>
        <v>-2.2990939480510506</v>
      </c>
      <c r="D201">
        <f>(A201-$B$6)*FixedParams!$B$46/(FixedParams!$B$45*Sectors!$B$6)</f>
        <v>0.22820760055497943</v>
      </c>
      <c r="E201">
        <f t="shared" si="104"/>
        <v>0.10034972460874286</v>
      </c>
      <c r="F201" s="24">
        <f>EXP(-$D$17)*(($B201*FixedParams!$B$30)^$B$10*(1+FixedParams!$B$23)^(1-$B$10)+(1-$B201)^$B$10*((1+FixedParams!$B$26)/$B$11)^(1-$B$10))^(1/(1-$B$10))</f>
        <v>4.5237299193278009</v>
      </c>
      <c r="G201" s="24">
        <f>EXP($D201-$D$17)*(($B201*FixedParams!$B$31)^$B$10*(1+FixedParams!$B$25)^(1-$B$10)+(1-$B201)^$B$10*((1+FixedParams!$B$28)/$B$11)^(1-$B$10))^(1/(1-$B$10))</f>
        <v>5.3910288334166871</v>
      </c>
      <c r="H201">
        <f t="shared" si="105"/>
        <v>0</v>
      </c>
      <c r="I201" s="24">
        <f>$B$12*IF(H201=1,1,FixedParams!$B$52)</f>
        <v>0.39101505882574561</v>
      </c>
      <c r="J201">
        <f>EXP($C201*FixedParams!$B$47)*EXP(IF(H201=1,(1-FixedParams!$B$47)*$D201,0))*($B201^((FixedParams!$B$47-1)*$B$10/($B$10-1)))*((1/$B201-1)^$B$10*(I201)^($B$10-1)+1)^((FixedParams!$B$47-$B$10)/($B$10-1))/((1+IF(H201=1,FixedParams!$B$25,FixedParams!$B$24))^FixedParams!$B$47)</f>
        <v>5.153537868119306E-2</v>
      </c>
      <c r="K201">
        <f t="shared" si="134"/>
        <v>1.039086320023076</v>
      </c>
      <c r="L201">
        <f>K201*FixedParams!$B$8/K$15</f>
        <v>30.209491048603471</v>
      </c>
      <c r="M201">
        <f t="shared" si="94"/>
        <v>9.6298450341080279</v>
      </c>
      <c r="N201">
        <f t="shared" si="106"/>
        <v>39.839336082711498</v>
      </c>
      <c r="O201" s="24">
        <f t="shared" si="107"/>
        <v>0.31876886037618957</v>
      </c>
      <c r="P201" s="24">
        <f t="shared" si="95"/>
        <v>1.7688465205177455</v>
      </c>
      <c r="Q201" s="23">
        <f>IF(H201=1,L201*(1+FixedParams!$B$25)+M201*FixedParams!$B$33*(1+FixedParams!$B$28)/FixedParams!$B$32,L201*(1+FixedParams!$B$23)+M201*FixedParams!$B$33*(1+FixedParams!$B$26)/FixedParams!$B$32)</f>
        <v>59.032355840311958</v>
      </c>
      <c r="R201" s="24">
        <f t="shared" si="96"/>
        <v>13.049487235764024</v>
      </c>
      <c r="S201" s="24">
        <f>R201^((FixedParams!$B$47-1)/FixedParams!$B$47)*EXP($C201)</f>
        <v>0.10009202479506678</v>
      </c>
      <c r="T201" s="7">
        <f>(L201*FixedParams!$B$32*(FixedParams!$C$25-FixedParams!$C$23)+FixedParams!$B$33*(FixedParams!$C$28-FixedParams!$C$26)*M201)/N201</f>
        <v>4144.8102076820087</v>
      </c>
      <c r="U201" s="7">
        <f>(L201*FixedParams!$B$32*(FixedParams!$C$25-FixedParams!$C$23)*$Z$12/$B$11+FixedParams!$B$33*(FixedParams!$C$28-FixedParams!$C$26)*M201)/N201</f>
        <v>3383.2412056297826</v>
      </c>
      <c r="V201" s="14">
        <f t="shared" si="97"/>
        <v>0.20427980833474274</v>
      </c>
      <c r="W201" s="14">
        <f t="shared" si="140"/>
        <v>0.97101679494502158</v>
      </c>
      <c r="X201" s="73">
        <f t="shared" si="109"/>
        <v>0.84133401474855285</v>
      </c>
      <c r="Y201" s="24">
        <f>EXP(-$D$17)*(($B201*FixedParams!$B$30)^$B$10*(1+FixedParams!$C$24)^(1-$B$10)+(1-$B201)^$B$10*((1+FixedParams!$C$27)/$Z$12)^(1-$B$10))^(1/(1-$B$10))</f>
        <v>6.3508350626568824</v>
      </c>
      <c r="Z201" s="24">
        <f>EXP($D201-$D$17)*(($B201*FixedParams!$C$31)^$B$10*(1+FixedParams!$C$25)^(1-$B$10)+(1-$B201)^$B$10*((1+FixedParams!$C$28)/$Z$12)^(1-$B$10))^(1/(1-$B$10))</f>
        <v>6.9048922656729825</v>
      </c>
      <c r="AA201" s="24">
        <f>EXP($D201-$D$17)*(($B201*FixedParams!$C$30)^$B$10*(1+FixedParams!$C$23)^(1-$B$10)+(1-$B201)^$B$10*((1+FixedParams!$C$26)/$Z$12)^(1-$B$10))^(1/(1-$B$10))</f>
        <v>6.4313783952222305</v>
      </c>
      <c r="AB201">
        <f>IF(FixedParams!$I$6=1,IF(Z201&lt;=MIN(Y201:AA201),1,0),$H201)</f>
        <v>0</v>
      </c>
      <c r="AC201">
        <f>IF(FixedParams!$I$6=1,IF(AA201&lt;=MIN(Y201:AA201),1,0),IF(AA201&lt;=Y201,1,0)*(1-$H201))</f>
        <v>0</v>
      </c>
      <c r="AD201" s="24">
        <f>$Z$13*IF(AB201=1,1,IF(AC201=1,FixedParams!$C$52,FixedParams!$C$53))</f>
        <v>0.47851548426682239</v>
      </c>
      <c r="AE201">
        <f>EXP($C201*FixedParams!$B$47)*EXP(IF(AB201+AC201=1,(1-FixedParams!$B$47)*$D201,0))*($B201^((FixedParams!$B$47-1)*$B$10/($B$10-1)))*((1/$B201-1)^$B$10*(AD201)^($B$10-1)+1)^((FixedParams!$B$47-$B$10)/($B$10-1))/((1+IF(AB201=1,FixedParams!$C$25,IF(AC201=1,FixedParams!$C$23,FixedParams!$C$24)))^FixedParams!$B$47)</f>
        <v>3.1929255731153947E-2</v>
      </c>
      <c r="AF201">
        <f t="shared" si="110"/>
        <v>0.94086515948043747</v>
      </c>
      <c r="AG201">
        <f t="shared" si="111"/>
        <v>22.099477781104355</v>
      </c>
      <c r="AH201">
        <f t="shared" si="98"/>
        <v>9.5369975171361805</v>
      </c>
      <c r="AI201">
        <f t="shared" si="112"/>
        <v>31.636475298240534</v>
      </c>
      <c r="AJ201" s="24">
        <f t="shared" si="113"/>
        <v>0.43154854660369252</v>
      </c>
      <c r="AK201" s="24">
        <f t="shared" si="114"/>
        <v>2.121139673675978</v>
      </c>
      <c r="AL201" s="23">
        <f>IF(AB201=1,AG201*(1+FixedParams!$C$25)+AH201*(1+FixedParams!$C$28)/$Z$12,IF(AC201=1,AG201*(1+FixedParams!$C$23)+AH201*(1+FixedParams!$C$26)/$Z$12,AG201*(1+FixedParams!$C$24)+AH201*(1+FixedParams!$C$27)/$Z$12))</f>
        <v>69.725675173228126</v>
      </c>
      <c r="AM201" s="24">
        <f t="shared" si="115"/>
        <v>10.978977486475342</v>
      </c>
      <c r="AN201" s="24">
        <f>AM201^((FixedParams!$B$47-1)/FixedParams!$B$47)*EXP($C201)</f>
        <v>0.10010933615400591</v>
      </c>
      <c r="AO201" s="24">
        <f t="shared" si="116"/>
        <v>-0.23054403147500596</v>
      </c>
      <c r="AP201" s="24">
        <f t="shared" si="117"/>
        <v>-0.17276653406646836</v>
      </c>
      <c r="AQ201" s="14">
        <f t="shared" si="118"/>
        <v>0.10330855957518051</v>
      </c>
      <c r="AS201" s="24">
        <f>EXP(-$D$17)*(($B201*FixedParams!$B$30)^$B$10*(1+FixedParams!$D$24)^(1-$B$10)+(1-$B201)^$B$10*((1+FixedParams!$D$27)/$AT$12)^(1-$B$10))^(1/(1-$B$10))</f>
        <v>5.7966889843537279</v>
      </c>
      <c r="AT201" s="24">
        <f>EXP($D201-$D$17)*(($B201*FixedParams!$C$31)^$B$10*(1+FixedParams!$D$25)^(1-$B$10)+(1-$B201)^$B$10*((1+FixedParams!$D$28)/$AT$12)^(1-$B$10))^(1/(1-$B$10))</f>
        <v>6.610383821016554</v>
      </c>
      <c r="AU201" s="24">
        <f>EXP($D201-$D$17)*(($B201*FixedParams!$C$30)^$B$10*(1+FixedParams!$D$23)^(1-$B$10)+(1-$B201)^$B$10*((1+FixedParams!$D$26)/$AT$12)^(1-$B$10))^(1/(1-$B$10))</f>
        <v>6.2215935994426799</v>
      </c>
      <c r="AV201">
        <f>IF(FixedParams!$I$6=1,IF(AT201&lt;=MIN(AS201:AU201),1,0),$H201)</f>
        <v>0</v>
      </c>
      <c r="AW201">
        <f>IF(FixedParams!$I$6=1,IF(AU201&lt;=MIN(AS201:AU201),1,0),IF(AU201&lt;=AS201,1,0)*(1-$H201))</f>
        <v>0</v>
      </c>
      <c r="AX201" s="24">
        <f>$AT$13*IF(AV201=1,1,IF(AW201=1,FixedParams!$D$52,FixedParams!$D$53))</f>
        <v>0.44031288407969205</v>
      </c>
      <c r="AY201">
        <f>EXP($C201*FixedParams!$B$47)*EXP(IF(AV201+AW201=1,(1-FixedParams!$B$47)*$D201,0))*($B201^((FixedParams!$B$47-1)*$B$10/($B$10-1)))*((1/$B201-1)^$B$10*(AX201)^($B$10-1)+1)^((FixedParams!$B$47-$B$10)/($B$10-1))/((1+IF(AV201=1,FixedParams!$D$25,IF(AW201=1,FixedParams!$D$23,FixedParams!$D$24)))^FixedParams!$B$47)</f>
        <v>3.7086974523967885E-2</v>
      </c>
      <c r="AZ201">
        <f t="shared" si="99"/>
        <v>0.99866250641945919</v>
      </c>
      <c r="BA201">
        <f t="shared" si="119"/>
        <v>25.126215097512716</v>
      </c>
      <c r="BB201">
        <f t="shared" si="100"/>
        <v>9.5709451765998441</v>
      </c>
      <c r="BC201">
        <f t="shared" si="120"/>
        <v>34.697160274112562</v>
      </c>
      <c r="BD201" s="24">
        <f t="shared" si="121"/>
        <v>0.38091471952523748</v>
      </c>
      <c r="BE201" s="24">
        <f t="shared" si="122"/>
        <v>1.9629197967988039</v>
      </c>
      <c r="BF201" s="23">
        <f>IF(AV201=1,BA201*(1+FixedParams!$C$25)+BB201*(1+FixedParams!$C$28)/$AT$12,IF(AW201=1,BA201*(1+FixedParams!$C$23)+BB201*(1+FixedParams!$C$26)/$AT$12,BA201*(1+FixedParams!$C$24)+BB201*(1+FixedParams!$C$27)/$AT$12))</f>
        <v>74.410522198410035</v>
      </c>
      <c r="BG201" s="24">
        <f t="shared" si="123"/>
        <v>12.836728415006736</v>
      </c>
      <c r="BH201" s="24">
        <f>BG201^((FixedParams!$B$47-1)/FixedParams!$B$47)*EXP($C201)</f>
        <v>0.10009367180547815</v>
      </c>
      <c r="BI201" s="7"/>
      <c r="BJ201" s="24">
        <f>EXP(-$D$17)*(($B201*FixedParams!$B$30)^$B$10*(1+FixedParams!$C$24)^(1-$B$10)+(1-$B201)^$B$10*((1+FixedParams!$C$27)/$BK$12)^(1-$B$10))^(1/(1-$B$10))</f>
        <v>6.5031426552149467</v>
      </c>
      <c r="BK201" s="24">
        <f>EXP($D201-$D$17)*(($B201*FixedParams!$C$31)^$B$10*(1+FixedParams!$C$25)^(1-$B$10)+(1-$B201)^$B$10*((1+FixedParams!$C$28)/$BK$12)^(1-$B$10))^(1/(1-$B$10))</f>
        <v>7.0659516437224621</v>
      </c>
      <c r="BL201" s="24">
        <f>EXP($D201-$D$17)*(($B201*FixedParams!$C$30)^$B$10*(1+FixedParams!$C$23)^(1-$B$10)+(1-$B201)^$B$10*((1+FixedParams!$C$26)/$BK$12)^(1-$B$10))^(1/(1-$B$10))</f>
        <v>6.572466418498184</v>
      </c>
      <c r="BM201">
        <f>IF(FixedParams!$I$6=1,IF(BK201&lt;=MIN(BJ201:BL201),1,0),$H201)</f>
        <v>0</v>
      </c>
      <c r="BN201">
        <f>IF(FixedParams!$I$6=1,IF(BL201&lt;=MIN(BJ201:BL201),1,0),IF(BL201&lt;=BJ201,1,0)*(1-$H201))</f>
        <v>0</v>
      </c>
      <c r="BO201" s="24">
        <f>$BK$13*IF(BM201=1,1,IF(BN201=1,FixedParams!$C$52,FixedParams!$C$53))</f>
        <v>0.4550367853045027</v>
      </c>
      <c r="BP201">
        <f>EXP($C201*FixedParams!$B$47)*EXP(IF(BM201+BN201=1,(1-FixedParams!$B$47)*$D201,0))*($B201^((FixedParams!$B$47-1)*$B$10/($B$10-1)))*((1/$B201-1)^$B$10*(BO201)^($B$10-1)+1)^((FixedParams!$B$47-$B$10)/($B$10-1))/((1+IF(BM201=1,FixedParams!$C$25,IF(BN201=1,FixedParams!$C$23,FixedParams!$C$24)))^FixedParams!$B$47)</f>
        <v>3.2310621459998579E-2</v>
      </c>
      <c r="BQ201">
        <f t="shared" si="124"/>
        <v>0.9295039528957697</v>
      </c>
      <c r="BR201">
        <f t="shared" si="125"/>
        <v>23.706216466837386</v>
      </c>
      <c r="BS201">
        <f t="shared" si="101"/>
        <v>9.4867546838192425</v>
      </c>
      <c r="BT201">
        <f t="shared" si="126"/>
        <v>33.192971150656632</v>
      </c>
      <c r="BU201" s="24">
        <f t="shared" si="127"/>
        <v>0.4001800412600745</v>
      </c>
      <c r="BV201" s="24">
        <f t="shared" si="128"/>
        <v>2.0654382955923754</v>
      </c>
      <c r="BW201" s="23">
        <f>IF(BM201=1,BR201*(1+FixedParams!$C$25)+BS201*(1+FixedParams!$C$28)/$BK$12,IF(BN201=1,BR201*(1+FixedParams!$C$23)+BS201*(1+FixedParams!$C$26)/$BK$12,BR201*(1+FixedParams!$C$24)+BS201*(1+FixedParams!$C$27)/$BK$12))</f>
        <v>73.914005727102847</v>
      </c>
      <c r="BX201" s="24">
        <f t="shared" si="129"/>
        <v>11.365890254280419</v>
      </c>
      <c r="BY201" s="24">
        <f>BX201^((FixedParams!$B$47-1)/FixedParams!$B$47)*EXP($C201)</f>
        <v>0.10010586550860578</v>
      </c>
      <c r="BZ201" s="24">
        <f t="shared" si="130"/>
        <v>-0.18251662680836239</v>
      </c>
      <c r="CA201" s="24">
        <f t="shared" si="131"/>
        <v>-0.13813205350476301</v>
      </c>
      <c r="CB201" s="24">
        <f t="shared" si="132"/>
        <v>-0.12080359758535576</v>
      </c>
      <c r="CC201" s="24"/>
      <c r="CD201" s="24">
        <f>EXP(-$D$17)*(($B201*FixedParams!$B$30)^$B$10*(1+FixedParams!$D$24)^(1-$B$10)+(1-$B201)^$B$10*((1+FixedParams!$D$27)/$CE$12)^(1-$B$10))^(1/(1-$B$10))</f>
        <v>5.9237043374696254</v>
      </c>
      <c r="CE201" s="24">
        <f>EXP($D201-$D$17)*(($B201*FixedParams!$D$31)^$B$10*(1+FixedParams!$D$25)^(1-$B$10)+(1-$B201)^$B$10*((1+FixedParams!$D$28)/$CE$12)^(1-$B$10))^(1/(1-$B$10))</f>
        <v>6.752503766894371</v>
      </c>
      <c r="CF201" s="24">
        <f>EXP($D201-$D$17)*(($B201*FixedParams!$D$30)^$B$10*(1+FixedParams!$D$23)^(1-$B$10)+(1-$B201)^$B$10*((1+FixedParams!$D$26)/$CE$12)^(1-$B$10))^(1/(1-$B$10))</f>
        <v>6.3489387904628556</v>
      </c>
      <c r="CG201">
        <f>IF(FixedParams!$I$6=1,IF(CE201&lt;=MIN(CD201:CF201),1,0),$H201)</f>
        <v>0</v>
      </c>
      <c r="CH201">
        <f>IF(FixedParams!$I$6=1,IF(CF201&lt;=MIN(CD201:CF201),1,0),IF(CF201&lt;=CD201,1,0)*(1-$H201))</f>
        <v>0</v>
      </c>
      <c r="CI201" s="24">
        <f>$CE$13*IF(CG201=1,1,IF(CH201=1,FixedParams!$D$52,FixedParams!$D$53))</f>
        <v>0.42008589776177102</v>
      </c>
      <c r="CJ201">
        <f>EXP($C201*FixedParams!$B$47)*EXP(IF(CG201+CH201=1,(1-FixedParams!$B$47)*$D201,0))*($B201^((FixedParams!$B$47-1)*$B$10/($B$10-1)))*((1/$B201-1)^$B$10*(CI201)^($B$10-1)+1)^((FixedParams!$B$47-$B$10)/($B$10-1))/((1+IF(CG201=1,FixedParams!$D$25,IF(CH201=1,FixedParams!$D$23,FixedParams!$D$24)))^FixedParams!$B$47)</f>
        <v>3.7491904891680576E-2</v>
      </c>
      <c r="CK201">
        <f t="shared" si="133"/>
        <v>0.98717536005402817</v>
      </c>
      <c r="CL201">
        <f t="shared" si="135"/>
        <v>26.969909001625727</v>
      </c>
      <c r="CM201">
        <f t="shared" si="102"/>
        <v>9.5735343476418411</v>
      </c>
      <c r="CN201">
        <f t="shared" si="136"/>
        <v>36.543443349267569</v>
      </c>
      <c r="CO201" s="24">
        <f t="shared" si="137"/>
        <v>0.35497095474310852</v>
      </c>
      <c r="CP201" s="24">
        <f t="shared" si="138"/>
        <v>1.9137827628739261</v>
      </c>
      <c r="CQ201" s="23">
        <f>IF(CG201=1,CL201*(1+FixedParams!$D$25)+CM201*(1+FixedParams!$D$28)/$CE$12,IF(CH201=1,CL201*(1+FixedParams!$D$23)+CM201*(1+FixedParams!$D$26)/$CE$12,CL201*(1+FixedParams!$D$24)+CM201*(1+FixedParams!$D$27)/$CE$12))</f>
        <v>72.462155619386181</v>
      </c>
      <c r="CR201" s="24">
        <f t="shared" si="139"/>
        <v>12.232574668022538</v>
      </c>
      <c r="CS201" s="24">
        <f>CR201^((FixedParams!$B$47-1)/FixedParams!$B$47)*EXP($C201)</f>
        <v>0.10009850207002541</v>
      </c>
      <c r="CT201" s="24"/>
    </row>
    <row r="202" spans="1:98" x14ac:dyDescent="0.15">
      <c r="A202">
        <v>0.92500000000000004</v>
      </c>
      <c r="B202">
        <f t="shared" si="103"/>
        <v>0.45876815075226457</v>
      </c>
      <c r="C202">
        <f>(D202-$D$17)*FixedParams!$B$47+$A202*$B$9</f>
        <v>-2.3115890238556762</v>
      </c>
      <c r="D202">
        <f>(A202-$B$6)*FixedParams!$B$46/(FixedParams!$B$45*Sectors!$B$6)</f>
        <v>0.23092435770444347</v>
      </c>
      <c r="E202">
        <f t="shared" si="104"/>
        <v>9.9103648313794104E-2</v>
      </c>
      <c r="F202" s="24">
        <f>EXP(-$D$17)*(($B202*FixedParams!$B$30)^$B$10*(1+FixedParams!$B$23)^(1-$B$10)+(1-$B202)^$B$10*((1+FixedParams!$B$26)/$B$11)^(1-$B$10))^(1/(1-$B$10))</f>
        <v>4.5088026741516574</v>
      </c>
      <c r="G202" s="24">
        <f>EXP($D202-$D$17)*(($B202*FixedParams!$B$31)^$B$10*(1+FixedParams!$B$25)^(1-$B$10)+(1-$B202)^$B$10*((1+FixedParams!$B$28)/$B$11)^(1-$B$10))^(1/(1-$B$10))</f>
        <v>5.3868716946355786</v>
      </c>
      <c r="H202">
        <f t="shared" si="105"/>
        <v>0</v>
      </c>
      <c r="I202" s="24">
        <f>$B$12*IF(H202=1,1,FixedParams!$B$52)</f>
        <v>0.39101505882574561</v>
      </c>
      <c r="J202">
        <f>EXP($C202*FixedParams!$B$47)*EXP(IF(H202=1,(1-FixedParams!$B$47)*$D202,0))*($B202^((FixedParams!$B$47-1)*$B$10/($B$10-1)))*((1/$B202-1)^$B$10*(I202)^($B$10-1)+1)^((FixedParams!$B$47-$B$10)/($B$10-1))/((1+IF(H202=1,FixedParams!$B$25,FixedParams!$B$24))^FixedParams!$B$47)</f>
        <v>5.1290324681455002E-2</v>
      </c>
      <c r="K202">
        <f t="shared" si="134"/>
        <v>1.034145398556874</v>
      </c>
      <c r="L202">
        <f>K202*FixedParams!$B$8/K$15</f>
        <v>30.065842999419488</v>
      </c>
      <c r="M202">
        <f t="shared" si="94"/>
        <v>9.4199530413300074</v>
      </c>
      <c r="N202">
        <f t="shared" si="106"/>
        <v>39.485796040749491</v>
      </c>
      <c r="O202" s="24">
        <f t="shared" si="107"/>
        <v>0.31331079063746486</v>
      </c>
      <c r="P202" s="24">
        <f t="shared" si="95"/>
        <v>1.7630097428670894</v>
      </c>
      <c r="Q202" s="23">
        <f>IF(H202=1,L202*(1+FixedParams!$B$25)+M202*FixedParams!$B$33*(1+FixedParams!$B$28)/FixedParams!$B$32,L202*(1+FixedParams!$B$23)+M202*FixedParams!$B$33*(1+FixedParams!$B$26)/FixedParams!$B$32)</f>
        <v>58.299866980181378</v>
      </c>
      <c r="R202" s="24">
        <f t="shared" si="96"/>
        <v>12.930232523682275</v>
      </c>
      <c r="S202" s="24">
        <f>R202^((FixedParams!$B$47-1)/FixedParams!$B$47)*EXP($C202)</f>
        <v>9.8850056858895821E-2</v>
      </c>
      <c r="T202" s="7">
        <f>(L202*FixedParams!$B$32*(FixedParams!$C$25-FixedParams!$C$23)+FixedParams!$B$33*(FixedParams!$C$28-FixedParams!$C$26)*M202)/N202</f>
        <v>4180.5625920485854</v>
      </c>
      <c r="U202" s="7">
        <f>(L202*FixedParams!$B$32*(FixedParams!$C$25-FixedParams!$C$23)*$Z$12/$B$11+FixedParams!$B$33*(FixedParams!$C$28-FixedParams!$C$26)*M202)/N202</f>
        <v>3415.8285381642377</v>
      </c>
      <c r="V202" s="14">
        <f t="shared" si="97"/>
        <v>0.22155043363082591</v>
      </c>
      <c r="W202" s="14">
        <f t="shared" si="140"/>
        <v>0.97295348920888769</v>
      </c>
      <c r="X202" s="73">
        <f t="shared" si="109"/>
        <v>0.8406064570662819</v>
      </c>
      <c r="Y202" s="24">
        <f>EXP(-$D$17)*(($B202*FixedParams!$B$30)^$B$10*(1+FixedParams!$C$24)^(1-$B$10)+(1-$B202)^$B$10*((1+FixedParams!$C$27)/$Z$12)^(1-$B$10))^(1/(1-$B$10))</f>
        <v>6.3353628929768604</v>
      </c>
      <c r="Z202" s="24">
        <f>EXP($D202-$D$17)*(($B202*FixedParams!$C$31)^$B$10*(1+FixedParams!$C$25)^(1-$B$10)+(1-$B202)^$B$10*((1+FixedParams!$C$28)/$Z$12)^(1-$B$10))^(1/(1-$B$10))</f>
        <v>6.9037657617266799</v>
      </c>
      <c r="AA202" s="24">
        <f>EXP($D202-$D$17)*(($B202*FixedParams!$C$30)^$B$10*(1+FixedParams!$C$23)^(1-$B$10)+(1-$B202)^$B$10*((1+FixedParams!$C$26)/$Z$12)^(1-$B$10))^(1/(1-$B$10))</f>
        <v>6.4243373346686043</v>
      </c>
      <c r="AB202">
        <f>IF(FixedParams!$I$6=1,IF(Z202&lt;=MIN(Y202:AA202),1,0),$H202)</f>
        <v>0</v>
      </c>
      <c r="AC202">
        <f>IF(FixedParams!$I$6=1,IF(AA202&lt;=MIN(Y202:AA202),1,0),IF(AA202&lt;=Y202,1,0)*(1-$H202))</f>
        <v>0</v>
      </c>
      <c r="AD202" s="24">
        <f>$Z$13*IF(AB202=1,1,IF(AC202=1,FixedParams!$C$52,FixedParams!$C$53))</f>
        <v>0.47851548426682239</v>
      </c>
      <c r="AE202">
        <f>EXP($C202*FixedParams!$B$47)*EXP(IF(AB202+AC202=1,(1-FixedParams!$B$47)*$D202,0))*($B202^((FixedParams!$B$47-1)*$B$10/($B$10-1)))*((1/$B202-1)^$B$10*(AD202)^($B$10-1)+1)^((FixedParams!$B$47-$B$10)/($B$10-1))/((1+IF(AB202=1,FixedParams!$C$25,IF(AC202=1,FixedParams!$C$23,FixedParams!$C$24)))^FixedParams!$B$47)</f>
        <v>3.1791220339096038E-2</v>
      </c>
      <c r="AF202">
        <f t="shared" si="110"/>
        <v>0.93679764559110523</v>
      </c>
      <c r="AG202">
        <f t="shared" si="111"/>
        <v>22.003938126015765</v>
      </c>
      <c r="AH202">
        <f t="shared" si="98"/>
        <v>9.3331777301360734</v>
      </c>
      <c r="AI202">
        <f t="shared" si="112"/>
        <v>31.33711585615184</v>
      </c>
      <c r="AJ202" s="24">
        <f t="shared" si="113"/>
        <v>0.4241594244032727</v>
      </c>
      <c r="AK202" s="24">
        <f t="shared" si="114"/>
        <v>2.1159720645942817</v>
      </c>
      <c r="AL202" s="23">
        <f>IF(AB202=1,AG202*(1+FixedParams!$C$25)+AH202*(1+FixedParams!$C$28)/$Z$12,IF(AC202=1,AG202*(1+FixedParams!$C$23)+AH202*(1+FixedParams!$C$26)/$Z$12,AG202*(1+FixedParams!$C$24)+AH202*(1+FixedParams!$C$27)/$Z$12))</f>
        <v>68.860560452917753</v>
      </c>
      <c r="AM202" s="24">
        <f t="shared" si="115"/>
        <v>10.869236950775766</v>
      </c>
      <c r="AN202" s="24">
        <f>AM202^((FixedParams!$B$47-1)/FixedParams!$B$47)*EXP($C202)</f>
        <v>9.8867239033652951E-2</v>
      </c>
      <c r="AO202" s="24">
        <f t="shared" si="116"/>
        <v>-0.23113780820328686</v>
      </c>
      <c r="AP202" s="24">
        <f t="shared" si="117"/>
        <v>-0.17363167494373785</v>
      </c>
      <c r="AQ202" s="14">
        <f t="shared" si="118"/>
        <v>0.12057918487126353</v>
      </c>
      <c r="AS202" s="24">
        <f>EXP(-$D$17)*(($B202*FixedParams!$B$30)^$B$10*(1+FixedParams!$D$24)^(1-$B$10)+(1-$B202)^$B$10*((1+FixedParams!$D$27)/$AT$12)^(1-$B$10))^(1/(1-$B$10))</f>
        <v>5.7804990884749721</v>
      </c>
      <c r="AT202" s="24">
        <f>EXP($D202-$D$17)*(($B202*FixedParams!$C$31)^$B$10*(1+FixedParams!$D$25)^(1-$B$10)+(1-$B202)^$B$10*((1+FixedParams!$D$28)/$AT$12)^(1-$B$10))^(1/(1-$B$10))</f>
        <v>6.6078953152201079</v>
      </c>
      <c r="AU202" s="24">
        <f>EXP($D202-$D$17)*(($B202*FixedParams!$C$30)^$B$10*(1+FixedParams!$D$23)^(1-$B$10)+(1-$B202)^$B$10*((1+FixedParams!$D$26)/$AT$12)^(1-$B$10))^(1/(1-$B$10))</f>
        <v>6.2146374908267026</v>
      </c>
      <c r="AV202">
        <f>IF(FixedParams!$I$6=1,IF(AT202&lt;=MIN(AS202:AU202),1,0),$H202)</f>
        <v>0</v>
      </c>
      <c r="AW202">
        <f>IF(FixedParams!$I$6=1,IF(AU202&lt;=MIN(AS202:AU202),1,0),IF(AU202&lt;=AS202,1,0)*(1-$H202))</f>
        <v>0</v>
      </c>
      <c r="AX202" s="24">
        <f>$AT$13*IF(AV202=1,1,IF(AW202=1,FixedParams!$D$52,FixedParams!$D$53))</f>
        <v>0.44031288407969205</v>
      </c>
      <c r="AY202">
        <f>EXP($C202*FixedParams!$B$47)*EXP(IF(AV202+AW202=1,(1-FixedParams!$B$47)*$D202,0))*($B202^((FixedParams!$B$47-1)*$B$10/($B$10-1)))*((1/$B202-1)^$B$10*(AX202)^($B$10-1)+1)^((FixedParams!$B$47-$B$10)/($B$10-1))/((1+IF(AV202=1,FixedParams!$D$25,IF(AW202=1,FixedParams!$D$23,FixedParams!$D$24)))^FixedParams!$B$47)</f>
        <v>3.6920025466410669E-2</v>
      </c>
      <c r="AZ202">
        <f t="shared" si="99"/>
        <v>0.99416697216775829</v>
      </c>
      <c r="BA202">
        <f t="shared" si="119"/>
        <v>25.013108056985626</v>
      </c>
      <c r="BB202">
        <f t="shared" si="100"/>
        <v>9.3647217359859987</v>
      </c>
      <c r="BC202">
        <f t="shared" si="120"/>
        <v>34.377829792971625</v>
      </c>
      <c r="BD202" s="24">
        <f t="shared" si="121"/>
        <v>0.37439256707527124</v>
      </c>
      <c r="BE202" s="24">
        <f t="shared" si="122"/>
        <v>1.9574374486489723</v>
      </c>
      <c r="BF202" s="23">
        <f>IF(AV202=1,BA202*(1+FixedParams!$C$25)+BB202*(1+FixedParams!$C$28)/$AT$12,IF(AW202=1,BA202*(1+FixedParams!$C$23)+BB202*(1+FixedParams!$C$26)/$AT$12,BA202*(1+FixedParams!$C$24)+BB202*(1+FixedParams!$C$27)/$AT$12))</f>
        <v>73.517714514976376</v>
      </c>
      <c r="BG202" s="24">
        <f t="shared" si="123"/>
        <v>12.718229583593279</v>
      </c>
      <c r="BH202" s="24">
        <f>BG202^((FixedParams!$B$47-1)/FixedParams!$B$47)*EXP($C202)</f>
        <v>9.8851692678728773E-2</v>
      </c>
      <c r="BI202" s="7"/>
      <c r="BJ202" s="24">
        <f>EXP(-$D$17)*(($B202*FixedParams!$B$30)^$B$10*(1+FixedParams!$C$24)^(1-$B$10)+(1-$B202)^$B$10*((1+FixedParams!$C$27)/$BK$12)^(1-$B$10))^(1/(1-$B$10))</f>
        <v>6.4858958664993995</v>
      </c>
      <c r="BK202" s="24">
        <f>EXP($D202-$D$17)*(($B202*FixedParams!$C$31)^$B$10*(1+FixedParams!$C$25)^(1-$B$10)+(1-$B202)^$B$10*((1+FixedParams!$C$28)/$BK$12)^(1-$B$10))^(1/(1-$B$10))</f>
        <v>7.0632762190481495</v>
      </c>
      <c r="BL202" s="24">
        <f>EXP($D202-$D$17)*(($B202*FixedParams!$C$30)^$B$10*(1+FixedParams!$C$23)^(1-$B$10)+(1-$B202)^$B$10*((1+FixedParams!$C$26)/$BK$12)^(1-$B$10))^(1/(1-$B$10))</f>
        <v>6.5638735296060053</v>
      </c>
      <c r="BM202">
        <f>IF(FixedParams!$I$6=1,IF(BK202&lt;=MIN(BJ202:BL202),1,0),$H202)</f>
        <v>0</v>
      </c>
      <c r="BN202">
        <f>IF(FixedParams!$I$6=1,IF(BL202&lt;=MIN(BJ202:BL202),1,0),IF(BL202&lt;=BJ202,1,0)*(1-$H202))</f>
        <v>0</v>
      </c>
      <c r="BO202" s="24">
        <f>$BK$13*IF(BM202=1,1,IF(BN202=1,FixedParams!$C$52,FixedParams!$C$53))</f>
        <v>0.4550367853045027</v>
      </c>
      <c r="BP202">
        <f>EXP($C202*FixedParams!$B$47)*EXP(IF(BM202+BN202=1,(1-FixedParams!$B$47)*$D202,0))*($B202^((FixedParams!$B$47-1)*$B$10/($B$10-1)))*((1/$B202-1)^$B$10*(BO202)^($B$10-1)+1)^((FixedParams!$B$47-$B$10)/($B$10-1))/((1+IF(BM202=1,FixedParams!$C$25,IF(BN202=1,FixedParams!$C$23,FixedParams!$C$24)))^FixedParams!$B$47)</f>
        <v>3.2167450038273038E-2</v>
      </c>
      <c r="BQ202">
        <f t="shared" si="124"/>
        <v>0.92538523290765828</v>
      </c>
      <c r="BR202">
        <f t="shared" si="125"/>
        <v>23.60117197799979</v>
      </c>
      <c r="BS202">
        <f t="shared" si="101"/>
        <v>9.2830022760006017</v>
      </c>
      <c r="BT202">
        <f t="shared" si="126"/>
        <v>32.884174254000392</v>
      </c>
      <c r="BU202" s="24">
        <f t="shared" si="127"/>
        <v>0.39332802136495171</v>
      </c>
      <c r="BV202" s="24">
        <f t="shared" si="128"/>
        <v>2.0599606089141482</v>
      </c>
      <c r="BW202" s="23">
        <f>IF(BM202=1,BR202*(1+FixedParams!$C$25)+BS202*(1+FixedParams!$C$28)/$BK$12,IF(BN202=1,BR202*(1+FixedParams!$C$23)+BS202*(1+FixedParams!$C$26)/$BK$12,BR202*(1+FixedParams!$C$24)+BS202*(1+FixedParams!$C$27)/$BK$12))</f>
        <v>72.996908896591663</v>
      </c>
      <c r="BX202" s="24">
        <f t="shared" si="129"/>
        <v>11.254714907408761</v>
      </c>
      <c r="BY202" s="24">
        <f>BX202^((FixedParams!$B$47-1)/FixedParams!$B$47)*EXP($C202)</f>
        <v>9.886379005794653E-2</v>
      </c>
      <c r="BZ202" s="24">
        <f t="shared" si="130"/>
        <v>-0.18294949700553878</v>
      </c>
      <c r="CA202" s="24">
        <f t="shared" si="131"/>
        <v>-0.13878103216003398</v>
      </c>
      <c r="CB202" s="24">
        <f t="shared" si="132"/>
        <v>-0.12145257624062673</v>
      </c>
      <c r="CC202" s="24"/>
      <c r="CD202" s="24">
        <f>EXP(-$D$17)*(($B202*FixedParams!$B$30)^$B$10*(1+FixedParams!$D$24)^(1-$B$10)+(1-$B202)^$B$10*((1+FixedParams!$D$27)/$CE$12)^(1-$B$10))^(1/(1-$B$10))</f>
        <v>5.9059685788868288</v>
      </c>
      <c r="CE202" s="24">
        <f>EXP($D202-$D$17)*(($B202*FixedParams!$D$31)^$B$10*(1+FixedParams!$D$25)^(1-$B$10)+(1-$B202)^$B$10*((1+FixedParams!$D$28)/$CE$12)^(1-$B$10))^(1/(1-$B$10))</f>
        <v>6.7486049804342647</v>
      </c>
      <c r="CF202" s="24">
        <f>EXP($D202-$D$17)*(($B202*FixedParams!$D$30)^$B$10*(1+FixedParams!$D$23)^(1-$B$10)+(1-$B202)^$B$10*((1+FixedParams!$D$26)/$CE$12)^(1-$B$10))^(1/(1-$B$10))</f>
        <v>6.3405789340000016</v>
      </c>
      <c r="CG202">
        <f>IF(FixedParams!$I$6=1,IF(CE202&lt;=MIN(CD202:CF202),1,0),$H202)</f>
        <v>0</v>
      </c>
      <c r="CH202">
        <f>IF(FixedParams!$I$6=1,IF(CF202&lt;=MIN(CD202:CF202),1,0),IF(CF202&lt;=CD202,1,0)*(1-$H202))</f>
        <v>0</v>
      </c>
      <c r="CI202" s="24">
        <f>$CE$13*IF(CG202=1,1,IF(CH202=1,FixedParams!$D$52,FixedParams!$D$53))</f>
        <v>0.42008589776177102</v>
      </c>
      <c r="CJ202">
        <f>EXP($C202*FixedParams!$B$47)*EXP(IF(CG202+CH202=1,(1-FixedParams!$B$47)*$D202,0))*($B202^((FixedParams!$B$47-1)*$B$10/($B$10-1)))*((1/$B202-1)^$B$10*(CI202)^($B$10-1)+1)^((FixedParams!$B$47-$B$10)/($B$10-1))/((1+IF(CG202=1,FixedParams!$D$25,IF(CH202=1,FixedParams!$D$23,FixedParams!$D$24)))^FixedParams!$B$47)</f>
        <v>3.731936240054981E-2</v>
      </c>
      <c r="CK202">
        <f t="shared" si="133"/>
        <v>0.98263225411425958</v>
      </c>
      <c r="CL202">
        <f t="shared" si="135"/>
        <v>26.845790067200944</v>
      </c>
      <c r="CM202">
        <f t="shared" si="102"/>
        <v>9.3663087796991267</v>
      </c>
      <c r="CN202">
        <f t="shared" si="136"/>
        <v>36.212098846900069</v>
      </c>
      <c r="CO202" s="24">
        <f t="shared" si="137"/>
        <v>0.34889302033030828</v>
      </c>
      <c r="CP202" s="24">
        <f t="shared" si="138"/>
        <v>1.9080528366101268</v>
      </c>
      <c r="CQ202" s="23">
        <f>IF(CG202=1,CL202*(1+FixedParams!$D$25)+CM202*(1+FixedParams!$D$28)/$CE$12,IF(CH202=1,CL202*(1+FixedParams!$D$23)+CM202*(1+FixedParams!$D$26)/$CE$12,CL202*(1+FixedParams!$D$24)+CM202*(1+FixedParams!$D$27)/$CE$12))</f>
        <v>71.563048250911095</v>
      </c>
      <c r="CR202" s="24">
        <f t="shared" si="139"/>
        <v>12.11707229644616</v>
      </c>
      <c r="CS202" s="24">
        <f>CR202^((FixedParams!$B$47-1)/FixedParams!$B$47)*EXP($C202)</f>
        <v>9.885648408125336E-2</v>
      </c>
      <c r="CT202" s="24"/>
    </row>
    <row r="203" spans="1:98" x14ac:dyDescent="0.15">
      <c r="A203">
        <v>0.93</v>
      </c>
      <c r="B203">
        <f t="shared" si="103"/>
        <v>0.46162834040335815</v>
      </c>
      <c r="C203">
        <f>(D203-$D$17)*FixedParams!$B$47+$A203*$B$9</f>
        <v>-2.3240840996603014</v>
      </c>
      <c r="D203">
        <f>(A203-$B$6)*FixedParams!$B$46/(FixedParams!$B$45*Sectors!$B$6)</f>
        <v>0.23364111485390751</v>
      </c>
      <c r="E203">
        <f t="shared" si="104"/>
        <v>9.7873044967464698E-2</v>
      </c>
      <c r="F203" s="24">
        <f>EXP(-$D$17)*(($B203*FixedParams!$B$30)^$B$10*(1+FixedParams!$B$23)^(1-$B$10)+(1-$B203)^$B$10*((1+FixedParams!$B$26)/$B$11)^(1-$B$10))^(1/(1-$B$10))</f>
        <v>4.4937064113879774</v>
      </c>
      <c r="G203" s="24">
        <f>EXP($D203-$D$17)*(($B203*FixedParams!$B$31)^$B$10*(1+FixedParams!$B$25)^(1-$B$10)+(1-$B203)^$B$10*((1+FixedParams!$B$28)/$B$11)^(1-$B$10))^(1/(1-$B$10))</f>
        <v>5.3824582823370388</v>
      </c>
      <c r="H203">
        <f t="shared" si="105"/>
        <v>0</v>
      </c>
      <c r="I203" s="24">
        <f>$B$12*IF(H203=1,1,FixedParams!$B$52)</f>
        <v>0.39101505882574561</v>
      </c>
      <c r="J203">
        <f>EXP($C203*FixedParams!$B$47)*EXP(IF(H203=1,(1-FixedParams!$B$47)*$D203,0))*($B203^((FixedParams!$B$47-1)*$B$10/($B$10-1)))*((1/$B203-1)^$B$10*(I203)^($B$10-1)+1)^((FixedParams!$B$47-$B$10)/($B$10-1))/((1+IF(H203=1,FixedParams!$B$25,FixedParams!$B$24))^FixedParams!$B$47)</f>
        <v>5.1042673500982592E-2</v>
      </c>
      <c r="K203">
        <f t="shared" si="134"/>
        <v>1.0291521112200652</v>
      </c>
      <c r="L203">
        <f>K203*FixedParams!$B$8/K$15</f>
        <v>29.920672510502762</v>
      </c>
      <c r="M203">
        <f t="shared" si="94"/>
        <v>9.213956678184493</v>
      </c>
      <c r="N203">
        <f t="shared" si="106"/>
        <v>39.134629188687256</v>
      </c>
      <c r="O203" s="24">
        <f t="shared" si="107"/>
        <v>0.30794617584047312</v>
      </c>
      <c r="P203" s="24">
        <f t="shared" si="95"/>
        <v>1.7571068767945002</v>
      </c>
      <c r="Q203" s="23">
        <f>IF(H203=1,L203*(1+FixedParams!$B$25)+M203*FixedParams!$B$33*(1+FixedParams!$B$28)/FixedParams!$B$32,L203*(1+FixedParams!$B$23)+M203*FixedParams!$B$33*(1+FixedParams!$B$26)/FixedParams!$B$32)</f>
        <v>57.576464236167368</v>
      </c>
      <c r="R203" s="24">
        <f t="shared" si="96"/>
        <v>12.812689340419915</v>
      </c>
      <c r="S203" s="24">
        <f>R203^((FixedParams!$B$47-1)/FixedParams!$B$47)*EXP($C203)</f>
        <v>9.7623494842862896E-2</v>
      </c>
      <c r="T203" s="7">
        <f>(L203*FixedParams!$B$32*(FixedParams!$C$25-FixedParams!$C$23)+FixedParams!$B$33*(FixedParams!$C$28-FixedParams!$C$26)*M203)/N203</f>
        <v>4215.993581832724</v>
      </c>
      <c r="U203" s="7">
        <f>(L203*FixedParams!$B$32*(FixedParams!$C$25-FixedParams!$C$23)*$Z$12/$B$11+FixedParams!$B$33*(FixedParams!$C$28-FixedParams!$C$26)*M203)/N203</f>
        <v>3448.1229282189624</v>
      </c>
      <c r="V203" s="14">
        <f t="shared" si="97"/>
        <v>0.23882105892690952</v>
      </c>
      <c r="W203" s="14">
        <f t="shared" si="140"/>
        <v>0.97487295948599795</v>
      </c>
      <c r="X203" s="73">
        <f t="shared" si="109"/>
        <v>0.8398805978046392</v>
      </c>
      <c r="Y203" s="24">
        <f>EXP(-$D$17)*(($B203*FixedParams!$B$30)^$B$10*(1+FixedParams!$C$24)^(1-$B$10)+(1-$B203)^$B$10*((1+FixedParams!$C$27)/$Z$12)^(1-$B$10))^(1/(1-$B$10))</f>
        <v>6.3196133990320265</v>
      </c>
      <c r="Z203" s="24">
        <f>EXP($D203-$D$17)*(($B203*FixedParams!$C$31)^$B$10*(1+FixedParams!$C$25)^(1-$B$10)+(1-$B203)^$B$10*((1+FixedParams!$C$28)/$Z$12)^(1-$B$10))^(1/(1-$B$10))</f>
        <v>6.9022992088241484</v>
      </c>
      <c r="AA203" s="24">
        <f>EXP($D203-$D$17)*(($B203*FixedParams!$C$30)^$B$10*(1+FixedParams!$C$23)^(1-$B$10)+(1-$B203)^$B$10*((1+FixedParams!$C$26)/$Z$12)^(1-$B$10))^(1/(1-$B$10))</f>
        <v>6.4169993024602983</v>
      </c>
      <c r="AB203">
        <f>IF(FixedParams!$I$6=1,IF(Z203&lt;=MIN(Y203:AA203),1,0),$H203)</f>
        <v>0</v>
      </c>
      <c r="AC203">
        <f>IF(FixedParams!$I$6=1,IF(AA203&lt;=MIN(Y203:AA203),1,0),IF(AA203&lt;=Y203,1,0)*(1-$H203))</f>
        <v>0</v>
      </c>
      <c r="AD203" s="24">
        <f>$Z$13*IF(AB203=1,1,IF(AC203=1,FixedParams!$C$52,FixedParams!$C$53))</f>
        <v>0.47851548426682239</v>
      </c>
      <c r="AE203">
        <f>EXP($C203*FixedParams!$B$47)*EXP(IF(AB203+AC203=1,(1-FixedParams!$B$47)*$D203,0))*($B203^((FixedParams!$B$47-1)*$B$10/($B$10-1)))*((1/$B203-1)^$B$10*(AD203)^($B$10-1)+1)^((FixedParams!$B$47-$B$10)/($B$10-1))/((1+IF(AB203=1,FixedParams!$C$25,IF(AC203=1,FixedParams!$C$23,FixedParams!$C$24)))^FixedParams!$B$47)</f>
        <v>3.1651428415043231E-2</v>
      </c>
      <c r="AF203">
        <f t="shared" si="110"/>
        <v>0.93267837165545597</v>
      </c>
      <c r="AG203">
        <f t="shared" si="111"/>
        <v>21.907182706923159</v>
      </c>
      <c r="AH203">
        <f t="shared" si="98"/>
        <v>9.1330348338703757</v>
      </c>
      <c r="AI203">
        <f t="shared" si="112"/>
        <v>31.040217540793535</v>
      </c>
      <c r="AJ203" s="24">
        <f t="shared" si="113"/>
        <v>0.41689682128702621</v>
      </c>
      <c r="AK203" s="24">
        <f t="shared" si="114"/>
        <v>2.1107118309215256</v>
      </c>
      <c r="AL203" s="23">
        <f>IF(AB203=1,AG203*(1+FixedParams!$C$25)+AH203*(1+FixedParams!$C$28)/$Z$12,IF(AC203=1,AG203*(1+FixedParams!$C$23)+AH203*(1+FixedParams!$C$26)/$Z$12,AG203*(1+FixedParams!$C$24)+AH203*(1+FixedParams!$C$27)/$Z$12))</f>
        <v>68.006176171812953</v>
      </c>
      <c r="AM203" s="24">
        <f t="shared" si="115"/>
        <v>10.761129182717006</v>
      </c>
      <c r="AN203" s="24">
        <f>AM203^((FixedParams!$B$47-1)/FixedParams!$B$47)*EXP($C203)</f>
        <v>9.7640548248811923E-2</v>
      </c>
      <c r="AO203" s="24">
        <f t="shared" si="116"/>
        <v>-0.23172402833593339</v>
      </c>
      <c r="AP203" s="24">
        <f t="shared" si="117"/>
        <v>-0.17449554271907025</v>
      </c>
      <c r="AQ203" s="14">
        <f t="shared" si="118"/>
        <v>0.1378498101673474</v>
      </c>
      <c r="AS203" s="24">
        <f>EXP(-$D$17)*(($B203*FixedParams!$B$30)^$B$10*(1+FixedParams!$D$24)^(1-$B$10)+(1-$B203)^$B$10*((1+FixedParams!$D$27)/$AT$12)^(1-$B$10))^(1/(1-$B$10))</f>
        <v>5.7640695955288308</v>
      </c>
      <c r="AT203" s="24">
        <f>EXP($D203-$D$17)*(($B203*FixedParams!$C$31)^$B$10*(1+FixedParams!$D$25)^(1-$B$10)+(1-$B203)^$B$10*((1+FixedParams!$D$28)/$AT$12)^(1-$B$10))^(1/(1-$B$10))</f>
        <v>6.605084398862922</v>
      </c>
      <c r="AU203" s="24">
        <f>EXP($D203-$D$17)*(($B203*FixedParams!$C$30)^$B$10*(1+FixedParams!$D$23)^(1-$B$10)+(1-$B203)^$B$10*((1+FixedParams!$D$26)/$AT$12)^(1-$B$10))^(1/(1-$B$10))</f>
        <v>6.2073947812994454</v>
      </c>
      <c r="AV203">
        <f>IF(FixedParams!$I$6=1,IF(AT203&lt;=MIN(AS203:AU203),1,0),$H203)</f>
        <v>0</v>
      </c>
      <c r="AW203">
        <f>IF(FixedParams!$I$6=1,IF(AU203&lt;=MIN(AS203:AU203),1,0),IF(AU203&lt;=AS203,1,0)*(1-$H203))</f>
        <v>0</v>
      </c>
      <c r="AX203" s="24">
        <f>$AT$13*IF(AV203=1,1,IF(AW203=1,FixedParams!$D$52,FixedParams!$D$53))</f>
        <v>0.44031288407969205</v>
      </c>
      <c r="AY203">
        <f>EXP($C203*FixedParams!$B$47)*EXP(IF(AV203+AW203=1,(1-FixedParams!$B$47)*$D203,0))*($B203^((FixedParams!$B$47-1)*$B$10/($B$10-1)))*((1/$B203-1)^$B$10*(AX203)^($B$10-1)+1)^((FixedParams!$B$47-$B$10)/($B$10-1))/((1+IF(AV203=1,FixedParams!$D$25,IF(AW203=1,FixedParams!$D$23,FixedParams!$D$24)))^FixedParams!$B$47)</f>
        <v>3.675110351798714E-2</v>
      </c>
      <c r="AZ203">
        <f t="shared" si="99"/>
        <v>0.98961831273766976</v>
      </c>
      <c r="BA203">
        <f t="shared" si="119"/>
        <v>24.898664394075414</v>
      </c>
      <c r="BB203">
        <f t="shared" si="100"/>
        <v>9.1622625409287757</v>
      </c>
      <c r="BC203">
        <f t="shared" si="120"/>
        <v>34.06092693500419</v>
      </c>
      <c r="BD203" s="24">
        <f t="shared" si="121"/>
        <v>0.36798208915611219</v>
      </c>
      <c r="BE203" s="24">
        <f t="shared" si="122"/>
        <v>1.9518739662812974</v>
      </c>
      <c r="BF203" s="23">
        <f>IF(AV203=1,BA203*(1+FixedParams!$C$25)+BB203*(1+FixedParams!$C$28)/$AT$12,IF(AW203=1,BA203*(1+FixedParams!$C$23)+BB203*(1+FixedParams!$C$26)/$AT$12,BA203*(1+FixedParams!$C$24)+BB203*(1+FixedParams!$C$27)/$AT$12))</f>
        <v>72.635561036018771</v>
      </c>
      <c r="BG203" s="24">
        <f t="shared" si="123"/>
        <v>12.60143720200081</v>
      </c>
      <c r="BH203" s="24">
        <f>BG203^((FixedParams!$B$47-1)/FixedParams!$B$47)*EXP($C203)</f>
        <v>9.7625119487573311E-2</v>
      </c>
      <c r="BI203" s="7"/>
      <c r="BJ203" s="24">
        <f>EXP(-$D$17)*(($B203*FixedParams!$B$30)^$B$10*(1+FixedParams!$C$24)^(1-$B$10)+(1-$B203)^$B$10*((1+FixedParams!$C$27)/$BK$12)^(1-$B$10))^(1/(1-$B$10))</f>
        <v>6.468373989919816</v>
      </c>
      <c r="BK203" s="24">
        <f>EXP($D203-$D$17)*(($B203*FixedParams!$C$31)^$B$10*(1+FixedParams!$C$25)^(1-$B$10)+(1-$B203)^$B$10*((1+FixedParams!$C$28)/$BK$12)^(1-$B$10))^(1/(1-$B$10))</f>
        <v>7.0602562034917007</v>
      </c>
      <c r="BL203" s="24">
        <f>EXP($D203-$D$17)*(($B203*FixedParams!$C$30)^$B$10*(1+FixedParams!$C$23)^(1-$B$10)+(1-$B203)^$B$10*((1+FixedParams!$C$26)/$BK$12)^(1-$B$10))^(1/(1-$B$10))</f>
        <v>6.5549841525650789</v>
      </c>
      <c r="BM203">
        <f>IF(FixedParams!$I$6=1,IF(BK203&lt;=MIN(BJ203:BL203),1,0),$H203)</f>
        <v>0</v>
      </c>
      <c r="BN203">
        <f>IF(FixedParams!$I$6=1,IF(BL203&lt;=MIN(BJ203:BL203),1,0),IF(BL203&lt;=BJ203,1,0)*(1-$H203))</f>
        <v>0</v>
      </c>
      <c r="BO203" s="24">
        <f>$BK$13*IF(BM203=1,1,IF(BN203=1,FixedParams!$C$52,FixedParams!$C$53))</f>
        <v>0.4550367853045027</v>
      </c>
      <c r="BP203">
        <f>EXP($C203*FixedParams!$B$47)*EXP(IF(BM203+BN203=1,(1-FixedParams!$B$47)*$D203,0))*($B203^((FixedParams!$B$47-1)*$B$10/($B$10-1)))*((1/$B203-1)^$B$10*(BO203)^($B$10-1)+1)^((FixedParams!$B$47-$B$10)/($B$10-1))/((1+IF(BM203=1,FixedParams!$C$25,IF(BN203=1,FixedParams!$C$23,FixedParams!$C$24)))^FixedParams!$B$47)</f>
        <v>3.2022536132758975E-2</v>
      </c>
      <c r="BQ203">
        <f t="shared" si="124"/>
        <v>0.92121638557763563</v>
      </c>
      <c r="BR203">
        <f t="shared" si="125"/>
        <v>23.49484903347134</v>
      </c>
      <c r="BS203">
        <f t="shared" si="101"/>
        <v>9.0829517871748493</v>
      </c>
      <c r="BT203">
        <f t="shared" si="126"/>
        <v>32.577800820646189</v>
      </c>
      <c r="BU203" s="24">
        <f t="shared" si="127"/>
        <v>0.38659332410414948</v>
      </c>
      <c r="BV203" s="24">
        <f t="shared" si="128"/>
        <v>2.0543955526303077</v>
      </c>
      <c r="BW203" s="23">
        <f>IF(BM203=1,BR203*(1+FixedParams!$C$25)+BS203*(1+FixedParams!$C$28)/$BK$12,IF(BN203=1,BR203*(1+FixedParams!$C$23)+BS203*(1+FixedParams!$C$26)/$BK$12,BR203*(1+FixedParams!$C$24)+BS203*(1+FixedParams!$C$27)/$BK$12))</f>
        <v>72.091187478655371</v>
      </c>
      <c r="BX203" s="24">
        <f t="shared" si="129"/>
        <v>11.145179235307179</v>
      </c>
      <c r="BY203" s="24">
        <f>BX203^((FixedParams!$B$47-1)/FixedParams!$B$47)*EXP($C203)</f>
        <v>9.7637120963770405E-2</v>
      </c>
      <c r="BZ203" s="24">
        <f t="shared" si="130"/>
        <v>-0.18337663203361187</v>
      </c>
      <c r="CA203" s="24">
        <f t="shared" si="131"/>
        <v>-0.13942898574263349</v>
      </c>
      <c r="CB203" s="24">
        <f t="shared" si="132"/>
        <v>-0.12210052982322624</v>
      </c>
      <c r="CC203" s="24"/>
      <c r="CD203" s="24">
        <f>EXP(-$D$17)*(($B203*FixedParams!$B$30)^$B$10*(1+FixedParams!$D$24)^(1-$B$10)+(1-$B203)^$B$10*((1+FixedParams!$D$27)/$CE$12)^(1-$B$10))^(1/(1-$B$10))</f>
        <v>5.8879967610981323</v>
      </c>
      <c r="CE203" s="24">
        <f>EXP($D203-$D$17)*(($B203*FixedParams!$D$31)^$B$10*(1+FixedParams!$D$25)^(1-$B$10)+(1-$B203)^$B$10*((1+FixedParams!$D$28)/$CE$12)^(1-$B$10))^(1/(1-$B$10))</f>
        <v>6.7443807087744148</v>
      </c>
      <c r="CF203" s="24">
        <f>EXP($D203-$D$17)*(($B203*FixedParams!$D$30)^$B$10*(1+FixedParams!$D$23)^(1-$B$10)+(1-$B203)^$B$10*((1+FixedParams!$D$26)/$CE$12)^(1-$B$10))^(1/(1-$B$10))</f>
        <v>6.3319329890288643</v>
      </c>
      <c r="CG203">
        <f>IF(FixedParams!$I$6=1,IF(CE203&lt;=MIN(CD203:CF203),1,0),$H203)</f>
        <v>0</v>
      </c>
      <c r="CH203">
        <f>IF(FixedParams!$I$6=1,IF(CF203&lt;=MIN(CD203:CF203),1,0),IF(CF203&lt;=CD203,1,0)*(1-$H203))</f>
        <v>0</v>
      </c>
      <c r="CI203" s="24">
        <f>$CE$13*IF(CG203=1,1,IF(CH203=1,FixedParams!$D$52,FixedParams!$D$53))</f>
        <v>0.42008589776177102</v>
      </c>
      <c r="CJ203">
        <f>EXP($C203*FixedParams!$B$47)*EXP(IF(CG203+CH203=1,(1-FixedParams!$B$47)*$D203,0))*($B203^((FixedParams!$B$47-1)*$B$10/($B$10-1)))*((1/$B203-1)^$B$10*(CI203)^($B$10-1)+1)^((FixedParams!$B$47-$B$10)/($B$10-1))/((1+IF(CG203=1,FixedParams!$D$25,IF(CH203=1,FixedParams!$D$23,FixedParams!$D$24)))^FixedParams!$B$47)</f>
        <v>3.7144865978703298E-2</v>
      </c>
      <c r="CK203">
        <f t="shared" si="133"/>
        <v>0.97803770047495664</v>
      </c>
      <c r="CL203">
        <f t="shared" si="135"/>
        <v>26.720265567128028</v>
      </c>
      <c r="CM203">
        <f t="shared" si="102"/>
        <v>9.1628908734827714</v>
      </c>
      <c r="CN203">
        <f t="shared" si="136"/>
        <v>35.883156440610797</v>
      </c>
      <c r="CO203" s="24">
        <f t="shared" si="137"/>
        <v>0.34291915439475273</v>
      </c>
      <c r="CP203" s="24">
        <f t="shared" si="138"/>
        <v>1.9022466462363157</v>
      </c>
      <c r="CQ203" s="23">
        <f>IF(CG203=1,CL203*(1+FixedParams!$D$25)+CM203*(1+FixedParams!$D$28)/$CE$12,IF(CH203=1,CL203*(1+FixedParams!$D$23)+CM203*(1+FixedParams!$D$26)/$CE$12,CL203*(1+FixedParams!$D$24)+CM203*(1+FixedParams!$D$27)/$CE$12))</f>
        <v>70.675093497932934</v>
      </c>
      <c r="CR203" s="24">
        <f t="shared" si="139"/>
        <v>12.003249384388551</v>
      </c>
      <c r="CS203" s="24">
        <f>CR203^((FixedParams!$B$47-1)/FixedParams!$B$47)*EXP($C203)</f>
        <v>9.762987220475966E-2</v>
      </c>
      <c r="CT203" s="24"/>
    </row>
    <row r="204" spans="1:98" x14ac:dyDescent="0.15">
      <c r="A204">
        <v>0.93500000000000005</v>
      </c>
      <c r="B204">
        <f t="shared" si="103"/>
        <v>0.46449105841687427</v>
      </c>
      <c r="C204">
        <f>(D204-$D$17)*FixedParams!$B$47+$A204*$B$9</f>
        <v>-2.3365791754649265</v>
      </c>
      <c r="D204">
        <f>(A204-$B$6)*FixedParams!$B$46/(FixedParams!$B$45*Sectors!$B$6)</f>
        <v>0.23635787200337155</v>
      </c>
      <c r="E204">
        <f t="shared" si="104"/>
        <v>9.665772243694544E-2</v>
      </c>
      <c r="F204" s="24">
        <f>EXP(-$D$17)*(($B204*FixedParams!$B$30)^$B$10*(1+FixedParams!$B$23)^(1-$B$10)+(1-$B204)^$B$10*((1+FixedParams!$B$26)/$B$11)^(1-$B$10))^(1/(1-$B$10))</f>
        <v>4.4784448707946947</v>
      </c>
      <c r="G204" s="24">
        <f>EXP($D204-$D$17)*(($B204*FixedParams!$B$31)^$B$10*(1+FixedParams!$B$25)^(1-$B$10)+(1-$B204)^$B$10*((1+FixedParams!$B$28)/$B$11)^(1-$B$10))^(1/(1-$B$10))</f>
        <v>5.3777914251288266</v>
      </c>
      <c r="H204">
        <f t="shared" si="105"/>
        <v>0</v>
      </c>
      <c r="I204" s="24">
        <f>$B$12*IF(H204=1,1,FixedParams!$B$52)</f>
        <v>0.39101505882574561</v>
      </c>
      <c r="J204">
        <f>EXP($C204*FixedParams!$B$47)*EXP(IF(H204=1,(1-FixedParams!$B$47)*$D204,0))*($B204^((FixedParams!$B$47-1)*$B$10/($B$10-1)))*((1/$B204-1)^$B$10*(I204)^($B$10-1)+1)^((FixedParams!$B$47-$B$10)/($B$10-1))/((1+IF(H204=1,FixedParams!$B$25,FixedParams!$B$24))^FixedParams!$B$47)</f>
        <v>5.0792481514597185E-2</v>
      </c>
      <c r="K204">
        <f t="shared" si="134"/>
        <v>1.0241075946746314</v>
      </c>
      <c r="L204">
        <f>K204*FixedParams!$B$8/K$15</f>
        <v>29.774012628174184</v>
      </c>
      <c r="M204">
        <f t="shared" si="94"/>
        <v>9.0118021047674706</v>
      </c>
      <c r="N204">
        <f t="shared" si="106"/>
        <v>38.785814732941652</v>
      </c>
      <c r="O204" s="24">
        <f t="shared" si="107"/>
        <v>0.30267341581765483</v>
      </c>
      <c r="P204" s="24">
        <f t="shared" si="95"/>
        <v>1.7511393846016463</v>
      </c>
      <c r="Q204" s="23">
        <f>IF(H204=1,L204*(1+FixedParams!$B$25)+M204*FixedParams!$B$33*(1+FixedParams!$B$28)/FixedParams!$B$32,L204*(1+FixedParams!$B$23)+M204*FixedParams!$B$33*(1+FixedParams!$B$26)/FixedParams!$B$32)</f>
        <v>56.862034956484607</v>
      </c>
      <c r="R204" s="24">
        <f t="shared" si="96"/>
        <v>12.696825928861887</v>
      </c>
      <c r="S204" s="24">
        <f>R204^((FixedParams!$B$47-1)/FixedParams!$B$47)*EXP($C204)</f>
        <v>9.6412147740779261E-2</v>
      </c>
      <c r="T204" s="7">
        <f>(L204*FixedParams!$B$32*(FixedParams!$C$25-FixedParams!$C$23)+FixedParams!$B$33*(FixedParams!$C$28-FixedParams!$C$26)*M204)/N204</f>
        <v>4251.1022786726899</v>
      </c>
      <c r="U204" s="7">
        <f>(L204*FixedParams!$B$32*(FixedParams!$C$25-FixedParams!$C$23)*$Z$12/$B$11+FixedParams!$B$33*(FixedParams!$C$28-FixedParams!$C$26)*M204)/N204</f>
        <v>3480.1235569615001</v>
      </c>
      <c r="V204" s="14">
        <f t="shared" si="97"/>
        <v>0.25609168422299322</v>
      </c>
      <c r="W204" s="14">
        <f t="shared" si="140"/>
        <v>0.97677532115638543</v>
      </c>
      <c r="X204" s="73">
        <f t="shared" si="109"/>
        <v>0.83915653908650945</v>
      </c>
      <c r="Y204" s="24">
        <f>EXP(-$D$17)*(($B204*FixedParams!$B$30)^$B$10*(1+FixedParams!$C$24)^(1-$B$10)+(1-$B204)^$B$10*((1+FixedParams!$C$27)/$Z$12)^(1-$B$10))^(1/(1-$B$10))</f>
        <v>6.3035904522083195</v>
      </c>
      <c r="Z204" s="24">
        <f>EXP($D204-$D$17)*(($B204*FixedParams!$C$31)^$B$10*(1+FixedParams!$C$25)^(1-$B$10)+(1-$B204)^$B$10*((1+FixedParams!$C$28)/$Z$12)^(1-$B$10))^(1/(1-$B$10))</f>
        <v>6.9004950351737184</v>
      </c>
      <c r="AA204" s="24">
        <f>EXP($D204-$D$17)*(($B204*FixedParams!$C$30)^$B$10*(1+FixedParams!$C$23)^(1-$B$10)+(1-$B204)^$B$10*((1+FixedParams!$C$26)/$Z$12)^(1-$B$10))^(1/(1-$B$10))</f>
        <v>6.4093682404038255</v>
      </c>
      <c r="AB204">
        <f>IF(FixedParams!$I$6=1,IF(Z204&lt;=MIN(Y204:AA204),1,0),$H204)</f>
        <v>0</v>
      </c>
      <c r="AC204">
        <f>IF(FixedParams!$I$6=1,IF(AA204&lt;=MIN(Y204:AA204),1,0),IF(AA204&lt;=Y204,1,0)*(1-$H204))</f>
        <v>0</v>
      </c>
      <c r="AD204" s="24">
        <f>$Z$13*IF(AB204=1,1,IF(AC204=1,FixedParams!$C$52,FixedParams!$C$53))</f>
        <v>0.47851548426682239</v>
      </c>
      <c r="AE204">
        <f>EXP($C204*FixedParams!$B$47)*EXP(IF(AB204+AC204=1,(1-FixedParams!$B$47)*$D204,0))*($B204^((FixedParams!$B$47-1)*$B$10/($B$10-1)))*((1/$B204-1)^$B$10*(AD204)^($B$10-1)+1)^((FixedParams!$B$47-$B$10)/($B$10-1))/((1+IF(AB204=1,FixedParams!$C$25,IF(AC204=1,FixedParams!$C$23,FixedParams!$C$24)))^FixedParams!$B$47)</f>
        <v>3.1509911037682484E-2</v>
      </c>
      <c r="AF204">
        <f t="shared" si="110"/>
        <v>0.92850825347478516</v>
      </c>
      <c r="AG204">
        <f t="shared" si="111"/>
        <v>21.809233034592637</v>
      </c>
      <c r="AH204">
        <f t="shared" si="98"/>
        <v>8.9365201618096535</v>
      </c>
      <c r="AI204">
        <f t="shared" si="112"/>
        <v>30.745753196402291</v>
      </c>
      <c r="AJ204" s="24">
        <f t="shared" si="113"/>
        <v>0.40975857095180851</v>
      </c>
      <c r="AK204" s="24">
        <f t="shared" si="114"/>
        <v>2.105360265676695</v>
      </c>
      <c r="AL204" s="23">
        <f>IF(AB204=1,AG204*(1+FixedParams!$C$25)+AH204*(1+FixedParams!$C$28)/$Z$12,IF(AC204=1,AG204*(1+FixedParams!$C$23)+AH204*(1+FixedParams!$C$26)/$Z$12,AG204*(1+FixedParams!$C$24)+AH204*(1+FixedParams!$C$27)/$Z$12))</f>
        <v>67.162389294318501</v>
      </c>
      <c r="AM204" s="24">
        <f t="shared" si="115"/>
        <v>10.654624503847597</v>
      </c>
      <c r="AN204" s="24">
        <f>AM204^((FixedParams!$B$47-1)/FixedParams!$B$47)*EXP($C204)</f>
        <v>9.6429072792295067E-2</v>
      </c>
      <c r="AO204" s="24">
        <f t="shared" si="116"/>
        <v>-0.23230270283417867</v>
      </c>
      <c r="AP204" s="24">
        <f t="shared" si="117"/>
        <v>-0.17535801174623325</v>
      </c>
      <c r="AQ204" s="14">
        <f t="shared" si="118"/>
        <v>0.15512043546343107</v>
      </c>
      <c r="AS204" s="24">
        <f>EXP(-$D$17)*(($B204*FixedParams!$B$30)^$B$10*(1+FixedParams!$D$24)^(1-$B$10)+(1-$B204)^$B$10*((1+FixedParams!$D$27)/$AT$12)^(1-$B$10))^(1/(1-$B$10))</f>
        <v>5.7474045801846421</v>
      </c>
      <c r="AT204" s="24">
        <f>EXP($D204-$D$17)*(($B204*FixedParams!$C$31)^$B$10*(1+FixedParams!$D$25)^(1-$B$10)+(1-$B204)^$B$10*((1+FixedParams!$D$28)/$AT$12)^(1-$B$10))^(1/(1-$B$10))</f>
        <v>6.6019538038808978</v>
      </c>
      <c r="AU204" s="24">
        <f>EXP($D204-$D$17)*(($B204*FixedParams!$C$30)^$B$10*(1+FixedParams!$D$23)^(1-$B$10)+(1-$B204)^$B$10*((1+FixedParams!$D$26)/$AT$12)^(1-$B$10))^(1/(1-$B$10))</f>
        <v>6.199869322740164</v>
      </c>
      <c r="AV204">
        <f>IF(FixedParams!$I$6=1,IF(AT204&lt;=MIN(AS204:AU204),1,0),$H204)</f>
        <v>0</v>
      </c>
      <c r="AW204">
        <f>IF(FixedParams!$I$6=1,IF(AU204&lt;=MIN(AS204:AU204),1,0),IF(AU204&lt;=AS204,1,0)*(1-$H204))</f>
        <v>0</v>
      </c>
      <c r="AX204" s="24">
        <f>$AT$13*IF(AV204=1,1,IF(AW204=1,FixedParams!$D$52,FixedParams!$D$53))</f>
        <v>0.44031288407969205</v>
      </c>
      <c r="AY204">
        <f>EXP($C204*FixedParams!$B$47)*EXP(IF(AV204+AW204=1,(1-FixedParams!$B$47)*$D204,0))*($B204^((FixedParams!$B$47-1)*$B$10/($B$10-1)))*((1/$B204-1)^$B$10*(AX204)^($B$10-1)+1)^((FixedParams!$B$47-$B$10)/($B$10-1))/((1+IF(AV204=1,FixedParams!$D$25,IF(AW204=1,FixedParams!$D$23,FixedParams!$D$24)))^FixedParams!$B$47)</f>
        <v>3.6580246686794E-2</v>
      </c>
      <c r="AZ204">
        <f t="shared" si="99"/>
        <v>0.98501755159529192</v>
      </c>
      <c r="BA204">
        <f t="shared" si="119"/>
        <v>24.782909859052239</v>
      </c>
      <c r="BB204">
        <f t="shared" si="100"/>
        <v>8.9635168805724383</v>
      </c>
      <c r="BC204">
        <f t="shared" si="120"/>
        <v>33.746426739624681</v>
      </c>
      <c r="BD204" s="24">
        <f t="shared" si="121"/>
        <v>0.36168137363814895</v>
      </c>
      <c r="BE204" s="24">
        <f t="shared" si="122"/>
        <v>1.9462307294919234</v>
      </c>
      <c r="BF204" s="23">
        <f>IF(AV204=1,BA204*(1+FixedParams!$C$25)+BB204*(1+FixedParams!$C$28)/$AT$12,IF(AW204=1,BA204*(1+FixedParams!$C$23)+BB204*(1+FixedParams!$C$26)/$AT$12,BA204*(1+FixedParams!$C$24)+BB204*(1+FixedParams!$C$27)/$AT$12))</f>
        <v>71.763931077500445</v>
      </c>
      <c r="BG204" s="24">
        <f t="shared" si="123"/>
        <v>12.486319707667933</v>
      </c>
      <c r="BH204" s="24">
        <f>BG204^((FixedParams!$B$47-1)/FixedParams!$B$47)*EXP($C204)</f>
        <v>9.6413761225929581E-2</v>
      </c>
      <c r="BI204" s="7"/>
      <c r="BJ204" s="24">
        <f>EXP(-$D$17)*(($B204*FixedParams!$B$30)^$B$10*(1+FixedParams!$C$24)^(1-$B$10)+(1-$B204)^$B$10*((1+FixedParams!$C$27)/$BK$12)^(1-$B$10))^(1/(1-$B$10))</f>
        <v>6.4505813606048275</v>
      </c>
      <c r="BK204" s="24">
        <f>EXP($D204-$D$17)*(($B204*FixedParams!$C$31)^$B$10*(1+FixedParams!$C$25)^(1-$B$10)+(1-$B204)^$B$10*((1+FixedParams!$C$28)/$BK$12)^(1-$B$10))^(1/(1-$B$10))</f>
        <v>7.0568945216874823</v>
      </c>
      <c r="BL204" s="24">
        <f>EXP($D204-$D$17)*(($B204*FixedParams!$C$30)^$B$10*(1+FixedParams!$C$23)^(1-$B$10)+(1-$B204)^$B$10*((1+FixedParams!$C$26)/$BK$12)^(1-$B$10))^(1/(1-$B$10))</f>
        <v>6.5458026842581614</v>
      </c>
      <c r="BM204">
        <f>IF(FixedParams!$I$6=1,IF(BK204&lt;=MIN(BJ204:BL204),1,0),$H204)</f>
        <v>0</v>
      </c>
      <c r="BN204">
        <f>IF(FixedParams!$I$6=1,IF(BL204&lt;=MIN(BJ204:BL204),1,0),IF(BL204&lt;=BJ204,1,0)*(1-$H204))</f>
        <v>0</v>
      </c>
      <c r="BO204" s="24">
        <f>$BK$13*IF(BM204=1,1,IF(BN204=1,FixedParams!$C$52,FixedParams!$C$53))</f>
        <v>0.4550367853045027</v>
      </c>
      <c r="BP204">
        <f>EXP($C204*FixedParams!$B$47)*EXP(IF(BM204+BN204=1,(1-FixedParams!$B$47)*$D204,0))*($B204^((FixedParams!$B$47-1)*$B$10/($B$10-1)))*((1/$B204-1)^$B$10*(BO204)^($B$10-1)+1)^((FixedParams!$B$47-$B$10)/($B$10-1))/((1+IF(BM204=1,FixedParams!$C$25,IF(BN204=1,FixedParams!$C$23,FixedParams!$C$24)))^FixedParams!$B$47)</f>
        <v>3.1875912208330838E-2</v>
      </c>
      <c r="BQ204">
        <f t="shared" si="124"/>
        <v>0.91699834484716658</v>
      </c>
      <c r="BR204">
        <f t="shared" si="125"/>
        <v>23.387271452643507</v>
      </c>
      <c r="BS204">
        <f t="shared" si="101"/>
        <v>8.8865536946617549</v>
      </c>
      <c r="BT204">
        <f t="shared" si="126"/>
        <v>32.27382514730526</v>
      </c>
      <c r="BU204" s="24">
        <f t="shared" si="127"/>
        <v>0.37997394063929124</v>
      </c>
      <c r="BV204" s="24">
        <f t="shared" si="128"/>
        <v>2.0487445036044973</v>
      </c>
      <c r="BW204" s="23">
        <f>IF(BM204=1,BR204*(1+FixedParams!$C$25)+BS204*(1+FixedParams!$C$28)/$BK$12,IF(BN204=1,BR204*(1+FixedParams!$C$23)+BS204*(1+FixedParams!$C$26)/$BK$12,BR204*(1+FixedParams!$C$24)+BS204*(1+FixedParams!$C$27)/$BK$12))</f>
        <v>71.196700440725067</v>
      </c>
      <c r="BX204" s="24">
        <f t="shared" si="129"/>
        <v>11.037253304878778</v>
      </c>
      <c r="BY204" s="24">
        <f>BX204^((FixedParams!$B$47-1)/FixedParams!$B$47)*EXP($C204)</f>
        <v>9.6425667217793651E-2</v>
      </c>
      <c r="BZ204" s="24">
        <f t="shared" si="130"/>
        <v>-0.18379804536760447</v>
      </c>
      <c r="CA204" s="24">
        <f t="shared" si="131"/>
        <v>-0.14007582031991425</v>
      </c>
      <c r="CB204" s="24">
        <f t="shared" si="132"/>
        <v>-0.122747364400507</v>
      </c>
      <c r="CC204" s="24"/>
      <c r="CD204" s="24">
        <f>EXP(-$D$17)*(($B204*FixedParams!$B$30)^$B$10*(1+FixedParams!$D$24)^(1-$B$10)+(1-$B204)^$B$10*((1+FixedParams!$D$27)/$CE$12)^(1-$B$10))^(1/(1-$B$10))</f>
        <v>5.869793346905996</v>
      </c>
      <c r="CE204" s="24">
        <f>EXP($D204-$D$17)*(($B204*FixedParams!$D$31)^$B$10*(1+FixedParams!$D$25)^(1-$B$10)+(1-$B204)^$B$10*((1+FixedParams!$D$28)/$CE$12)^(1-$B$10))^(1/(1-$B$10))</f>
        <v>6.739834128746339</v>
      </c>
      <c r="CF204" s="24">
        <f>EXP($D204-$D$17)*(($B204*FixedParams!$D$30)^$B$10*(1+FixedParams!$D$23)^(1-$B$10)+(1-$B204)^$B$10*((1+FixedParams!$D$26)/$CE$12)^(1-$B$10))^(1/(1-$B$10))</f>
        <v>6.3230052182782721</v>
      </c>
      <c r="CG204">
        <f>IF(FixedParams!$I$6=1,IF(CE204&lt;=MIN(CD204:CF204),1,0),$H204)</f>
        <v>0</v>
      </c>
      <c r="CH204">
        <f>IF(FixedParams!$I$6=1,IF(CF204&lt;=MIN(CD204:CF204),1,0),IF(CF204&lt;=CD204,1,0)*(1-$H204))</f>
        <v>0</v>
      </c>
      <c r="CI204" s="24">
        <f>$CE$13*IF(CG204=1,1,IF(CH204=1,FixedParams!$D$52,FixedParams!$D$53))</f>
        <v>0.42008589776177102</v>
      </c>
      <c r="CJ204">
        <f>EXP($C204*FixedParams!$B$47)*EXP(IF(CG204+CH204=1,(1-FixedParams!$B$47)*$D204,0))*($B204^((FixedParams!$B$47-1)*$B$10/($B$10-1)))*((1/$B204-1)^$B$10*(CI204)^($B$10-1)+1)^((FixedParams!$B$47-$B$10)/($B$10-1))/((1+IF(CG204=1,FixedParams!$D$25,IF(CH204=1,FixedParams!$D$23,FixedParams!$D$24)))^FixedParams!$B$47)</f>
        <v>3.6968455098985109E-2</v>
      </c>
      <c r="CK204">
        <f t="shared" si="133"/>
        <v>0.97339273847032148</v>
      </c>
      <c r="CL204">
        <f t="shared" si="135"/>
        <v>26.593363896310223</v>
      </c>
      <c r="CM204">
        <f t="shared" si="102"/>
        <v>8.9632288134153058</v>
      </c>
      <c r="CN204">
        <f t="shared" si="136"/>
        <v>35.556592709725528</v>
      </c>
      <c r="CO204" s="24">
        <f t="shared" si="137"/>
        <v>0.33704757504028804</v>
      </c>
      <c r="CP204" s="24">
        <f t="shared" si="138"/>
        <v>1.896365633558825</v>
      </c>
      <c r="CQ204" s="23">
        <f>IF(CG204=1,CL204*(1+FixedParams!$D$25)+CM204*(1+FixedParams!$D$28)/$CE$12,IF(CH204=1,CL204*(1+FixedParams!$D$23)+CM204*(1+FixedParams!$D$26)/$CE$12,CL204*(1+FixedParams!$D$24)+CM204*(1+FixedParams!$D$27)/$CE$12))</f>
        <v>69.798153088969201</v>
      </c>
      <c r="CR204" s="24">
        <f t="shared" si="139"/>
        <v>11.891075028350059</v>
      </c>
      <c r="CS204" s="24">
        <f>CR204^((FixedParams!$B$47-1)/FixedParams!$B$47)*EXP($C204)</f>
        <v>9.6418475433691711E-2</v>
      </c>
      <c r="CT204" s="24"/>
    </row>
    <row r="205" spans="1:98" x14ac:dyDescent="0.15">
      <c r="A205">
        <v>0.94000000000000006</v>
      </c>
      <c r="B205">
        <f t="shared" si="103"/>
        <v>0.46735611815538119</v>
      </c>
      <c r="C205">
        <f>(D205-$D$17)*FixedParams!$B$47+$A205*$B$9</f>
        <v>-2.3490742512695517</v>
      </c>
      <c r="D205">
        <f>(A205-$B$6)*FixedParams!$B$46/(FixedParams!$B$45*Sectors!$B$6)</f>
        <v>0.23907462915283562</v>
      </c>
      <c r="E205">
        <f t="shared" si="104"/>
        <v>9.5457490975204909E-2</v>
      </c>
      <c r="F205" s="24">
        <f>EXP(-$D$17)*(($B205*FixedParams!$B$30)^$B$10*(1+FixedParams!$B$23)^(1-$B$10)+(1-$B205)^$B$10*((1+FixedParams!$B$26)/$B$11)^(1-$B$10))^(1/(1-$B$10))</f>
        <v>4.4630218510051156</v>
      </c>
      <c r="G205" s="24">
        <f>EXP($D205-$D$17)*(($B205*FixedParams!$B$31)^$B$10*(1+FixedParams!$B$25)^(1-$B$10)+(1-$B205)^$B$10*((1+FixedParams!$B$28)/$B$11)^(1-$B$10))^(1/(1-$B$10))</f>
        <v>5.372874057021475</v>
      </c>
      <c r="H205">
        <f t="shared" si="105"/>
        <v>0</v>
      </c>
      <c r="I205" s="24">
        <f>$B$12*IF(H205=1,1,FixedParams!$B$52)</f>
        <v>0.39101505882574561</v>
      </c>
      <c r="J205">
        <f>EXP($C205*FixedParams!$B$47)*EXP(IF(H205=1,(1-FixedParams!$B$47)*$D205,0))*($B205^((FixedParams!$B$47-1)*$B$10/($B$10-1)))*((1/$B205-1)^$B$10*(I205)^($B$10-1)+1)^((FixedParams!$B$47-$B$10)/($B$10-1))/((1+IF(H205=1,FixedParams!$B$25,FixedParams!$B$24))^FixedParams!$B$47)</f>
        <v>5.0539805804762812E-2</v>
      </c>
      <c r="K205">
        <f t="shared" si="134"/>
        <v>1.019012999850458</v>
      </c>
      <c r="L205">
        <f>K205*FixedParams!$B$8/K$15</f>
        <v>29.625896813567266</v>
      </c>
      <c r="M205">
        <f t="shared" si="94"/>
        <v>8.8134358262361694</v>
      </c>
      <c r="N205">
        <f t="shared" si="106"/>
        <v>38.439332639803439</v>
      </c>
      <c r="O205" s="24">
        <f t="shared" si="107"/>
        <v>0.29749093780006791</v>
      </c>
      <c r="P205" s="24">
        <f t="shared" si="95"/>
        <v>1.7451087516113533</v>
      </c>
      <c r="Q205" s="23">
        <f>IF(H205=1,L205*(1+FixedParams!$B$25)+M205*FixedParams!$B$33*(1+FixedParams!$B$28)/FixedParams!$B$32,L205*(1+FixedParams!$B$23)+M205*FixedParams!$B$33*(1+FixedParams!$B$26)/FixedParams!$B$32)</f>
        <v>56.156467885878513</v>
      </c>
      <c r="R205" s="24">
        <f t="shared" si="96"/>
        <v>12.58261101124377</v>
      </c>
      <c r="S205" s="24">
        <f>R205^((FixedParams!$B$47-1)/FixedParams!$B$47)*EXP($C205)</f>
        <v>9.5215826914337484E-2</v>
      </c>
      <c r="T205" s="7">
        <f>(L205*FixedParams!$B$32*(FixedParams!$C$25-FixedParams!$C$23)+FixedParams!$B$33*(FixedParams!$C$28-FixedParams!$C$26)*M205)/N205</f>
        <v>4285.887895724687</v>
      </c>
      <c r="U205" s="7">
        <f>(L205*FixedParams!$B$32*(FixedParams!$C$25-FixedParams!$C$23)*$Z$12/$B$11+FixedParams!$B$33*(FixedParams!$C$28-FixedParams!$C$26)*M205)/N205</f>
        <v>3511.8297072049895</v>
      </c>
      <c r="V205" s="14">
        <f t="shared" si="97"/>
        <v>0.27336230951907703</v>
      </c>
      <c r="W205" s="14">
        <f t="shared" si="140"/>
        <v>0.97866068861747246</v>
      </c>
      <c r="X205" s="73">
        <f t="shared" si="109"/>
        <v>0.83843438199148079</v>
      </c>
      <c r="Y205" s="24">
        <f>EXP(-$D$17)*(($B205*FixedParams!$B$30)^$B$10*(1+FixedParams!$C$24)^(1-$B$10)+(1-$B205)^$B$10*((1+FixedParams!$C$27)/$Z$12)^(1-$B$10))^(1/(1-$B$10))</f>
        <v>6.2872980393442939</v>
      </c>
      <c r="Z205" s="24">
        <f>EXP($D205-$D$17)*(($B205*FixedParams!$C$31)^$B$10*(1+FixedParams!$C$25)^(1-$B$10)+(1-$B205)^$B$10*((1+FixedParams!$C$28)/$Z$12)^(1-$B$10))^(1/(1-$B$10))</f>
        <v>6.8983558200365902</v>
      </c>
      <c r="AA205" s="24">
        <f>EXP($D205-$D$17)*(($B205*FixedParams!$C$30)^$B$10*(1+FixedParams!$C$23)^(1-$B$10)+(1-$B205)^$B$10*((1+FixedParams!$C$26)/$Z$12)^(1-$B$10))^(1/(1-$B$10))</f>
        <v>6.4014482057387134</v>
      </c>
      <c r="AB205">
        <f>IF(FixedParams!$I$6=1,IF(Z205&lt;=MIN(Y205:AA205),1,0),$H205)</f>
        <v>0</v>
      </c>
      <c r="AC205">
        <f>IF(FixedParams!$I$6=1,IF(AA205&lt;=MIN(Y205:AA205),1,0),IF(AA205&lt;=Y205,1,0)*(1-$H205))</f>
        <v>0</v>
      </c>
      <c r="AD205" s="24">
        <f>$Z$13*IF(AB205=1,1,IF(AC205=1,FixedParams!$C$52,FixedParams!$C$53))</f>
        <v>0.47851548426682239</v>
      </c>
      <c r="AE205">
        <f>EXP($C205*FixedParams!$B$47)*EXP(IF(AB205+AC205=1,(1-FixedParams!$B$47)*$D205,0))*($B205^((FixedParams!$B$47-1)*$B$10/($B$10-1)))*((1/$B205-1)^$B$10*(AD205)^($B$10-1)+1)^((FixedParams!$B$47-$B$10)/($B$10-1))/((1+IF(AB205=1,FixedParams!$C$25,IF(AC205=1,FixedParams!$C$23,FixedParams!$C$24)))^FixedParams!$B$47)</f>
        <v>3.1366699839198563E-2</v>
      </c>
      <c r="AF205">
        <f t="shared" si="110"/>
        <v>0.92428822316040837</v>
      </c>
      <c r="AG205">
        <f t="shared" si="111"/>
        <v>21.710111002887626</v>
      </c>
      <c r="AH205">
        <f t="shared" si="98"/>
        <v>8.7435853398777663</v>
      </c>
      <c r="AI205">
        <f t="shared" si="112"/>
        <v>30.45369634276539</v>
      </c>
      <c r="AJ205" s="24">
        <f t="shared" si="113"/>
        <v>0.40274254418666017</v>
      </c>
      <c r="AK205" s="24">
        <f t="shared" si="114"/>
        <v>2.0999187004392357</v>
      </c>
      <c r="AL205" s="23">
        <f>IF(AB205=1,AG205*(1+FixedParams!$C$25)+AH205*(1+FixedParams!$C$28)/$Z$12,IF(AC205=1,AG205*(1+FixedParams!$C$23)+AH205*(1+FixedParams!$C$26)/$Z$12,AG205*(1+FixedParams!$C$24)+AH205*(1+FixedParams!$C$27)/$Z$12))</f>
        <v>66.32906843428097</v>
      </c>
      <c r="AM205" s="24">
        <f t="shared" si="115"/>
        <v>10.549693687051372</v>
      </c>
      <c r="AN205" s="24">
        <f>AM205^((FixedParams!$B$47-1)/FixedParams!$B$47)*EXP($C205)</f>
        <v>9.5232624025117327E-2</v>
      </c>
      <c r="AO205" s="24">
        <f t="shared" si="116"/>
        <v>-0.23287384550839157</v>
      </c>
      <c r="AP205" s="24">
        <f t="shared" si="117"/>
        <v>-0.17621895720148339</v>
      </c>
      <c r="AQ205" s="14">
        <f t="shared" si="118"/>
        <v>0.17239106075951455</v>
      </c>
      <c r="AS205" s="24">
        <f>EXP(-$D$17)*(($B205*FixedParams!$B$30)^$B$10*(1+FixedParams!$D$24)^(1-$B$10)+(1-$B205)^$B$10*((1+FixedParams!$D$27)/$AT$12)^(1-$B$10))^(1/(1-$B$10))</f>
        <v>5.7305082112988135</v>
      </c>
      <c r="AT205" s="24">
        <f>EXP($D205-$D$17)*(($B205*FixedParams!$C$31)^$B$10*(1+FixedParams!$D$25)^(1-$B$10)+(1-$B205)^$B$10*((1+FixedParams!$D$28)/$AT$12)^(1-$B$10))^(1/(1-$B$10))</f>
        <v>6.5985064021221351</v>
      </c>
      <c r="AU205" s="24">
        <f>EXP($D205-$D$17)*(($B205*FixedParams!$C$30)^$B$10*(1+FixedParams!$D$23)^(1-$B$10)+(1-$B205)^$B$10*((1+FixedParams!$D$26)/$AT$12)^(1-$B$10))^(1/(1-$B$10))</f>
        <v>6.192065077920768</v>
      </c>
      <c r="AV205">
        <f>IF(FixedParams!$I$6=1,IF(AT205&lt;=MIN(AS205:AU205),1,0),$H205)</f>
        <v>0</v>
      </c>
      <c r="AW205">
        <f>IF(FixedParams!$I$6=1,IF(AU205&lt;=MIN(AS205:AU205),1,0),IF(AU205&lt;=AS205,1,0)*(1-$H205))</f>
        <v>0</v>
      </c>
      <c r="AX205" s="24">
        <f>$AT$13*IF(AV205=1,1,IF(AW205=1,FixedParams!$D$52,FixedParams!$D$53))</f>
        <v>0.44031288407969205</v>
      </c>
      <c r="AY205">
        <f>EXP($C205*FixedParams!$B$47)*EXP(IF(AV205+AW205=1,(1-FixedParams!$B$47)*$D205,0))*($B205^((FixedParams!$B$47-1)*$B$10/($B$10-1)))*((1/$B205-1)^$B$10*(AX205)^($B$10-1)+1)^((FixedParams!$B$47-$B$10)/($B$10-1))/((1+IF(AV205=1,FixedParams!$D$25,IF(AW205=1,FixedParams!$D$23,FixedParams!$D$24)))^FixedParams!$B$47)</f>
        <v>3.6407493571250095E-2</v>
      </c>
      <c r="AZ205">
        <f t="shared" si="99"/>
        <v>0.98036572810267053</v>
      </c>
      <c r="BA205">
        <f t="shared" si="119"/>
        <v>24.665870602126162</v>
      </c>
      <c r="BB205">
        <f t="shared" si="100"/>
        <v>8.7684343560982629</v>
      </c>
      <c r="BC205">
        <f t="shared" si="120"/>
        <v>33.434304958224423</v>
      </c>
      <c r="BD205" s="24">
        <f t="shared" si="121"/>
        <v>0.35548854113190864</v>
      </c>
      <c r="BE205" s="24">
        <f t="shared" si="122"/>
        <v>1.9405091499713505</v>
      </c>
      <c r="BF205" s="23">
        <f>IF(AV205=1,BA205*(1+FixedParams!$C$25)+BB205*(1+FixedParams!$C$28)/$AT$12,IF(AW205=1,BA205*(1+FixedParams!$C$23)+BB205*(1+FixedParams!$C$26)/$AT$12,BA205*(1+FixedParams!$C$24)+BB205*(1+FixedParams!$C$27)/$AT$12))</f>
        <v>70.90269568585822</v>
      </c>
      <c r="BG205" s="24">
        <f t="shared" si="123"/>
        <v>12.372846014958979</v>
      </c>
      <c r="BH205" s="24">
        <f>BG205^((FixedParams!$B$47-1)/FixedParams!$B$47)*EXP($C205)</f>
        <v>9.521742925562951E-2</v>
      </c>
      <c r="BI205" s="7"/>
      <c r="BJ205" s="24">
        <f>EXP(-$D$17)*(($B205*FixedParams!$B$30)^$B$10*(1+FixedParams!$C$24)^(1-$B$10)+(1-$B205)^$B$10*((1+FixedParams!$C$27)/$BK$12)^(1-$B$10))^(1/(1-$B$10))</f>
        <v>6.4325224245377521</v>
      </c>
      <c r="BK205" s="24">
        <f>EXP($D205-$D$17)*(($B205*FixedParams!$C$31)^$B$10*(1+FixedParams!$C$25)^(1-$B$10)+(1-$B205)^$B$10*((1+FixedParams!$C$28)/$BK$12)^(1-$B$10))^(1/(1-$B$10))</f>
        <v>7.0531942477688476</v>
      </c>
      <c r="BL205" s="24">
        <f>EXP($D205-$D$17)*(($B205*FixedParams!$C$30)^$B$10*(1+FixedParams!$C$23)^(1-$B$10)+(1-$B205)^$B$10*((1+FixedParams!$C$26)/$BK$12)^(1-$B$10))^(1/(1-$B$10))</f>
        <v>6.5363336317511491</v>
      </c>
      <c r="BM205">
        <f>IF(FixedParams!$I$6=1,IF(BK205&lt;=MIN(BJ205:BL205),1,0),$H205)</f>
        <v>0</v>
      </c>
      <c r="BN205">
        <f>IF(FixedParams!$I$6=1,IF(BL205&lt;=MIN(BJ205:BL205),1,0),IF(BL205&lt;=BJ205,1,0)*(1-$H205))</f>
        <v>0</v>
      </c>
      <c r="BO205" s="24">
        <f>$BK$13*IF(BM205=1,1,IF(BN205=1,FixedParams!$C$52,FixedParams!$C$53))</f>
        <v>0.4550367853045027</v>
      </c>
      <c r="BP205">
        <f>EXP($C205*FixedParams!$B$47)*EXP(IF(BM205+BN205=1,(1-FixedParams!$B$47)*$D205,0))*($B205^((FixedParams!$B$47-1)*$B$10/($B$10-1)))*((1/$B205-1)^$B$10*(BO205)^($B$10-1)+1)^((FixedParams!$B$47-$B$10)/($B$10-1))/((1+IF(BM205=1,FixedParams!$C$25,IF(BN205=1,FixedParams!$C$23,FixedParams!$C$24)))^FixedParams!$B$47)</f>
        <v>3.172761126265166E-2</v>
      </c>
      <c r="BQ205">
        <f t="shared" si="124"/>
        <v>0.91273205998484552</v>
      </c>
      <c r="BR205">
        <f t="shared" si="125"/>
        <v>23.278463445813312</v>
      </c>
      <c r="BS205">
        <f t="shared" si="101"/>
        <v>8.6937587775122864</v>
      </c>
      <c r="BT205">
        <f t="shared" si="126"/>
        <v>31.972222223325598</v>
      </c>
      <c r="BU205" s="24">
        <f t="shared" si="127"/>
        <v>0.37346789652801932</v>
      </c>
      <c r="BV205" s="24">
        <f t="shared" si="128"/>
        <v>2.0430088739084948</v>
      </c>
      <c r="BW205" s="23">
        <f>IF(BM205=1,BR205*(1+FixedParams!$C$25)+BS205*(1+FixedParams!$C$28)/$BK$12,IF(BN205=1,BR205*(1+FixedParams!$C$23)+BS205*(1+FixedParams!$C$26)/$BK$12,BR205*(1+FixedParams!$C$24)+BS205*(1+FixedParams!$C$27)/$BK$12))</f>
        <v>70.313308498766759</v>
      </c>
      <c r="BX205" s="24">
        <f t="shared" si="129"/>
        <v>10.930907637499539</v>
      </c>
      <c r="BY205" s="24">
        <f>BX205^((FixedParams!$B$47-1)/FixedParams!$B$47)*EXP($C205)</f>
        <v>9.522924017987118E-2</v>
      </c>
      <c r="BZ205" s="24">
        <f t="shared" si="130"/>
        <v>-0.18421375256378378</v>
      </c>
      <c r="CA205" s="24">
        <f t="shared" si="131"/>
        <v>-0.14072144261628156</v>
      </c>
      <c r="CB205" s="24">
        <f t="shared" si="132"/>
        <v>-0.1233929866968743</v>
      </c>
      <c r="CC205" s="24"/>
      <c r="CD205" s="24">
        <f>EXP(-$D$17)*(($B205*FixedParams!$B$30)^$B$10*(1+FixedParams!$D$24)^(1-$B$10)+(1-$B205)^$B$10*((1+FixedParams!$D$27)/$CE$12)^(1-$B$10))^(1/(1-$B$10))</f>
        <v>5.8513628881584747</v>
      </c>
      <c r="CE205" s="24">
        <f>EXP($D205-$D$17)*(($B205*FixedParams!$D$31)^$B$10*(1+FixedParams!$D$25)^(1-$B$10)+(1-$B205)^$B$10*((1+FixedParams!$D$28)/$CE$12)^(1-$B$10))^(1/(1-$B$10))</f>
        <v>6.734968554876029</v>
      </c>
      <c r="CF205" s="24">
        <f>EXP($D205-$D$17)*(($B205*FixedParams!$D$30)^$B$10*(1+FixedParams!$D$23)^(1-$B$10)+(1-$B205)^$B$10*((1+FixedParams!$D$26)/$CE$12)^(1-$B$10))^(1/(1-$B$10))</f>
        <v>6.3137999905684836</v>
      </c>
      <c r="CG205">
        <f>IF(FixedParams!$I$6=1,IF(CE205&lt;=MIN(CD205:CF205),1,0),$H205)</f>
        <v>0</v>
      </c>
      <c r="CH205">
        <f>IF(FixedParams!$I$6=1,IF(CF205&lt;=MIN(CD205:CF205),1,0),IF(CF205&lt;=CD205,1,0)*(1-$H205))</f>
        <v>0</v>
      </c>
      <c r="CI205" s="24">
        <f>$CE$13*IF(CG205=1,1,IF(CH205=1,FixedParams!$D$52,FixedParams!$D$53))</f>
        <v>0.42008589776177102</v>
      </c>
      <c r="CJ205">
        <f>EXP($C205*FixedParams!$B$47)*EXP(IF(CG205+CH205=1,(1-FixedParams!$B$47)*$D205,0))*($B205^((FixedParams!$B$47-1)*$B$10/($B$10-1)))*((1/$B205-1)^$B$10*(CI205)^($B$10-1)+1)^((FixedParams!$B$47-$B$10)/($B$10-1))/((1+IF(CG205=1,FixedParams!$D$25,IF(CH205=1,FixedParams!$D$23,FixedParams!$D$24)))^FixedParams!$B$47)</f>
        <v>3.6790169799365155E-2</v>
      </c>
      <c r="CK205">
        <f t="shared" si="133"/>
        <v>0.96869842231452319</v>
      </c>
      <c r="CL205">
        <f t="shared" si="135"/>
        <v>26.465113856175698</v>
      </c>
      <c r="CM205">
        <f t="shared" si="102"/>
        <v>8.7672711076444774</v>
      </c>
      <c r="CN205">
        <f t="shared" si="136"/>
        <v>35.232384963820174</v>
      </c>
      <c r="CO205" s="24">
        <f t="shared" si="137"/>
        <v>0.33127653088099651</v>
      </c>
      <c r="CP205" s="24">
        <f t="shared" si="138"/>
        <v>1.8904112691521215</v>
      </c>
      <c r="CQ205" s="23">
        <f>IF(CG205=1,CL205*(1+FixedParams!$D$25)+CM205*(1+FixedParams!$D$28)/$CE$12,IF(CH205=1,CL205*(1+FixedParams!$D$23)+CM205*(1+FixedParams!$D$26)/$CE$12,CL205*(1+FixedParams!$D$24)+CM205*(1+FixedParams!$D$27)/$CE$12))</f>
        <v>68.932090466751291</v>
      </c>
      <c r="CR205" s="24">
        <f t="shared" si="139"/>
        <v>11.780518792681718</v>
      </c>
      <c r="CS205" s="24">
        <f>CR205^((FixedParams!$B$47-1)/FixedParams!$B$47)*EXP($C205)</f>
        <v>9.5222105129195073E-2</v>
      </c>
      <c r="CT205" s="24"/>
    </row>
    <row r="206" spans="1:98" x14ac:dyDescent="0.15">
      <c r="A206">
        <v>0.94500000000000006</v>
      </c>
      <c r="B206">
        <f t="shared" si="103"/>
        <v>0.47022333236531955</v>
      </c>
      <c r="C206">
        <f>(D206-$D$17)*FixedParams!$B$47+$A206*$B$9</f>
        <v>-2.3615693270741773</v>
      </c>
      <c r="D206">
        <f>(A206-$B$6)*FixedParams!$B$46/(FixedParams!$B$45*Sectors!$B$6)</f>
        <v>0.24179138630229965</v>
      </c>
      <c r="E206">
        <f t="shared" si="104"/>
        <v>9.4272163191364389E-2</v>
      </c>
      <c r="F206" s="24">
        <f>EXP(-$D$17)*(($B206*FixedParams!$B$30)^$B$10*(1+FixedParams!$B$23)^(1-$B$10)+(1-$B206)^$B$10*((1+FixedParams!$B$26)/$B$11)^(1-$B$10))^(1/(1-$B$10))</f>
        <v>4.4474412064172117</v>
      </c>
      <c r="G206" s="24">
        <f>EXP($D206-$D$17)*(($B206*FixedParams!$B$31)^$B$10*(1+FixedParams!$B$25)^(1-$B$10)+(1-$B206)^$B$10*((1+FixedParams!$B$28)/$B$11)^(1-$B$10))^(1/(1-$B$10))</f>
        <v>5.3677092147014385</v>
      </c>
      <c r="H206">
        <f t="shared" si="105"/>
        <v>0</v>
      </c>
      <c r="I206" s="24">
        <f>$B$12*IF(H206=1,1,FixedParams!$B$52)</f>
        <v>0.39101505882574561</v>
      </c>
      <c r="J206">
        <f>EXP($C206*FixedParams!$B$47)*EXP(IF(H206=1,(1-FixedParams!$B$47)*$D206,0))*($B206^((FixedParams!$B$47-1)*$B$10/($B$10-1)))*((1/$B206-1)^$B$10*(I206)^($B$10-1)+1)^((FixedParams!$B$47-$B$10)/($B$10-1))/((1+IF(H206=1,FixedParams!$B$25,FixedParams!$B$24))^FixedParams!$B$47)</f>
        <v>5.0284704123949184E-2</v>
      </c>
      <c r="K206">
        <f t="shared" si="134"/>
        <v>1.0138694911864756</v>
      </c>
      <c r="L206">
        <f>K206*FixedParams!$B$8/K$15</f>
        <v>29.476358920565708</v>
      </c>
      <c r="M206">
        <f t="shared" si="94"/>
        <v>8.6188046951378876</v>
      </c>
      <c r="N206">
        <f t="shared" si="106"/>
        <v>38.095163615703598</v>
      </c>
      <c r="O206" s="24">
        <f t="shared" si="107"/>
        <v>0.2923971959482598</v>
      </c>
      <c r="P206" s="24">
        <f t="shared" si="95"/>
        <v>1.739016484951271</v>
      </c>
      <c r="Q206" s="23">
        <f>IF(H206=1,L206*(1+FixedParams!$B$25)+M206*FixedParams!$B$33*(1+FixedParams!$B$28)/FixedParams!$B$32,L206*(1+FixedParams!$B$23)+M206*FixedParams!$B$33*(1+FixedParams!$B$26)/FixedParams!$B$32)</f>
        <v>55.45965314828652</v>
      </c>
      <c r="R206" s="24">
        <f t="shared" si="96"/>
        <v>12.470013784165108</v>
      </c>
      <c r="S206" s="24">
        <f>R206^((FixedParams!$B$47-1)/FixedParams!$B$47)*EXP($C206)</f>
        <v>9.4034346063712235E-2</v>
      </c>
      <c r="T206" s="7">
        <f>(L206*FixedParams!$B$32*(FixedParams!$C$25-FixedParams!$C$23)+FixedParams!$B$33*(FixedParams!$C$28-FixedParams!$C$26)*M206)/N206</f>
        <v>4320.3497560309643</v>
      </c>
      <c r="U206" s="7">
        <f>(L206*FixedParams!$B$32*(FixedParams!$C$25-FixedParams!$C$23)*$Z$12/$B$11+FixedParams!$B$33*(FixedParams!$C$28-FixedParams!$C$26)*M206)/N206</f>
        <v>3543.2407619207261</v>
      </c>
      <c r="V206" s="14">
        <f t="shared" si="97"/>
        <v>0.29063293481516012</v>
      </c>
      <c r="W206" s="14">
        <f t="shared" si="140"/>
        <v>0.98052917532037276</v>
      </c>
      <c r="X206" s="73">
        <f t="shared" si="109"/>
        <v>0.83771422650152605</v>
      </c>
      <c r="Y206" s="24">
        <f>EXP(-$D$17)*(($B206*FixedParams!$B$30)^$B$10*(1+FixedParams!$C$24)^(1-$B$10)+(1-$B206)^$B$10*((1+FixedParams!$C$27)/$Z$12)^(1-$B$10))^(1/(1-$B$10))</f>
        <v>6.2707402593912276</v>
      </c>
      <c r="Z206" s="24">
        <f>EXP($D206-$D$17)*(($B206*FixedParams!$C$31)^$B$10*(1+FixedParams!$C$25)^(1-$B$10)+(1-$B206)^$B$10*((1+FixedParams!$C$28)/$Z$12)^(1-$B$10))^(1/(1-$B$10))</f>
        <v>6.8958842912275253</v>
      </c>
      <c r="AA206" s="24">
        <f>EXP($D206-$D$17)*(($B206*FixedParams!$C$30)^$B$10*(1+FixedParams!$C$23)^(1-$B$10)+(1-$B206)^$B$10*((1+FixedParams!$C$26)/$Z$12)^(1-$B$10))^(1/(1-$B$10))</f>
        <v>6.3932433674508493</v>
      </c>
      <c r="AB206">
        <f>IF(FixedParams!$I$6=1,IF(Z206&lt;=MIN(Y206:AA206),1,0),$H206)</f>
        <v>0</v>
      </c>
      <c r="AC206">
        <f>IF(FixedParams!$I$6=1,IF(AA206&lt;=MIN(Y206:AA206),1,0),IF(AA206&lt;=Y206,1,0)*(1-$H206))</f>
        <v>0</v>
      </c>
      <c r="AD206" s="24">
        <f>$Z$13*IF(AB206=1,1,IF(AC206=1,FixedParams!$C$52,FixedParams!$C$53))</f>
        <v>0.47851548426682239</v>
      </c>
      <c r="AE206">
        <f>EXP($C206*FixedParams!$B$47)*EXP(IF(AB206+AC206=1,(1-FixedParams!$B$47)*$D206,0))*($B206^((FixedParams!$B$47-1)*$B$10/($B$10-1)))*((1/$B206-1)^$B$10*(AD206)^($B$10-1)+1)^((FixedParams!$B$47-$B$10)/($B$10-1))/((1+IF(AB206=1,FixedParams!$C$25,IF(AC206=1,FixedParams!$C$23,FixedParams!$C$24)))^FixedParams!$B$47)</f>
        <v>3.122182698456584E-2</v>
      </c>
      <c r="AF206">
        <f t="shared" si="110"/>
        <v>0.92001922852344886</v>
      </c>
      <c r="AG206">
        <f t="shared" si="111"/>
        <v>21.60983887443594</v>
      </c>
      <c r="AH206">
        <f t="shared" si="98"/>
        <v>8.5541822874022593</v>
      </c>
      <c r="AI206">
        <f t="shared" si="112"/>
        <v>30.1640211618382</v>
      </c>
      <c r="AJ206" s="24">
        <f t="shared" si="113"/>
        <v>0.39584664823770188</v>
      </c>
      <c r="AK206" s="24">
        <f t="shared" si="114"/>
        <v>2.0943885042335491</v>
      </c>
      <c r="AL206" s="23">
        <f>IF(AB206=1,AG206*(1+FixedParams!$C$25)+AH206*(1+FixedParams!$C$28)/$Z$12,IF(AC206=1,AG206*(1+FixedParams!$C$23)+AH206*(1+FixedParams!$C$26)/$Z$12,AG206*(1+FixedParams!$C$24)+AH206*(1+FixedParams!$C$27)/$Z$12))</f>
        <v>65.506083834505944</v>
      </c>
      <c r="AM206" s="24">
        <f t="shared" si="115"/>
        <v>10.446307951665242</v>
      </c>
      <c r="AN206" s="24">
        <f>AM206^((FixedParams!$B$47-1)/FixedParams!$B$47)*EXP($C206)</f>
        <v>9.405101564708794E-2</v>
      </c>
      <c r="AO206" s="24">
        <f t="shared" si="116"/>
        <v>-0.23343747295524289</v>
      </c>
      <c r="AP206" s="24">
        <f t="shared" si="117"/>
        <v>-0.17707825515468265</v>
      </c>
      <c r="AQ206" s="14">
        <f t="shared" si="118"/>
        <v>0.18966168605559786</v>
      </c>
      <c r="AS206" s="24">
        <f>EXP(-$D$17)*(($B206*FixedParams!$B$30)^$B$10*(1+FixedParams!$D$24)^(1-$B$10)+(1-$B206)^$B$10*((1+FixedParams!$D$27)/$AT$12)^(1-$B$10))^(1/(1-$B$10))</f>
        <v>5.713384748439319</v>
      </c>
      <c r="AT206" s="24">
        <f>EXP($D206-$D$17)*(($B206*FixedParams!$C$31)^$B$10*(1+FixedParams!$D$25)^(1-$B$10)+(1-$B206)^$B$10*((1+FixedParams!$D$28)/$AT$12)^(1-$B$10))^(1/(1-$B$10))</f>
        <v>6.5947452026057709</v>
      </c>
      <c r="AU206" s="24">
        <f>EXP($D206-$D$17)*(($B206*FixedParams!$C$30)^$B$10*(1+FixedParams!$D$23)^(1-$B$10)+(1-$B206)^$B$10*((1+FixedParams!$D$26)/$AT$12)^(1-$B$10))^(1/(1-$B$10))</f>
        <v>6.1839861169110302</v>
      </c>
      <c r="AV206">
        <f>IF(FixedParams!$I$6=1,IF(AT206&lt;=MIN(AS206:AU206),1,0),$H206)</f>
        <v>0</v>
      </c>
      <c r="AW206">
        <f>IF(FixedParams!$I$6=1,IF(AU206&lt;=MIN(AS206:AU206),1,0),IF(AU206&lt;=AS206,1,0)*(1-$H206))</f>
        <v>0</v>
      </c>
      <c r="AX206" s="24">
        <f>$AT$13*IF(AV206=1,1,IF(AW206=1,FixedParams!$D$52,FixedParams!$D$53))</f>
        <v>0.44031288407969205</v>
      </c>
      <c r="AY206">
        <f>EXP($C206*FixedParams!$B$47)*EXP(IF(AV206+AW206=1,(1-FixedParams!$B$47)*$D206,0))*($B206^((FixedParams!$B$47-1)*$B$10/($B$10-1)))*((1/$B206-1)^$B$10*(AX206)^($B$10-1)+1)^((FixedParams!$B$47-$B$10)/($B$10-1))/((1+IF(AV206=1,FixedParams!$D$25,IF(AW206=1,FixedParams!$D$23,FixedParams!$D$24)))^FixedParams!$B$47)</f>
        <v>3.6232883334676939E-2</v>
      </c>
      <c r="AZ206">
        <f t="shared" si="99"/>
        <v>0.97566389683331345</v>
      </c>
      <c r="BA206">
        <f t="shared" si="119"/>
        <v>24.547573156225596</v>
      </c>
      <c r="BB206">
        <f t="shared" si="100"/>
        <v>8.5769648822461626</v>
      </c>
      <c r="BC206">
        <f t="shared" si="120"/>
        <v>33.124538038471755</v>
      </c>
      <c r="BD206" s="24">
        <f t="shared" si="121"/>
        <v>0.34940174442747018</v>
      </c>
      <c r="BE206" s="24">
        <f t="shared" si="122"/>
        <v>1.9347106701275336</v>
      </c>
      <c r="BF206" s="23">
        <f>IF(AV206=1,BA206*(1+FixedParams!$C$25)+BB206*(1+FixedParams!$C$28)/$AT$12,IF(AW206=1,BA206*(1+FixedParams!$C$23)+BB206*(1+FixedParams!$C$26)/$AT$12,BA206*(1+FixedParams!$C$24)+BB206*(1+FixedParams!$C$27)/$AT$12))</f>
        <v>70.051727614635737</v>
      </c>
      <c r="BG206" s="24">
        <f t="shared" si="123"/>
        <v>12.260985510169121</v>
      </c>
      <c r="BH206" s="24">
        <f>BG206^((FixedParams!$B$47-1)/FixedParams!$B$47)*EXP($C206)</f>
        <v>9.4035937277019088E-2</v>
      </c>
      <c r="BI206" s="7"/>
      <c r="BJ206" s="24">
        <f>EXP(-$D$17)*(($B206*FixedParams!$B$30)^$B$10*(1+FixedParams!$C$24)^(1-$B$10)+(1-$B206)^$B$10*((1+FixedParams!$C$27)/$BK$12)^(1-$B$10))^(1/(1-$B$10))</f>
        <v>6.414201734839871</v>
      </c>
      <c r="BK206" s="24">
        <f>EXP($D206-$D$17)*(($B206*FixedParams!$C$31)^$B$10*(1+FixedParams!$C$25)^(1-$B$10)+(1-$B206)^$B$10*((1+FixedParams!$C$28)/$BK$12)^(1-$B$10))^(1/(1-$B$10))</f>
        <v>7.0491586024342938</v>
      </c>
      <c r="BL206" s="24">
        <f>EXP($D206-$D$17)*(($B206*FixedParams!$C$30)^$B$10*(1+FixedParams!$C$23)^(1-$B$10)+(1-$B206)^$B$10*((1+FixedParams!$C$26)/$BK$12)^(1-$B$10))^(1/(1-$B$10))</f>
        <v>6.5265816082615418</v>
      </c>
      <c r="BM206">
        <f>IF(FixedParams!$I$6=1,IF(BK206&lt;=MIN(BJ206:BL206),1,0),$H206)</f>
        <v>0</v>
      </c>
      <c r="BN206">
        <f>IF(FixedParams!$I$6=1,IF(BL206&lt;=MIN(BJ206:BL206),1,0),IF(BL206&lt;=BJ206,1,0)*(1-$H206))</f>
        <v>0</v>
      </c>
      <c r="BO206" s="24">
        <f>$BK$13*IF(BM206=1,1,IF(BN206=1,FixedParams!$C$52,FixedParams!$C$53))</f>
        <v>0.4550367853045027</v>
      </c>
      <c r="BP206">
        <f>EXP($C206*FixedParams!$B$47)*EXP(IF(BM206+BN206=1,(1-FixedParams!$B$47)*$D206,0))*($B206^((FixedParams!$B$47-1)*$B$10/($B$10-1)))*((1/$B206-1)^$B$10*(BO206)^($B$10-1)+1)^((FixedParams!$B$47-$B$10)/($B$10-1))/((1+IF(BM206=1,FixedParams!$C$25,IF(BN206=1,FixedParams!$C$23,FixedParams!$C$24)))^FixedParams!$B$47)</f>
        <v>3.157766680448143E-2</v>
      </c>
      <c r="BQ206">
        <f t="shared" si="124"/>
        <v>0.90841849496237781</v>
      </c>
      <c r="BR206">
        <f t="shared" si="125"/>
        <v>23.168449598268257</v>
      </c>
      <c r="BS206">
        <f t="shared" si="101"/>
        <v>8.5045181177950155</v>
      </c>
      <c r="BT206">
        <f t="shared" si="126"/>
        <v>31.672967716063273</v>
      </c>
      <c r="BU206" s="24">
        <f t="shared" si="127"/>
        <v>0.36707325113505618</v>
      </c>
      <c r="BV206" s="24">
        <f t="shared" si="128"/>
        <v>2.0371901096417564</v>
      </c>
      <c r="BW206" s="23">
        <f>IF(BM206=1,BR206*(1+FixedParams!$C$25)+BS206*(1+FixedParams!$C$28)/$BK$12,IF(BN206=1,BR206*(1+FixedParams!$C$23)+BS206*(1+FixedParams!$C$26)/$BK$12,BR206*(1+FixedParams!$C$24)+BS206*(1+FixedParams!$C$27)/$BK$12))</f>
        <v>69.440874095568972</v>
      </c>
      <c r="BX206" s="24">
        <f t="shared" si="129"/>
        <v>10.826113204140212</v>
      </c>
      <c r="BY206" s="24">
        <f>BX206^((FixedParams!$B$47-1)/FixedParams!$B$47)*EXP($C206)</f>
        <v>9.4047653548589891E-2</v>
      </c>
      <c r="BZ206" s="24">
        <f t="shared" si="130"/>
        <v>-0.18462377120911558</v>
      </c>
      <c r="CA206" s="24">
        <f t="shared" si="131"/>
        <v>-0.14136576006603593</v>
      </c>
      <c r="CB206" s="24">
        <f t="shared" si="132"/>
        <v>-0.12403730414662868</v>
      </c>
      <c r="CC206" s="24"/>
      <c r="CD206" s="24">
        <f>EXP(-$D$17)*(($B206*FixedParams!$B$30)^$B$10*(1+FixedParams!$D$24)^(1-$B$10)+(1-$B206)^$B$10*((1+FixedParams!$D$27)/$CE$12)^(1-$B$10))^(1/(1-$B$10))</f>
        <v>5.8327100219757897</v>
      </c>
      <c r="CE206" s="24">
        <f>EXP($D206-$D$17)*(($B206*FixedParams!$D$31)^$B$10*(1+FixedParams!$D$25)^(1-$B$10)+(1-$B206)^$B$10*((1+FixedParams!$D$28)/$CE$12)^(1-$B$10))^(1/(1-$B$10))</f>
        <v>6.7297874362629502</v>
      </c>
      <c r="CF206" s="24">
        <f>EXP($D206-$D$17)*(($B206*FixedParams!$D$30)^$B$10*(1+FixedParams!$D$23)^(1-$B$10)+(1-$B206)^$B$10*((1+FixedParams!$D$26)/$CE$12)^(1-$B$10))^(1/(1-$B$10))</f>
        <v>6.3043217769061055</v>
      </c>
      <c r="CG206">
        <f>IF(FixedParams!$I$6=1,IF(CE206&lt;=MIN(CD206:CF206),1,0),$H206)</f>
        <v>0</v>
      </c>
      <c r="CH206">
        <f>IF(FixedParams!$I$6=1,IF(CF206&lt;=MIN(CD206:CF206),1,0),IF(CF206&lt;=CD206,1,0)*(1-$H206))</f>
        <v>0</v>
      </c>
      <c r="CI206" s="24">
        <f>$CE$13*IF(CG206=1,1,IF(CH206=1,FixedParams!$D$52,FixedParams!$D$53))</f>
        <v>0.42008589776177102</v>
      </c>
      <c r="CJ206">
        <f>EXP($C206*FixedParams!$B$47)*EXP(IF(CG206+CH206=1,(1-FixedParams!$B$47)*$D206,0))*($B206^((FixedParams!$B$47-1)*$B$10/($B$10-1)))*((1/$B206-1)^$B$10*(CI206)^($B$10-1)+1)^((FixedParams!$B$47-$B$10)/($B$10-1))/((1+IF(CG206=1,FixedParams!$D$25,IF(CH206=1,FixedParams!$D$23,FixedParams!$D$24)))^FixedParams!$B$47)</f>
        <v>3.661005065653343E-2</v>
      </c>
      <c r="CK206">
        <f t="shared" si="133"/>
        <v>0.9639558204064248</v>
      </c>
      <c r="CL206">
        <f t="shared" si="135"/>
        <v>26.335544635682446</v>
      </c>
      <c r="CM206">
        <f t="shared" si="102"/>
        <v>8.5749665898828002</v>
      </c>
      <c r="CN206">
        <f t="shared" si="136"/>
        <v>34.910511225565244</v>
      </c>
      <c r="CO206" s="24">
        <f t="shared" si="137"/>
        <v>0.32560430051879174</v>
      </c>
      <c r="CP206" s="24">
        <f t="shared" si="138"/>
        <v>1.8843850511397173</v>
      </c>
      <c r="CQ206" s="23">
        <f>IF(CG206=1,CL206*(1+FixedParams!$D$25)+CM206*(1+FixedParams!$D$28)/$CE$12,IF(CH206=1,CL206*(1+FixedParams!$D$23)+CM206*(1+FixedParams!$D$26)/$CE$12,CL206*(1+FixedParams!$D$24)+CM206*(1+FixedParams!$D$27)/$CE$12))</f>
        <v>68.076770766939887</v>
      </c>
      <c r="CR206" s="24">
        <f t="shared" si="139"/>
        <v>11.671550704637868</v>
      </c>
      <c r="CS206" s="24">
        <f>CR206^((FixedParams!$B$47-1)/FixedParams!$B$47)*EXP($C206)</f>
        <v>9.4040574991010803E-2</v>
      </c>
      <c r="CT206" s="24"/>
    </row>
    <row r="207" spans="1:98" x14ac:dyDescent="0.15">
      <c r="A207">
        <v>0.95000000000000007</v>
      </c>
      <c r="B207">
        <f t="shared" si="103"/>
        <v>0.4730925132256017</v>
      </c>
      <c r="C207">
        <f>(D207-$D$17)*FixedParams!$B$47+$A207*$B$9</f>
        <v>-2.3740644028788025</v>
      </c>
      <c r="D207">
        <f>(A207-$B$6)*FixedParams!$B$46/(FixedParams!$B$45*Sectors!$B$6)</f>
        <v>0.24450814345176369</v>
      </c>
      <c r="E207">
        <f t="shared" si="104"/>
        <v>9.3101554021440838E-2</v>
      </c>
      <c r="F207" s="24">
        <f>EXP(-$D$17)*(($B207*FixedParams!$B$30)^$B$10*(1+FixedParams!$B$23)^(1-$B$10)+(1-$B207)^$B$10*((1+FixedParams!$B$26)/$B$11)^(1-$B$10))^(1/(1-$B$10))</f>
        <v>4.4317068440446388</v>
      </c>
      <c r="G207" s="24">
        <f>EXP($D207-$D$17)*(($B207*FixedParams!$B$31)^$B$10*(1+FixedParams!$B$25)^(1-$B$10)+(1-$B207)^$B$10*((1+FixedParams!$B$28)/$B$11)^(1-$B$10))^(1/(1-$B$10))</f>
        <v>5.362300034713944</v>
      </c>
      <c r="H207">
        <f t="shared" si="105"/>
        <v>0</v>
      </c>
      <c r="I207" s="24">
        <f>$B$12*IF(H207=1,1,FixedParams!$B$52)</f>
        <v>0.39101505882574561</v>
      </c>
      <c r="J207">
        <f>EXP($C207*FixedParams!$B$47)*EXP(IF(H207=1,(1-FixedParams!$B$47)*$D207,0))*($B207^((FixedParams!$B$47-1)*$B$10/($B$10-1)))*((1/$B207-1)^$B$10*(I207)^($B$10-1)+1)^((FixedParams!$B$47-$B$10)/($B$10-1))/((1+IF(H207=1,FixedParams!$B$25,FixedParams!$B$24))^FixedParams!$B$47)</f>
        <v>5.0027234856595944E-2</v>
      </c>
      <c r="K207">
        <f t="shared" si="134"/>
        <v>1.00867824586376</v>
      </c>
      <c r="L207">
        <f>K207*FixedParams!$B$8/K$15</f>
        <v>29.325433173507271</v>
      </c>
      <c r="M207">
        <f t="shared" si="94"/>
        <v>8.4278559139084432</v>
      </c>
      <c r="N207">
        <f t="shared" si="106"/>
        <v>37.753289087415716</v>
      </c>
      <c r="O207" s="24">
        <f t="shared" si="107"/>
        <v>0.28739067089117054</v>
      </c>
      <c r="P207" s="24">
        <f t="shared" si="95"/>
        <v>1.7328641123225739</v>
      </c>
      <c r="Q207" s="23">
        <f>IF(H207=1,L207*(1+FixedParams!$B$25)+M207*FixedParams!$B$33*(1+FixedParams!$B$28)/FixedParams!$B$32,L207*(1+FixedParams!$B$23)+M207*FixedParams!$B$33*(1+FixedParams!$B$26)/FixedParams!$B$32)</f>
        <v>54.771482229714792</v>
      </c>
      <c r="R207" s="24">
        <f t="shared" si="96"/>
        <v>12.359003913653975</v>
      </c>
      <c r="S207" s="24">
        <f>R207^((FixedParams!$B$47-1)/FixedParams!$B$47)*EXP($C207)</f>
        <v>9.2867521198527245E-2</v>
      </c>
      <c r="T207" s="7">
        <f>(L207*FixedParams!$B$32*(FixedParams!$C$25-FixedParams!$C$23)+FixedParams!$B$33*(FixedParams!$C$28-FixedParams!$C$26)*M207)/N207</f>
        <v>4354.4872908375819</v>
      </c>
      <c r="U207" s="7">
        <f>(L207*FixedParams!$B$32*(FixedParams!$C$25-FixedParams!$C$23)*$Z$12/$B$11+FixedParams!$B$33*(FixedParams!$C$28-FixedParams!$C$26)*M207)/N207</f>
        <v>3574.3562027048597</v>
      </c>
      <c r="V207" s="14">
        <f t="shared" si="97"/>
        <v>0.30790356011124359</v>
      </c>
      <c r="W207" s="14">
        <f t="shared" si="140"/>
        <v>0.98238089380522287</v>
      </c>
      <c r="X207" s="73">
        <f t="shared" si="109"/>
        <v>0.83699617144801619</v>
      </c>
      <c r="Y207" s="24">
        <f>EXP(-$D$17)*(($B207*FixedParams!$B$30)^$B$10*(1+FixedParams!$C$24)^(1-$B$10)+(1-$B207)^$B$10*((1+FixedParams!$C$27)/$Z$12)^(1-$B$10))^(1/(1-$B$10))</f>
        <v>6.25392131996679</v>
      </c>
      <c r="Z207" s="24">
        <f>EXP($D207-$D$17)*(($B207*FixedParams!$C$31)^$B$10*(1+FixedParams!$C$25)^(1-$B$10)+(1-$B207)^$B$10*((1+FixedParams!$C$28)/$Z$12)^(1-$B$10))^(1/(1-$B$10))</f>
        <v>6.8930833224693089</v>
      </c>
      <c r="AA207" s="24">
        <f>EXP($D207-$D$17)*(($B207*FixedParams!$C$30)^$B$10*(1+FixedParams!$C$23)^(1-$B$10)+(1-$B207)^$B$10*((1+FixedParams!$C$26)/$Z$12)^(1-$B$10))^(1/(1-$B$10))</f>
        <v>6.3847580024966417</v>
      </c>
      <c r="AB207">
        <f>IF(FixedParams!$I$6=1,IF(Z207&lt;=MIN(Y207:AA207),1,0),$H207)</f>
        <v>0</v>
      </c>
      <c r="AC207">
        <f>IF(FixedParams!$I$6=1,IF(AA207&lt;=MIN(Y207:AA207),1,0),IF(AA207&lt;=Y207,1,0)*(1-$H207))</f>
        <v>0</v>
      </c>
      <c r="AD207" s="24">
        <f>$Z$13*IF(AB207=1,1,IF(AC207=1,FixedParams!$C$52,FixedParams!$C$53))</f>
        <v>0.47851548426682239</v>
      </c>
      <c r="AE207">
        <f>EXP($C207*FixedParams!$B$47)*EXP(IF(AB207+AC207=1,(1-FixedParams!$B$47)*$D207,0))*($B207^((FixedParams!$B$47-1)*$B$10/($B$10-1)))*((1/$B207-1)^$B$10*(AD207)^($B$10-1)+1)^((FixedParams!$B$47-$B$10)/($B$10-1))/((1+IF(AB207=1,FixedParams!$C$25,IF(AC207=1,FixedParams!$C$23,FixedParams!$C$24)))^FixedParams!$B$47)</f>
        <v>3.1075325150427786E-2</v>
      </c>
      <c r="AF207">
        <f t="shared" si="110"/>
        <v>0.91570223245247617</v>
      </c>
      <c r="AG207">
        <f t="shared" si="111"/>
        <v>21.508439266011436</v>
      </c>
      <c r="AH207">
        <f t="shared" si="98"/>
        <v>8.3682632182748549</v>
      </c>
      <c r="AI207">
        <f t="shared" si="112"/>
        <v>29.876702484286291</v>
      </c>
      <c r="AJ207" s="24">
        <f t="shared" si="113"/>
        <v>0.38906882618390382</v>
      </c>
      <c r="AK207" s="24">
        <f t="shared" si="114"/>
        <v>2.0887710823779413</v>
      </c>
      <c r="AL207" s="23">
        <f>IF(AB207=1,AG207*(1+FixedParams!$C$25)+AH207*(1+FixedParams!$C$28)/$Z$12,IF(AC207=1,AG207*(1+FixedParams!$C$23)+AH207*(1+FixedParams!$C$26)/$Z$12,AG207*(1+FixedParams!$C$24)+AH207*(1+FixedParams!$C$27)/$Z$12))</f>
        <v>64.693307346530162</v>
      </c>
      <c r="AM207" s="24">
        <f t="shared" si="115"/>
        <v>10.344438958639426</v>
      </c>
      <c r="AN207" s="24">
        <f>AM207^((FixedParams!$B$47-1)/FixedParams!$B$47)*EXP($C207)</f>
        <v>9.2884063667767636E-2</v>
      </c>
      <c r="AO207" s="24">
        <f t="shared" si="116"/>
        <v>-0.23399360449336154</v>
      </c>
      <c r="AP207" s="24">
        <f t="shared" si="117"/>
        <v>-0.17793578263930449</v>
      </c>
      <c r="AQ207" s="14">
        <f t="shared" si="118"/>
        <v>0.20693231135168125</v>
      </c>
      <c r="AS207" s="24">
        <f>EXP(-$D$17)*(($B207*FixedParams!$B$30)^$B$10*(1+FixedParams!$D$24)^(1-$B$10)+(1-$B207)^$B$10*((1+FixedParams!$D$27)/$AT$12)^(1-$B$10))^(1/(1-$B$10))</f>
        <v>5.6960385383313401</v>
      </c>
      <c r="AT207" s="24">
        <f>EXP($D207-$D$17)*(($B207*FixedParams!$C$31)^$B$10*(1+FixedParams!$D$25)^(1-$B$10)+(1-$B207)^$B$10*((1+FixedParams!$D$28)/$AT$12)^(1-$B$10))^(1/(1-$B$10))</f>
        <v>6.5906733486500189</v>
      </c>
      <c r="AU207" s="24">
        <f>EXP($D207-$D$17)*(($B207*FixedParams!$C$30)^$B$10*(1+FixedParams!$D$23)^(1-$B$10)+(1-$B207)^$B$10*((1+FixedParams!$D$26)/$AT$12)^(1-$B$10))^(1/(1-$B$10))</f>
        <v>6.1756366133989129</v>
      </c>
      <c r="AV207">
        <f>IF(FixedParams!$I$6=1,IF(AT207&lt;=MIN(AS207:AU207),1,0),$H207)</f>
        <v>0</v>
      </c>
      <c r="AW207">
        <f>IF(FixedParams!$I$6=1,IF(AU207&lt;=MIN(AS207:AU207),1,0),IF(AU207&lt;=AS207,1,0)*(1-$H207))</f>
        <v>0</v>
      </c>
      <c r="AX207" s="24">
        <f>$AT$13*IF(AV207=1,1,IF(AW207=1,FixedParams!$D$52,FixedParams!$D$53))</f>
        <v>0.44031288407969205</v>
      </c>
      <c r="AY207">
        <f>EXP($C207*FixedParams!$B$47)*EXP(IF(AV207+AW207=1,(1-FixedParams!$B$47)*$D207,0))*($B207^((FixedParams!$B$47-1)*$B$10/($B$10-1)))*((1/$B207-1)^$B$10*(AX207)^($B$10-1)+1)^((FixedParams!$B$47-$B$10)/($B$10-1))/((1+IF(AV207=1,FixedParams!$D$25,IF(AW207=1,FixedParams!$D$23,FixedParams!$D$24)))^FixedParams!$B$47)</f>
        <v>3.6056455679476469E-2</v>
      </c>
      <c r="AZ207">
        <f t="shared" si="99"/>
        <v>0.97091312687686027</v>
      </c>
      <c r="BA207">
        <f t="shared" si="119"/>
        <v>24.428044419502896</v>
      </c>
      <c r="BB207">
        <f t="shared" si="100"/>
        <v>8.3890586890318772</v>
      </c>
      <c r="BC207">
        <f t="shared" si="120"/>
        <v>32.817103108534774</v>
      </c>
      <c r="BD207" s="24">
        <f t="shared" si="121"/>
        <v>0.34341916794347271</v>
      </c>
      <c r="BE207" s="24">
        <f t="shared" si="122"/>
        <v>1.928836761882277</v>
      </c>
      <c r="BF207" s="23">
        <f>IF(AV207=1,BA207*(1+FixedParams!$C$25)+BB207*(1+FixedParams!$C$28)/$AT$12,IF(AW207=1,BA207*(1+FixedParams!$C$23)+BB207*(1+FixedParams!$C$26)/$AT$12,BA207*(1+FixedParams!$C$24)+BB207*(1+FixedParams!$C$27)/$AT$12))</f>
        <v>69.210901301332868</v>
      </c>
      <c r="BG207" s="24">
        <f t="shared" si="123"/>
        <v>12.150708046580082</v>
      </c>
      <c r="BH207" s="24">
        <f>BG207^((FixedParams!$B$47-1)/FixedParams!$B$47)*EXP($C207)</f>
        <v>9.28691012999244E-2</v>
      </c>
      <c r="BI207" s="7"/>
      <c r="BJ207" s="24">
        <f>EXP(-$D$17)*(($B207*FixedParams!$B$30)^$B$10*(1+FixedParams!$C$24)^(1-$B$10)+(1-$B207)^$B$10*((1+FixedParams!$C$27)/$BK$12)^(1-$B$10))^(1/(1-$B$10))</f>
        <v>6.3956239479568051</v>
      </c>
      <c r="BK207" s="24">
        <f>EXP($D207-$D$17)*(($B207*FixedParams!$C$31)^$B$10*(1+FixedParams!$C$25)^(1-$B$10)+(1-$B207)^$B$10*((1+FixedParams!$C$28)/$BK$12)^(1-$B$10))^(1/(1-$B$10))</f>
        <v>7.0447909498739643</v>
      </c>
      <c r="BL207" s="24">
        <f>EXP($D207-$D$17)*(($B207*FixedParams!$C$30)^$B$10*(1+FixedParams!$C$23)^(1-$B$10)+(1-$B207)^$B$10*((1+FixedParams!$C$26)/$BK$12)^(1-$B$10))^(1/(1-$B$10))</f>
        <v>6.5165513290493262</v>
      </c>
      <c r="BM207">
        <f>IF(FixedParams!$I$6=1,IF(BK207&lt;=MIN(BJ207:BL207),1,0),$H207)</f>
        <v>0</v>
      </c>
      <c r="BN207">
        <f>IF(FixedParams!$I$6=1,IF(BL207&lt;=MIN(BJ207:BL207),1,0),IF(BL207&lt;=BJ207,1,0)*(1-$H207))</f>
        <v>0</v>
      </c>
      <c r="BO207" s="24">
        <f>$BK$13*IF(BM207=1,1,IF(BN207=1,FixedParams!$C$52,FixedParams!$C$53))</f>
        <v>0.4550367853045027</v>
      </c>
      <c r="BP207">
        <f>EXP($C207*FixedParams!$B$47)*EXP(IF(BM207+BN207=1,(1-FixedParams!$B$47)*$D207,0))*($B207^((FixedParams!$B$47-1)*$B$10/($B$10-1)))*((1/$B207-1)^$B$10*(BO207)^($B$10-1)+1)^((FixedParams!$B$47-$B$10)/($B$10-1))/((1+IF(BM207=1,FixedParams!$C$25,IF(BN207=1,FixedParams!$C$23,FixedParams!$C$24)))^FixedParams!$B$47)</f>
        <v>3.1426112831607941E-2</v>
      </c>
      <c r="BQ207">
        <f t="shared" si="124"/>
        <v>0.90405862781969948</v>
      </c>
      <c r="BR207">
        <f t="shared" si="125"/>
        <v>23.057254854094239</v>
      </c>
      <c r="BS207">
        <f t="shared" si="101"/>
        <v>8.3187831020826817</v>
      </c>
      <c r="BT207">
        <f t="shared" si="126"/>
        <v>31.376037956176923</v>
      </c>
      <c r="BU207" s="24">
        <f t="shared" si="127"/>
        <v>0.36078809705334586</v>
      </c>
      <c r="BV207" s="24">
        <f t="shared" si="128"/>
        <v>2.0312896897201869</v>
      </c>
      <c r="BW207" s="23">
        <f>IF(BM207=1,BR207*(1+FixedParams!$C$25)+BS207*(1+FixedParams!$C$28)/$BK$12,IF(BN207=1,BR207*(1+FixedParams!$C$23)+BS207*(1+FixedParams!$C$26)/$BK$12,BR207*(1+FixedParams!$C$24)+BS207*(1+FixedParams!$C$27)/$BK$12))</f>
        <v>68.579261379300391</v>
      </c>
      <c r="BX207" s="24">
        <f t="shared" si="129"/>
        <v>10.722841420532433</v>
      </c>
      <c r="BY207" s="24">
        <f>BX207^((FixedParams!$B$47-1)/FixedParams!$B$47)*EXP($C207)</f>
        <v>9.2880723332228174E-2</v>
      </c>
      <c r="BZ207" s="24">
        <f t="shared" si="130"/>
        <v>-0.18502812086973117</v>
      </c>
      <c r="CA207" s="24">
        <f t="shared" si="131"/>
        <v>-0.14200868086533069</v>
      </c>
      <c r="CB207" s="24">
        <f t="shared" si="132"/>
        <v>-0.12468022494592344</v>
      </c>
      <c r="CC207" s="24"/>
      <c r="CD207" s="24">
        <f>EXP(-$D$17)*(($B207*FixedParams!$B$30)^$B$10*(1+FixedParams!$D$24)^(1-$B$10)+(1-$B207)^$B$10*((1+FixedParams!$D$27)/$CE$12)^(1-$B$10))^(1/(1-$B$10))</f>
        <v>5.8138394669079041</v>
      </c>
      <c r="CE207" s="24">
        <f>EXP($D207-$D$17)*(($B207*FixedParams!$D$31)^$B$10*(1+FixedParams!$D$25)^(1-$B$10)+(1-$B207)^$B$10*((1+FixedParams!$D$28)/$CE$12)^(1-$B$10))^(1/(1-$B$10))</f>
        <v>6.7242943533354183</v>
      </c>
      <c r="CF207" s="24">
        <f>EXP($D207-$D$17)*(($B207*FixedParams!$D$30)^$B$10*(1+FixedParams!$D$23)^(1-$B$10)+(1-$B207)^$B$10*((1+FixedParams!$D$26)/$CE$12)^(1-$B$10))^(1/(1-$B$10))</f>
        <v>6.2945751465046351</v>
      </c>
      <c r="CG207">
        <f>IF(FixedParams!$I$6=1,IF(CE207&lt;=MIN(CD207:CF207),1,0),$H207)</f>
        <v>0</v>
      </c>
      <c r="CH207">
        <f>IF(FixedParams!$I$6=1,IF(CF207&lt;=MIN(CD207:CF207),1,0),IF(CF207&lt;=CD207,1,0)*(1-$H207))</f>
        <v>0</v>
      </c>
      <c r="CI207" s="24">
        <f>$CE$13*IF(CG207=1,1,IF(CH207=1,FixedParams!$D$52,FixedParams!$D$53))</f>
        <v>0.42008589776177102</v>
      </c>
      <c r="CJ207">
        <f>EXP($C207*FixedParams!$B$47)*EXP(IF(CG207+CH207=1,(1-FixedParams!$B$47)*$D207,0))*($B207^((FixedParams!$B$47-1)*$B$10/($B$10-1)))*((1/$B207-1)^$B$10*(CI207)^($B$10-1)+1)^((FixedParams!$B$47-$B$10)/($B$10-1))/((1+IF(CG207=1,FixedParams!$D$25,IF(CH207=1,FixedParams!$D$23,FixedParams!$D$24)))^FixedParams!$B$47)</f>
        <v>3.6428138759132526E-2</v>
      </c>
      <c r="CK207">
        <f t="shared" si="133"/>
        <v>0.95916601462478535</v>
      </c>
      <c r="CL207">
        <f t="shared" si="135"/>
        <v>26.204685792063</v>
      </c>
      <c r="CM207">
        <f t="shared" si="102"/>
        <v>8.3862644214327489</v>
      </c>
      <c r="CN207">
        <f t="shared" si="136"/>
        <v>34.590950213495745</v>
      </c>
      <c r="CO207" s="24">
        <f t="shared" si="137"/>
        <v>0.32002919202995445</v>
      </c>
      <c r="CP207" s="24">
        <f t="shared" si="138"/>
        <v>1.878288503952791</v>
      </c>
      <c r="CQ207" s="23">
        <f>IF(CG207=1,CL207*(1+FixedParams!$D$25)+CM207*(1+FixedParams!$D$28)/$CE$12,IF(CH207=1,CL207*(1+FixedParams!$D$23)+CM207*(1+FixedParams!$D$26)/$CE$12,CL207*(1+FixedParams!$D$24)+CM207*(1+FixedParams!$D$27)/$CE$12))</f>
        <v>67.232060797104879</v>
      </c>
      <c r="CR207" s="24">
        <f t="shared" si="139"/>
        <v>11.564141249476625</v>
      </c>
      <c r="CS207" s="24">
        <f>CR207^((FixedParams!$B$47-1)/FixedParams!$B$47)*EXP($C207)</f>
        <v>9.2873701028438824E-2</v>
      </c>
      <c r="CT207" s="24"/>
    </row>
    <row r="208" spans="1:98" x14ac:dyDescent="0.15">
      <c r="A208">
        <v>0.95500000000000007</v>
      </c>
      <c r="B208">
        <f t="shared" si="103"/>
        <v>0.47596347239652692</v>
      </c>
      <c r="C208">
        <f>(D208-$D$17)*FixedParams!$B$47+$A208*$B$9</f>
        <v>-2.3865594786834272</v>
      </c>
      <c r="D208">
        <f>(A208-$B$6)*FixedParams!$B$46/(FixedParams!$B$45*Sectors!$B$6)</f>
        <v>0.24722490060122773</v>
      </c>
      <c r="E208">
        <f t="shared" si="104"/>
        <v>9.1945480699452936E-2</v>
      </c>
      <c r="F208" s="24">
        <f>EXP(-$D$17)*(($B208*FixedParams!$B$30)^$B$10*(1+FixedParams!$B$23)^(1-$B$10)+(1-$B208)^$B$10*((1+FixedParams!$B$26)/$B$11)^(1-$B$10))^(1/(1-$B$10))</f>
        <v>4.4158227203344786</v>
      </c>
      <c r="G208" s="24">
        <f>EXP($D208-$D$17)*(($B208*FixedParams!$B$31)^$B$10*(1+FixedParams!$B$25)^(1-$B$10)+(1-$B208)^$B$10*((1+FixedParams!$B$28)/$B$11)^(1-$B$10))^(1/(1-$B$10))</f>
        <v>5.3566497505606314</v>
      </c>
      <c r="H208">
        <f t="shared" si="105"/>
        <v>0</v>
      </c>
      <c r="I208" s="24">
        <f>$B$12*IF(H208=1,1,FixedParams!$B$52)</f>
        <v>0.39101505882574561</v>
      </c>
      <c r="J208">
        <f>EXP($C208*FixedParams!$B$47)*EXP(IF(H208=1,(1-FixedParams!$B$47)*$D208,0))*($B208^((FixedParams!$B$47-1)*$B$10/($B$10-1)))*((1/$B208-1)^$B$10*(I208)^($B$10-1)+1)^((FixedParams!$B$47-$B$10)/($B$10-1))/((1+IF(H208=1,FixedParams!$B$25,FixedParams!$B$24))^FixedParams!$B$47)</f>
        <v>4.9767456980728868E-2</v>
      </c>
      <c r="K208">
        <f t="shared" si="134"/>
        <v>1.003440453031617</v>
      </c>
      <c r="L208">
        <f>K208*FixedParams!$B$8/K$15</f>
        <v>29.173154144683618</v>
      </c>
      <c r="M208">
        <f t="shared" si="94"/>
        <v>8.2405370375279006</v>
      </c>
      <c r="N208">
        <f t="shared" si="106"/>
        <v>37.413691182211522</v>
      </c>
      <c r="O208" s="24">
        <f t="shared" si="107"/>
        <v>0.28246986927293283</v>
      </c>
      <c r="P208" s="24">
        <f t="shared" si="95"/>
        <v>1.7266531807556502</v>
      </c>
      <c r="Q208" s="23">
        <f>IF(H208=1,L208*(1+FixedParams!$B$25)+M208*FixedParams!$B$33*(1+FixedParams!$B$28)/FixedParams!$B$32,L208*(1+FixedParams!$B$23)+M208*FixedParams!$B$33*(1+FixedParams!$B$26)/FixedParams!$B$32)</f>
        <v>54.091847961328163</v>
      </c>
      <c r="R208" s="24">
        <f t="shared" si="96"/>
        <v>12.24955153028221</v>
      </c>
      <c r="S208" s="24">
        <f>R208^((FixedParams!$B$47-1)/FixedParams!$B$47)*EXP($C208)</f>
        <v>9.1715170609183494E-2</v>
      </c>
      <c r="T208" s="7">
        <f>(L208*FixedParams!$B$32*(FixedParams!$C$25-FixedParams!$C$23)+FixedParams!$B$33*(FixedParams!$C$28-FixedParams!$C$26)*M208)/N208</f>
        <v>4388.3000378649549</v>
      </c>
      <c r="U208" s="7">
        <f>(L208*FixedParams!$B$32*(FixedParams!$C$25-FixedParams!$C$23)*$Z$12/$B$11+FixedParams!$B$33*(FixedParams!$C$28-FixedParams!$C$26)*M208)/N208</f>
        <v>3605.1756082020343</v>
      </c>
      <c r="V208" s="14">
        <f t="shared" si="97"/>
        <v>0.32517418540732751</v>
      </c>
      <c r="W208" s="14">
        <f t="shared" si="140"/>
        <v>0.98421595573553999</v>
      </c>
      <c r="X208" s="73">
        <f t="shared" si="109"/>
        <v>0.83628031446011108</v>
      </c>
      <c r="Y208" s="24">
        <f>EXP(-$D$17)*(($B208*FixedParams!$B$30)^$B$10*(1+FixedParams!$C$24)^(1-$B$10)+(1-$B208)^$B$10*((1+FixedParams!$C$27)/$Z$12)^(1-$B$10))^(1/(1-$B$10))</f>
        <v>6.236845533808018</v>
      </c>
      <c r="Z208" s="24">
        <f>EXP($D208-$D$17)*(($B208*FixedParams!$C$31)^$B$10*(1+FixedParams!$C$25)^(1-$B$10)+(1-$B208)^$B$10*((1+FixedParams!$C$28)/$Z$12)^(1-$B$10))^(1/(1-$B$10))</f>
        <v>6.8899559306059208</v>
      </c>
      <c r="AA208" s="24">
        <f>EXP($D208-$D$17)*(($B208*FixedParams!$C$30)^$B$10*(1+FixedParams!$C$23)^(1-$B$10)+(1-$B208)^$B$10*((1+FixedParams!$C$26)/$Z$12)^(1-$B$10))^(1/(1-$B$10))</f>
        <v>6.3759964919445409</v>
      </c>
      <c r="AB208">
        <f>IF(FixedParams!$I$6=1,IF(Z208&lt;=MIN(Y208:AA208),1,0),$H208)</f>
        <v>0</v>
      </c>
      <c r="AC208">
        <f>IF(FixedParams!$I$6=1,IF(AA208&lt;=MIN(Y208:AA208),1,0),IF(AA208&lt;=Y208,1,0)*(1-$H208))</f>
        <v>0</v>
      </c>
      <c r="AD208" s="24">
        <f>$Z$13*IF(AB208=1,1,IF(AC208=1,FixedParams!$C$52,FixedParams!$C$53))</f>
        <v>0.47851548426682239</v>
      </c>
      <c r="AE208">
        <f>EXP($C208*FixedParams!$B$47)*EXP(IF(AB208+AC208=1,(1-FixedParams!$B$47)*$D208,0))*($B208^((FixedParams!$B$47-1)*$B$10/($B$10-1)))*((1/$B208-1)^$B$10*(AD208)^($B$10-1)+1)^((FixedParams!$B$47-$B$10)/($B$10-1))/((1+IF(AB208=1,FixedParams!$C$25,IF(AC208=1,FixedParams!$C$23,FixedParams!$C$24)))^FixedParams!$B$47)</f>
        <v>3.0927227503592059E-2</v>
      </c>
      <c r="AF208">
        <f t="shared" si="110"/>
        <v>0.91133821227981615</v>
      </c>
      <c r="AG208">
        <f t="shared" si="111"/>
        <v>21.405935133649631</v>
      </c>
      <c r="AH208">
        <f t="shared" si="98"/>
        <v>8.1857806423116681</v>
      </c>
      <c r="AI208">
        <f t="shared" si="112"/>
        <v>29.591715775961298</v>
      </c>
      <c r="AJ208" s="24">
        <f t="shared" si="113"/>
        <v>0.38240705632354327</v>
      </c>
      <c r="AK208" s="24">
        <f t="shared" si="114"/>
        <v>2.0830678752999376</v>
      </c>
      <c r="AL208" s="23">
        <f>IF(AB208=1,AG208*(1+FixedParams!$C$25)+AH208*(1+FixedParams!$C$28)/$Z$12,IF(AC208=1,AG208*(1+FixedParams!$C$23)+AH208*(1+FixedParams!$C$26)/$Z$12,AG208*(1+FixedParams!$C$24)+AH208*(1+FixedParams!$C$27)/$Z$12))</f>
        <v>63.890612410644593</v>
      </c>
      <c r="AM208" s="24">
        <f t="shared" si="115"/>
        <v>10.244058805739741</v>
      </c>
      <c r="AN208" s="24">
        <f>AM208^((FixedParams!$B$47-1)/FixedParams!$B$47)*EXP($C208)</f>
        <v>9.1731586377787347E-2</v>
      </c>
      <c r="AO208" s="24">
        <f t="shared" si="116"/>
        <v>-0.23454226209761078</v>
      </c>
      <c r="AP208" s="24">
        <f t="shared" si="117"/>
        <v>-0.17879141772126228</v>
      </c>
      <c r="AQ208" s="14">
        <f t="shared" si="118"/>
        <v>0.22420293664776497</v>
      </c>
      <c r="AS208" s="24">
        <f>EXP(-$D$17)*(($B208*FixedParams!$B$30)^$B$10*(1+FixedParams!$D$24)^(1-$B$10)+(1-$B208)^$B$10*((1+FixedParams!$D$27)/$AT$12)^(1-$B$10))^(1/(1-$B$10))</f>
        <v>5.678474011229917</v>
      </c>
      <c r="AT208" s="24">
        <f>EXP($D208-$D$17)*(($B208*FixedParams!$C$31)^$B$10*(1+FixedParams!$D$25)^(1-$B$10)+(1-$B208)^$B$10*((1+FixedParams!$D$28)/$AT$12)^(1-$B$10))^(1/(1-$B$10))</f>
        <v>6.5862941148747858</v>
      </c>
      <c r="AU208" s="24">
        <f>EXP($D208-$D$17)*(($B208*FixedParams!$C$30)^$B$10*(1+FixedParams!$D$23)^(1-$B$10)+(1-$B208)^$B$10*((1+FixedParams!$D$26)/$AT$12)^(1-$B$10))^(1/(1-$B$10))</f>
        <v>6.1670208409323353</v>
      </c>
      <c r="AV208">
        <f>IF(FixedParams!$I$6=1,IF(AT208&lt;=MIN(AS208:AU208),1,0),$H208)</f>
        <v>0</v>
      </c>
      <c r="AW208">
        <f>IF(FixedParams!$I$6=1,IF(AU208&lt;=MIN(AS208:AU208),1,0),IF(AU208&lt;=AS208,1,0)*(1-$H208))</f>
        <v>0</v>
      </c>
      <c r="AX208" s="24">
        <f>$AT$13*IF(AV208=1,1,IF(AW208=1,FixedParams!$D$52,FixedParams!$D$53))</f>
        <v>0.44031288407969205</v>
      </c>
      <c r="AY208">
        <f>EXP($C208*FixedParams!$B$47)*EXP(IF(AV208+AW208=1,(1-FixedParams!$B$47)*$D208,0))*($B208^((FixedParams!$B$47-1)*$B$10/($B$10-1)))*((1/$B208-1)^$B$10*(AX208)^($B$10-1)+1)^((FixedParams!$B$47-$B$10)/($B$10-1))/((1+IF(AV208=1,FixedParams!$D$25,IF(AW208=1,FixedParams!$D$23,FixedParams!$D$24)))^FixedParams!$B$47)</f>
        <v>3.5878250820940143E-2</v>
      </c>
      <c r="AZ208">
        <f t="shared" si="99"/>
        <v>0.9661145011338248</v>
      </c>
      <c r="BA208">
        <f t="shared" si="119"/>
        <v>24.307311637590157</v>
      </c>
      <c r="BB208">
        <f t="shared" si="100"/>
        <v>8.2046663236485049</v>
      </c>
      <c r="BC208">
        <f t="shared" si="120"/>
        <v>32.511977961238664</v>
      </c>
      <c r="BD208" s="24">
        <f t="shared" si="121"/>
        <v>0.33753902718556339</v>
      </c>
      <c r="BE208" s="24">
        <f t="shared" si="122"/>
        <v>1.9228889254429142</v>
      </c>
      <c r="BF208" s="23">
        <f>IF(AV208=1,BA208*(1+FixedParams!$C$25)+BB208*(1+FixedParams!$C$28)/$AT$12,IF(AW208=1,BA208*(1+FixedParams!$C$23)+BB208*(1+FixedParams!$C$26)/$AT$12,BA208*(1+FixedParams!$C$24)+BB208*(1+FixedParams!$C$27)/$AT$12))</f>
        <v>68.380092844471037</v>
      </c>
      <c r="BG208" s="24">
        <f t="shared" si="123"/>
        <v>12.041983939565551</v>
      </c>
      <c r="BH208" s="24">
        <f>BG208^((FixedParams!$B$47-1)/FixedParams!$B$47)*EXP($C208)</f>
        <v>9.1716739614978796E-2</v>
      </c>
      <c r="BI208" s="7"/>
      <c r="BJ208" s="24">
        <f>EXP(-$D$17)*(($B208*FixedParams!$B$30)^$B$10*(1+FixedParams!$C$24)^(1-$B$10)+(1-$B208)^$B$10*((1+FixedParams!$C$27)/$BK$12)^(1-$B$10))^(1/(1-$B$10))</f>
        <v>6.3767938197543037</v>
      </c>
      <c r="BK208" s="24">
        <f>EXP($D208-$D$17)*(($B208*FixedParams!$C$31)^$B$10*(1+FixedParams!$C$25)^(1-$B$10)+(1-$B208)^$B$10*((1+FixedParams!$C$28)/$BK$12)^(1-$B$10))^(1/(1-$B$10))</f>
        <v>7.0400947945621963</v>
      </c>
      <c r="BL208" s="24">
        <f>EXP($D208-$D$17)*(($B208*FixedParams!$C$30)^$B$10*(1+FixedParams!$C$23)^(1-$B$10)+(1-$B208)^$B$10*((1+FixedParams!$C$26)/$BK$12)^(1-$B$10))^(1/(1-$B$10))</f>
        <v>6.5062476072372153</v>
      </c>
      <c r="BM208">
        <f>IF(FixedParams!$I$6=1,IF(BK208&lt;=MIN(BJ208:BL208),1,0),$H208)</f>
        <v>0</v>
      </c>
      <c r="BN208">
        <f>IF(FixedParams!$I$6=1,IF(BL208&lt;=MIN(BJ208:BL208),1,0),IF(BL208&lt;=BJ208,1,0)*(1-$H208))</f>
        <v>0</v>
      </c>
      <c r="BO208" s="24">
        <f>$BK$13*IF(BM208=1,1,IF(BN208=1,FixedParams!$C$52,FixedParams!$C$53))</f>
        <v>0.4550367853045027</v>
      </c>
      <c r="BP208">
        <f>EXP($C208*FixedParams!$B$47)*EXP(IF(BM208+BN208=1,(1-FixedParams!$B$47)*$D208,0))*($B208^((FixedParams!$B$47-1)*$B$10/($B$10-1)))*((1/$B208-1)^$B$10*(BO208)^($B$10-1)+1)^((FixedParams!$B$47-$B$10)/($B$10-1))/((1+IF(BM208=1,FixedParams!$C$25,IF(BN208=1,FixedParams!$C$23,FixedParams!$C$24)))^FixedParams!$B$47)</f>
        <v>3.1272983808429203E-2</v>
      </c>
      <c r="BQ208">
        <f t="shared" si="124"/>
        <v>0.89965345002007346</v>
      </c>
      <c r="BR208">
        <f t="shared" si="125"/>
        <v>22.944904499727805</v>
      </c>
      <c r="BS208">
        <f t="shared" si="101"/>
        <v>8.1365054231281508</v>
      </c>
      <c r="BT208">
        <f t="shared" si="126"/>
        <v>31.081409922855954</v>
      </c>
      <c r="BU208" s="24">
        <f t="shared" si="127"/>
        <v>0.35461055953511045</v>
      </c>
      <c r="BV208" s="24">
        <f t="shared" si="128"/>
        <v>2.0253091246361392</v>
      </c>
      <c r="BW208" s="23">
        <f>IF(BM208=1,BR208*(1+FixedParams!$C$25)+BS208*(1+FixedParams!$C$28)/$BK$12,IF(BN208=1,BR208*(1+FixedParams!$C$23)+BS208*(1+FixedParams!$C$26)/$BK$12,BR208*(1+FixedParams!$C$24)+BS208*(1+FixedParams!$C$27)/$BK$12))</f>
        <v>67.728336182333933</v>
      </c>
      <c r="BX208" s="24">
        <f t="shared" si="129"/>
        <v>10.621064142378605</v>
      </c>
      <c r="BY208" s="24">
        <f>BX208^((FixedParams!$B$47-1)/FixedParams!$B$47)*EXP($C208)</f>
        <v>9.1728267820076509E-2</v>
      </c>
      <c r="BZ208" s="24">
        <f t="shared" si="130"/>
        <v>-0.18542682303851507</v>
      </c>
      <c r="CA208" s="24">
        <f t="shared" si="131"/>
        <v>-0.14265011402320091</v>
      </c>
      <c r="CB208" s="24">
        <f t="shared" si="132"/>
        <v>-0.12532165810379364</v>
      </c>
      <c r="CC208" s="24"/>
      <c r="CD208" s="24">
        <f>EXP(-$D$17)*(($B208*FixedParams!$B$30)^$B$10*(1+FixedParams!$D$24)^(1-$B$10)+(1-$B208)^$B$10*((1+FixedParams!$D$27)/$CE$12)^(1-$B$10))^(1/(1-$B$10))</f>
        <v>5.7947560190293705</v>
      </c>
      <c r="CE208" s="24">
        <f>EXP($D208-$D$17)*(($B208*FixedParams!$D$31)^$B$10*(1+FixedParams!$D$25)^(1-$B$10)+(1-$B208)^$B$10*((1+FixedParams!$D$28)/$CE$12)^(1-$B$10))^(1/(1-$B$10))</f>
        <v>6.7184930144882715</v>
      </c>
      <c r="CF208" s="24">
        <f>EXP($D208-$D$17)*(($B208*FixedParams!$D$30)^$B$10*(1+FixedParams!$D$23)^(1-$B$10)+(1-$B208)^$B$10*((1+FixedParams!$D$26)/$CE$12)^(1-$B$10))^(1/(1-$B$10))</f>
        <v>6.284564762737368</v>
      </c>
      <c r="CG208">
        <f>IF(FixedParams!$I$6=1,IF(CE208&lt;=MIN(CD208:CF208),1,0),$H208)</f>
        <v>0</v>
      </c>
      <c r="CH208">
        <f>IF(FixedParams!$I$6=1,IF(CF208&lt;=MIN(CD208:CF208),1,0),IF(CF208&lt;=CD208,1,0)*(1-$H208))</f>
        <v>0</v>
      </c>
      <c r="CI208" s="24">
        <f>$CE$13*IF(CG208=1,1,IF(CH208=1,FixedParams!$D$52,FixedParams!$D$53))</f>
        <v>0.42008589776177102</v>
      </c>
      <c r="CJ208">
        <f>EXP($C208*FixedParams!$B$47)*EXP(IF(CG208+CH208=1,(1-FixedParams!$B$47)*$D208,0))*($B208^((FixedParams!$B$47-1)*$B$10/($B$10-1)))*((1/$B208-1)^$B$10*(CI208)^($B$10-1)+1)^((FixedParams!$B$47-$B$10)/($B$10-1))/((1+IF(CG208=1,FixedParams!$D$25,IF(CH208=1,FixedParams!$D$23,FixedParams!$D$24)))^FixedParams!$B$47)</f>
        <v>3.6244475680664016E-2</v>
      </c>
      <c r="CK208">
        <f t="shared" si="133"/>
        <v>0.95433009961487569</v>
      </c>
      <c r="CL208">
        <f t="shared" si="135"/>
        <v>26.07256723133462</v>
      </c>
      <c r="CM208">
        <f t="shared" si="102"/>
        <v>8.2011140933859998</v>
      </c>
      <c r="CN208">
        <f t="shared" si="136"/>
        <v>34.27368132472062</v>
      </c>
      <c r="CO208" s="24">
        <f t="shared" si="137"/>
        <v>0.31454954246046435</v>
      </c>
      <c r="CP208" s="24">
        <f t="shared" si="138"/>
        <v>1.8721231770685427</v>
      </c>
      <c r="CQ208" s="23">
        <f>IF(CG208=1,CL208*(1+FixedParams!$D$25)+CM208*(1+FixedParams!$D$28)/$CE$12,IF(CH208=1,CL208*(1+FixedParams!$D$23)+CM208*(1+FixedParams!$D$26)/$CE$12,CL208*(1+FixedParams!$D$24)+CM208*(1+FixedParams!$D$27)/$CE$12))</f>
        <v>66.397829015967034</v>
      </c>
      <c r="CR208" s="24">
        <f t="shared" si="139"/>
        <v>11.45826136560772</v>
      </c>
      <c r="CS208" s="24">
        <f>CR208^((FixedParams!$B$47-1)/FixedParams!$B$47)*EXP($C208)</f>
        <v>9.1721301531662455E-2</v>
      </c>
      <c r="CT208" s="24"/>
    </row>
    <row r="209" spans="1:98" x14ac:dyDescent="0.15">
      <c r="A209">
        <v>0.96</v>
      </c>
      <c r="B209">
        <f t="shared" si="103"/>
        <v>0.47883602106898754</v>
      </c>
      <c r="C209">
        <f>(D209-$D$17)*FixedParams!$B$47+$A209*$B$9</f>
        <v>-2.3990545544880524</v>
      </c>
      <c r="D209">
        <f>(A209-$B$6)*FixedParams!$B$46/(FixedParams!$B$45*Sectors!$B$6)</f>
        <v>0.24994165775069171</v>
      </c>
      <c r="E209">
        <f t="shared" si="104"/>
        <v>9.080376272888592E-2</v>
      </c>
      <c r="F209" s="24">
        <f>EXP(-$D$17)*(($B209*FixedParams!$B$30)^$B$10*(1+FixedParams!$B$23)^(1-$B$10)+(1-$B209)^$B$10*((1+FixedParams!$B$26)/$B$11)^(1-$B$10))^(1/(1-$B$10))</f>
        <v>4.3997928379566664</v>
      </c>
      <c r="G209" s="24">
        <f>EXP($D209-$D$17)*(($B209*FixedParams!$B$31)^$B$10*(1+FixedParams!$B$25)^(1-$B$10)+(1-$B209)^$B$10*((1+FixedParams!$B$28)/$B$11)^(1-$B$10))^(1/(1-$B$10))</f>
        <v>5.3507616897168528</v>
      </c>
      <c r="H209">
        <f t="shared" si="105"/>
        <v>0</v>
      </c>
      <c r="I209" s="24">
        <f>$B$12*IF(H209=1,1,FixedParams!$B$52)</f>
        <v>0.39101505882574561</v>
      </c>
      <c r="J209">
        <f>EXP($C209*FixedParams!$B$47)*EXP(IF(H209=1,(1-FixedParams!$B$47)*$D209,0))*($B209^((FixedParams!$B$47-1)*$B$10/($B$10-1)))*((1/$B209-1)^$B$10*(I209)^($B$10-1)+1)^((FixedParams!$B$47-$B$10)/($B$10-1))/((1+IF(H209=1,FixedParams!$B$25,FixedParams!$B$24))^FixedParams!$B$47)</f>
        <v>4.9505430029278458E-2</v>
      </c>
      <c r="K209">
        <f t="shared" si="134"/>
        <v>0.99815731302766408</v>
      </c>
      <c r="L209">
        <f>K209*FixedParams!$B$8/K$15</f>
        <v>29.01955673166562</v>
      </c>
      <c r="M209">
        <f t="shared" ref="M209:M217" si="141">(I209*(1/$B209-1))^$B$10*L209</f>
        <v>8.0567959763208545</v>
      </c>
      <c r="N209">
        <f t="shared" si="106"/>
        <v>37.076352707986473</v>
      </c>
      <c r="O209" s="24">
        <f t="shared" si="107"/>
        <v>0.2776333233074309</v>
      </c>
      <c r="P209" s="24">
        <f t="shared" ref="P209:P217" si="142">(H209*(G209-F209)+F209)*$B$11</f>
        <v>1.7203852553547201</v>
      </c>
      <c r="Q209" s="23">
        <f>IF(H209=1,L209*(1+FixedParams!$B$25)+M209*FixedParams!$B$33*(1+FixedParams!$B$28)/FixedParams!$B$32,L209*(1+FixedParams!$B$23)+M209*FixedParams!$B$33*(1+FixedParams!$B$26)/FixedParams!$B$32)</f>
        <v>53.420644502750378</v>
      </c>
      <c r="R209" s="24">
        <f t="shared" ref="R209:R217" si="143">Q209*$B$11/P209</f>
        <v>12.141627224330811</v>
      </c>
      <c r="S209" s="24">
        <f>R209^((FixedParams!$B$47-1)/FixedParams!$B$47)*EXP($C209)</f>
        <v>9.0577114838544165E-2</v>
      </c>
      <c r="T209" s="7">
        <f>(L209*FixedParams!$B$32*(FixedParams!$C$25-FixedParams!$C$23)+FixedParams!$B$33*(FixedParams!$C$28-FixedParams!$C$26)*M209)/N209</f>
        <v>4421.7876395342764</v>
      </c>
      <c r="U209" s="7">
        <f>(L209*FixedParams!$B$32*(FixedParams!$C$25-FixedParams!$C$23)*$Z$12/$B$11+FixedParams!$B$33*(FixedParams!$C$28-FixedParams!$C$26)*M209)/N209</f>
        <v>3635.6986524888307</v>
      </c>
      <c r="V209" s="14">
        <f t="shared" ref="V209:V217" si="144">LN(I209/O209)</f>
        <v>0.34244481070341071</v>
      </c>
      <c r="W209" s="14">
        <f t="shared" si="140"/>
        <v>0.98603447193160532</v>
      </c>
      <c r="X209" s="73">
        <f t="shared" si="109"/>
        <v>0.83556675191460539</v>
      </c>
      <c r="Y209" s="24">
        <f>EXP(-$D$17)*(($B209*FixedParams!$B$30)^$B$10*(1+FixedParams!$C$24)^(1-$B$10)+(1-$B209)^$B$10*((1+FixedParams!$C$27)/$Z$12)^(1-$B$10))^(1/(1-$B$10))</f>
        <v>6.2195173151293499</v>
      </c>
      <c r="Z209" s="24">
        <f>EXP($D209-$D$17)*(($B209*FixedParams!$C$31)^$B$10*(1+FixedParams!$C$25)^(1-$B$10)+(1-$B209)^$B$10*((1+FixedParams!$C$28)/$Z$12)^(1-$B$10))^(1/(1-$B$10))</f>
        <v>6.8865052726794573</v>
      </c>
      <c r="AA209" s="24">
        <f>EXP($D209-$D$17)*(($B209*FixedParams!$C$30)^$B$10*(1+FixedParams!$C$23)^(1-$B$10)+(1-$B209)^$B$10*((1+FixedParams!$C$26)/$Z$12)^(1-$B$10))^(1/(1-$B$10))</f>
        <v>6.3669633170403097</v>
      </c>
      <c r="AB209">
        <f>IF(FixedParams!$I$6=1,IF(Z209&lt;=MIN(Y209:AA209),1,0),$H209)</f>
        <v>0</v>
      </c>
      <c r="AC209">
        <f>IF(FixedParams!$I$6=1,IF(AA209&lt;=MIN(Y209:AA209),1,0),IF(AA209&lt;=Y209,1,0)*(1-$H209))</f>
        <v>0</v>
      </c>
      <c r="AD209" s="24">
        <f>$Z$13*IF(AB209=1,1,IF(AC209=1,FixedParams!$C$52,FixedParams!$C$53))</f>
        <v>0.47851548426682239</v>
      </c>
      <c r="AE209">
        <f>EXP($C209*FixedParams!$B$47)*EXP(IF(AB209+AC209=1,(1-FixedParams!$B$47)*$D209,0))*($B209^((FixedParams!$B$47-1)*$B$10/($B$10-1)))*((1/$B209-1)^$B$10*(AD209)^($B$10-1)+1)^((FixedParams!$B$47-$B$10)/($B$10-1))/((1+IF(AB209=1,FixedParams!$C$25,IF(AC209=1,FixedParams!$C$23,FixedParams!$C$24)))^FixedParams!$B$47)</f>
        <v>3.0777567679170659E-2</v>
      </c>
      <c r="AF209">
        <f t="shared" si="110"/>
        <v>0.9069281591374041</v>
      </c>
      <c r="AG209">
        <f t="shared" si="111"/>
        <v>21.302349757517685</v>
      </c>
      <c r="AH209">
        <f t="shared" ref="AH209:AH217" si="145">(AD209*(1/$B209-1))^$B$10*AG209</f>
        <v>8.0066873668028329</v>
      </c>
      <c r="AI209">
        <f t="shared" si="112"/>
        <v>29.309037124320518</v>
      </c>
      <c r="AJ209" s="24">
        <f t="shared" si="113"/>
        <v>0.37585935157116834</v>
      </c>
      <c r="AK209" s="24">
        <f t="shared" si="114"/>
        <v>2.0772803573198884</v>
      </c>
      <c r="AL209" s="23">
        <f>IF(AB209=1,AG209*(1+FixedParams!$C$25)+AH209*(1+FixedParams!$C$28)/$Z$12,IF(AC209=1,AG209*(1+FixedParams!$C$23)+AH209*(1+FixedParams!$C$26)/$Z$12,AG209*(1+FixedParams!$C$24)+AH209*(1+FixedParams!$C$27)/$Z$12))</f>
        <v>63.097874036166878</v>
      </c>
      <c r="AM209" s="24">
        <f t="shared" si="115"/>
        <v>10.145140022792042</v>
      </c>
      <c r="AN209" s="24">
        <f>AM209^((FixedParams!$B$47-1)/FixedParams!$B$47)*EXP($C209)</f>
        <v>9.0593404320523596E-2</v>
      </c>
      <c r="AO209" s="24">
        <f t="shared" si="116"/>
        <v>-0.23508347033208307</v>
      </c>
      <c r="AP209" s="24">
        <f t="shared" si="117"/>
        <v>-0.17964503956644975</v>
      </c>
      <c r="AQ209" s="14">
        <f t="shared" si="118"/>
        <v>0.2414735619438482</v>
      </c>
      <c r="AS209" s="24">
        <f>EXP(-$D$17)*(($B209*FixedParams!$B$30)^$B$10*(1+FixedParams!$D$24)^(1-$B$10)+(1-$B209)^$B$10*((1+FixedParams!$D$27)/$AT$12)^(1-$B$10))^(1/(1-$B$10))</f>
        <v>5.6606956772253891</v>
      </c>
      <c r="AT209" s="24">
        <f>EXP($D209-$D$17)*(($B209*FixedParams!$C$31)^$B$10*(1+FixedParams!$D$25)^(1-$B$10)+(1-$B209)^$B$10*((1+FixedParams!$D$28)/$AT$12)^(1-$B$10))^(1/(1-$B$10))</f>
        <v>6.581610904084096</v>
      </c>
      <c r="AU209" s="24">
        <f>EXP($D209-$D$17)*(($B209*FixedParams!$C$30)^$B$10*(1+FixedParams!$D$23)^(1-$B$10)+(1-$B209)^$B$10*((1+FixedParams!$D$26)/$AT$12)^(1-$B$10))^(1/(1-$B$10))</f>
        <v>6.1581431690885875</v>
      </c>
      <c r="AV209">
        <f>IF(FixedParams!$I$6=1,IF(AT209&lt;=MIN(AS209:AU209),1,0),$H209)</f>
        <v>0</v>
      </c>
      <c r="AW209">
        <f>IF(FixedParams!$I$6=1,IF(AU209&lt;=MIN(AS209:AU209),1,0),IF(AU209&lt;=AS209,1,0)*(1-$H209))</f>
        <v>0</v>
      </c>
      <c r="AX209" s="24">
        <f>$AT$13*IF(AV209=1,1,IF(AW209=1,FixedParams!$D$52,FixedParams!$D$53))</f>
        <v>0.44031288407969205</v>
      </c>
      <c r="AY209">
        <f>EXP($C209*FixedParams!$B$47)*EXP(IF(AV209+AW209=1,(1-FixedParams!$B$47)*$D209,0))*($B209^((FixedParams!$B$47-1)*$B$10/($B$10-1)))*((1/$B209-1)^$B$10*(AX209)^($B$10-1)+1)^((FixedParams!$B$47-$B$10)/($B$10-1))/((1+IF(AV209=1,FixedParams!$D$25,IF(AW209=1,FixedParams!$D$23,FixedParams!$D$24)))^FixedParams!$B$47)</f>
        <v>3.5698309460725136E-2</v>
      </c>
      <c r="AZ209">
        <f t="shared" ref="AZ209:AZ217" si="146">AY209/AY$17</f>
        <v>0.96126911560137296</v>
      </c>
      <c r="BA209">
        <f t="shared" si="119"/>
        <v>24.185402385629487</v>
      </c>
      <c r="BB209">
        <f t="shared" ref="BB209:BB217" si="147">(AX209*(1/$B209-1))^$B$10*BA209</f>
        <v>8.0237386525410237</v>
      </c>
      <c r="BC209">
        <f t="shared" si="120"/>
        <v>32.209141038170515</v>
      </c>
      <c r="BD209" s="24">
        <f t="shared" si="121"/>
        <v>0.33175956821411329</v>
      </c>
      <c r="BE209" s="24">
        <f t="shared" si="122"/>
        <v>1.9168686880512267</v>
      </c>
      <c r="BF209" s="23">
        <f>IF(AV209=1,BA209*(1+FixedParams!$C$25)+BB209*(1+FixedParams!$C$28)/$AT$12,IF(AW209=1,BA209*(1+FixedParams!$C$23)+BB209*(1+FixedParams!$C$26)/$AT$12,BA209*(1+FixedParams!$C$24)+BB209*(1+FixedParams!$C$27)/$AT$12))</f>
        <v>67.559179980875939</v>
      </c>
      <c r="BG209" s="24">
        <f t="shared" si="123"/>
        <v>11.934783961746257</v>
      </c>
      <c r="BH209" s="24">
        <f>BG209^((FixedParams!$B$47-1)/FixedParams!$B$47)*EXP($C209)</f>
        <v>9.0578672765307164E-2</v>
      </c>
      <c r="BI209" s="7"/>
      <c r="BJ209" s="24">
        <f>EXP(-$D$17)*(($B209*FixedParams!$B$30)^$B$10*(1+FixedParams!$C$24)^(1-$B$10)+(1-$B209)^$B$10*((1+FixedParams!$C$27)/$BK$12)^(1-$B$10))^(1/(1-$B$10))</f>
        <v>6.3577162015297501</v>
      </c>
      <c r="BK209" s="24">
        <f>EXP($D209-$D$17)*(($B209*FixedParams!$C$31)^$B$10*(1+FixedParams!$C$25)^(1-$B$10)+(1-$B209)^$B$10*((1+FixedParams!$C$28)/$BK$12)^(1-$B$10))^(1/(1-$B$10))</f>
        <v>7.0350737779216876</v>
      </c>
      <c r="BL209" s="24">
        <f>EXP($D209-$D$17)*(($B209*FixedParams!$C$30)^$B$10*(1+FixedParams!$C$23)^(1-$B$10)+(1-$B209)^$B$10*((1+FixedParams!$C$26)/$BK$12)^(1-$B$10))^(1/(1-$B$10))</f>
        <v>6.4956753495669943</v>
      </c>
      <c r="BM209">
        <f>IF(FixedParams!$I$6=1,IF(BK209&lt;=MIN(BJ209:BL209),1,0),$H209)</f>
        <v>0</v>
      </c>
      <c r="BN209">
        <f>IF(FixedParams!$I$6=1,IF(BL209&lt;=MIN(BJ209:BL209),1,0),IF(BL209&lt;=BJ209,1,0)*(1-$H209))</f>
        <v>0</v>
      </c>
      <c r="BO209" s="24">
        <f>$BK$13*IF(BM209=1,1,IF(BN209=1,FixedParams!$C$52,FixedParams!$C$53))</f>
        <v>0.4550367853045027</v>
      </c>
      <c r="BP209">
        <f>EXP($C209*FixedParams!$B$47)*EXP(IF(BM209+BN209=1,(1-FixedParams!$B$47)*$D209,0))*($B209^((FixedParams!$B$47-1)*$B$10/($B$10-1)))*((1/$B209-1)^$B$10*(BO209)^($B$10-1)+1)^((FixedParams!$B$47-$B$10)/($B$10-1))/((1+IF(BM209=1,FixedParams!$C$25,IF(BN209=1,FixedParams!$C$23,FixedParams!$C$24)))^FixedParams!$B$47)</f>
        <v>3.1118314643217997E-2</v>
      </c>
      <c r="BQ209">
        <f t="shared" si="124"/>
        <v>0.89520396579604244</v>
      </c>
      <c r="BR209">
        <f t="shared" si="125"/>
        <v>22.83142414727525</v>
      </c>
      <c r="BS209">
        <f t="shared" ref="BS209:BS217" si="148">(BO209*(1/$B209-1))^$B$10*BR209</f>
        <v>7.9576370817188842</v>
      </c>
      <c r="BT209">
        <f t="shared" si="126"/>
        <v>30.789061228994136</v>
      </c>
      <c r="BU209" s="24">
        <f t="shared" si="127"/>
        <v>0.34853879593264731</v>
      </c>
      <c r="BV209" s="24">
        <f t="shared" si="128"/>
        <v>2.0192499551916421</v>
      </c>
      <c r="BW209" s="23">
        <f>IF(BM209=1,BR209*(1+FixedParams!$C$25)+BS209*(1+FixedParams!$C$28)/$BK$12,IF(BN209=1,BR209*(1+FixedParams!$C$23)+BS209*(1+FixedParams!$C$26)/$BK$12,BR209*(1+FixedParams!$C$24)+BS209*(1+FixedParams!$C$27)/$BK$12))</f>
        <v>66.88796600033487</v>
      </c>
      <c r="BX209" s="24">
        <f t="shared" si="129"/>
        <v>10.520753660605477</v>
      </c>
      <c r="BY209" s="24">
        <f>BX209^((FixedParams!$B$47-1)/FixedParams!$B$47)*EXP($C209)</f>
        <v>9.0590107554115007E-2</v>
      </c>
      <c r="BZ209" s="24">
        <f t="shared" si="130"/>
        <v>-0.18581990108188026</v>
      </c>
      <c r="CA209" s="24">
        <f t="shared" si="131"/>
        <v>-0.14328996941158251</v>
      </c>
      <c r="CB209" s="24">
        <f t="shared" si="132"/>
        <v>-0.12596151349217527</v>
      </c>
      <c r="CC209" s="24"/>
      <c r="CD209" s="24">
        <f>EXP(-$D$17)*(($B209*FixedParams!$B$30)^$B$10*(1+FixedParams!$D$24)^(1-$B$10)+(1-$B209)^$B$10*((1+FixedParams!$D$27)/$CE$12)^(1-$B$10))^(1/(1-$B$10))</f>
        <v>5.7754645479775899</v>
      </c>
      <c r="CE209" s="24">
        <f>EXP($D209-$D$17)*(($B209*FixedParams!$D$31)^$B$10*(1+FixedParams!$D$25)^(1-$B$10)+(1-$B209)^$B$10*((1+FixedParams!$D$28)/$CE$12)^(1-$B$10))^(1/(1-$B$10))</f>
        <v>6.7123872526086581</v>
      </c>
      <c r="CF209" s="24">
        <f>EXP($D209-$D$17)*(($B209*FixedParams!$D$30)^$B$10*(1+FixedParams!$D$23)^(1-$B$10)+(1-$B209)^$B$10*((1+FixedParams!$D$26)/$CE$12)^(1-$B$10))^(1/(1-$B$10))</f>
        <v>6.2742953790291844</v>
      </c>
      <c r="CG209">
        <f>IF(FixedParams!$I$6=1,IF(CE209&lt;=MIN(CD209:CF209),1,0),$H209)</f>
        <v>0</v>
      </c>
      <c r="CH209">
        <f>IF(FixedParams!$I$6=1,IF(CF209&lt;=MIN(CD209:CF209),1,0),IF(CF209&lt;=CD209,1,0)*(1-$H209))</f>
        <v>0</v>
      </c>
      <c r="CI209" s="24">
        <f>$CE$13*IF(CG209=1,1,IF(CH209=1,FixedParams!$D$52,FixedParams!$D$53))</f>
        <v>0.42008589776177102</v>
      </c>
      <c r="CJ209">
        <f>EXP($C209*FixedParams!$B$47)*EXP(IF(CG209+CH209=1,(1-FixedParams!$B$47)*$D209,0))*($B209^((FixedParams!$B$47-1)*$B$10/($B$10-1)))*((1/$B209-1)^$B$10*(CI209)^($B$10-1)+1)^((FixedParams!$B$47-$B$10)/($B$10-1))/((1+IF(CG209=1,FixedParams!$D$25,IF(CH209=1,FixedParams!$D$23,FixedParams!$D$24)))^FixedParams!$B$47)</f>
        <v>3.6059103452105078E-2</v>
      </c>
      <c r="CK209">
        <f t="shared" si="133"/>
        <v>0.94944918206746409</v>
      </c>
      <c r="CL209">
        <f t="shared" si="135"/>
        <v>25.93921918860093</v>
      </c>
      <c r="CM209">
        <f t="shared" ref="CM209:CM217" si="149">(CI209*(1/$B209-1))^$B$10*CL209</f>
        <v>8.0194654289847467</v>
      </c>
      <c r="CN209">
        <f t="shared" si="136"/>
        <v>33.958684617585675</v>
      </c>
      <c r="CO209" s="24">
        <f t="shared" si="137"/>
        <v>0.30916371732996983</v>
      </c>
      <c r="CP209" s="24">
        <f t="shared" si="138"/>
        <v>1.8658906437302651</v>
      </c>
      <c r="CQ209" s="23">
        <f>IF(CG209=1,CL209*(1+FixedParams!$D$25)+CM209*(1+FixedParams!$D$28)/$CE$12,IF(CH209=1,CL209*(1+FixedParams!$D$23)+CM209*(1+FixedParams!$D$26)/$CE$12,CL209*(1+FixedParams!$D$24)+CM209*(1+FixedParams!$D$27)/$CE$12))</f>
        <v>65.573945512897822</v>
      </c>
      <c r="CR209" s="24">
        <f t="shared" si="139"/>
        <v>11.353882439787466</v>
      </c>
      <c r="CS209" s="24">
        <f>CR209^((FixedParams!$B$47-1)/FixedParams!$B$47)*EXP($C209)</f>
        <v>9.0583197043429889E-2</v>
      </c>
      <c r="CT209" s="24"/>
    </row>
    <row r="210" spans="1:98" x14ac:dyDescent="0.15">
      <c r="A210">
        <v>0.96499999999999997</v>
      </c>
      <c r="B210">
        <f t="shared" ref="B210:B217" si="150">1/(1+EXP(-($A210-$B$7)/$B$8))</f>
        <v>0.48170997001393789</v>
      </c>
      <c r="C210">
        <f>(D210-$D$17)*FixedParams!$B$47+$A210*$B$9</f>
        <v>-2.411549630292678</v>
      </c>
      <c r="D210">
        <f>(A210-$B$6)*FixedParams!$B$46/(FixedParams!$B$45*Sectors!$B$6)</f>
        <v>0.25265841490015578</v>
      </c>
      <c r="E210">
        <f t="shared" ref="E210:E217" si="151">EXP(C210)</f>
        <v>8.9676221854511073E-2</v>
      </c>
      <c r="F210" s="24">
        <f>EXP(-$D$17)*(($B210*FixedParams!$B$30)^$B$10*(1+FixedParams!$B$23)^(1-$B$10)+(1-$B210)^$B$10*((1+FixedParams!$B$26)/$B$11)^(1-$B$10))^(1/(1-$B$10))</f>
        <v>4.3836212425701131</v>
      </c>
      <c r="G210" s="24">
        <f>EXP($D210-$D$17)*(($B210*FixedParams!$B$31)^$B$10*(1+FixedParams!$B$25)^(1-$B$10)+(1-$B210)^$B$10*((1+FixedParams!$B$28)/$B$11)^(1-$B$10))^(1/(1-$B$10))</f>
        <v>5.3446392705739578</v>
      </c>
      <c r="H210">
        <f t="shared" ref="H210:H217" si="152">IF(G210&lt;=F210,1,0)</f>
        <v>0</v>
      </c>
      <c r="I210" s="24">
        <f>$B$12*IF(H210=1,1,FixedParams!$B$52)</f>
        <v>0.39101505882574561</v>
      </c>
      <c r="J210">
        <f>EXP($C210*FixedParams!$B$47)*EXP(IF(H210=1,(1-FixedParams!$B$47)*$D210,0))*($B210^((FixedParams!$B$47-1)*$B$10/($B$10-1)))*((1/$B210-1)^$B$10*(I210)^($B$10-1)+1)^((FixedParams!$B$47-$B$10)/($B$10-1))/((1+IF(H210=1,FixedParams!$B$25,FixedParams!$B$24))^FixedParams!$B$47)</f>
        <v>4.9241214051152331E-2</v>
      </c>
      <c r="K210">
        <f t="shared" si="134"/>
        <v>0.99283003659295022</v>
      </c>
      <c r="L210">
        <f>K210*FixedParams!$B$8/K$15</f>
        <v>28.864676134484483</v>
      </c>
      <c r="M210">
        <f t="shared" si="141"/>
        <v>7.8765809988889135</v>
      </c>
      <c r="N210">
        <f t="shared" ref="N210:N217" si="153">L210+M210</f>
        <v>36.741257133373395</v>
      </c>
      <c r="O210" s="24">
        <f t="shared" ref="O210:O217" si="154">M210/L210</f>
        <v>0.27287959034048548</v>
      </c>
      <c r="P210" s="24">
        <f t="shared" si="142"/>
        <v>1.7140619180333407</v>
      </c>
      <c r="Q210" s="23">
        <f>IF(H210=1,L210*(1+FixedParams!$B$25)+M210*FixedParams!$B$33*(1+FixedParams!$B$28)/FixedParams!$B$32,L210*(1+FixedParams!$B$23)+M210*FixedParams!$B$33*(1+FixedParams!$B$26)/FixedParams!$B$32)</f>
        <v>52.757767325572914</v>
      </c>
      <c r="R210" s="24">
        <f t="shared" si="143"/>
        <v>12.035202041005048</v>
      </c>
      <c r="S210" s="24">
        <f>R210^((FixedParams!$B$47-1)/FixedParams!$B$47)*EXP($C210)</f>
        <v>8.9453176653972802E-2</v>
      </c>
      <c r="T210" s="7">
        <f>(L210*FixedParams!$B$32*(FixedParams!$C$25-FixedParams!$C$23)+FixedParams!$B$33*(FixedParams!$C$28-FixedParams!$C$26)*M210)/N210</f>
        <v>4454.9498411529075</v>
      </c>
      <c r="U210" s="7">
        <f>(L210*FixedParams!$B$32*(FixedParams!$C$25-FixedParams!$C$23)*$Z$12/$B$11+FixedParams!$B$33*(FixedParams!$C$28-FixedParams!$C$26)*M210)/N210</f>
        <v>3665.925103419786</v>
      </c>
      <c r="V210" s="14">
        <f t="shared" si="144"/>
        <v>0.35971543599949451</v>
      </c>
      <c r="W210" s="14">
        <f t="shared" ref="W210:W217" si="155">N210/(N$15*COUNT($N$17:$N$217))+W209</f>
        <v>0.98783655240287149</v>
      </c>
      <c r="X210" s="73">
        <f t="shared" ref="X210:X217" si="156">AM210/R210</f>
        <v>0.83485557888724948</v>
      </c>
      <c r="Y210" s="24">
        <f>EXP(-$D$17)*(($B210*FixedParams!$B$30)^$B$10*(1+FixedParams!$C$24)^(1-$B$10)+(1-$B210)^$B$10*((1+FixedParams!$C$27)/$Z$12)^(1-$B$10))^(1/(1-$B$10))</f>
        <v>6.201941175891803</v>
      </c>
      <c r="Z210" s="24">
        <f>EXP($D210-$D$17)*(($B210*FixedParams!$C$31)^$B$10*(1+FixedParams!$C$25)^(1-$B$10)+(1-$B210)^$B$10*((1+FixedParams!$C$28)/$Z$12)^(1-$B$10))^(1/(1-$B$10))</f>
        <v>6.8827346428761675</v>
      </c>
      <c r="AA210" s="24">
        <f>EXP($D210-$D$17)*(($B210*FixedParams!$C$30)^$B$10*(1+FixedParams!$C$23)^(1-$B$10)+(1-$B210)^$B$10*((1+FixedParams!$C$26)/$Z$12)^(1-$B$10))^(1/(1-$B$10))</f>
        <v>6.3576630552027291</v>
      </c>
      <c r="AB210">
        <f>IF(FixedParams!$I$6=1,IF(Z210&lt;=MIN(Y210:AA210),1,0),$H210)</f>
        <v>0</v>
      </c>
      <c r="AC210">
        <f>IF(FixedParams!$I$6=1,IF(AA210&lt;=MIN(Y210:AA210),1,0),IF(AA210&lt;=Y210,1,0)*(1-$H210))</f>
        <v>0</v>
      </c>
      <c r="AD210" s="24">
        <f>$Z$13*IF(AB210=1,1,IF(AC210=1,FixedParams!$C$52,FixedParams!$C$53))</f>
        <v>0.47851548426682239</v>
      </c>
      <c r="AE210">
        <f>EXP($C210*FixedParams!$B$47)*EXP(IF(AB210+AC210=1,(1-FixedParams!$B$47)*$D210,0))*($B210^((FixedParams!$B$47-1)*$B$10/($B$10-1)))*((1/$B210-1)^$B$10*(AD210)^($B$10-1)+1)^((FixedParams!$B$47-$B$10)/($B$10-1))/((1+IF(AB210=1,FixedParams!$C$25,IF(AC210=1,FixedParams!$C$23,FixedParams!$C$24)))^FixedParams!$B$47)</f>
        <v>3.062637975839437E-2</v>
      </c>
      <c r="AF210">
        <f t="shared" ref="AF210:AF217" si="157">AE210/AE$17</f>
        <v>0.90247307730303783</v>
      </c>
      <c r="AG210">
        <f t="shared" ref="AG210:AG217" si="158">AF210*$Z$9/$AF$15</f>
        <v>21.197706726558874</v>
      </c>
      <c r="AH210">
        <f t="shared" si="145"/>
        <v>7.8309364982408276</v>
      </c>
      <c r="AI210">
        <f t="shared" ref="AI210:AI217" si="159">AG210+AH210</f>
        <v>29.028643224799701</v>
      </c>
      <c r="AJ210" s="24">
        <f t="shared" ref="AJ210:AJ217" si="160">AH210/AG210</f>
        <v>0.3694237588648846</v>
      </c>
      <c r="AK210" s="24">
        <f t="shared" ref="AK210:AK217" si="161">IF(AB210=1,Z210,IF(AC210=1,AA210,Y210))*$Z$12</f>
        <v>2.0714100354048965</v>
      </c>
      <c r="AL210" s="23">
        <f>IF(AB210=1,AG210*(1+FixedParams!$C$25)+AH210*(1+FixedParams!$C$28)/$Z$12,IF(AC210=1,AG210*(1+FixedParams!$C$23)+AH210*(1+FixedParams!$C$26)/$Z$12,AG210*(1+FixedParams!$C$24)+AH210*(1+FixedParams!$C$27)/$Z$12))</f>
        <v>62.314968781959053</v>
      </c>
      <c r="AM210" s="24">
        <f t="shared" ref="AM210:AM217" si="162">AL210*$Z$12/AK210</f>
        <v>10.047655566968276</v>
      </c>
      <c r="AN210" s="24">
        <f>AM210^((FixedParams!$B$47-1)/FixedParams!$B$47)*EXP($C210)</f>
        <v>8.9469340264126757E-2</v>
      </c>
      <c r="AO210" s="24">
        <f t="shared" ref="AO210:AO217" si="163">LN(AI210/$N210)</f>
        <v>-0.23561725628196523</v>
      </c>
      <c r="AP210" s="24">
        <f t="shared" ref="AP210:AP217" si="164">LN(AM210/$R210)</f>
        <v>-0.18049652850695405</v>
      </c>
      <c r="AQ210" s="14">
        <f t="shared" ref="AQ210:AQ217" si="165">LN(AD210/AJ210)</f>
        <v>0.25874418723993226</v>
      </c>
      <c r="AS210" s="24">
        <f>EXP(-$D$17)*(($B210*FixedParams!$B$30)^$B$10*(1+FixedParams!$D$24)^(1-$B$10)+(1-$B210)^$B$10*((1+FixedParams!$D$27)/$AT$12)^(1-$B$10))^(1/(1-$B$10))</f>
        <v>5.6427081224876607</v>
      </c>
      <c r="AT210" s="24">
        <f>EXP($D210-$D$17)*(($B210*FixedParams!$C$31)^$B$10*(1+FixedParams!$D$25)^(1-$B$10)+(1-$B210)^$B$10*((1+FixedParams!$D$28)/$AT$12)^(1-$B$10))^(1/(1-$B$10))</f>
        <v>6.5766272440340421</v>
      </c>
      <c r="AU210" s="24">
        <f>EXP($D210-$D$17)*(($B210*FixedParams!$C$30)^$B$10*(1+FixedParams!$D$23)^(1-$B$10)+(1-$B210)^$B$10*((1+FixedParams!$D$26)/$AT$12)^(1-$B$10))^(1/(1-$B$10))</f>
        <v>6.1490080595779162</v>
      </c>
      <c r="AV210">
        <f>IF(FixedParams!$I$6=1,IF(AT210&lt;=MIN(AS210:AU210),1,0),$H210)</f>
        <v>0</v>
      </c>
      <c r="AW210">
        <f>IF(FixedParams!$I$6=1,IF(AU210&lt;=MIN(AS210:AU210),1,0),IF(AU210&lt;=AS210,1,0)*(1-$H210))</f>
        <v>0</v>
      </c>
      <c r="AX210" s="24">
        <f>$AT$13*IF(AV210=1,1,IF(AW210=1,FixedParams!$D$52,FixedParams!$D$53))</f>
        <v>0.44031288407969205</v>
      </c>
      <c r="AY210">
        <f>EXP($C210*FixedParams!$B$47)*EXP(IF(AV210+AW210=1,(1-FixedParams!$B$47)*$D210,0))*($B210^((FixedParams!$B$47-1)*$B$10/($B$10-1)))*((1/$B210-1)^$B$10*(AX210)^($B$10-1)+1)^((FixedParams!$B$47-$B$10)/($B$10-1))/((1+IF(AV210=1,FixedParams!$D$25,IF(AW210=1,FixedParams!$D$23,FixedParams!$D$24)))^FixedParams!$B$47)</f>
        <v>3.5516672760032737E-2</v>
      </c>
      <c r="AZ210">
        <f t="shared" si="146"/>
        <v>0.95637807865108182</v>
      </c>
      <c r="BA210">
        <f t="shared" ref="BA210:BA217" si="166">AZ210*$AT$9/$AZ$15</f>
        <v>24.062344550101535</v>
      </c>
      <c r="BB210">
        <f t="shared" si="147"/>
        <v>7.8462268636423573</v>
      </c>
      <c r="BC210">
        <f t="shared" ref="BC210:BC217" si="167">BA210+BB210</f>
        <v>31.908571413743893</v>
      </c>
      <c r="BD210" s="24">
        <f t="shared" ref="BD210:BD217" si="168">BB210/BA210</f>
        <v>0.32607906712104862</v>
      </c>
      <c r="BE210" s="24">
        <f t="shared" ref="BE210:BE217" si="169">IF(AV210=1,AT210,IF(AW210=1,AU210,AS210))*$AT$12</f>
        <v>1.910777602711649</v>
      </c>
      <c r="BF210" s="23">
        <f>IF(AV210=1,BA210*(1+FixedParams!$C$25)+BB210*(1+FixedParams!$C$28)/$AT$12,IF(AW210=1,BA210*(1+FixedParams!$C$23)+BB210*(1+FixedParams!$C$26)/$AT$12,BA210*(1+FixedParams!$C$24)+BB210*(1+FixedParams!$C$27)/$AT$12))</f>
        <v>66.748042063177948</v>
      </c>
      <c r="BG210" s="24">
        <f t="shared" ref="BG210:BG217" si="170">BF210*$AT$12/BE210</f>
        <v>11.829079338193946</v>
      </c>
      <c r="BH210" s="24">
        <f>BG210^((FixedParams!$B$47-1)/FixedParams!$B$47)*EXP($C210)</f>
        <v>8.9454723518562804E-2</v>
      </c>
      <c r="BI210" s="7"/>
      <c r="BJ210" s="24">
        <f>EXP(-$D$17)*(($B210*FixedParams!$B$30)^$B$10*(1+FixedParams!$C$24)^(1-$B$10)+(1-$B210)^$B$10*((1+FixedParams!$C$27)/$BK$12)^(1-$B$10))^(1/(1-$B$10))</f>
        <v>6.3383960359459284</v>
      </c>
      <c r="BK210" s="24">
        <f>EXP($D210-$D$17)*(($B210*FixedParams!$C$31)^$B$10*(1+FixedParams!$C$25)^(1-$B$10)+(1-$B210)^$B$10*((1+FixedParams!$C$28)/$BK$12)^(1-$B$10))^(1/(1-$B$10))</f>
        <v>7.0297316748654541</v>
      </c>
      <c r="BL210" s="24">
        <f>EXP($D210-$D$17)*(($B210*FixedParams!$C$30)^$B$10*(1+FixedParams!$C$23)^(1-$B$10)+(1-$B210)^$B$10*((1+FixedParams!$C$26)/$BK$12)^(1-$B$10))^(1/(1-$B$10))</f>
        <v>6.4848395520990954</v>
      </c>
      <c r="BM210">
        <f>IF(FixedParams!$I$6=1,IF(BK210&lt;=MIN(BJ210:BL210),1,0),$H210)</f>
        <v>0</v>
      </c>
      <c r="BN210">
        <f>IF(FixedParams!$I$6=1,IF(BL210&lt;=MIN(BJ210:BL210),1,0),IF(BL210&lt;=BJ210,1,0)*(1-$H210))</f>
        <v>0</v>
      </c>
      <c r="BO210" s="24">
        <f>$BK$13*IF(BM210=1,1,IF(BN210=1,FixedParams!$C$52,FixedParams!$C$53))</f>
        <v>0.4550367853045027</v>
      </c>
      <c r="BP210">
        <f>EXP($C210*FixedParams!$B$47)*EXP(IF(BM210+BN210=1,(1-FixedParams!$B$47)*$D210,0))*($B210^((FixedParams!$B$47-1)*$B$10/($B$10-1)))*((1/$B210-1)^$B$10*(BO210)^($B$10-1)+1)^((FixedParams!$B$47-$B$10)/($B$10-1))/((1+IF(BM210=1,FixedParams!$C$25,IF(BN210=1,FixedParams!$C$23,FixedParams!$C$24)))^FixedParams!$B$47)</f>
        <v>3.0962140665098951E-2</v>
      </c>
      <c r="BQ210">
        <f t="shared" ref="BQ210:BQ217" si="171">BP210/BP$17</f>
        <v>0.89071119148711031</v>
      </c>
      <c r="BR210">
        <f t="shared" ref="BR210:BR217" si="172">BQ210*$BK$9/$BQ$15</f>
        <v>22.716839717620722</v>
      </c>
      <c r="BS210">
        <f t="shared" si="148"/>
        <v>7.7821303886988016</v>
      </c>
      <c r="BT210">
        <f t="shared" ref="BT210:BT217" si="173">BR210+BS210</f>
        <v>30.498970106319526</v>
      </c>
      <c r="BU210" s="24">
        <f t="shared" ref="BU210:BU217" si="174">BS210/BR210</f>
        <v>0.34257099514869815</v>
      </c>
      <c r="BV210" s="24">
        <f t="shared" ref="BV210:BV217" si="175">IF(BM210=1,BK210,IF(BN210=1,BL210,BJ210))*$BK$12</f>
        <v>2.0131137512069408</v>
      </c>
      <c r="BW210" s="23">
        <f>IF(BM210=1,BR210*(1+FixedParams!$C$25)+BS210*(1+FixedParams!$C$28)/$BK$12,IF(BN210=1,BR210*(1+FixedParams!$C$23)+BS210*(1+FixedParams!$C$26)/$BK$12,BR210*(1+FixedParams!$C$24)+BS210*(1+FixedParams!$C$27)/$BK$12))</f>
        <v>66.058019971609127</v>
      </c>
      <c r="BX210" s="24">
        <f t="shared" ref="BX210:BX217" si="176">BW210*$BK$12/BV210</f>
        <v>10.421882696660933</v>
      </c>
      <c r="BY210" s="24">
        <f>BX210^((FixedParams!$B$47-1)/FixedParams!$B$47)*EXP($C210)</f>
        <v>8.9466065301043673E-2</v>
      </c>
      <c r="BZ210" s="24">
        <f t="shared" ref="BZ210:BZ217" si="177">LN(BT210/$N210)</f>
        <v>-0.18620738018585495</v>
      </c>
      <c r="CA210" s="24">
        <f t="shared" ref="CA210:CA217" si="178">LN(BX210/$R210)</f>
        <v>-0.14392815781429302</v>
      </c>
      <c r="CB210" s="24">
        <f t="shared" ref="CB210:CB217" si="179">CA210-LN($BY$15/$S$15)</f>
        <v>-0.12659970189488579</v>
      </c>
      <c r="CC210" s="24"/>
      <c r="CD210" s="24">
        <f>EXP(-$D$17)*(($B210*FixedParams!$B$30)^$B$10*(1+FixedParams!$D$24)^(1-$B$10)+(1-$B210)^$B$10*((1+FixedParams!$D$27)/$CE$12)^(1-$B$10))^(1/(1-$B$10))</f>
        <v>5.7559699929409156</v>
      </c>
      <c r="CE210" s="24">
        <f>EXP($D210-$D$17)*(($B210*FixedParams!$D$31)^$B$10*(1+FixedParams!$D$25)^(1-$B$10)+(1-$B210)^$B$10*((1+FixedParams!$D$28)/$CE$12)^(1-$B$10))^(1/(1-$B$10))</f>
        <v>6.7059810214961599</v>
      </c>
      <c r="CF210" s="24">
        <f>EXP($D210-$D$17)*(($B210*FixedParams!$D$30)^$B$10*(1+FixedParams!$D$23)^(1-$B$10)+(1-$B210)^$B$10*((1+FixedParams!$D$26)/$CE$12)^(1-$B$10))^(1/(1-$B$10))</f>
        <v>6.2637718346941522</v>
      </c>
      <c r="CG210">
        <f>IF(FixedParams!$I$6=1,IF(CE210&lt;=MIN(CD210:CF210),1,0),$H210)</f>
        <v>0</v>
      </c>
      <c r="CH210">
        <f>IF(FixedParams!$I$6=1,IF(CF210&lt;=MIN(CD210:CF210),1,0),IF(CF210&lt;=CD210,1,0)*(1-$H210))</f>
        <v>0</v>
      </c>
      <c r="CI210" s="24">
        <f>$CE$13*IF(CG210=1,1,IF(CH210=1,FixedParams!$D$52,FixedParams!$D$53))</f>
        <v>0.42008589776177102</v>
      </c>
      <c r="CJ210">
        <f>EXP($C210*FixedParams!$B$47)*EXP(IF(CG210+CH210=1,(1-FixedParams!$B$47)*$D210,0))*($B210^((FixedParams!$B$47-1)*$B$10/($B$10-1)))*((1/$B210-1)^$B$10*(CI210)^($B$10-1)+1)^((FixedParams!$B$47-$B$10)/($B$10-1))/((1+IF(CG210=1,FixedParams!$D$25,IF(CH210=1,FixedParams!$D$23,FixedParams!$D$24)))^FixedParams!$B$47)</f>
        <v>3.5872064534271608E-2</v>
      </c>
      <c r="CK210">
        <f t="shared" ref="CK210:CK217" si="180">CJ210/CJ$17</f>
        <v>0.94452437999112737</v>
      </c>
      <c r="CL210">
        <f t="shared" si="135"/>
        <v>25.804672208171286</v>
      </c>
      <c r="CM210">
        <f t="shared" si="149"/>
        <v>7.8412685861333307</v>
      </c>
      <c r="CN210">
        <f t="shared" si="136"/>
        <v>33.645940794304614</v>
      </c>
      <c r="CO210" s="24">
        <f t="shared" si="137"/>
        <v>0.30387011014425214</v>
      </c>
      <c r="CP210" s="24">
        <f t="shared" si="138"/>
        <v>1.8595924996512139</v>
      </c>
      <c r="CQ210" s="23">
        <f>IF(CG210=1,CL210*(1+FixedParams!$D$25)+CM210*(1+FixedParams!$D$28)/$CE$12,IF(CH210=1,CL210*(1+FixedParams!$D$23)+CM210*(1+FixedParams!$D$26)/$CE$12,CL210*(1+FixedParams!$D$24)+CM210*(1+FixedParams!$D$27)/$CE$12))</f>
        <v>64.760281987675086</v>
      </c>
      <c r="CR210" s="24">
        <f t="shared" si="139"/>
        <v>11.250976302360277</v>
      </c>
      <c r="CS210" s="24">
        <f>CR210^((FixedParams!$B$47-1)/FixedParams!$B$47)*EXP($C210)</f>
        <v>8.9459210331088376E-2</v>
      </c>
      <c r="CT210" s="24"/>
    </row>
    <row r="211" spans="1:98" x14ac:dyDescent="0.15">
      <c r="A211">
        <v>0.97</v>
      </c>
      <c r="B211">
        <f t="shared" si="150"/>
        <v>0.48458512963209782</v>
      </c>
      <c r="C211">
        <f>(D211-$D$17)*FixedParams!$B$47+$A211*$B$9</f>
        <v>-2.4240447060973032</v>
      </c>
      <c r="D211">
        <f>(A211-$B$6)*FixedParams!$B$46/(FixedParams!$B$45*Sectors!$B$6)</f>
        <v>0.25537517204961979</v>
      </c>
      <c r="E211">
        <f t="shared" si="151"/>
        <v>8.8562682034554918E-2</v>
      </c>
      <c r="F211" s="24">
        <f>EXP(-$D$17)*(($B211*FixedParams!$B$30)^$B$10*(1+FixedParams!$B$23)^(1-$B$10)+(1-$B211)^$B$10*((1+FixedParams!$B$26)/$B$11)^(1-$B$10))^(1/(1-$B$10))</f>
        <v>4.3673120195705151</v>
      </c>
      <c r="G211" s="24">
        <f>EXP($D211-$D$17)*(($B211*FixedParams!$B$31)^$B$10*(1+FixedParams!$B$25)^(1-$B$10)+(1-$B211)^$B$10*((1+FixedParams!$B$28)/$B$11)^(1-$B$10))^(1/(1-$B$10))</f>
        <v>5.3382859993116796</v>
      </c>
      <c r="H211">
        <f t="shared" si="152"/>
        <v>0</v>
      </c>
      <c r="I211" s="24">
        <f>$B$12*IF(H211=1,1,FixedParams!$B$52)</f>
        <v>0.39101505882574561</v>
      </c>
      <c r="J211">
        <f>EXP($C211*FixedParams!$B$47)*EXP(IF(H211=1,(1-FixedParams!$B$47)*$D211,0))*($B211^((FixedParams!$B$47-1)*$B$10/($B$10-1)))*((1/$B211-1)^$B$10*(I211)^($B$10-1)+1)^((FixedParams!$B$47-$B$10)/($B$10-1))/((1+IF(H211=1,FixedParams!$B$25,FixedParams!$B$24))^FixedParams!$B$47)</f>
        <v>4.897486957211087E-2</v>
      </c>
      <c r="K211">
        <f t="shared" ref="K211:K217" si="181">J211/J$17</f>
        <v>0.9874598440831075</v>
      </c>
      <c r="L211">
        <f>K211*FixedParams!$B$8/K$15</f>
        <v>28.70854783269742</v>
      </c>
      <c r="M211">
        <f t="shared" si="141"/>
        <v>7.6998407351626437</v>
      </c>
      <c r="N211">
        <f t="shared" si="153"/>
        <v>36.408388567860065</v>
      </c>
      <c r="O211" s="24">
        <f t="shared" si="154"/>
        <v>0.26820725241953752</v>
      </c>
      <c r="P211" s="24">
        <f t="shared" si="142"/>
        <v>1.7076847662427508</v>
      </c>
      <c r="Q211" s="23">
        <f>IF(H211=1,L211*(1+FixedParams!$B$25)+M211*FixedParams!$B$33*(1+FixedParams!$B$28)/FixedParams!$B$32,L211*(1+FixedParams!$B$23)+M211*FixedParams!$B$33*(1+FixedParams!$B$26)/FixedParams!$B$32)</f>
        <v>52.103113197068438</v>
      </c>
      <c r="R211" s="24">
        <f t="shared" si="143"/>
        <v>11.930247475698405</v>
      </c>
      <c r="S211" s="24">
        <f>R211^((FixedParams!$B$47-1)/FixedParams!$B$47)*EXP($C211)</f>
        <v>8.8343181019718997E-2</v>
      </c>
      <c r="T211" s="7">
        <f>(L211*FixedParams!$B$32*(FixedParams!$C$25-FixedParams!$C$23)+FixedParams!$B$33*(FixedParams!$C$28-FixedParams!$C$26)*M211)/N211</f>
        <v>4487.7864890617202</v>
      </c>
      <c r="U211" s="7">
        <f>(L211*FixedParams!$B$32*(FixedParams!$C$25-FixedParams!$C$23)*$Z$12/$B$11+FixedParams!$B$33*(FixedParams!$C$28-FixedParams!$C$26)*M211)/N211</f>
        <v>3695.8548209387568</v>
      </c>
      <c r="V211" s="14">
        <f t="shared" si="144"/>
        <v>0.3769860612955781</v>
      </c>
      <c r="W211" s="14">
        <f t="shared" si="155"/>
        <v>0.98962230637939552</v>
      </c>
      <c r="X211" s="73">
        <f t="shared" si="156"/>
        <v>0.83414688910561685</v>
      </c>
      <c r="Y211" s="24">
        <f>EXP(-$D$17)*(($B211*FixedParams!$B$30)^$B$10*(1+FixedParams!$C$24)^(1-$B$10)+(1-$B211)^$B$10*((1+FixedParams!$C$27)/$Z$12)^(1-$B$10))^(1/(1-$B$10))</f>
        <v>6.184121721989345</v>
      </c>
      <c r="Z211" s="24">
        <f>EXP($D211-$D$17)*(($B211*FixedParams!$C$31)^$B$10*(1+FixedParams!$C$25)^(1-$B$10)+(1-$B211)^$B$10*((1+FixedParams!$C$28)/$Z$12)^(1-$B$10))^(1/(1-$B$10))</f>
        <v>6.8786474693471673</v>
      </c>
      <c r="AA211" s="24">
        <f>EXP($D211-$D$17)*(($B211*FixedParams!$C$30)^$B$10*(1+FixedParams!$C$23)^(1-$B$10)+(1-$B211)^$B$10*((1+FixedParams!$C$26)/$Z$12)^(1-$B$10))^(1/(1-$B$10))</f>
        <v>6.3481003759563368</v>
      </c>
      <c r="AB211">
        <f>IF(FixedParams!$I$6=1,IF(Z211&lt;=MIN(Y211:AA211),1,0),$H211)</f>
        <v>0</v>
      </c>
      <c r="AC211">
        <f>IF(FixedParams!$I$6=1,IF(AA211&lt;=MIN(Y211:AA211),1,0),IF(AA211&lt;=Y211,1,0)*(1-$H211))</f>
        <v>0</v>
      </c>
      <c r="AD211" s="24">
        <f>$Z$13*IF(AB211=1,1,IF(AC211=1,FixedParams!$C$52,FixedParams!$C$53))</f>
        <v>0.47851548426682239</v>
      </c>
      <c r="AE211">
        <f>EXP($C211*FixedParams!$B$47)*EXP(IF(AB211+AC211=1,(1-FixedParams!$B$47)*$D211,0))*($B211^((FixedParams!$B$47-1)*$B$10/($B$10-1)))*((1/$B211-1)^$B$10*(AD211)^($B$10-1)+1)^((FixedParams!$B$47-$B$10)/($B$10-1))/((1+IF(AB211=1,FixedParams!$C$25,IF(AC211=1,FixedParams!$C$23,FixedParams!$C$24)))^FixedParams!$B$47)</f>
        <v>3.0473698246130734E-2</v>
      </c>
      <c r="AF211">
        <f t="shared" si="157"/>
        <v>0.89797398353789648</v>
      </c>
      <c r="AG211">
        <f t="shared" si="158"/>
        <v>21.092029922931932</v>
      </c>
      <c r="AH211">
        <f t="shared" si="145"/>
        <v>7.6584814442168581</v>
      </c>
      <c r="AI211">
        <f t="shared" si="159"/>
        <v>28.750511367148789</v>
      </c>
      <c r="AJ211" s="24">
        <f t="shared" si="160"/>
        <v>0.3630983585837943</v>
      </c>
      <c r="AK211" s="24">
        <f t="shared" si="161"/>
        <v>2.0654584478950908</v>
      </c>
      <c r="AL211" s="23">
        <f>IF(AB211=1,AG211*(1+FixedParams!$C$25)+AH211*(1+FixedParams!$C$28)/$Z$12,IF(AC211=1,AG211*(1+FixedParams!$C$23)+AH211*(1+FixedParams!$C$26)/$Z$12,AG211*(1+FixedParams!$C$24)+AH211*(1+FixedParams!$C$27)/$Z$12))</f>
        <v>61.541774737187602</v>
      </c>
      <c r="AM211" s="24">
        <f t="shared" si="162"/>
        <v>9.9515788181139619</v>
      </c>
      <c r="AN211" s="24">
        <f>AM211^((FixedParams!$B$47-1)/FixedParams!$B$47)*EXP($C211)</f>
        <v>8.8359219173897094E-2</v>
      </c>
      <c r="AO211" s="24">
        <f t="shared" si="163"/>
        <v>-0.23614364948435984</v>
      </c>
      <c r="AP211" s="24">
        <f t="shared" si="164"/>
        <v>-0.18134576610583839</v>
      </c>
      <c r="AQ211" s="14">
        <f t="shared" si="165"/>
        <v>0.27601481253601567</v>
      </c>
      <c r="AS211" s="24">
        <f>EXP(-$D$17)*(($B211*FixedParams!$B$30)^$B$10*(1+FixedParams!$D$24)^(1-$B$10)+(1-$B211)^$B$10*((1+FixedParams!$D$27)/$AT$12)^(1-$B$10))^(1/(1-$B$10))</f>
        <v>5.6245160054553232</v>
      </c>
      <c r="AT211" s="24">
        <f>EXP($D211-$D$17)*(($B211*FixedParams!$C$31)^$B$10*(1+FixedParams!$D$25)^(1-$B$10)+(1-$B211)^$B$10*((1+FixedParams!$D$28)/$AT$12)^(1-$B$10))^(1/(1-$B$10))</f>
        <v>6.571346784091932</v>
      </c>
      <c r="AU211" s="24">
        <f>EXP($D211-$D$17)*(($B211*FixedParams!$C$30)^$B$10*(1+FixedParams!$D$23)^(1-$B$10)+(1-$B211)^$B$10*((1+FixedParams!$D$26)/$AT$12)^(1-$B$10))^(1/(1-$B$10))</f>
        <v>6.1396200622876558</v>
      </c>
      <c r="AV211">
        <f>IF(FixedParams!$I$6=1,IF(AT211&lt;=MIN(AS211:AU211),1,0),$H211)</f>
        <v>0</v>
      </c>
      <c r="AW211">
        <f>IF(FixedParams!$I$6=1,IF(AU211&lt;=MIN(AS211:AU211),1,0),IF(AU211&lt;=AS211,1,0)*(1-$H211))</f>
        <v>0</v>
      </c>
      <c r="AX211" s="24">
        <f>$AT$13*IF(AV211=1,1,IF(AW211=1,FixedParams!$D$52,FixedParams!$D$53))</f>
        <v>0.44031288407969205</v>
      </c>
      <c r="AY211">
        <f>EXP($C211*FixedParams!$B$47)*EXP(IF(AV211+AW211=1,(1-FixedParams!$B$47)*$D211,0))*($B211^((FixedParams!$B$47-1)*$B$10/($B$10-1)))*((1/$B211-1)^$B$10*(AX211)^($B$10-1)+1)^((FixedParams!$B$47-$B$10)/($B$10-1))/((1+IF(AV211=1,FixedParams!$D$25,IF(AW211=1,FixedParams!$D$23,FixedParams!$D$24)))^FixedParams!$B$47)</f>
        <v>3.5333382312524163E-2</v>
      </c>
      <c r="AZ211">
        <f t="shared" si="146"/>
        <v>0.95144251029962834</v>
      </c>
      <c r="BA211">
        <f t="shared" si="166"/>
        <v>23.938166310476099</v>
      </c>
      <c r="BB211">
        <f t="shared" si="147"/>
        <v>7.6720824687594309</v>
      </c>
      <c r="BC211">
        <f t="shared" si="167"/>
        <v>31.61024877923553</v>
      </c>
      <c r="BD211" s="24">
        <f t="shared" si="168"/>
        <v>0.32049582951564193</v>
      </c>
      <c r="BE211" s="24">
        <f t="shared" si="169"/>
        <v>1.9046172469007985</v>
      </c>
      <c r="BF211" s="23">
        <f>IF(AV211=1,BA211*(1+FixedParams!$C$25)+BB211*(1+FixedParams!$C$28)/$AT$12,IF(AW211=1,BA211*(1+FixedParams!$C$23)+BB211*(1+FixedParams!$C$26)/$AT$12,BA211*(1+FixedParams!$C$24)+BB211*(1+FixedParams!$C$27)/$AT$12))</f>
        <v>65.94656003753029</v>
      </c>
      <c r="BG211" s="24">
        <f t="shared" si="170"/>
        <v>11.724841741683637</v>
      </c>
      <c r="BH211" s="24">
        <f>BG211^((FixedParams!$B$47-1)/FixedParams!$B$47)*EXP($C211)</f>
        <v>8.834471683931254E-2</v>
      </c>
      <c r="BI211" s="7"/>
      <c r="BJ211" s="24">
        <f>EXP(-$D$17)*(($B211*FixedParams!$B$30)^$B$10*(1+FixedParams!$C$24)^(1-$B$10)+(1-$B211)^$B$10*((1+FixedParams!$C$27)/$BK$12)^(1-$B$10))^(1/(1-$B$10))</f>
        <v>6.3188383528936294</v>
      </c>
      <c r="BK211" s="24">
        <f>EXP($D211-$D$17)*(($B211*FixedParams!$C$31)^$B$10*(1+FixedParams!$C$25)^(1-$B$10)+(1-$B211)^$B$10*((1+FixedParams!$C$28)/$BK$12)^(1-$B$10))^(1/(1-$B$10))</f>
        <v>7.0240723902225737</v>
      </c>
      <c r="BL211" s="24">
        <f>EXP($D211-$D$17)*(($B211*FixedParams!$C$30)^$B$10*(1+FixedParams!$C$23)^(1-$B$10)+(1-$B211)^$B$10*((1+FixedParams!$C$26)/$BK$12)^(1-$B$10))^(1/(1-$B$10))</f>
        <v>6.4737452958622397</v>
      </c>
      <c r="BM211">
        <f>IF(FixedParams!$I$6=1,IF(BK211&lt;=MIN(BJ211:BL211),1,0),$H211)</f>
        <v>0</v>
      </c>
      <c r="BN211">
        <f>IF(FixedParams!$I$6=1,IF(BL211&lt;=MIN(BJ211:BL211),1,0),IF(BL211&lt;=BJ211,1,0)*(1-$H211))</f>
        <v>0</v>
      </c>
      <c r="BO211" s="24">
        <f>$BK$13*IF(BM211=1,1,IF(BN211=1,FixedParams!$C$52,FixedParams!$C$53))</f>
        <v>0.4550367853045027</v>
      </c>
      <c r="BP211">
        <f>EXP($C211*FixedParams!$B$47)*EXP(IF(BM211+BN211=1,(1-FixedParams!$B$47)*$D211,0))*($B211^((FixedParams!$B$47-1)*$B$10/($B$10-1)))*((1/$B211-1)^$B$10*(BO211)^($B$10-1)+1)^((FixedParams!$B$47-$B$10)/($B$10-1))/((1+IF(BM211=1,FixedParams!$C$25,IF(BN211=1,FixedParams!$C$23,FixedParams!$C$24)))^FixedParams!$B$47)</f>
        <v>3.0804497600768307E-2</v>
      </c>
      <c r="BQ211">
        <f t="shared" si="171"/>
        <v>0.8861761548700231</v>
      </c>
      <c r="BR211">
        <f t="shared" si="172"/>
        <v>22.601177423345618</v>
      </c>
      <c r="BS211">
        <f t="shared" si="148"/>
        <v>7.6099379671464815</v>
      </c>
      <c r="BT211">
        <f t="shared" si="173"/>
        <v>30.2111153904921</v>
      </c>
      <c r="BU211" s="24">
        <f t="shared" si="174"/>
        <v>0.33670537709623422</v>
      </c>
      <c r="BV211" s="24">
        <f t="shared" si="175"/>
        <v>2.0069021102064344</v>
      </c>
      <c r="BW211" s="23">
        <f>IF(BM211=1,BR211*(1+FixedParams!$C$25)+BS211*(1+FixedParams!$C$28)/$BK$12,IF(BN211=1,BR211*(1+FixedParams!$C$23)+BS211*(1+FixedParams!$C$26)/$BK$12,BR211*(1+FixedParams!$C$24)+BS211*(1+FixedParams!$C$27)/$BK$12))</f>
        <v>65.23836885670849</v>
      </c>
      <c r="BX211" s="24">
        <f t="shared" si="176"/>
        <v>10.324424397853669</v>
      </c>
      <c r="BY211" s="24">
        <f>BX211^((FixedParams!$B$47-1)/FixedParams!$B$47)*EXP($C211)</f>
        <v>8.835596602466067E-2</v>
      </c>
      <c r="BZ211" s="24">
        <f t="shared" si="177"/>
        <v>-0.18658928730153665</v>
      </c>
      <c r="CA211" s="24">
        <f t="shared" si="178"/>
        <v>-0.14456459097489605</v>
      </c>
      <c r="CB211" s="24">
        <f t="shared" si="179"/>
        <v>-0.12723613505548881</v>
      </c>
      <c r="CC211" s="24"/>
      <c r="CD211" s="24">
        <f>EXP(-$D$17)*(($B211*FixedParams!$B$30)^$B$10*(1+FixedParams!$D$24)^(1-$B$10)+(1-$B211)^$B$10*((1+FixedParams!$D$27)/$CE$12)^(1-$B$10))^(1/(1-$B$10))</f>
        <v>5.7362773586028837</v>
      </c>
      <c r="CE211" s="24">
        <f>EXP($D211-$D$17)*(($B211*FixedParams!$D$31)^$B$10*(1+FixedParams!$D$25)^(1-$B$10)+(1-$B211)^$B$10*((1+FixedParams!$D$28)/$CE$12)^(1-$B$10))^(1/(1-$B$10))</f>
        <v>6.6992783921834516</v>
      </c>
      <c r="CF211" s="24">
        <f>EXP($D211-$D$17)*(($B211*FixedParams!$D$30)^$B$10*(1+FixedParams!$D$23)^(1-$B$10)+(1-$B211)^$B$10*((1+FixedParams!$D$26)/$CE$12)^(1-$B$10))^(1/(1-$B$10))</f>
        <v>6.2529990507254434</v>
      </c>
      <c r="CG211">
        <f>IF(FixedParams!$I$6=1,IF(CE211&lt;=MIN(CD211:CF211),1,0),$H211)</f>
        <v>0</v>
      </c>
      <c r="CH211">
        <f>IF(FixedParams!$I$6=1,IF(CF211&lt;=MIN(CD211:CF211),1,0),IF(CF211&lt;=CD211,1,0)*(1-$H211))</f>
        <v>0</v>
      </c>
      <c r="CI211" s="24">
        <f>$CE$13*IF(CG211=1,1,IF(CH211=1,FixedParams!$D$52,FixedParams!$D$53))</f>
        <v>0.42008589776177102</v>
      </c>
      <c r="CJ211">
        <f>EXP($C211*FixedParams!$B$47)*EXP(IF(CG211+CH211=1,(1-FixedParams!$B$47)*$D211,0))*($B211^((FixedParams!$B$47-1)*$B$10/($B$10-1)))*((1/$B211-1)^$B$10*(CI211)^($B$10-1)+1)^((FixedParams!$B$47-$B$10)/($B$10-1))/((1+IF(CG211=1,FixedParams!$D$25,IF(CH211=1,FixedParams!$D$23,FixedParams!$D$24)))^FixedParams!$B$47)</f>
        <v>3.568340178996407E-2</v>
      </c>
      <c r="CK211">
        <f t="shared" si="180"/>
        <v>0.93955682197884016</v>
      </c>
      <c r="CL211">
        <f t="shared" ref="CL211:CL217" si="182">CK211*$CE$9/$CK$15</f>
        <v>25.668957123523761</v>
      </c>
      <c r="CM211">
        <f t="shared" si="149"/>
        <v>7.66647406004817</v>
      </c>
      <c r="CN211">
        <f t="shared" ref="CN211:CN217" si="183">CL211+CM211</f>
        <v>33.335431183571927</v>
      </c>
      <c r="CO211" s="24">
        <f t="shared" ref="CO211:CO217" si="184">CM211/CL211</f>
        <v>0.29866714191603816</v>
      </c>
      <c r="CP211" s="24">
        <f t="shared" ref="CP211:CP217" si="185">IF(CG211=1,CE211,IF(CH211=1,CF211,CD211))*$CE$12</f>
        <v>1.8532303617043016</v>
      </c>
      <c r="CQ211" s="23">
        <f>IF(CG211=1,CL211*(1+FixedParams!$D$25)+CM211*(1+FixedParams!$D$28)/$CE$12,IF(CH211=1,CL211*(1+FixedParams!$D$23)+CM211*(1+FixedParams!$D$26)/$CE$12,CL211*(1+FixedParams!$D$24)+CM211*(1+FixedParams!$D$27)/$CE$12))</f>
        <v>63.956711730490071</v>
      </c>
      <c r="CR211" s="24">
        <f t="shared" ref="CR211:CR217" si="186">CQ211*$CE$12/CP211</f>
        <v>11.149515222546221</v>
      </c>
      <c r="CS211" s="24">
        <f>CR211^((FixedParams!$B$47-1)/FixedParams!$B$47)*EXP($C211)</f>
        <v>8.8349166358966627E-2</v>
      </c>
      <c r="CT211" s="24"/>
    </row>
    <row r="212" spans="1:98" x14ac:dyDescent="0.15">
      <c r="A212">
        <v>0.97499999999999998</v>
      </c>
      <c r="B212">
        <f t="shared" si="150"/>
        <v>0.48746131000386539</v>
      </c>
      <c r="C212">
        <f>(D212-$D$17)*FixedParams!$B$47+$A212*$B$9</f>
        <v>-2.4365397819019288</v>
      </c>
      <c r="D212">
        <f>(A212-$B$6)*FixedParams!$B$46/(FixedParams!$B$45*Sectors!$B$6)</f>
        <v>0.25809192919908386</v>
      </c>
      <c r="E212">
        <f t="shared" si="151"/>
        <v>8.746296941321377E-2</v>
      </c>
      <c r="F212" s="24">
        <f>EXP(-$D$17)*(($B212*FixedParams!$B$30)^$B$10*(1+FixedParams!$B$23)^(1-$B$10)+(1-$B212)^$B$10*((1+FixedParams!$B$26)/$B$11)^(1-$B$10))^(1/(1-$B$10))</f>
        <v>4.3508692908248099</v>
      </c>
      <c r="G212" s="24">
        <f>EXP($D212-$D$17)*(($B212*FixedParams!$B$31)^$B$10*(1+FixedParams!$B$25)^(1-$B$10)+(1-$B212)^$B$10*((1+FixedParams!$B$28)/$B$11)^(1-$B$10))^(1/(1-$B$10))</f>
        <v>5.3317054667060582</v>
      </c>
      <c r="H212">
        <f t="shared" si="152"/>
        <v>0</v>
      </c>
      <c r="I212" s="24">
        <f>$B$12*IF(H212=1,1,FixedParams!$B$52)</f>
        <v>0.39101505882574561</v>
      </c>
      <c r="J212">
        <f>EXP($C212*FixedParams!$B$47)*EXP(IF(H212=1,(1-FixedParams!$B$47)*$D212,0))*($B212^((FixedParams!$B$47-1)*$B$10/($B$10-1)))*((1/$B212-1)^$B$10*(I212)^($B$10-1)+1)^((FixedParams!$B$47-$B$10)/($B$10-1))/((1+IF(H212=1,FixedParams!$B$25,FixedParams!$B$24))^FixedParams!$B$47)</f>
        <v>4.8706457555497504E-2</v>
      </c>
      <c r="K212">
        <f t="shared" si="181"/>
        <v>0.98204796467657196</v>
      </c>
      <c r="L212">
        <f>K212*FixedParams!$B$8/K$15</f>
        <v>28.55120756236817</v>
      </c>
      <c r="M212">
        <f t="shared" si="141"/>
        <v>7.526524179560516</v>
      </c>
      <c r="N212">
        <f t="shared" si="153"/>
        <v>36.077731741928687</v>
      </c>
      <c r="O212" s="24">
        <f t="shared" si="154"/>
        <v>0.2636149158706978</v>
      </c>
      <c r="P212" s="24">
        <f t="shared" si="142"/>
        <v>1.7012554116949932</v>
      </c>
      <c r="Q212" s="23">
        <f>IF(H212=1,L212*(1+FixedParams!$B$25)+M212*FixedParams!$B$33*(1+FixedParams!$B$28)/FixedParams!$B$32,L212*(1+FixedParams!$B$23)+M212*FixedParams!$B$33*(1+FixedParams!$B$26)/FixedParams!$B$32)</f>
        <v>51.456580164107237</v>
      </c>
      <c r="R212" s="24">
        <f t="shared" si="143"/>
        <v>11.8267354693049</v>
      </c>
      <c r="S212" s="24">
        <f>R212^((FixedParams!$B$47-1)/FixedParams!$B$47)*EXP($C212)</f>
        <v>8.7246955069647927E-2</v>
      </c>
      <c r="T212" s="7">
        <f>(L212*FixedParams!$B$32*(FixedParams!$C$25-FixedParams!$C$23)+FixedParams!$B$33*(FixedParams!$C$28-FixedParams!$C$26)*M212)/N212</f>
        <v>4520.297528747451</v>
      </c>
      <c r="U212" s="7">
        <f>(L212*FixedParams!$B$32*(FixedParams!$C$25-FixedParams!$C$23)*$Z$12/$B$11+FixedParams!$B$33*(FixedParams!$C$28-FixedParams!$C$26)*M212)/N212</f>
        <v>3725.4877553583756</v>
      </c>
      <c r="V212" s="14">
        <f t="shared" si="144"/>
        <v>0.39425668659166119</v>
      </c>
      <c r="W212" s="14">
        <f t="shared" si="155"/>
        <v>0.99139184234229683</v>
      </c>
      <c r="X212" s="73">
        <f t="shared" si="156"/>
        <v>0.83344077490354995</v>
      </c>
      <c r="Y212" s="24">
        <f>EXP(-$D$17)*(($B212*FixedParams!$B$30)^$B$10*(1+FixedParams!$C$24)^(1-$B$10)+(1-$B212)^$B$10*((1+FixedParams!$C$27)/$Z$12)^(1-$B$10))^(1/(1-$B$10))</f>
        <v>6.1660636493587422</v>
      </c>
      <c r="Z212" s="24">
        <f>EXP($D212-$D$17)*(($B212*FixedParams!$C$31)^$B$10*(1+FixedParams!$C$25)^(1-$B$10)+(1-$B212)^$B$10*((1+FixedParams!$C$28)/$Z$12)^(1-$B$10))^(1/(1-$B$10))</f>
        <v>6.8742473109095474</v>
      </c>
      <c r="AA212" s="24">
        <f>EXP($D212-$D$17)*(($B212*FixedParams!$C$30)^$B$10*(1+FixedParams!$C$23)^(1-$B$10)+(1-$B212)^$B$10*((1+FixedParams!$C$26)/$Z$12)^(1-$B$10))^(1/(1-$B$10))</f>
        <v>6.3382800368078982</v>
      </c>
      <c r="AB212">
        <f>IF(FixedParams!$I$6=1,IF(Z212&lt;=MIN(Y212:AA212),1,0),$H212)</f>
        <v>0</v>
      </c>
      <c r="AC212">
        <f>IF(FixedParams!$I$6=1,IF(AA212&lt;=MIN(Y212:AA212),1,0),IF(AA212&lt;=Y212,1,0)*(1-$H212))</f>
        <v>0</v>
      </c>
      <c r="AD212" s="24">
        <f>$Z$13*IF(AB212=1,1,IF(AC212=1,FixedParams!$C$52,FixedParams!$C$53))</f>
        <v>0.47851548426682239</v>
      </c>
      <c r="AE212">
        <f>EXP($C212*FixedParams!$B$47)*EXP(IF(AB212+AC212=1,(1-FixedParams!$B$47)*$D212,0))*($B212^((FixedParams!$B$47-1)*$B$10/($B$10-1)))*((1/$B212-1)^$B$10*(AD212)^($B$10-1)+1)^((FixedParams!$B$47-$B$10)/($B$10-1))/((1+IF(AB212=1,FixedParams!$C$25,IF(AC212=1,FixedParams!$C$23,FixedParams!$C$24)))^FixedParams!$B$47)</f>
        <v>3.0319558048135933E-2</v>
      </c>
      <c r="AF212">
        <f t="shared" si="157"/>
        <v>0.89343190641621706</v>
      </c>
      <c r="AG212">
        <f t="shared" si="158"/>
        <v>20.98534350626618</v>
      </c>
      <c r="AH212">
        <f t="shared" si="145"/>
        <v>7.4892759154743596</v>
      </c>
      <c r="AI212">
        <f t="shared" si="159"/>
        <v>28.474619421740538</v>
      </c>
      <c r="AJ212" s="24">
        <f t="shared" si="160"/>
        <v>0.35688126397540632</v>
      </c>
      <c r="AK212" s="24">
        <f t="shared" si="161"/>
        <v>2.0594271632043388</v>
      </c>
      <c r="AL212" s="23">
        <f>IF(AB212=1,AG212*(1+FixedParams!$C$25)+AH212*(1+FixedParams!$C$28)/$Z$12,IF(AC212=1,AG212*(1+FixedParams!$C$23)+AH212*(1+FixedParams!$C$26)/$Z$12,AG212*(1+FixedParams!$C$24)+AH212*(1+FixedParams!$C$27)/$Z$12))</f>
        <v>60.778171502322721</v>
      </c>
      <c r="AM212" s="24">
        <f t="shared" si="162"/>
        <v>9.8568835741167753</v>
      </c>
      <c r="AN212" s="24">
        <f>AM212^((FixedParams!$B$47-1)/FixedParams!$B$47)*EXP($C212)</f>
        <v>8.7262868185004533E-2</v>
      </c>
      <c r="AO212" s="24">
        <f t="shared" si="163"/>
        <v>-0.23666268185820619</v>
      </c>
      <c r="AP212" s="24">
        <f t="shared" si="164"/>
        <v>-0.18219263522043788</v>
      </c>
      <c r="AQ212" s="14">
        <f t="shared" si="165"/>
        <v>0.29328543783209876</v>
      </c>
      <c r="AS212" s="24">
        <f>EXP(-$D$17)*(($B212*FixedParams!$B$30)^$B$10*(1+FixedParams!$D$24)^(1-$B$10)+(1-$B212)^$B$10*((1+FixedParams!$D$27)/$AT$12)^(1-$B$10))^(1/(1-$B$10))</f>
        <v>5.6061240529756935</v>
      </c>
      <c r="AT212" s="24">
        <f>EXP($D212-$D$17)*(($B212*FixedParams!$C$31)^$B$10*(1+FixedParams!$D$25)^(1-$B$10)+(1-$B212)^$B$10*((1+FixedParams!$D$28)/$AT$12)^(1-$B$10))^(1/(1-$B$10))</f>
        <v>6.5657732917925848</v>
      </c>
      <c r="AU212" s="24">
        <f>EXP($D212-$D$17)*(($B212*FixedParams!$C$30)^$B$10*(1+FixedParams!$D$23)^(1-$B$10)+(1-$B212)^$B$10*((1+FixedParams!$D$26)/$AT$12)^(1-$B$10))^(1/(1-$B$10))</f>
        <v>6.1299838112734282</v>
      </c>
      <c r="AV212">
        <f>IF(FixedParams!$I$6=1,IF(AT212&lt;=MIN(AS212:AU212),1,0),$H212)</f>
        <v>0</v>
      </c>
      <c r="AW212">
        <f>IF(FixedParams!$I$6=1,IF(AU212&lt;=MIN(AS212:AU212),1,0),IF(AU212&lt;=AS212,1,0)*(1-$H212))</f>
        <v>0</v>
      </c>
      <c r="AX212" s="24">
        <f>$AT$13*IF(AV212=1,1,IF(AW212=1,FixedParams!$D$52,FixedParams!$D$53))</f>
        <v>0.44031288407969205</v>
      </c>
      <c r="AY212">
        <f>EXP($C212*FixedParams!$B$47)*EXP(IF(AV212+AW212=1,(1-FixedParams!$B$47)*$D212,0))*($B212^((FixedParams!$B$47-1)*$B$10/($B$10-1)))*((1/$B212-1)^$B$10*(AX212)^($B$10-1)+1)^((FixedParams!$B$47-$B$10)/($B$10-1))/((1+IF(AV212=1,FixedParams!$D$25,IF(AW212=1,FixedParams!$D$23,FixedParams!$D$24)))^FixedParams!$B$47)</f>
        <v>3.5148480117009988E-2</v>
      </c>
      <c r="AZ212">
        <f t="shared" si="146"/>
        <v>0.94646354147338152</v>
      </c>
      <c r="BA212">
        <f t="shared" si="166"/>
        <v>23.812896120709368</v>
      </c>
      <c r="BB212">
        <f t="shared" si="147"/>
        <v>7.5012573060975987</v>
      </c>
      <c r="BC212">
        <f t="shared" si="167"/>
        <v>31.314153426806968</v>
      </c>
      <c r="BD212" s="24">
        <f t="shared" si="168"/>
        <v>0.31500819001910391</v>
      </c>
      <c r="BE212" s="24">
        <f t="shared" si="169"/>
        <v>1.8983892212603866</v>
      </c>
      <c r="BF212" s="23">
        <f>IF(AV212=1,BA212*(1+FixedParams!$C$25)+BB212*(1+FixedParams!$C$28)/$AT$12,IF(AW212=1,BA212*(1+FixedParams!$C$23)+BB212*(1+FixedParams!$C$26)/$AT$12,BA212*(1+FixedParams!$C$24)+BB212*(1+FixedParams!$C$27)/$AT$12))</f>
        <v>65.154616421545867</v>
      </c>
      <c r="BG212" s="24">
        <f t="shared" si="170"/>
        <v>11.622043287993641</v>
      </c>
      <c r="BH212" s="24">
        <f>BG212^((FixedParams!$B$47-1)/FixedParams!$B$47)*EXP($C212)</f>
        <v>8.7248479861765108E-2</v>
      </c>
      <c r="BI212" s="7"/>
      <c r="BJ212" s="24">
        <f>EXP(-$D$17)*(($B212*FixedParams!$B$30)^$B$10*(1+FixedParams!$C$24)^(1-$B$10)+(1-$B212)^$B$10*((1+FixedParams!$C$27)/$BK$12)^(1-$B$10))^(1/(1-$B$10))</f>
        <v>6.2990482652897599</v>
      </c>
      <c r="BK212" s="24">
        <f>EXP($D212-$D$17)*(($B212*FixedParams!$C$31)^$B$10*(1+FixedParams!$C$25)^(1-$B$10)+(1-$B212)^$B$10*((1+FixedParams!$C$28)/$BK$12)^(1-$B$10))^(1/(1-$B$10))</f>
        <v>7.0180999550541676</v>
      </c>
      <c r="BL212" s="24">
        <f>EXP($D212-$D$17)*(($B212*FixedParams!$C$30)^$B$10*(1+FixedParams!$C$23)^(1-$B$10)+(1-$B212)^$B$10*((1+FixedParams!$C$26)/$BK$12)^(1-$B$10))^(1/(1-$B$10))</f>
        <v>6.4623977424601655</v>
      </c>
      <c r="BM212">
        <f>IF(FixedParams!$I$6=1,IF(BK212&lt;=MIN(BJ212:BL212),1,0),$H212)</f>
        <v>0</v>
      </c>
      <c r="BN212">
        <f>IF(FixedParams!$I$6=1,IF(BL212&lt;=MIN(BJ212:BL212),1,0),IF(BL212&lt;=BJ212,1,0)*(1-$H212))</f>
        <v>0</v>
      </c>
      <c r="BO212" s="24">
        <f>$BK$13*IF(BM212=1,1,IF(BN212=1,FixedParams!$C$52,FixedParams!$C$53))</f>
        <v>0.4550367853045027</v>
      </c>
      <c r="BP212">
        <f>EXP($C212*FixedParams!$B$47)*EXP(IF(BM212+BN212=1,(1-FixedParams!$B$47)*$D212,0))*($B212^((FixedParams!$B$47-1)*$B$10/($B$10-1)))*((1/$B212-1)^$B$10*(BO212)^($B$10-1)+1)^((FixedParams!$B$47-$B$10)/($B$10-1))/((1+IF(BM212=1,FixedParams!$C$25,IF(BN212=1,FixedParams!$C$23,FixedParams!$C$24)))^FixedParams!$B$47)</f>
        <v>3.064542155098772E-2</v>
      </c>
      <c r="BQ212">
        <f t="shared" si="171"/>
        <v>0.88159989448254783</v>
      </c>
      <c r="BR212">
        <f t="shared" si="172"/>
        <v>22.484463751482117</v>
      </c>
      <c r="BS212">
        <f t="shared" si="148"/>
        <v>7.44101275469838</v>
      </c>
      <c r="BT212">
        <f t="shared" si="173"/>
        <v>29.925476506180498</v>
      </c>
      <c r="BU212" s="24">
        <f t="shared" si="174"/>
        <v>0.33094019216748666</v>
      </c>
      <c r="BV212" s="24">
        <f t="shared" si="175"/>
        <v>2.0006166560841288</v>
      </c>
      <c r="BW212" s="23">
        <f>IF(BM212=1,BR212*(1+FixedParams!$C$25)+BS212*(1+FixedParams!$C$28)/$BK$12,IF(BN212=1,BR212*(1+FixedParams!$C$23)+BS212*(1+FixedParams!$C$26)/$BK$12,BR212*(1+FixedParams!$C$24)+BS212*(1+FixedParams!$C$27)/$BK$12))</f>
        <v>64.428885018289435</v>
      </c>
      <c r="BX212" s="24">
        <f t="shared" si="176"/>
        <v>10.228352332735408</v>
      </c>
      <c r="BY212" s="24">
        <f>BX212^((FixedParams!$B$47-1)/FixedParams!$B$47)*EXP($C212)</f>
        <v>8.7259636858584247E-2</v>
      </c>
      <c r="BZ212" s="24">
        <f t="shared" si="177"/>
        <v>-0.18696565109002633</v>
      </c>
      <c r="CA212" s="24">
        <f t="shared" si="178"/>
        <v>-0.14519918164340892</v>
      </c>
      <c r="CB212" s="24">
        <f t="shared" si="179"/>
        <v>-0.12787072572400165</v>
      </c>
      <c r="CC212" s="24"/>
      <c r="CD212" s="24">
        <f>EXP(-$D$17)*(($B212*FixedParams!$B$30)^$B$10*(1+FixedParams!$D$24)^(1-$B$10)+(1-$B212)^$B$10*((1+FixedParams!$D$27)/$CE$12)^(1-$B$10))^(1/(1-$B$10))</f>
        <v>5.7163917110489644</v>
      </c>
      <c r="CE212" s="24">
        <f>EXP($D212-$D$17)*(($B212*FixedParams!$D$31)^$B$10*(1+FixedParams!$D$25)^(1-$B$10)+(1-$B212)^$B$10*((1+FixedParams!$D$28)/$CE$12)^(1-$B$10))^(1/(1-$B$10))</f>
        <v>6.6922835491638804</v>
      </c>
      <c r="CF212" s="24">
        <f>EXP($D212-$D$17)*(($B212*FixedParams!$D$30)^$B$10*(1+FixedParams!$D$23)^(1-$B$10)+(1-$B212)^$B$10*((1+FixedParams!$D$26)/$CE$12)^(1-$B$10))^(1/(1-$B$10))</f>
        <v>6.2419820255445178</v>
      </c>
      <c r="CG212">
        <f>IF(FixedParams!$I$6=1,IF(CE212&lt;=MIN(CD212:CF212),1,0),$H212)</f>
        <v>0</v>
      </c>
      <c r="CH212">
        <f>IF(FixedParams!$I$6=1,IF(CF212&lt;=MIN(CD212:CF212),1,0),IF(CF212&lt;=CD212,1,0)*(1-$H212))</f>
        <v>0</v>
      </c>
      <c r="CI212" s="24">
        <f>$CE$13*IF(CG212=1,1,IF(CH212=1,FixedParams!$D$52,FixedParams!$D$53))</f>
        <v>0.42008589776177102</v>
      </c>
      <c r="CJ212">
        <f>EXP($C212*FixedParams!$B$47)*EXP(IF(CG212+CH212=1,(1-FixedParams!$B$47)*$D212,0))*($B212^((FixedParams!$B$47-1)*$B$10/($B$10-1)))*((1/$B212-1)^$B$10*(CI212)^($B$10-1)+1)^((FixedParams!$B$47-$B$10)/($B$10-1))/((1+IF(CG212=1,FixedParams!$D$25,IF(CH212=1,FixedParams!$D$23,FixedParams!$D$24)))^FixedParams!$B$47)</f>
        <v>3.5493158455932525E-2</v>
      </c>
      <c r="CK212">
        <f t="shared" si="180"/>
        <v>0.93454764646980537</v>
      </c>
      <c r="CL212">
        <f t="shared" si="182"/>
        <v>25.532105037138169</v>
      </c>
      <c r="CM212">
        <f t="shared" si="149"/>
        <v>7.4950326860340102</v>
      </c>
      <c r="CN212">
        <f t="shared" si="183"/>
        <v>33.027137723172181</v>
      </c>
      <c r="CO212" s="24">
        <f t="shared" si="184"/>
        <v>0.29355326069401561</v>
      </c>
      <c r="CP212" s="24">
        <f t="shared" si="185"/>
        <v>1.8468058665996838</v>
      </c>
      <c r="CQ212" s="23">
        <f>IF(CG212=1,CL212*(1+FixedParams!$D$25)+CM212*(1+FixedParams!$D$28)/$CE$12,IF(CH212=1,CL212*(1+FixedParams!$D$23)+CM212*(1+FixedParams!$D$26)/$CE$12,CL212*(1+FixedParams!$D$24)+CM212*(1+FixedParams!$D$27)/$CE$12))</f>
        <v>63.16310960220337</v>
      </c>
      <c r="CR212" s="24">
        <f t="shared" si="186"/>
        <v>11.049471903774219</v>
      </c>
      <c r="CS212" s="24">
        <f>CR212^((FixedParams!$B$47-1)/FixedParams!$B$47)*EXP($C212)</f>
        <v>8.7252892261100501E-2</v>
      </c>
      <c r="CT212" s="24"/>
    </row>
    <row r="213" spans="1:98" x14ac:dyDescent="0.15">
      <c r="A213">
        <v>0.98</v>
      </c>
      <c r="B213">
        <f t="shared" si="150"/>
        <v>0.49033832093940866</v>
      </c>
      <c r="C213">
        <f>(D213-$D$17)*FixedParams!$B$47+$A213*$B$9</f>
        <v>-2.4490348577065539</v>
      </c>
      <c r="D213">
        <f>(A213-$B$6)*FixedParams!$B$46/(FixedParams!$B$45*Sectors!$B$6)</f>
        <v>0.26080868634854787</v>
      </c>
      <c r="E213">
        <f t="shared" si="151"/>
        <v>8.6376912293510064E-2</v>
      </c>
      <c r="F213" s="24">
        <f>EXP(-$D$17)*(($B213*FixedParams!$B$30)^$B$10*(1+FixedParams!$B$23)^(1-$B$10)+(1-$B213)^$B$10*((1+FixedParams!$B$26)/$B$11)^(1-$B$10))^(1/(1-$B$10))</f>
        <v>4.334297211397212</v>
      </c>
      <c r="G213" s="24">
        <f>EXP($D213-$D$17)*(($B213*FixedParams!$B$31)^$B$10*(1+FixedParams!$B$25)^(1-$B$10)+(1-$B213)^$B$10*((1+FixedParams!$B$28)/$B$11)^(1-$B$10))^(1/(1-$B$10))</f>
        <v>5.3249013448781186</v>
      </c>
      <c r="H213">
        <f>IF(G213&lt;=F213,1,0)</f>
        <v>0</v>
      </c>
      <c r="I213" s="24">
        <f>$B$12*IF(H213=1,1,FixedParams!$B$52)</f>
        <v>0.39101505882574561</v>
      </c>
      <c r="J213">
        <f>EXP($C213*FixedParams!$B$47)*EXP(IF(H213=1,(1-FixedParams!$B$47)*$D213,0))*($B213^((FixedParams!$B$47-1)*$B$10/($B$10-1)))*((1/$B213-1)^$B$10*(I213)^($B$10-1)+1)^((FixedParams!$B$47-$B$10)/($B$10-1))/((1+IF(H213=1,FixedParams!$B$25,FixedParams!$B$24))^FixedParams!$B$47)</f>
        <v>4.8436039362874141E-2</v>
      </c>
      <c r="K213">
        <f t="shared" si="181"/>
        <v>0.97659563558089302</v>
      </c>
      <c r="L213">
        <f>K213*FixedParams!$B$8/K$15</f>
        <v>28.392691292991916</v>
      </c>
      <c r="M213">
        <f t="shared" si="141"/>
        <v>7.3565806942425205</v>
      </c>
      <c r="N213">
        <f t="shared" si="153"/>
        <v>35.749271987234437</v>
      </c>
      <c r="O213" s="24">
        <f t="shared" si="154"/>
        <v>0.25910121088303889</v>
      </c>
      <c r="P213" s="24">
        <f t="shared" si="142"/>
        <v>1.6947754790827461</v>
      </c>
      <c r="Q213" s="23">
        <f>IF(H213=1,L213*(1+FixedParams!$B$25)+M213*FixedParams!$B$33*(1+FixedParams!$B$28)/FixedParams!$B$32,L213*(1+FixedParams!$B$23)+M213*FixedParams!$B$33*(1+FixedParams!$B$26)/FixedParams!$B$32)</f>
        <v>50.818067537274374</v>
      </c>
      <c r="R213" s="24">
        <f t="shared" si="143"/>
        <v>11.724638403579288</v>
      </c>
      <c r="S213" s="24">
        <f>R213^((FixedParams!$B$47-1)/FixedParams!$B$47)*EXP($C213)</f>
        <v>8.6164328080310035E-2</v>
      </c>
      <c r="T213" s="7">
        <f>(L213*FixedParams!$B$32*(FixedParams!$C$25-FixedParams!$C$23)+FixedParams!$B$33*(FixedParams!$C$28-FixedParams!$C$26)*M213)/N213</f>
        <v>4552.4830029229825</v>
      </c>
      <c r="U213" s="7">
        <f>(L213*FixedParams!$B$32*(FixedParams!$C$25-FixedParams!$C$23)*$Z$12/$B$11+FixedParams!$B$33*(FixedParams!$C$28-FixedParams!$C$26)*M213)/N213</f>
        <v>3754.823945610281</v>
      </c>
      <c r="V213" s="14">
        <f t="shared" si="144"/>
        <v>0.411527311887745</v>
      </c>
      <c r="W213" s="14">
        <f t="shared" si="155"/>
        <v>0.99314526805324399</v>
      </c>
      <c r="X213" s="73">
        <f t="shared" si="156"/>
        <v>0.83273732717723226</v>
      </c>
      <c r="Y213" s="24">
        <f>EXP(-$D$17)*(($B213*FixedParams!$B$30)^$B$10*(1+FixedParams!$C$24)^(1-$B$10)+(1-$B213)^$B$10*((1+FixedParams!$C$27)/$Z$12)^(1-$B$10))^(1/(1-$B$10))</f>
        <v>6.1477717400191825</v>
      </c>
      <c r="Z213" s="24">
        <f>EXP($D213-$D$17)*(($B213*FixedParams!$C$31)^$B$10*(1+FixedParams!$C$25)^(1-$B$10)+(1-$B213)^$B$10*((1+FixedParams!$C$28)/$Z$12)^(1-$B$10))^(1/(1-$B$10))</f>
        <v>6.8695378536337381</v>
      </c>
      <c r="AA213" s="24">
        <f>EXP($D213-$D$17)*(($B213*FixedParams!$C$30)^$B$10*(1+FixedParams!$C$23)^(1-$B$10)+(1-$B213)^$B$10*((1+FixedParams!$C$26)/$Z$12)^(1-$B$10))^(1/(1-$B$10))</f>
        <v>6.3282068790732646</v>
      </c>
      <c r="AB213">
        <f>IF(FixedParams!$I$6=1,IF(Z213&lt;=MIN(Y213:AA213),1,0),$H213)</f>
        <v>0</v>
      </c>
      <c r="AC213">
        <f>IF(FixedParams!$I$6=1,IF(AA213&lt;=MIN(Y213:AA213),1,0),IF(AA213&lt;=Y213,1,0)*(1-$H213))</f>
        <v>0</v>
      </c>
      <c r="AD213" s="24">
        <f>$Z$13*IF(AB213=1,1,IF(AC213=1,FixedParams!$C$52,FixedParams!$C$53))</f>
        <v>0.47851548426682239</v>
      </c>
      <c r="AE213">
        <f>EXP($C213*FixedParams!$B$47)*EXP(IF(AB213+AC213=1,(1-FixedParams!$B$47)*$D213,0))*($B213^((FixedParams!$B$47-1)*$B$10/($B$10-1)))*((1/$B213-1)^$B$10*(AD213)^($B$10-1)+1)^((FixedParams!$B$47-$B$10)/($B$10-1))/((1+IF(AB213=1,FixedParams!$C$25,IF(AC213=1,FixedParams!$C$23,FixedParams!$C$24)))^FixedParams!$B$47)</f>
        <v>3.0163994448071087E-2</v>
      </c>
      <c r="AF213">
        <f t="shared" si="157"/>
        <v>0.88884788564803008</v>
      </c>
      <c r="AG213">
        <f t="shared" si="158"/>
        <v>20.87767189775364</v>
      </c>
      <c r="AH213">
        <f t="shared" si="145"/>
        <v>7.3232739281089962</v>
      </c>
      <c r="AI213">
        <f t="shared" si="159"/>
        <v>28.200945825862636</v>
      </c>
      <c r="AJ213" s="24">
        <f t="shared" si="160"/>
        <v>0.3507706205928523</v>
      </c>
      <c r="AK213" s="24">
        <f t="shared" si="161"/>
        <v>2.0533177784975041</v>
      </c>
      <c r="AL213" s="23">
        <f>IF(AB213=1,AG213*(1+FixedParams!$C$25)+AH213*(1+FixedParams!$C$28)/$Z$12,IF(AC213=1,AG213*(1+FixedParams!$C$23)+AH213*(1+FixedParams!$C$26)/$Z$12,AG213*(1+FixedParams!$C$24)+AH213*(1+FixedParams!$C$27)/$Z$12))</f>
        <v>60.024040170374938</v>
      </c>
      <c r="AM213" s="24">
        <f t="shared" si="162"/>
        <v>9.7635440463161469</v>
      </c>
      <c r="AN213" s="24">
        <f>AM213^((FixedParams!$B$47-1)/FixedParams!$B$47)*EXP($C213)</f>
        <v>8.618011657554836E-2</v>
      </c>
      <c r="AO213" s="24">
        <f t="shared" si="163"/>
        <v>-0.23717438763340123</v>
      </c>
      <c r="AP213" s="24">
        <f t="shared" si="164"/>
        <v>-0.18303702006409281</v>
      </c>
      <c r="AQ213" s="14">
        <f t="shared" si="165"/>
        <v>0.31055606312818251</v>
      </c>
      <c r="AS213" s="24">
        <f>EXP(-$D$17)*(($B213*FixedParams!$B$30)^$B$10*(1+FixedParams!$D$24)^(1-$B$10)+(1-$B213)^$B$10*((1+FixedParams!$D$27)/$AT$12)^(1-$B$10))^(1/(1-$B$10))</f>
        <v>5.5875370564018905</v>
      </c>
      <c r="AT213" s="24">
        <f>EXP($D213-$D$17)*(($B213*FixedParams!$C$31)^$B$10*(1+FixedParams!$D$25)^(1-$B$10)+(1-$B213)^$B$10*((1+FixedParams!$D$28)/$AT$12)^(1-$B$10))^(1/(1-$B$10))</f>
        <v>6.5599106492977581</v>
      </c>
      <c r="AU213" s="24">
        <f>EXP($D213-$D$17)*(($B213*FixedParams!$C$30)^$B$10*(1+FixedParams!$D$23)^(1-$B$10)+(1-$B213)^$B$10*((1+FixedParams!$D$26)/$AT$12)^(1-$B$10))^(1/(1-$B$10))</f>
        <v>6.1201040207038417</v>
      </c>
      <c r="AV213">
        <f>IF(FixedParams!$I$6=1,IF(AT213&lt;=MIN(AS213:AU213),1,0),$H213)</f>
        <v>0</v>
      </c>
      <c r="AW213">
        <f>IF(FixedParams!$I$6=1,IF(AU213&lt;=MIN(AS213:AU213),1,0),IF(AU213&lt;=AS213,1,0)*(1-$H213))</f>
        <v>0</v>
      </c>
      <c r="AX213" s="24">
        <f>$AT$13*IF(AV213=1,1,IF(AW213=1,FixedParams!$D$52,FixedParams!$D$53))</f>
        <v>0.44031288407969205</v>
      </c>
      <c r="AY213">
        <f>EXP($C213*FixedParams!$B$47)*EXP(IF(AV213+AW213=1,(1-FixedParams!$B$47)*$D213,0))*($B213^((FixedParams!$B$47-1)*$B$10/($B$10-1)))*((1/$B213-1)^$B$10*(AX213)^($B$10-1)+1)^((FixedParams!$B$47-$B$10)/($B$10-1))/((1+IF(AV213=1,FixedParams!$D$25,IF(AW213=1,FixedParams!$D$23,FixedParams!$D$24)))^FixedParams!$B$47)</f>
        <v>3.4962008549949256E-2</v>
      </c>
      <c r="AZ213">
        <f t="shared" si="146"/>
        <v>0.94144231326786998</v>
      </c>
      <c r="BA213">
        <f t="shared" si="166"/>
        <v>23.68656269061222</v>
      </c>
      <c r="BB213">
        <f t="shared" si="147"/>
        <v>7.3337035429120494</v>
      </c>
      <c r="BC213">
        <f t="shared" si="167"/>
        <v>31.020266233524268</v>
      </c>
      <c r="BD213" s="24">
        <f t="shared" si="168"/>
        <v>0.30961451176783206</v>
      </c>
      <c r="BE213" s="24">
        <f t="shared" si="169"/>
        <v>1.8920951482755795</v>
      </c>
      <c r="BF213" s="23">
        <f>IF(AV213=1,BA213*(1+FixedParams!$C$25)+BB213*(1+FixedParams!$C$28)/$AT$12,IF(AW213=1,BA213*(1+FixedParams!$C$23)+BB213*(1+FixedParams!$C$26)/$AT$12,BA213*(1+FixedParams!$C$24)+BB213*(1+FixedParams!$C$27)/$AT$12))</f>
        <v>64.372095282454438</v>
      </c>
      <c r="BG213" s="24">
        <f t="shared" si="170"/>
        <v>11.520656531252973</v>
      </c>
      <c r="BH213" s="24">
        <f>BG213^((FixedParams!$B$47-1)/FixedParams!$B$47)*EXP($C213)</f>
        <v>8.6165841862839848E-2</v>
      </c>
      <c r="BI213" s="7"/>
      <c r="BJ213" s="24">
        <f>EXP(-$D$17)*(($B213*FixedParams!$B$30)^$B$10*(1+FixedParams!$C$24)^(1-$B$10)+(1-$B213)^$B$10*((1+FixedParams!$C$27)/$BK$12)^(1-$B$10))^(1/(1-$B$10))</f>
        <v>6.2790309648177072</v>
      </c>
      <c r="BK213" s="24">
        <f>EXP($D213-$D$17)*(($B213*FixedParams!$C$31)^$B$10*(1+FixedParams!$C$25)^(1-$B$10)+(1-$B213)^$B$10*((1+FixedParams!$C$28)/$BK$12)^(1-$B$10))^(1/(1-$B$10))</f>
        <v>7.011818522865946</v>
      </c>
      <c r="BL213" s="24">
        <f>EXP($D213-$D$17)*(($B213*FixedParams!$C$30)^$B$10*(1+FixedParams!$C$23)^(1-$B$10)+(1-$B213)^$B$10*((1+FixedParams!$C$26)/$BK$12)^(1-$B$10))^(1/(1-$B$10))</f>
        <v>6.4508021296423825</v>
      </c>
      <c r="BM213">
        <f>IF(FixedParams!$I$6=1,IF(BK213&lt;=MIN(BJ213:BL213),1,0),$H213)</f>
        <v>0</v>
      </c>
      <c r="BN213">
        <f>IF(FixedParams!$I$6=1,IF(BL213&lt;=MIN(BJ213:BL213),1,0),IF(BL213&lt;=BJ213,1,0)*(1-$H213))</f>
        <v>0</v>
      </c>
      <c r="BO213" s="24">
        <f>$BK$13*IF(BM213=1,1,IF(BN213=1,FixedParams!$C$52,FixedParams!$C$53))</f>
        <v>0.4550367853045027</v>
      </c>
      <c r="BP213">
        <f>EXP($C213*FixedParams!$B$47)*EXP(IF(BM213+BN213=1,(1-FixedParams!$B$47)*$D213,0))*($B213^((FixedParams!$B$47-1)*$B$10/($B$10-1)))*((1/$B213-1)^$B$10*(BO213)^($B$10-1)+1)^((FixedParams!$B$47-$B$10)/($B$10-1))/((1+IF(BM213=1,FixedParams!$C$25,IF(BN213=1,FixedParams!$C$23,FixedParams!$C$24)))^FixedParams!$B$47)</f>
        <v>3.0484948966883307E-2</v>
      </c>
      <c r="BQ213">
        <f t="shared" si="171"/>
        <v>0.87698345894164953</v>
      </c>
      <c r="BR213">
        <f t="shared" si="172"/>
        <v>22.366725446123876</v>
      </c>
      <c r="BS213">
        <f t="shared" si="148"/>
        <v>7.2753080060060631</v>
      </c>
      <c r="BT213">
        <f t="shared" si="173"/>
        <v>29.64203345212994</v>
      </c>
      <c r="BU213" s="24">
        <f t="shared" si="174"/>
        <v>0.32527372071207072</v>
      </c>
      <c r="BV213" s="24">
        <f t="shared" si="175"/>
        <v>1.9942590377507525</v>
      </c>
      <c r="BW213" s="23">
        <f>IF(BM213=1,BR213*(1+FixedParams!$C$25)+BS213*(1+FixedParams!$C$28)/$BK$12,IF(BN213=1,BR213*(1+FixedParams!$C$23)+BS213*(1+FixedParams!$C$26)/$BK$12,BR213*(1+FixedParams!$C$24)+BS213*(1+FixedParams!$C$27)/$BK$12))</f>
        <v>63.629442401223493</v>
      </c>
      <c r="BX213" s="24">
        <f t="shared" si="176"/>
        <v>10.133640486525421</v>
      </c>
      <c r="BY213" s="24">
        <f>BX213^((FixedParams!$B$47-1)/FixedParams!$B$47)*EXP($C213)</f>
        <v>8.6176907079314427E-2</v>
      </c>
      <c r="BZ213" s="24">
        <f t="shared" si="177"/>
        <v>-0.18733650186691814</v>
      </c>
      <c r="CA213" s="24">
        <f t="shared" si="178"/>
        <v>-0.14583184362180526</v>
      </c>
      <c r="CB213" s="24">
        <f t="shared" si="179"/>
        <v>-0.128503387702398</v>
      </c>
      <c r="CC213" s="24"/>
      <c r="CD213" s="24">
        <f>EXP(-$D$17)*(($B213*FixedParams!$B$30)^$B$10*(1+FixedParams!$D$24)^(1-$B$10)+(1-$B213)^$B$10*((1+FixedParams!$D$27)/$CE$12)^(1-$B$10))^(1/(1-$B$10))</f>
        <v>5.6963181736422204</v>
      </c>
      <c r="CE213" s="24">
        <f>EXP($D213-$D$17)*(($B213*FixedParams!$D$31)^$B$10*(1+FixedParams!$D$25)^(1-$B$10)+(1-$B213)^$B$10*((1+FixedParams!$D$28)/$CE$12)^(1-$B$10))^(1/(1-$B$10))</f>
        <v>6.6850007865324406</v>
      </c>
      <c r="CF213" s="24">
        <f>EXP($D213-$D$17)*(($B213*FixedParams!$D$30)^$B$10*(1+FixedParams!$D$23)^(1-$B$10)+(1-$B213)^$B$10*((1+FixedParams!$D$26)/$CE$12)^(1-$B$10))^(1/(1-$B$10))</f>
        <v>6.2307258307161195</v>
      </c>
      <c r="CG213">
        <f>IF(FixedParams!$I$6=1,IF(CE213&lt;=MIN(CD213:CF213),1,0),$H213)</f>
        <v>0</v>
      </c>
      <c r="CH213">
        <f>IF(FixedParams!$I$6=1,IF(CF213&lt;=MIN(CD213:CF213),1,0),IF(CF213&lt;=CD213,1,0)*(1-$H213))</f>
        <v>0</v>
      </c>
      <c r="CI213" s="24">
        <f>$CE$13*IF(CG213=1,1,IF(CH213=1,FixedParams!$D$52,FixedParams!$D$53))</f>
        <v>0.42008589776177102</v>
      </c>
      <c r="CJ213">
        <f>EXP($C213*FixedParams!$B$47)*EXP(IF(CG213+CH213=1,(1-FixedParams!$B$47)*$D213,0))*($B213^((FixedParams!$B$47-1)*$B$10/($B$10-1)))*((1/$B213-1)^$B$10*(CI213)^($B$10-1)+1)^((FixedParams!$B$47-$B$10)/($B$10-1))/((1+IF(CG213=1,FixedParams!$D$25,IF(CH213=1,FixedParams!$D$23,FixedParams!$D$24)))^FixedParams!$B$47)</f>
        <v>3.530137811469812E-2</v>
      </c>
      <c r="CK213">
        <f t="shared" si="180"/>
        <v>0.92949800100750268</v>
      </c>
      <c r="CL213">
        <f t="shared" si="182"/>
        <v>25.394147300225733</v>
      </c>
      <c r="CM213">
        <f t="shared" si="149"/>
        <v>7.3268956423747911</v>
      </c>
      <c r="CN213">
        <f t="shared" si="183"/>
        <v>32.721042942600526</v>
      </c>
      <c r="CO213" s="24">
        <f t="shared" si="184"/>
        <v>0.28852694109991484</v>
      </c>
      <c r="CP213" s="24">
        <f t="shared" si="185"/>
        <v>1.8403206695523</v>
      </c>
      <c r="CQ213" s="23">
        <f>IF(CG213=1,CL213*(1+FixedParams!$D$25)+CM213*(1+FixedParams!$D$28)/$CE$12,IF(CH213=1,CL213*(1+FixedParams!$D$23)+CM213*(1+FixedParams!$D$26)/$CE$12,CL213*(1+FixedParams!$D$24)+CM213*(1+FixedParams!$D$27)/$CE$12))</f>
        <v>62.379352014847555</v>
      </c>
      <c r="CR213" s="24">
        <f t="shared" si="186"/>
        <v>10.950819479060501</v>
      </c>
      <c r="CS213" s="24">
        <f>CR213^((FixedParams!$B$47-1)/FixedParams!$B$47)*EXP($C213)</f>
        <v>8.6170217314299066E-2</v>
      </c>
      <c r="CT213" s="24"/>
    </row>
    <row r="214" spans="1:98" x14ac:dyDescent="0.15">
      <c r="A214">
        <v>0.98499999999999999</v>
      </c>
      <c r="B214">
        <f t="shared" si="150"/>
        <v>0.49321597202890916</v>
      </c>
      <c r="C214">
        <f>(D214-$D$17)*FixedParams!$B$47+$A214*$B$9</f>
        <v>-2.4615299335111791</v>
      </c>
      <c r="D214">
        <f>(A214-$B$6)*FixedParams!$B$46/(FixedParams!$B$45*Sectors!$B$6)</f>
        <v>0.26352544349801194</v>
      </c>
      <c r="E214">
        <f t="shared" si="151"/>
        <v>8.5304341110485307E-2</v>
      </c>
      <c r="F214" s="24">
        <f>EXP(-$D$17)*(($B214*FixedParams!$B$30)^$B$10*(1+FixedParams!$B$23)^(1-$B$10)+(1-$B214)^$B$10*((1+FixedParams!$B$26)/$B$11)^(1-$B$10))^(1/(1-$B$10))</f>
        <v>4.3175999662717439</v>
      </c>
      <c r="G214" s="24">
        <f>EXP($D214-$D$17)*(($B214*FixedParams!$B$31)^$B$10*(1+FixedParams!$B$25)^(1-$B$10)+(1-$B214)^$B$10*((1+FixedParams!$B$28)/$B$11)^(1-$B$10))^(1/(1-$B$10))</f>
        <v>5.3178773839889439</v>
      </c>
      <c r="H214">
        <f t="shared" si="152"/>
        <v>0</v>
      </c>
      <c r="I214" s="24">
        <f>$B$12*IF(H214=1,1,FixedParams!$B$52)</f>
        <v>0.39101505882574561</v>
      </c>
      <c r="J214">
        <f>EXP($C214*FixedParams!$B$47)*EXP(IF(H214=1,(1-FixedParams!$B$47)*$D214,0))*($B214^((FixedParams!$B$47-1)*$B$10/($B$10-1)))*((1/$B214-1)^$B$10*(I214)^($B$10-1)+1)^((FixedParams!$B$47-$B$10)/($B$10-1))/((1+IF(H214=1,FixedParams!$B$25,FixedParams!$B$24))^FixedParams!$B$47)</f>
        <v>4.8163676714610519E-2</v>
      </c>
      <c r="K214">
        <f t="shared" si="181"/>
        <v>0.97110410123811219</v>
      </c>
      <c r="L214">
        <f>K214*FixedParams!$B$8/K$15</f>
        <v>28.233035204393186</v>
      </c>
      <c r="M214">
        <f t="shared" si="141"/>
        <v>7.189960012445912</v>
      </c>
      <c r="N214">
        <f t="shared" si="153"/>
        <v>35.422995216839098</v>
      </c>
      <c r="O214" s="24">
        <f t="shared" si="154"/>
        <v>0.25466479110000623</v>
      </c>
      <c r="P214" s="24">
        <f t="shared" si="142"/>
        <v>1.6882466047977831</v>
      </c>
      <c r="Q214" s="23">
        <f>IF(H214=1,L214*(1+FixedParams!$B$25)+M214*FixedParams!$B$33*(1+FixedParams!$B$28)/FixedParams!$B$32,L214*(1+FixedParams!$B$23)+M214*FixedParams!$B$33*(1+FixedParams!$B$26)/FixedParams!$B$32)</f>
        <v>50.187475875183893</v>
      </c>
      <c r="R214" s="24">
        <f t="shared" si="143"/>
        <v>11.623929096544087</v>
      </c>
      <c r="S214" s="24">
        <f>R214^((FixedParams!$B$47-1)/FixedParams!$B$47)*EXP($C214)</f>
        <v>8.5095131444345495E-2</v>
      </c>
      <c r="T214" s="7">
        <f>(L214*FixedParams!$B$32*(FixedParams!$C$25-FixedParams!$C$23)+FixedParams!$B$33*(FixedParams!$C$28-FixedParams!$C$26)*M214)/N214</f>
        <v>4584.3430495784878</v>
      </c>
      <c r="U214" s="7">
        <f>(L214*FixedParams!$B$32*(FixedParams!$C$25-FixedParams!$C$23)*$Z$12/$B$11+FixedParams!$B$33*(FixedParams!$C$28-FixedParams!$C$26)*M214)/N214</f>
        <v>3783.8635174687897</v>
      </c>
      <c r="V214" s="14">
        <f t="shared" si="144"/>
        <v>0.42879793718382897</v>
      </c>
      <c r="W214" s="14">
        <f t="shared" si="155"/>
        <v>0.99488269058297119</v>
      </c>
      <c r="X214" s="73">
        <f t="shared" si="156"/>
        <v>0.83203663534292194</v>
      </c>
      <c r="Y214" s="24">
        <f>EXP(-$D$17)*(($B214*FixedParams!$B$30)^$B$10*(1+FixedParams!$C$24)^(1-$B$10)+(1-$B214)^$B$10*((1+FixedParams!$C$27)/$Z$12)^(1-$B$10))^(1/(1-$B$10))</f>
        <v>6.1292508580480991</v>
      </c>
      <c r="Z214" s="24">
        <f>EXP($D214-$D$17)*(($B214*FixedParams!$C$31)^$B$10*(1+FixedParams!$C$25)^(1-$B$10)+(1-$B214)^$B$10*((1+FixedParams!$C$28)/$Z$12)^(1-$B$10))^(1/(1-$B$10))</f>
        <v>6.864522907323324</v>
      </c>
      <c r="AA214" s="24">
        <f>EXP($D214-$D$17)*(($B214*FixedParams!$C$30)^$B$10*(1+FixedParams!$C$23)^(1-$B$10)+(1-$B214)^$B$10*((1+FixedParams!$C$26)/$Z$12)^(1-$B$10))^(1/(1-$B$10))</f>
        <v>6.317885823661415</v>
      </c>
      <c r="AB214">
        <f>IF(FixedParams!$I$6=1,IF(Z214&lt;=MIN(Y214:AA214),1,0),$H214)</f>
        <v>0</v>
      </c>
      <c r="AC214">
        <f>IF(FixedParams!$I$6=1,IF(AA214&lt;=MIN(Y214:AA214),1,0),IF(AA214&lt;=Y214,1,0)*(1-$H214))</f>
        <v>0</v>
      </c>
      <c r="AD214" s="24">
        <f>$Z$13*IF(AB214=1,1,IF(AC214=1,FixedParams!$C$52,FixedParams!$C$53))</f>
        <v>0.47851548426682239</v>
      </c>
      <c r="AE214">
        <f>EXP($C214*FixedParams!$B$47)*EXP(IF(AB214+AC214=1,(1-FixedParams!$B$47)*$D214,0))*($B214^((FixedParams!$B$47-1)*$B$10/($B$10-1)))*((1/$B214-1)^$B$10*(AD214)^($B$10-1)+1)^((FixedParams!$B$47-$B$10)/($B$10-1))/((1+IF(AB214=1,FixedParams!$C$25,IF(AC214=1,FixedParams!$C$23,FixedParams!$C$24)))^FixedParams!$B$47)</f>
        <v>3.0007043084312603E-2</v>
      </c>
      <c r="AF214">
        <f t="shared" si="157"/>
        <v>0.88422297139582551</v>
      </c>
      <c r="AG214">
        <f t="shared" si="158"/>
        <v>20.769039764098537</v>
      </c>
      <c r="AH214">
        <f t="shared" si="145"/>
        <v>7.1604298059039468</v>
      </c>
      <c r="AI214">
        <f t="shared" si="159"/>
        <v>27.929469570002482</v>
      </c>
      <c r="AJ214" s="24">
        <f t="shared" si="160"/>
        <v>0.34476460574173973</v>
      </c>
      <c r="AK214" s="24">
        <f t="shared" si="161"/>
        <v>2.0471319183463983</v>
      </c>
      <c r="AL214" s="23">
        <f>IF(AB214=1,AG214*(1+FixedParams!$C$25)+AH214*(1+FixedParams!$C$28)/$Z$12,IF(AC214=1,AG214*(1+FixedParams!$C$23)+AH214*(1+FixedParams!$C$26)/$Z$12,AG214*(1+FixedParams!$C$24)+AH214*(1+FixedParams!$C$27)/$Z$12))</f>
        <v>59.2792633083642</v>
      </c>
      <c r="AM214" s="24">
        <f t="shared" si="162"/>
        <v>9.671534854953233</v>
      </c>
      <c r="AN214" s="24">
        <f>AM214^((FixedParams!$B$47-1)/FixedParams!$B$47)*EXP($C214)</f>
        <v>8.5110795739951964E-2</v>
      </c>
      <c r="AO214" s="24">
        <f t="shared" si="163"/>
        <v>-0.23767880327924334</v>
      </c>
      <c r="AP214" s="24">
        <f t="shared" si="164"/>
        <v>-0.18387880626625769</v>
      </c>
      <c r="AQ214" s="14">
        <f t="shared" si="165"/>
        <v>0.3278266884242666</v>
      </c>
      <c r="AS214" s="24">
        <f>EXP(-$D$17)*(($B214*FixedParams!$B$30)^$B$10*(1+FixedParams!$D$24)^(1-$B$10)+(1-$B214)^$B$10*((1+FixedParams!$D$27)/$AT$12)^(1-$B$10))^(1/(1-$B$10))</f>
        <v>5.5687598676531556</v>
      </c>
      <c r="AT214" s="24">
        <f>EXP($D214-$D$17)*(($B214*FixedParams!$C$31)^$B$10*(1+FixedParams!$D$25)^(1-$B$10)+(1-$B214)^$B$10*((1+FixedParams!$D$28)/$AT$12)^(1-$B$10))^(1/(1-$B$10))</f>
        <v>6.5537628497649845</v>
      </c>
      <c r="AU214" s="24">
        <f>EXP($D214-$D$17)*(($B214*FixedParams!$C$30)^$B$10*(1+FixedParams!$D$23)^(1-$B$10)+(1-$B214)^$B$10*((1+FixedParams!$D$26)/$AT$12)^(1-$B$10))^(1/(1-$B$10))</f>
        <v>6.1099854807652783</v>
      </c>
      <c r="AV214">
        <f>IF(FixedParams!$I$6=1,IF(AT214&lt;=MIN(AS214:AU214),1,0),$H214)</f>
        <v>0</v>
      </c>
      <c r="AW214">
        <f>IF(FixedParams!$I$6=1,IF(AU214&lt;=MIN(AS214:AU214),1,0),IF(AU214&lt;=AS214,1,0)*(1-$H214))</f>
        <v>0</v>
      </c>
      <c r="AX214" s="24">
        <f>$AT$13*IF(AV214=1,1,IF(AW214=1,FixedParams!$D$52,FixedParams!$D$53))</f>
        <v>0.44031288407969205</v>
      </c>
      <c r="AY214">
        <f>EXP($C214*FixedParams!$B$47)*EXP(IF(AV214+AW214=1,(1-FixedParams!$B$47)*$D214,0))*($B214^((FixedParams!$B$47-1)*$B$10/($B$10-1)))*((1/$B214-1)^$B$10*(AX214)^($B$10-1)+1)^((FixedParams!$B$47-$B$10)/($B$10-1))/((1+IF(AV214=1,FixedParams!$D$25,IF(AW214=1,FixedParams!$D$23,FixedParams!$D$24)))^FixedParams!$B$47)</f>
        <v>3.4774010337793454E-2</v>
      </c>
      <c r="AZ214">
        <f t="shared" si="146"/>
        <v>0.93637997620307223</v>
      </c>
      <c r="BA214">
        <f t="shared" si="166"/>
        <v>23.559194967113452</v>
      </c>
      <c r="BB214">
        <f t="shared" si="147"/>
        <v>7.1693736782743862</v>
      </c>
      <c r="BC214">
        <f t="shared" si="167"/>
        <v>30.728568645387838</v>
      </c>
      <c r="BD214" s="24">
        <f t="shared" si="168"/>
        <v>0.3043131859251641</v>
      </c>
      <c r="BE214" s="24">
        <f t="shared" si="169"/>
        <v>1.8857366709409138</v>
      </c>
      <c r="BF214" s="23">
        <f>IF(AV214=1,BA214*(1+FixedParams!$C$25)+BB214*(1+FixedParams!$C$28)/$AT$12,IF(AW214=1,BA214*(1+FixedParams!$C$23)+BB214*(1+FixedParams!$C$26)/$AT$12,BA214*(1+FixedParams!$C$24)+BB214*(1+FixedParams!$C$27)/$AT$12))</f>
        <v>63.598882215479279</v>
      </c>
      <c r="BG214" s="24">
        <f t="shared" si="170"/>
        <v>11.420654459335086</v>
      </c>
      <c r="BH214" s="24">
        <f>BG214^((FixedParams!$B$47-1)/FixedParams!$B$47)*EXP($C214)</f>
        <v>8.5096634235570248E-2</v>
      </c>
      <c r="BI214" s="7"/>
      <c r="BJ214" s="24">
        <f>EXP(-$D$17)*(($B214*FixedParams!$B$30)^$B$10*(1+FixedParams!$C$24)^(1-$B$10)+(1-$B214)^$B$10*((1+FixedParams!$C$27)/$BK$12)^(1-$B$10))^(1/(1-$B$10))</f>
        <v>6.2587917176167558</v>
      </c>
      <c r="BK214" s="24">
        <f>EXP($D214-$D$17)*(($B214*FixedParams!$C$31)^$B$10*(1+FixedParams!$C$25)^(1-$B$10)+(1-$B214)^$B$10*((1+FixedParams!$C$28)/$BK$12)^(1-$B$10))^(1/(1-$B$10))</f>
        <v>7.0052323657240505</v>
      </c>
      <c r="BL214" s="24">
        <f>EXP($D214-$D$17)*(($B214*FixedParams!$C$30)^$B$10*(1+FixedParams!$C$23)^(1-$B$10)+(1-$B214)^$B$10*((1+FixedParams!$C$26)/$BK$12)^(1-$B$10))^(1/(1-$B$10))</f>
        <v>6.4389637668459292</v>
      </c>
      <c r="BM214">
        <f>IF(FixedParams!$I$6=1,IF(BK214&lt;=MIN(BJ214:BL214),1,0),$H214)</f>
        <v>0</v>
      </c>
      <c r="BN214">
        <f>IF(FixedParams!$I$6=1,IF(BL214&lt;=MIN(BJ214:BL214),1,0),IF(BL214&lt;=BJ214,1,0)*(1-$H214))</f>
        <v>0</v>
      </c>
      <c r="BO214" s="24">
        <f>$BK$13*IF(BM214=1,1,IF(BN214=1,FixedParams!$C$52,FixedParams!$C$53))</f>
        <v>0.4550367853045027</v>
      </c>
      <c r="BP214">
        <f>EXP($C214*FixedParams!$B$47)*EXP(IF(BM214+BN214=1,(1-FixedParams!$B$47)*$D214,0))*($B214^((FixedParams!$B$47-1)*$B$10/($B$10-1)))*((1/$B214-1)^$B$10*(BO214)^($B$10-1)+1)^((FixedParams!$B$47-$B$10)/($B$10-1))/((1+IF(BM214=1,FixedParams!$C$25,IF(BN214=1,FixedParams!$C$23,FixedParams!$C$24)))^FixedParams!$B$47)</f>
        <v>3.0323116626080348E-2</v>
      </c>
      <c r="BQ214">
        <f t="shared" si="171"/>
        <v>0.87232790625694012</v>
      </c>
      <c r="BR214">
        <f t="shared" si="172"/>
        <v>22.247989490916094</v>
      </c>
      <c r="BS214">
        <f t="shared" si="148"/>
        <v>7.1127772953159392</v>
      </c>
      <c r="BT214">
        <f t="shared" si="173"/>
        <v>29.360766786232034</v>
      </c>
      <c r="BU214" s="24">
        <f t="shared" si="174"/>
        <v>0.31970427252404549</v>
      </c>
      <c r="BV214" s="24">
        <f t="shared" si="175"/>
        <v>1.9878309277646855</v>
      </c>
      <c r="BW214" s="23">
        <f>IF(BM214=1,BR214*(1+FixedParams!$C$25)+BS214*(1+FixedParams!$C$28)/$BK$12,IF(BN214=1,BR214*(1+FixedParams!$C$23)+BS214*(1+FixedParams!$C$26)/$BK$12,BR214*(1+FixedParams!$C$24)+BS214*(1+FixedParams!$C$27)/$BK$12))</f>
        <v>62.839916512954161</v>
      </c>
      <c r="BX214" s="24">
        <f t="shared" si="176"/>
        <v>10.040263256576711</v>
      </c>
      <c r="BY214" s="24">
        <f>BX214^((FixedParams!$B$47-1)/FixedParams!$B$47)*EXP($C214)</f>
        <v>8.5107608079630095E-2</v>
      </c>
      <c r="BZ214" s="24">
        <f t="shared" si="177"/>
        <v>-0.1877018715464332</v>
      </c>
      <c r="CA214" s="24">
        <f t="shared" si="178"/>
        <v>-0.14646249180825729</v>
      </c>
      <c r="CB214" s="24">
        <f t="shared" si="179"/>
        <v>-0.12913403588885003</v>
      </c>
      <c r="CC214" s="24"/>
      <c r="CD214" s="24">
        <f>EXP(-$D$17)*(($B214*FixedParams!$B$30)^$B$10*(1+FixedParams!$D$24)^(1-$B$10)+(1-$B214)^$B$10*((1+FixedParams!$D$27)/$CE$12)^(1-$B$10))^(1/(1-$B$10))</f>
        <v>5.6760619228742542</v>
      </c>
      <c r="CE214" s="24">
        <f>EXP($D214-$D$17)*(($B214*FixedParams!$D$31)^$B$10*(1+FixedParams!$D$25)^(1-$B$10)+(1-$B214)^$B$10*((1+FixedParams!$D$28)/$CE$12)^(1-$B$10))^(1/(1-$B$10))</f>
        <v>6.6774345040468193</v>
      </c>
      <c r="CF214" s="24">
        <f>EXP($D214-$D$17)*(($B214*FixedParams!$D$30)^$B$10*(1+FixedParams!$D$23)^(1-$B$10)+(1-$B214)^$B$10*((1+FixedParams!$D$26)/$CE$12)^(1-$B$10))^(1/(1-$B$10))</f>
        <v>6.2192356066359187</v>
      </c>
      <c r="CG214">
        <f>IF(FixedParams!$I$6=1,IF(CE214&lt;=MIN(CD214:CF214),1,0),$H214)</f>
        <v>0</v>
      </c>
      <c r="CH214">
        <f>IF(FixedParams!$I$6=1,IF(CF214&lt;=MIN(CD214:CF214),1,0),IF(CF214&lt;=CD214,1,0)*(1-$H214))</f>
        <v>0</v>
      </c>
      <c r="CI214" s="24">
        <f>$CE$13*IF(CG214=1,1,IF(CH214=1,FixedParams!$D$52,FixedParams!$D$53))</f>
        <v>0.42008589776177102</v>
      </c>
      <c r="CJ214">
        <f>EXP($C214*FixedParams!$B$47)*EXP(IF(CG214+CH214=1,(1-FixedParams!$B$47)*$D214,0))*($B214^((FixedParams!$B$47-1)*$B$10/($B$10-1)))*((1/$B214-1)^$B$10*(CI214)^($B$10-1)+1)^((FixedParams!$B$47-$B$10)/($B$10-1))/((1+IF(CG214=1,FixedParams!$D$25,IF(CH214=1,FixedParams!$D$23,FixedParams!$D$24)))^FixedParams!$B$47)</f>
        <v>3.5108104666266085E-2</v>
      </c>
      <c r="CK214">
        <f t="shared" si="180"/>
        <v>0.92440904149488223</v>
      </c>
      <c r="CL214">
        <f t="shared" si="182"/>
        <v>25.255115492380749</v>
      </c>
      <c r="CM214">
        <f t="shared" si="149"/>
        <v>7.162014453326921</v>
      </c>
      <c r="CN214">
        <f t="shared" si="183"/>
        <v>32.417129945707671</v>
      </c>
      <c r="CO214" s="24">
        <f t="shared" si="184"/>
        <v>0.28358668387351621</v>
      </c>
      <c r="CP214" s="24">
        <f t="shared" si="185"/>
        <v>1.8337764429414316</v>
      </c>
      <c r="CQ214" s="23">
        <f>IF(CG214=1,CL214*(1+FixedParams!$D$25)+CM214*(1+FixedParams!$D$28)/$CE$12,IF(CH214=1,CL214*(1+FixedParams!$D$23)+CM214*(1+FixedParams!$D$26)/$CE$12,CL214*(1+FixedParams!$D$24)+CM214*(1+FixedParams!$D$27)/$CE$12))</f>
        <v>61.605316912371237</v>
      </c>
      <c r="CR214" s="24">
        <f t="shared" si="186"/>
        <v>10.853531506431388</v>
      </c>
      <c r="CS214" s="24">
        <f>CR214^((FixedParams!$B$47-1)/FixedParams!$B$47)*EXP($C214)</f>
        <v>8.5100972911545322E-2</v>
      </c>
      <c r="CT214" s="24"/>
    </row>
    <row r="215" spans="1:98" x14ac:dyDescent="0.15">
      <c r="A215">
        <v>0.99</v>
      </c>
      <c r="B215">
        <f t="shared" si="150"/>
        <v>0.49609407269292954</v>
      </c>
      <c r="C215">
        <f>(D215-$D$17)*FixedParams!$B$47+$A215*$B$9</f>
        <v>-2.4740250093158043</v>
      </c>
      <c r="D215">
        <f>(A215-$B$6)*FixedParams!$B$46/(FixedParams!$B$45*Sectors!$B$6)</f>
        <v>0.266242200647476</v>
      </c>
      <c r="E215">
        <f t="shared" si="151"/>
        <v>8.4245088404726179E-2</v>
      </c>
      <c r="F215" s="24">
        <f>EXP(-$D$17)*(($B215*FixedParams!$B$30)^$B$10*(1+FixedParams!$B$23)^(1-$B$10)+(1-$B215)^$B$10*((1+FixedParams!$B$26)/$B$11)^(1-$B$10))^(1/(1-$B$10))</f>
        <v>4.3007817670761002</v>
      </c>
      <c r="G215" s="24">
        <f>EXP($D215-$D$17)*(($B215*FixedParams!$B$31)^$B$10*(1+FixedParams!$B$25)^(1-$B$10)+(1-$B215)^$B$10*((1+FixedParams!$B$28)/$B$11)^(1-$B$10))^(1/(1-$B$10))</f>
        <v>5.3106374088864179</v>
      </c>
      <c r="H215">
        <f t="shared" si="152"/>
        <v>0</v>
      </c>
      <c r="I215" s="24">
        <f>$B$12*IF(H215=1,1,FixedParams!$B$52)</f>
        <v>0.39101505882574561</v>
      </c>
      <c r="J215">
        <f>EXP($C215*FixedParams!$B$47)*EXP(IF(H215=1,(1-FixedParams!$B$47)*$D215,0))*($B215^((FixedParams!$B$47-1)*$B$10/($B$10-1)))*((1/$B215-1)^$B$10*(I215)^($B$10-1)+1)^((FixedParams!$B$47-$B$10)/($B$10-1))/((1+IF(H215=1,FixedParams!$B$25,FixedParams!$B$24))^FixedParams!$B$47)</f>
        <v>4.7889431650478494E-2</v>
      </c>
      <c r="K215">
        <f t="shared" si="181"/>
        <v>0.96557461253024268</v>
      </c>
      <c r="L215">
        <f>K215*FixedParams!$B$8/K$15</f>
        <v>28.072275663626613</v>
      </c>
      <c r="M215">
        <f t="shared" si="141"/>
        <v>7.0266122418910113</v>
      </c>
      <c r="N215">
        <f t="shared" si="153"/>
        <v>35.098887905517621</v>
      </c>
      <c r="O215" s="24">
        <f t="shared" si="154"/>
        <v>0.25030433321782414</v>
      </c>
      <c r="P215" s="24">
        <f t="shared" si="142"/>
        <v>1.6816704356499554</v>
      </c>
      <c r="Q215" s="23">
        <f>IF(H215=1,L215*(1+FixedParams!$B$25)+M215*FixedParams!$B$33*(1+FixedParams!$B$28)/FixedParams!$B$32,L215*(1+FixedParams!$B$23)+M215*FixedParams!$B$33*(1+FixedParams!$B$26)/FixedParams!$B$32)</f>
        <v>49.564706968988986</v>
      </c>
      <c r="R215" s="24">
        <f t="shared" si="143"/>
        <v>11.524580797943093</v>
      </c>
      <c r="S215" s="24">
        <f>R215^((FixedParams!$B$47-1)/FixedParams!$B$47)*EXP($C215)</f>
        <v>8.4039198644220131E-2</v>
      </c>
      <c r="T215" s="7">
        <f>(L215*FixedParams!$B$32*(FixedParams!$C$25-FixedParams!$C$23)+FixedParams!$B$33*(FixedParams!$C$28-FixedParams!$C$26)*M215)/N215</f>
        <v>4615.8779000062987</v>
      </c>
      <c r="U215" s="7">
        <f>(L215*FixedParams!$B$32*(FixedParams!$C$25-FixedParams!$C$23)*$Z$12/$B$11+FixedParams!$B$33*(FixedParams!$C$28-FixedParams!$C$26)*M215)/N215</f>
        <v>3812.6066817506126</v>
      </c>
      <c r="V215" s="14">
        <f t="shared" si="144"/>
        <v>0.44606856247991183</v>
      </c>
      <c r="W215" s="14">
        <f t="shared" si="155"/>
        <v>0.9966042163388289</v>
      </c>
      <c r="X215" s="73">
        <f t="shared" si="156"/>
        <v>0.83133878729638122</v>
      </c>
      <c r="Y215" s="24">
        <f>EXP(-$D$17)*(($B215*FixedParams!$B$30)^$B$10*(1+FixedParams!$C$24)^(1-$B$10)+(1-$B215)^$B$10*((1+FixedParams!$C$27)/$Z$12)^(1-$B$10))^(1/(1-$B$10))</f>
        <v>6.1105059454997441</v>
      </c>
      <c r="Z215" s="24">
        <f>EXP($D215-$D$17)*(($B215*FixedParams!$C$31)^$B$10*(1+FixedParams!$C$25)^(1-$B$10)+(1-$B215)^$B$10*((1+FixedParams!$C$28)/$Z$12)^(1-$B$10))^(1/(1-$B$10))</f>
        <v>6.8592064018934398</v>
      </c>
      <c r="AA215" s="24">
        <f>EXP($D215-$D$17)*(($B215*FixedParams!$C$30)^$B$10*(1+FixedParams!$C$23)^(1-$B$10)+(1-$B215)^$B$10*((1+FixedParams!$C$26)/$Z$12)^(1-$B$10))^(1/(1-$B$10))</f>
        <v>6.3073218668223054</v>
      </c>
      <c r="AB215">
        <f>IF(FixedParams!$I$6=1,IF(Z215&lt;=MIN(Y215:AA215),1,0),$H215)</f>
        <v>0</v>
      </c>
      <c r="AC215">
        <f>IF(FixedParams!$I$6=1,IF(AA215&lt;=MIN(Y215:AA215),1,0),IF(AA215&lt;=Y215,1,0)*(1-$H215))</f>
        <v>0</v>
      </c>
      <c r="AD215" s="24">
        <f>$Z$13*IF(AB215=1,1,IF(AC215=1,FixedParams!$C$52,FixedParams!$C$53))</f>
        <v>0.47851548426682239</v>
      </c>
      <c r="AE215">
        <f>EXP($C215*FixedParams!$B$47)*EXP(IF(AB215+AC215=1,(1-FixedParams!$B$47)*$D215,0))*($B215^((FixedParams!$B$47-1)*$B$10/($B$10-1)))*((1/$B215-1)^$B$10*(AD215)^($B$10-1)+1)^((FixedParams!$B$47-$B$10)/($B$10-1))/((1+IF(AB215=1,FixedParams!$C$25,IF(AC215=1,FixedParams!$C$23,FixedParams!$C$24)))^FixedParams!$B$47)</f>
        <v>2.9848739926587965E-2</v>
      </c>
      <c r="AF215">
        <f t="shared" si="157"/>
        <v>0.87955822358607549</v>
      </c>
      <c r="AG215">
        <f t="shared" si="158"/>
        <v>20.659472001346057</v>
      </c>
      <c r="AH215">
        <f t="shared" si="145"/>
        <v>7.0006981827897459</v>
      </c>
      <c r="AI215">
        <f t="shared" si="159"/>
        <v>27.660170184135801</v>
      </c>
      <c r="AJ215" s="24">
        <f t="shared" si="160"/>
        <v>0.33886142793647483</v>
      </c>
      <c r="AK215" s="24">
        <f t="shared" si="161"/>
        <v>2.0408712333666079</v>
      </c>
      <c r="AL215" s="23">
        <f>IF(AB215=1,AG215*(1+FixedParams!$C$25)+AH215*(1+FixedParams!$C$28)/$Z$12,IF(AC215=1,AG215*(1+FixedParams!$C$23)+AH215*(1+FixedParams!$C$26)/$Z$12,AG215*(1+FixedParams!$C$24)+AH215*(1+FixedParams!$C$27)/$Z$12))</f>
        <v>58.5437249390205</v>
      </c>
      <c r="AM215" s="24">
        <f t="shared" si="162"/>
        <v>9.5808310246611725</v>
      </c>
      <c r="AN215" s="24">
        <f>AM215^((FixedParams!$B$47-1)/FixedParams!$B$47)*EXP($C215)</f>
        <v>8.405473916268888E-2</v>
      </c>
      <c r="AO215" s="24">
        <f t="shared" si="163"/>
        <v>-0.2381759674323069</v>
      </c>
      <c r="AP215" s="24">
        <f t="shared" si="164"/>
        <v>-0.18471788093092545</v>
      </c>
      <c r="AQ215" s="14">
        <f t="shared" si="165"/>
        <v>0.34509731372034952</v>
      </c>
      <c r="AS215" s="24">
        <f>EXP(-$D$17)*(($B215*FixedParams!$B$30)^$B$10*(1+FixedParams!$D$24)^(1-$B$10)+(1-$B215)^$B$10*((1+FixedParams!$D$27)/$AT$12)^(1-$B$10))^(1/(1-$B$10))</f>
        <v>5.5497973952445134</v>
      </c>
      <c r="AT215" s="24">
        <f>EXP($D215-$D$17)*(($B215*FixedParams!$C$31)^$B$10*(1+FixedParams!$D$25)^(1-$B$10)+(1-$B215)^$B$10*((1+FixedParams!$D$28)/$AT$12)^(1-$B$10))^(1/(1-$B$10))</f>
        <v>6.5473339936319856</v>
      </c>
      <c r="AU215" s="24">
        <f>EXP($D215-$D$17)*(($B215*FixedParams!$C$30)^$B$10*(1+FixedParams!$D$23)^(1-$B$10)+(1-$B215)^$B$10*((1+FixedParams!$D$26)/$AT$12)^(1-$B$10))^(1/(1-$B$10))</f>
        <v>6.0996330535331982</v>
      </c>
      <c r="AV215">
        <f>IF(FixedParams!$I$6=1,IF(AT215&lt;=MIN(AS215:AU215),1,0),$H215)</f>
        <v>0</v>
      </c>
      <c r="AW215">
        <f>IF(FixedParams!$I$6=1,IF(AU215&lt;=MIN(AS215:AU215),1,0),IF(AU215&lt;=AS215,1,0)*(1-$H215))</f>
        <v>0</v>
      </c>
      <c r="AX215" s="24">
        <f>$AT$13*IF(AV215=1,1,IF(AW215=1,FixedParams!$D$52,FixedParams!$D$53))</f>
        <v>0.44031288407969205</v>
      </c>
      <c r="AY215">
        <f>EXP($C215*FixedParams!$B$47)*EXP(IF(AV215+AW215=1,(1-FixedParams!$B$47)*$D215,0))*($B215^((FixedParams!$B$47-1)*$B$10/($B$10-1)))*((1/$B215-1)^$B$10*(AX215)^($B$10-1)+1)^((FixedParams!$B$47-$B$10)/($B$10-1))/((1+IF(AV215=1,FixedParams!$D$25,IF(AW215=1,FixedParams!$D$23,FixedParams!$D$24)))^FixedParams!$B$47)</f>
        <v>3.4584528529211893E-2</v>
      </c>
      <c r="AZ215">
        <f t="shared" si="146"/>
        <v>0.93127768947551348</v>
      </c>
      <c r="BA215">
        <f t="shared" si="166"/>
        <v>23.430822115442602</v>
      </c>
      <c r="BB215">
        <f t="shared" si="147"/>
        <v>7.0082205459429705</v>
      </c>
      <c r="BC215">
        <f t="shared" si="167"/>
        <v>30.439042661385571</v>
      </c>
      <c r="BD215" s="24">
        <f t="shared" si="168"/>
        <v>0.29910263120149111</v>
      </c>
      <c r="BE215" s="24">
        <f t="shared" si="169"/>
        <v>1.8793154514158292</v>
      </c>
      <c r="BF215" s="23">
        <f>IF(AV215=1,BA215*(1+FixedParams!$C$25)+BB215*(1+FixedParams!$C$28)/$AT$12,IF(AW215=1,BA215*(1+FixedParams!$C$23)+BB215*(1+FixedParams!$C$26)/$AT$12,BA215*(1+FixedParams!$C$24)+BB215*(1+FixedParams!$C$27)/$AT$12))</f>
        <v>62.834864322435301</v>
      </c>
      <c r="BG215" s="24">
        <f t="shared" si="170"/>
        <v>11.322010489297675</v>
      </c>
      <c r="BH215" s="24">
        <f>BG215^((FixedParams!$B$47-1)/FixedParams!$B$47)*EXP($C215)</f>
        <v>8.4040690462838977E-2</v>
      </c>
      <c r="BI215" s="7"/>
      <c r="BJ215" s="24">
        <f>EXP(-$D$17)*(($B215*FixedParams!$B$30)^$B$10*(1+FixedParams!$C$24)^(1-$B$10)+(1-$B215)^$B$10*((1+FixedParams!$C$27)/$BK$12)^(1-$B$10))^(1/(1-$B$10))</f>
        <v>6.2383358599273766</v>
      </c>
      <c r="BK215" s="24">
        <f>EXP($D215-$D$17)*(($B215*FixedParams!$C$31)^$B$10*(1+FixedParams!$C$25)^(1-$B$10)+(1-$B215)^$B$10*((1+FixedParams!$C$28)/$BK$12)^(1-$B$10))^(1/(1-$B$10))</f>
        <v>6.9983458702808408</v>
      </c>
      <c r="BL215" s="24">
        <f>EXP($D215-$D$17)*(($B215*FixedParams!$C$30)^$B$10*(1+FixedParams!$C$23)^(1-$B$10)+(1-$B215)^$B$10*((1+FixedParams!$C$26)/$BK$12)^(1-$B$10))^(1/(1-$B$10))</f>
        <v>6.4268880307149319</v>
      </c>
      <c r="BM215">
        <f>IF(FixedParams!$I$6=1,IF(BK215&lt;=MIN(BJ215:BL215),1,0),$H215)</f>
        <v>0</v>
      </c>
      <c r="BN215">
        <f>IF(FixedParams!$I$6=1,IF(BL215&lt;=MIN(BJ215:BL215),1,0),IF(BL215&lt;=BJ215,1,0)*(1-$H215))</f>
        <v>0</v>
      </c>
      <c r="BO215" s="24">
        <f>$BK$13*IF(BM215=1,1,IF(BN215=1,FixedParams!$C$52,FixedParams!$C$53))</f>
        <v>0.4550367853045027</v>
      </c>
      <c r="BP215">
        <f>EXP($C215*FixedParams!$B$47)*EXP(IF(BM215+BN215=1,(1-FixedParams!$B$47)*$D215,0))*($B215^((FixedParams!$B$47-1)*$B$10/($B$10-1)))*((1/$B215-1)^$B$10*(BO215)^($B$10-1)+1)^((FixedParams!$B$47-$B$10)/($B$10-1))/((1+IF(BM215=1,FixedParams!$C$25,IF(BN215=1,FixedParams!$C$23,FixedParams!$C$24)))^FixedParams!$B$47)</f>
        <v>3.0159961608705613E-2</v>
      </c>
      <c r="BQ215">
        <f t="shared" si="171"/>
        <v>0.86763430314031964</v>
      </c>
      <c r="BR215">
        <f t="shared" si="172"/>
        <v>22.128283091448523</v>
      </c>
      <c r="BS215">
        <f t="shared" si="148"/>
        <v>6.9533745191604917</v>
      </c>
      <c r="BT215">
        <f t="shared" si="173"/>
        <v>29.081657610609014</v>
      </c>
      <c r="BU215" s="24">
        <f t="shared" si="174"/>
        <v>0.31423018633775629</v>
      </c>
      <c r="BV215" s="24">
        <f t="shared" si="175"/>
        <v>1.9813340209488783</v>
      </c>
      <c r="BW215" s="23">
        <f>IF(BM215=1,BR215*(1+FixedParams!$C$25)+BS215*(1+FixedParams!$C$28)/$BK$12,IF(BN215=1,BR215*(1+FixedParams!$C$23)+BS215*(1+FixedParams!$C$26)/$BK$12,BR215*(1+FixedParams!$C$24)+BS215*(1+FixedParams!$C$27)/$BK$12))</f>
        <v>62.060184404099239</v>
      </c>
      <c r="BX215" s="24">
        <f t="shared" si="176"/>
        <v>9.9481954478837107</v>
      </c>
      <c r="BY215" s="24">
        <f>BX215^((FixedParams!$B$47-1)/FixedParams!$B$47)*EXP($C215)</f>
        <v>8.405157334231711E-2</v>
      </c>
      <c r="BZ215" s="24">
        <f t="shared" si="177"/>
        <v>-0.18806179358527891</v>
      </c>
      <c r="CA215" s="24">
        <f t="shared" si="178"/>
        <v>-0.14709104224007902</v>
      </c>
      <c r="CB215" s="24">
        <f t="shared" si="179"/>
        <v>-0.12976258632067178</v>
      </c>
      <c r="CC215" s="24"/>
      <c r="CD215" s="24">
        <f>EXP(-$D$17)*(($B215*FixedParams!$B$30)^$B$10*(1+FixedParams!$D$24)^(1-$B$10)+(1-$B215)^$B$10*((1+FixedParams!$D$27)/$CE$12)^(1-$B$10))^(1/(1-$B$10))</f>
        <v>5.6556281841978011</v>
      </c>
      <c r="CE215" s="24">
        <f>EXP($D215-$D$17)*(($B215*FixedParams!$D$31)^$B$10*(1+FixedParams!$D$25)^(1-$B$10)+(1-$B215)^$B$10*((1+FixedParams!$D$28)/$CE$12)^(1-$B$10))^(1/(1-$B$10))</f>
        <v>6.6695892031150148</v>
      </c>
      <c r="CF215" s="24">
        <f>EXP($D215-$D$17)*(($B215*FixedParams!$D$30)^$B$10*(1+FixedParams!$D$23)^(1-$B$10)+(1-$B215)^$B$10*((1+FixedParams!$D$26)/$CE$12)^(1-$B$10))^(1/(1-$B$10))</f>
        <v>6.2075165581973417</v>
      </c>
      <c r="CG215">
        <f>IF(FixedParams!$I$6=1,IF(CE215&lt;=MIN(CD215:CF215),1,0),$H215)</f>
        <v>0</v>
      </c>
      <c r="CH215">
        <f>IF(FixedParams!$I$6=1,IF(CF215&lt;=MIN(CD215:CF215),1,0),IF(CF215&lt;=CD215,1,0)*(1-$H215))</f>
        <v>0</v>
      </c>
      <c r="CI215" s="24">
        <f>$CE$13*IF(CG215=1,1,IF(CH215=1,FixedParams!$D$52,FixedParams!$D$53))</f>
        <v>0.42008589776177102</v>
      </c>
      <c r="CJ215">
        <f>EXP($C215*FixedParams!$B$47)*EXP(IF(CG215+CH215=1,(1-FixedParams!$B$47)*$D215,0))*($B215^((FixedParams!$B$47-1)*$B$10/($B$10-1)))*((1/$B215-1)^$B$10*(CI215)^($B$10-1)+1)^((FixedParams!$B$47-$B$10)/($B$10-1))/((1+IF(CG215=1,FixedParams!$D$25,IF(CH215=1,FixedParams!$D$23,FixedParams!$D$24)))^FixedParams!$B$47)</f>
        <v>3.4913382299767932E-2</v>
      </c>
      <c r="CK215">
        <f t="shared" si="180"/>
        <v>0.91928193144769332</v>
      </c>
      <c r="CL215">
        <f t="shared" si="182"/>
        <v>25.115041401181355</v>
      </c>
      <c r="CM215">
        <f t="shared" si="149"/>
        <v>7.0003409922034479</v>
      </c>
      <c r="CN215">
        <f t="shared" si="183"/>
        <v>32.115382393384806</v>
      </c>
      <c r="CO215" s="24">
        <f t="shared" si="184"/>
        <v>0.27873101542544809</v>
      </c>
      <c r="CP215" s="24">
        <f t="shared" si="185"/>
        <v>1.8271748749643286</v>
      </c>
      <c r="CQ215" s="23">
        <f>IF(CG215=1,CL215*(1+FixedParams!$D$25)+CM215*(1+FixedParams!$D$28)/$CE$12,IF(CH215=1,CL215*(1+FixedParams!$D$23)+CM215*(1+FixedParams!$D$26)/$CE$12,CL215*(1+FixedParams!$D$24)+CM215*(1+FixedParams!$D$27)/$CE$12))</f>
        <v>60.840883751624077</v>
      </c>
      <c r="CR215" s="24">
        <f t="shared" si="186"/>
        <v>10.757581964390361</v>
      </c>
      <c r="CS215" s="24">
        <f>CR215^((FixedParams!$B$47-1)/FixedParams!$B$47)*EXP($C215)</f>
        <v>8.4044992535728669E-2</v>
      </c>
      <c r="CT215" s="24"/>
    </row>
    <row r="216" spans="1:98" x14ac:dyDescent="0.15">
      <c r="A216">
        <v>0.995</v>
      </c>
      <c r="B216">
        <f t="shared" si="150"/>
        <v>0.49897243223287785</v>
      </c>
      <c r="C216">
        <f>(D216-$D$17)*FixedParams!$B$47+$A216*$B$9</f>
        <v>-2.4865200851204299</v>
      </c>
      <c r="D216">
        <f>(A216-$B$6)*FixedParams!$B$46/(FixedParams!$B$45*Sectors!$B$6)</f>
        <v>0.26895895779694001</v>
      </c>
      <c r="E216">
        <f t="shared" si="151"/>
        <v>8.3198988796219162E-2</v>
      </c>
      <c r="F216" s="24">
        <f>EXP(-$D$17)*(($B216*FixedParams!$B$30)^$B$10*(1+FixedParams!$B$23)^(1-$B$10)+(1-$B216)^$B$10*((1+FixedParams!$B$26)/$B$11)^(1-$B$10))^(1/(1-$B$10))</f>
        <v>4.2838468488115673</v>
      </c>
      <c r="G216" s="24">
        <f>EXP($D216-$D$17)*(($B216*FixedParams!$B$31)^$B$10*(1+FixedParams!$B$25)^(1-$B$10)+(1-$B216)^$B$10*((1+FixedParams!$B$28)/$B$11)^(1-$B$10))^(1/(1-$B$10))</f>
        <v>5.3031853157092472</v>
      </c>
      <c r="H216">
        <f t="shared" si="152"/>
        <v>0</v>
      </c>
      <c r="I216" s="24">
        <f>$B$12*IF(H216=1,1,FixedParams!$B$52)</f>
        <v>0.39101505882574561</v>
      </c>
      <c r="J216">
        <f>EXP($C216*FixedParams!$B$47)*EXP(IF(H216=1,(1-FixedParams!$B$47)*$D216,0))*($B216^((FixedParams!$B$47-1)*$B$10/($B$10-1)))*((1/$B216-1)^$B$10*(I216)^($B$10-1)+1)^((FixedParams!$B$47-$B$10)/($B$10-1))/((1+IF(H216=1,FixedParams!$B$25,FixedParams!$B$24))^FixedParams!$B$47)</f>
        <v>4.7613366490299347E-2</v>
      </c>
      <c r="K216">
        <f t="shared" si="181"/>
        <v>0.96000842598581715</v>
      </c>
      <c r="L216">
        <f>K216*FixedParams!$B$8/K$15</f>
        <v>27.910449201908836</v>
      </c>
      <c r="M216">
        <f t="shared" si="141"/>
        <v>6.86648786824483</v>
      </c>
      <c r="N216">
        <f t="shared" si="153"/>
        <v>34.776937070153664</v>
      </c>
      <c r="O216" s="24">
        <f t="shared" si="154"/>
        <v>0.24601853659077694</v>
      </c>
      <c r="P216" s="24">
        <f t="shared" si="142"/>
        <v>1.6750486275885399</v>
      </c>
      <c r="Q216" s="23">
        <f>IF(H216=1,L216*(1+FixedParams!$B$25)+M216*FixedParams!$B$33*(1+FixedParams!$B$28)/FixedParams!$B$32,L216*(1+FixedParams!$B$23)+M216*FixedParams!$B$33*(1+FixedParams!$B$26)/FixedParams!$B$32)</f>
        <v>48.949663827084805</v>
      </c>
      <c r="R216" s="24">
        <f t="shared" si="143"/>
        <v>11.426567184740628</v>
      </c>
      <c r="S216" s="24">
        <f>R216^((FixedParams!$B$47-1)/FixedParams!$B$47)*EXP($C216)</f>
        <v>8.2996365226288477E-2</v>
      </c>
      <c r="T216" s="7">
        <f>(L216*FixedParams!$B$32*(FixedParams!$C$25-FixedParams!$C$23)+FixedParams!$B$33*(FixedParams!$C$28-FixedParams!$C$26)*M216)/N216</f>
        <v>4647.0878768023103</v>
      </c>
      <c r="U216" s="7">
        <f>(L216*FixedParams!$B$32*(FixedParams!$C$25-FixedParams!$C$23)*$Z$12/$B$11+FixedParams!$B$33*(FixedParams!$C$28-FixedParams!$C$26)*M216)/N216</f>
        <v>3841.0537324931934</v>
      </c>
      <c r="V216" s="14">
        <f t="shared" si="144"/>
        <v>0.46333918777599598</v>
      </c>
      <c r="W216" s="14">
        <f t="shared" si="155"/>
        <v>0.99830995109137366</v>
      </c>
      <c r="X216" s="73">
        <f t="shared" si="156"/>
        <v>0.83064386937403656</v>
      </c>
      <c r="Y216" s="24">
        <f>EXP(-$D$17)*(($B216*FixedParams!$B$30)^$B$10*(1+FixedParams!$C$24)^(1-$B$10)+(1-$B216)^$B$10*((1+FixedParams!$C$27)/$Z$12)^(1-$B$10))^(1/(1-$B$10))</f>
        <v>6.0915420182728601</v>
      </c>
      <c r="Z216" s="24">
        <f>EXP($D216-$D$17)*(($B216*FixedParams!$C$31)^$B$10*(1+FixedParams!$C$25)^(1-$B$10)+(1-$B216)^$B$10*((1+FixedParams!$C$28)/$Z$12)^(1-$B$10))^(1/(1-$B$10))</f>
        <v>6.8535923836540551</v>
      </c>
      <c r="AA216" s="24">
        <f>EXP($D216-$D$17)*(($B216*FixedParams!$C$30)^$B$10*(1+FixedParams!$C$23)^(1-$B$10)+(1-$B216)^$B$10*((1+FixedParams!$C$26)/$Z$12)^(1-$B$10))^(1/(1-$B$10))</f>
        <v>6.2965200758651898</v>
      </c>
      <c r="AB216">
        <f>IF(FixedParams!$I$6=1,IF(Z216&lt;=MIN(Y216:AA216),1,0),$H216)</f>
        <v>0</v>
      </c>
      <c r="AC216">
        <f>IF(FixedParams!$I$6=1,IF(AA216&lt;=MIN(Y216:AA216),1,0),IF(AA216&lt;=Y216,1,0)*(1-$H216))</f>
        <v>0</v>
      </c>
      <c r="AD216" s="24">
        <f>$Z$13*IF(AB216=1,1,IF(AC216=1,FixedParams!$C$52,FixedParams!$C$53))</f>
        <v>0.47851548426682239</v>
      </c>
      <c r="AE216">
        <f>EXP($C216*FixedParams!$B$47)*EXP(IF(AB216+AC216=1,(1-FixedParams!$B$47)*$D216,0))*($B216^((FixedParams!$B$47-1)*$B$10/($B$10-1)))*((1/$B216-1)^$B$10*(AD216)^($B$10-1)+1)^((FixedParams!$B$47-$B$10)/($B$10-1))/((1+IF(AB216=1,FixedParams!$C$25,IF(AC216=1,FixedParams!$C$23,FixedParams!$C$24)))^FixedParams!$B$47)</f>
        <v>2.9689121252467143E-2</v>
      </c>
      <c r="AF216">
        <f t="shared" si="157"/>
        <v>0.87485471121650249</v>
      </c>
      <c r="AG216">
        <f t="shared" si="158"/>
        <v>20.548993718611126</v>
      </c>
      <c r="AH216">
        <f t="shared" si="145"/>
        <v>6.8440340054175905</v>
      </c>
      <c r="AI216">
        <f t="shared" si="159"/>
        <v>27.393027724028716</v>
      </c>
      <c r="AJ216" s="24">
        <f t="shared" si="160"/>
        <v>0.33305932636589314</v>
      </c>
      <c r="AK216" s="24">
        <f t="shared" si="161"/>
        <v>2.0345373988373234</v>
      </c>
      <c r="AL216" s="23">
        <f>IF(AB216=1,AG216*(1+FixedParams!$C$25)+AH216*(1+FixedParams!$C$28)/$Z$12,IF(AC216=1,AG216*(1+FixedParams!$C$23)+AH216*(1+FixedParams!$C$26)/$Z$12,AG216*(1+FixedParams!$C$24)+AH216*(1+FixedParams!$C$27)/$Z$12))</f>
        <v>57.817310522711992</v>
      </c>
      <c r="AM216" s="24">
        <f t="shared" si="162"/>
        <v>9.4914079799953477</v>
      </c>
      <c r="AN216" s="24">
        <f>AM216^((FixedParams!$B$47-1)/FixedParams!$B$47)*EXP($C216)</f>
        <v>8.3011782392335934E-2</v>
      </c>
      <c r="AO216" s="24">
        <f t="shared" si="163"/>
        <v>-0.23866592082386551</v>
      </c>
      <c r="AP216" s="24">
        <f t="shared" si="164"/>
        <v>-0.18555413269330445</v>
      </c>
      <c r="AQ216" s="14">
        <f t="shared" si="165"/>
        <v>0.36236793901643383</v>
      </c>
      <c r="AS216" s="24">
        <f>EXP(-$D$17)*(($B216*FixedParams!$B$30)^$B$10*(1+FixedParams!$D$24)^(1-$B$10)+(1-$B216)^$B$10*((1+FixedParams!$D$27)/$AT$12)^(1-$B$10))^(1/(1-$B$10))</f>
        <v>5.5306546002919053</v>
      </c>
      <c r="AT216" s="24">
        <f>EXP($D216-$D$17)*(($B216*FixedParams!$C$31)^$B$10*(1+FixedParams!$D$25)^(1-$B$10)+(1-$B216)^$B$10*((1+FixedParams!$D$28)/$AT$12)^(1-$B$10))^(1/(1-$B$10))</f>
        <v>6.5406282848230433</v>
      </c>
      <c r="AU216" s="24">
        <f>EXP($D216-$D$17)*(($B216*FixedParams!$C$30)^$B$10*(1+FixedParams!$D$23)^(1-$B$10)+(1-$B216)^$B$10*((1+FixedParams!$D$26)/$AT$12)^(1-$B$10))^(1/(1-$B$10))</f>
        <v>6.0890516688164054</v>
      </c>
      <c r="AV216">
        <f>IF(FixedParams!$I$6=1,IF(AT216&lt;=MIN(AS216:AU216),1,0),$H216)</f>
        <v>0</v>
      </c>
      <c r="AW216">
        <f>IF(FixedParams!$I$6=1,IF(AU216&lt;=MIN(AS216:AU216),1,0),IF(AU216&lt;=AS216,1,0)*(1-$H216))</f>
        <v>0</v>
      </c>
      <c r="AX216" s="24">
        <f>$AT$13*IF(AV216=1,1,IF(AW216=1,FixedParams!$D$52,FixedParams!$D$53))</f>
        <v>0.44031288407969205</v>
      </c>
      <c r="AY216">
        <f>EXP($C216*FixedParams!$B$47)*EXP(IF(AV216+AW216=1,(1-FixedParams!$B$47)*$D216,0))*($B216^((FixedParams!$B$47-1)*$B$10/($B$10-1)))*((1/$B216-1)^$B$10*(AX216)^($B$10-1)+1)^((FixedParams!$B$47-$B$10)/($B$10-1))/((1+IF(AV216=1,FixedParams!$D$25,IF(AW216=1,FixedParams!$D$23,FixedParams!$D$24)))^FixedParams!$B$47)</f>
        <v>3.4393606467234154E-2</v>
      </c>
      <c r="AZ216">
        <f t="shared" si="146"/>
        <v>0.92613662020812848</v>
      </c>
      <c r="BA216">
        <f t="shared" si="166"/>
        <v>23.301473500256613</v>
      </c>
      <c r="BB216">
        <f t="shared" si="147"/>
        <v>6.8501973173254909</v>
      </c>
      <c r="BC216">
        <f t="shared" si="167"/>
        <v>30.151670817582104</v>
      </c>
      <c r="BD216" s="24">
        <f t="shared" si="168"/>
        <v>0.29398129338258594</v>
      </c>
      <c r="BE216" s="24">
        <f t="shared" si="169"/>
        <v>1.8728331696718961</v>
      </c>
      <c r="BF216" s="23">
        <f>IF(AV216=1,BA216*(1+FixedParams!$C$25)+BB216*(1+FixedParams!$C$28)/$AT$12,IF(AW216=1,BA216*(1+FixedParams!$C$23)+BB216*(1+FixedParams!$C$26)/$AT$12,BA216*(1+FixedParams!$C$24)+BB216*(1+FixedParams!$C$27)/$AT$12))</f>
        <v>62.079930190549334</v>
      </c>
      <c r="BG216" s="24">
        <f t="shared" si="170"/>
        <v>11.22469846286781</v>
      </c>
      <c r="BH216" s="24">
        <f>BG216^((FixedParams!$B$47-1)/FixedParams!$B$47)*EXP($C216)</f>
        <v>8.2997846091439842E-2</v>
      </c>
      <c r="BI216" s="7"/>
      <c r="BJ216" s="24">
        <f>EXP(-$D$17)*(($B216*FixedParams!$B$30)^$B$10*(1+FixedParams!$C$24)^(1-$B$10)+(1-$B216)^$B$10*((1+FixedParams!$C$27)/$BK$12)^(1-$B$10))^(1/(1-$B$10))</f>
        <v>6.2176687936991755</v>
      </c>
      <c r="BK216" s="24">
        <f>EXP($D216-$D$17)*(($B216*FixedParams!$C$31)^$B$10*(1+FixedParams!$C$25)^(1-$B$10)+(1-$B216)^$B$10*((1+FixedParams!$C$28)/$BK$12)^(1-$B$10))^(1/(1-$B$10))</f>
        <v>6.9911635337173603</v>
      </c>
      <c r="BL216" s="24">
        <f>EXP($D216-$D$17)*(($B216*FixedParams!$C$30)^$B$10*(1+FixedParams!$C$23)^(1-$B$10)+(1-$B216)^$B$10*((1+FixedParams!$C$26)/$BK$12)^(1-$B$10))^(1/(1-$B$10))</f>
        <v>6.4145803606048188</v>
      </c>
      <c r="BM216">
        <f>IF(FixedParams!$I$6=1,IF(BK216&lt;=MIN(BJ216:BL216),1,0),$H216)</f>
        <v>0</v>
      </c>
      <c r="BN216">
        <f>IF(FixedParams!$I$6=1,IF(BL216&lt;=MIN(BJ216:BL216),1,0),IF(BL216&lt;=BJ216,1,0)*(1-$H216))</f>
        <v>0</v>
      </c>
      <c r="BO216" s="24">
        <f>$BK$13*IF(BM216=1,1,IF(BN216=1,FixedParams!$C$52,FixedParams!$C$53))</f>
        <v>0.4550367853045027</v>
      </c>
      <c r="BP216">
        <f>EXP($C216*FixedParams!$B$47)*EXP(IF(BM216+BN216=1,(1-FixedParams!$B$47)*$D216,0))*($B216^((FixedParams!$B$47-1)*$B$10/($B$10-1)))*((1/$B216-1)^$B$10*(BO216)^($B$10-1)+1)^((FixedParams!$B$47-$B$10)/($B$10-1))/((1+IF(BM216=1,FixedParams!$C$25,IF(BN216=1,FixedParams!$C$23,FixedParams!$C$24)))^FixedParams!$B$47)</f>
        <v>2.9995521273288021E-2</v>
      </c>
      <c r="BQ216">
        <f t="shared" si="171"/>
        <v>0.86290372431269213</v>
      </c>
      <c r="BR216">
        <f t="shared" si="172"/>
        <v>22.00763365757382</v>
      </c>
      <c r="BS216">
        <f t="shared" si="148"/>
        <v>6.7970538991496161</v>
      </c>
      <c r="BT216">
        <f t="shared" si="173"/>
        <v>28.804687556723437</v>
      </c>
      <c r="BU216" s="24">
        <f t="shared" si="174"/>
        <v>0.30884982933230731</v>
      </c>
      <c r="BV216" s="24">
        <f t="shared" si="175"/>
        <v>1.9747700329959093</v>
      </c>
      <c r="BW216" s="23">
        <f>IF(BM216=1,BR216*(1+FixedParams!$C$25)+BS216*(1+FixedParams!$C$28)/$BK$12,IF(BN216=1,BR216*(1+FixedParams!$C$23)+BS216*(1+FixedParams!$C$26)/$BK$12,BR216*(1+FixedParams!$C$24)+BS216*(1+FixedParams!$C$27)/$BK$12))</f>
        <v>61.290124649294363</v>
      </c>
      <c r="BX216" s="24">
        <f t="shared" si="176"/>
        <v>9.8574122686310002</v>
      </c>
      <c r="BY216" s="24">
        <f>BX216^((FixedParams!$B$47-1)/FixedParams!$B$47)*EXP($C216)</f>
        <v>8.300863841422372E-2</v>
      </c>
      <c r="BZ216" s="24">
        <f t="shared" si="177"/>
        <v>-0.18841630292632283</v>
      </c>
      <c r="CA216" s="24">
        <f t="shared" si="178"/>
        <v>-0.14771741213533149</v>
      </c>
      <c r="CB216" s="24">
        <f t="shared" si="179"/>
        <v>-0.13038895621592422</v>
      </c>
      <c r="CC216" s="24"/>
      <c r="CD216" s="24">
        <f>EXP(-$D$17)*(($B216*FixedParams!$B$30)^$B$10*(1+FixedParams!$D$24)^(1-$B$10)+(1-$B216)^$B$10*((1+FixedParams!$D$27)/$CE$12)^(1-$B$10))^(1/(1-$B$10))</f>
        <v>5.6350222278472142</v>
      </c>
      <c r="CE216" s="24">
        <f>EXP($D216-$D$17)*(($B216*FixedParams!$D$31)^$B$10*(1+FixedParams!$D$25)^(1-$B$10)+(1-$B216)^$B$10*((1+FixedParams!$D$28)/$CE$12)^(1-$B$10))^(1/(1-$B$10))</f>
        <v>6.6614694827163792</v>
      </c>
      <c r="CF216" s="24">
        <f>EXP($D216-$D$17)*(($B216*FixedParams!$D$30)^$B$10*(1+FixedParams!$D$23)^(1-$B$10)+(1-$B216)^$B$10*((1+FixedParams!$D$26)/$CE$12)^(1-$B$10))^(1/(1-$B$10))</f>
        <v>6.1955739504442233</v>
      </c>
      <c r="CG216">
        <f>IF(FixedParams!$I$6=1,IF(CE216&lt;=MIN(CD216:CF216),1,0),$H216)</f>
        <v>0</v>
      </c>
      <c r="CH216">
        <f>IF(FixedParams!$I$6=1,IF(CF216&lt;=MIN(CD216:CF216),1,0),IF(CF216&lt;=CD216,1,0)*(1-$H216))</f>
        <v>0</v>
      </c>
      <c r="CI216" s="24">
        <f>$CE$13*IF(CG216=1,1,IF(CH216=1,FixedParams!$D$52,FixedParams!$D$53))</f>
        <v>0.42008589776177102</v>
      </c>
      <c r="CJ216">
        <f>EXP($C216*FixedParams!$B$47)*EXP(IF(CG216+CH216=1,(1-FixedParams!$B$47)*$D216,0))*($B216^((FixedParams!$B$47-1)*$B$10/($B$10-1)))*((1/$B216-1)^$B$10*(CI216)^($B$10-1)+1)^((FixedParams!$B$47-$B$10)/($B$10-1))/((1+IF(CG216=1,FixedParams!$D$25,IF(CH216=1,FixedParams!$D$23,FixedParams!$D$24)))^FixedParams!$B$47)</f>
        <v>3.4717255465068049E-2</v>
      </c>
      <c r="CK216">
        <f t="shared" si="180"/>
        <v>0.91411784124687578</v>
      </c>
      <c r="CL216">
        <f t="shared" si="182"/>
        <v>24.973957001764607</v>
      </c>
      <c r="CM216">
        <f t="shared" si="149"/>
        <v>6.8418274845371396</v>
      </c>
      <c r="CN216">
        <f t="shared" si="183"/>
        <v>31.815784486301744</v>
      </c>
      <c r="CO216" s="24">
        <f t="shared" si="184"/>
        <v>0.27395848739764028</v>
      </c>
      <c r="CP216" s="24">
        <f t="shared" si="185"/>
        <v>1.8205176682859259</v>
      </c>
      <c r="CQ216" s="23">
        <f>IF(CG216=1,CL216*(1+FixedParams!$D$25)+CM216*(1+FixedParams!$D$28)/$CE$12,IF(CH216=1,CL216*(1+FixedParams!$D$23)+CM216*(1+FixedParams!$D$26)/$CE$12,CL216*(1+FixedParams!$D$24)+CM216*(1+FixedParams!$D$27)/$CE$12))</f>
        <v>60.085933483578039</v>
      </c>
      <c r="CR216" s="24">
        <f t="shared" si="186"/>
        <v>10.662945247428611</v>
      </c>
      <c r="CS216" s="24">
        <f>CR216^((FixedParams!$B$47-1)/FixedParams!$B$47)*EXP($C216)</f>
        <v>8.3002111733704087E-2</v>
      </c>
      <c r="CT216" s="24"/>
    </row>
    <row r="217" spans="1:98" x14ac:dyDescent="0.15">
      <c r="A217">
        <v>1</v>
      </c>
      <c r="B217">
        <f t="shared" si="150"/>
        <v>0.50185085988153577</v>
      </c>
      <c r="C217">
        <f>(D217-$D$17)*FixedParams!$B$47+$A217*$B$9</f>
        <v>-2.499015160925055</v>
      </c>
      <c r="D217">
        <f>(A217-$B$6)*FixedParams!$B$46/(FixedParams!$B$45*Sectors!$B$6)</f>
        <v>0.27167571494640408</v>
      </c>
      <c r="E217">
        <f t="shared" si="151"/>
        <v>8.216587895853017E-2</v>
      </c>
      <c r="F217" s="24">
        <f>EXP(-$D$17)*(($B217*FixedParams!$B$30)^$B$10*(1+FixedParams!$B$23)^(1-$B$10)+(1-$B217)^$B$10*((1+FixedParams!$B$26)/$B$11)^(1-$B$10))^(1/(1-$B$10))</f>
        <v>4.2667994665938069</v>
      </c>
      <c r="G217" s="24">
        <f>EXP($D217-$D$17)*(($B217*FixedParams!$B$31)^$B$10*(1+FixedParams!$B$25)^(1-$B$10)+(1-$B217)^$B$10*((1+FixedParams!$B$28)/$B$11)^(1-$B$10))^(1/(1-$B$10))</f>
        <v>5.2955250684536601</v>
      </c>
      <c r="H217">
        <f t="shared" si="152"/>
        <v>0</v>
      </c>
      <c r="I217" s="24">
        <f>$B$12*IF(H217=1,1,FixedParams!$B$52)</f>
        <v>0.39101505882574561</v>
      </c>
      <c r="J217">
        <f>EXP($C217*FixedParams!$B$47)*EXP(IF(H217=1,(1-FixedParams!$B$47)*$D217,0))*($B217^((FixedParams!$B$47-1)*$B$10/($B$10-1)))*((1/$B217-1)^$B$10*(I217)^($B$10-1)+1)^((FixedParams!$B$47-$B$10)/($B$10-1))/((1+IF(H217=1,FixedParams!$B$25,FixedParams!$B$24))^FixedParams!$B$47)</f>
        <v>4.7335543794692465E-2</v>
      </c>
      <c r="K217">
        <f t="shared" si="181"/>
        <v>0.95440680298848013</v>
      </c>
      <c r="L217">
        <f>K217*FixedParams!$B$8/K$15</f>
        <v>27.747592491609783</v>
      </c>
      <c r="M217">
        <f t="shared" si="141"/>
        <v>6.7095377586306943</v>
      </c>
      <c r="N217">
        <f t="shared" si="153"/>
        <v>34.457130250240475</v>
      </c>
      <c r="O217" s="24">
        <f t="shared" si="154"/>
        <v>0.24180612284325209</v>
      </c>
      <c r="P217" s="24">
        <f t="shared" si="142"/>
        <v>1.6683828444278375</v>
      </c>
      <c r="Q217" s="23">
        <f>IF(H217=1,L217*(1+FixedParams!$B$25)+M217*FixedParams!$B$33*(1+FixedParams!$B$28)/FixedParams!$B$32,L217*(1+FixedParams!$B$23)+M217*FixedParams!$B$33*(1+FixedParams!$B$26)/FixedParams!$B$32)</f>
        <v>48.342250660001945</v>
      </c>
      <c r="R217" s="24">
        <f t="shared" si="143"/>
        <v>11.329862356665579</v>
      </c>
      <c r="S217" s="24">
        <f>R217^((FixedParams!$B$47-1)/FixedParams!$B$47)*EXP($C217)</f>
        <v>8.196646877518006E-2</v>
      </c>
      <c r="T217" s="7">
        <f>(L217*FixedParams!$B$32*(FixedParams!$C$25-FixedParams!$C$23)+FixedParams!$B$33*(FixedParams!$C$28-FixedParams!$C$26)*M217)/N217</f>
        <v>4677.9733918466718</v>
      </c>
      <c r="U217" s="7">
        <f>(L217*FixedParams!$B$32*(FixedParams!$C$25-FixedParams!$C$23)*$Z$12/$B$11+FixedParams!$B$33*(FixedParams!$C$28-FixedParams!$C$26)*M217)/N217</f>
        <v>3869.2050451141617</v>
      </c>
      <c r="V217" s="14">
        <f t="shared" si="144"/>
        <v>0.48060981307207973</v>
      </c>
      <c r="W217" s="14">
        <f t="shared" si="155"/>
        <v>1.0000000000000004</v>
      </c>
      <c r="X217" s="73">
        <f t="shared" si="156"/>
        <v>0.82995196631589196</v>
      </c>
      <c r="Y217" s="24">
        <f>EXP(-$D$17)*(($B217*FixedParams!$B$30)^$B$10*(1+FixedParams!$C$24)^(1-$B$10)+(1-$B217)^$B$10*((1+FixedParams!$C$27)/$Z$12)^(1-$B$10))^(1/(1-$B$10))</f>
        <v>6.0723641619342592</v>
      </c>
      <c r="Z217" s="24">
        <f>EXP($D217-$D$17)*(($B217*FixedParams!$C$31)^$B$10*(1+FixedParams!$C$25)^(1-$B$10)+(1-$B217)^$B$10*((1+FixedParams!$C$28)/$Z$12)^(1-$B$10))^(1/(1-$B$10))</f>
        <v>6.8476850115047743</v>
      </c>
      <c r="AA217" s="24">
        <f>EXP($D217-$D$17)*(($B217*FixedParams!$C$30)^$B$10*(1+FixedParams!$C$23)^(1-$B$10)+(1-$B217)^$B$10*((1+FixedParams!$C$26)/$Z$12)^(1-$B$10))^(1/(1-$B$10))</f>
        <v>6.2854855848541167</v>
      </c>
      <c r="AB217">
        <f>IF(FixedParams!$I$6=1,IF(Z217&lt;=MIN(Y217:AA217),1,0),$H217)</f>
        <v>0</v>
      </c>
      <c r="AC217">
        <f>IF(FixedParams!$I$6=1,IF(AA217&lt;=MIN(Y217:AA217),1,0),IF(AA217&lt;=Y217,1,0)*(1-$H217))</f>
        <v>0</v>
      </c>
      <c r="AD217" s="24">
        <f>$Z$13*IF(AB217=1,1,IF(AC217=1,FixedParams!$C$52,FixedParams!$C$53))</f>
        <v>0.47851548426682239</v>
      </c>
      <c r="AE217">
        <f>EXP($C217*FixedParams!$B$47)*EXP(IF(AB217+AC217=1,(1-FixedParams!$B$47)*$D217,0))*($B217^((FixedParams!$B$47-1)*$B$10/($B$10-1)))*((1/$B217-1)^$B$10*(AD217)^($B$10-1)+1)^((FixedParams!$B$47-$B$10)/($B$10-1))/((1+IF(AB217=1,FixedParams!$C$25,IF(AC217=1,FixedParams!$C$23,FixedParams!$C$24)))^FixedParams!$B$47)</f>
        <v>2.9528223623740121E-2</v>
      </c>
      <c r="AF217">
        <f t="shared" si="157"/>
        <v>0.87011351165999151</v>
      </c>
      <c r="AG217">
        <f t="shared" si="158"/>
        <v>20.437630221728366</v>
      </c>
      <c r="AH217">
        <f t="shared" si="145"/>
        <v>6.69039253583529</v>
      </c>
      <c r="AI217">
        <f t="shared" si="159"/>
        <v>27.128022757563656</v>
      </c>
      <c r="AJ217" s="24">
        <f t="shared" si="160"/>
        <v>0.32735657036804428</v>
      </c>
      <c r="AK217" s="24">
        <f t="shared" si="161"/>
        <v>2.0281321133064396</v>
      </c>
      <c r="AL217" s="23">
        <f>IF(AB217=1,AG217*(1+FixedParams!$C$25)+AH217*(1+FixedParams!$C$28)/$Z$12,IF(AC217=1,AG217*(1+FixedParams!$C$23)+AH217*(1+FixedParams!$C$26)/$Z$12,AG217*(1+FixedParams!$C$24)+AH217*(1+FixedParams!$C$27)/$Z$12))</f>
        <v>57.099906939598114</v>
      </c>
      <c r="AM217" s="24">
        <f t="shared" si="162"/>
        <v>9.4032415410030037</v>
      </c>
      <c r="AN217" s="24">
        <f>AM217^((FixedParams!$B$47-1)/FixedParams!$B$47)*EXP($C217)</f>
        <v>8.1981763015949768E-2</v>
      </c>
      <c r="AO217" s="24">
        <f t="shared" si="163"/>
        <v>-0.23914870620696399</v>
      </c>
      <c r="AP217" s="24">
        <f t="shared" si="164"/>
        <v>-0.18638745177470084</v>
      </c>
      <c r="AQ217" s="14">
        <f t="shared" si="165"/>
        <v>0.37963856431251741</v>
      </c>
      <c r="AS217" s="24">
        <f>EXP(-$D$17)*(($B217*FixedParams!$B$30)^$B$10*(1+FixedParams!$D$24)^(1-$B$10)+(1-$B217)^$B$10*((1+FixedParams!$D$27)/$AT$12)^(1-$B$10))^(1/(1-$B$10))</f>
        <v>5.5113364924989989</v>
      </c>
      <c r="AT217" s="24">
        <f>EXP($D217-$D$17)*(($B217*FixedParams!$C$31)^$B$10*(1+FixedParams!$D$25)^(1-$B$10)+(1-$B217)^$B$10*((1+FixedParams!$D$28)/$AT$12)^(1-$B$10))^(1/(1-$B$10))</f>
        <v>6.5336500268838549</v>
      </c>
      <c r="AU217" s="24">
        <f>EXP($D217-$D$17)*(($B217*FixedParams!$C$30)^$B$10*(1+FixedParams!$D$23)^(1-$B$10)+(1-$B217)^$B$10*((1+FixedParams!$D$26)/$AT$12)^(1-$B$10))^(1/(1-$B$10))</f>
        <v>6.0782463199807371</v>
      </c>
      <c r="AV217">
        <f>IF(FixedParams!$I$6=1,IF(AT217&lt;=MIN(AS217:AU217),1,0),$H217)</f>
        <v>0</v>
      </c>
      <c r="AW217">
        <f>IF(FixedParams!$I$6=1,IF(AU217&lt;=MIN(AS217:AU217),1,0),IF(AU217&lt;=AS217,1,0)*(1-$H217))</f>
        <v>0</v>
      </c>
      <c r="AX217" s="24">
        <f>$AT$13*IF(AV217=1,1,IF(AW217=1,FixedParams!$D$52,FixedParams!$D$53))</f>
        <v>0.44031288407969205</v>
      </c>
      <c r="AY217">
        <f>EXP($C217*FixedParams!$B$47)*EXP(IF(AV217+AW217=1,(1-FixedParams!$B$47)*$D217,0))*($B217^((FixedParams!$B$47-1)*$B$10/($B$10-1)))*((1/$B217-1)^$B$10*(AX217)^($B$10-1)+1)^((FixedParams!$B$47-$B$10)/($B$10-1))/((1+IF(AV217=1,FixedParams!$D$25,IF(AW217=1,FixedParams!$D$23,FixedParams!$D$24)))^FixedParams!$B$47)</f>
        <v>3.4201287761344443E-2</v>
      </c>
      <c r="AZ217">
        <f t="shared" si="146"/>
        <v>0.92095794269883091</v>
      </c>
      <c r="BA217">
        <f t="shared" si="166"/>
        <v>23.171178666733937</v>
      </c>
      <c r="BB217">
        <f t="shared" si="147"/>
        <v>6.6952575045223428</v>
      </c>
      <c r="BC217">
        <f t="shared" si="167"/>
        <v>29.866436171256279</v>
      </c>
      <c r="BD217" s="24">
        <f t="shared" si="168"/>
        <v>0.28894764486601165</v>
      </c>
      <c r="BE217" s="24">
        <f t="shared" si="169"/>
        <v>1.8662915221338374</v>
      </c>
      <c r="BF217" s="23">
        <f>IF(AV217=1,BA217*(1+FixedParams!$C$25)+BB217*(1+FixedParams!$C$28)/$AT$12,IF(AW217=1,BA217*(1+FixedParams!$C$23)+BB217*(1+FixedParams!$C$26)/$AT$12,BA217*(1+FixedParams!$C$24)+BB217*(1+FixedParams!$C$27)/$AT$12))</f>
        <v>61.333969871502681</v>
      </c>
      <c r="BG217" s="24">
        <f t="shared" si="170"/>
        <v>11.128692641971512</v>
      </c>
      <c r="BH217" s="24">
        <f>BG217^((FixedParams!$B$47-1)/FixedParams!$B$47)*EXP($C217)</f>
        <v>8.1967938706463114E-2</v>
      </c>
      <c r="BI217" s="7"/>
      <c r="BJ217" s="24">
        <f>EXP(-$D$17)*(($B217*FixedParams!$B$30)^$B$10*(1+FixedParams!$C$24)^(1-$B$10)+(1-$B217)^$B$10*((1+FixedParams!$C$27)/$BK$12)^(1-$B$10))^(1/(1-$B$10))</f>
        <v>6.1967959821684175</v>
      </c>
      <c r="BK217" s="24">
        <f>EXP($D217-$D$17)*(($B217*FixedParams!$C$31)^$B$10*(1+FixedParams!$C$25)^(1-$B$10)+(1-$B217)^$B$10*((1+FixedParams!$C$28)/$BK$12)^(1-$B$10))^(1/(1-$B$10))</f>
        <v>6.9836899596095163</v>
      </c>
      <c r="BL217" s="24">
        <f>EXP($D217-$D$17)*(($B217*FixedParams!$C$30)^$B$10*(1+FixedParams!$C$23)^(1-$B$10)+(1-$B217)^$B$10*((1+FixedParams!$C$26)/$BK$12)^(1-$B$10))^(1/(1-$B$10))</f>
        <v>6.4020462540779528</v>
      </c>
      <c r="BM217">
        <f>IF(FixedParams!$I$6=1,IF(BK217&lt;=MIN(BJ217:BL217),1,0),$H217)</f>
        <v>0</v>
      </c>
      <c r="BN217">
        <f>IF(FixedParams!$I$6=1,IF(BL217&lt;=MIN(BJ217:BL217),1,0),IF(BL217&lt;=BJ217,1,0)*(1-$H217))</f>
        <v>0</v>
      </c>
      <c r="BO217" s="24">
        <f>$BK$13*IF(BM217=1,1,IF(BN217=1,FixedParams!$C$52,FixedParams!$C$53))</f>
        <v>0.4550367853045027</v>
      </c>
      <c r="BP217">
        <f>EXP($C217*FixedParams!$B$47)*EXP(IF(BM217+BN217=1,(1-FixedParams!$B$47)*$D217,0))*($B217^((FixedParams!$B$47-1)*$B$10/($B$10-1)))*((1/$B217-1)^$B$10*(BO217)^($B$10-1)+1)^((FixedParams!$B$47-$B$10)/($B$10-1))/((1+IF(BM217=1,FixedParams!$C$25,IF(BN217=1,FixedParams!$C$23,FixedParams!$C$24)))^FixedParams!$B$47)</f>
        <v>2.9829833232588435E-2</v>
      </c>
      <c r="BQ217">
        <f t="shared" si="171"/>
        <v>0.85813725180864298</v>
      </c>
      <c r="BR217">
        <f t="shared" si="172"/>
        <v>21.886068785673928</v>
      </c>
      <c r="BS217">
        <f t="shared" si="148"/>
        <v>6.6437699848510423</v>
      </c>
      <c r="BT217">
        <f t="shared" si="173"/>
        <v>28.529838770524968</v>
      </c>
      <c r="BU217" s="24">
        <f t="shared" si="174"/>
        <v>0.30356159664452337</v>
      </c>
      <c r="BV217" s="24">
        <f t="shared" si="175"/>
        <v>1.9681406990633779</v>
      </c>
      <c r="BW217" s="23">
        <f>IF(BM217=1,BR217*(1+FixedParams!$C$25)+BS217*(1+FixedParams!$C$28)/$BK$12,IF(BN217=1,BR217*(1+FixedParams!$C$23)+BS217*(1+FixedParams!$C$26)/$BK$12,BR217*(1+FixedParams!$C$24)+BS217*(1+FixedParams!$C$27)/$BK$12))</f>
        <v>60.529617328275009</v>
      </c>
      <c r="BX217" s="24">
        <f t="shared" si="176"/>
        <v>9.767889325782539</v>
      </c>
      <c r="BY217" s="24">
        <f>BX217^((FixedParams!$B$47-1)/FixedParams!$B$47)*EXP($C217)</f>
        <v>8.1978640880639123E-2</v>
      </c>
      <c r="BZ217" s="24">
        <f t="shared" si="177"/>
        <v>-0.18876543594215375</v>
      </c>
      <c r="CA217" s="24">
        <f t="shared" si="178"/>
        <v>-0.1483415199330422</v>
      </c>
      <c r="CB217" s="24">
        <f t="shared" si="179"/>
        <v>-0.13101306401363494</v>
      </c>
      <c r="CC217" s="24"/>
      <c r="CD217" s="24">
        <f>EXP(-$D$17)*(($B217*FixedParams!$B$30)^$B$10*(1+FixedParams!$D$24)^(1-$B$10)+(1-$B217)^$B$10*((1+FixedParams!$D$27)/$CE$12)^(1-$B$10))^(1/(1-$B$10))</f>
        <v>5.6142493646532303</v>
      </c>
      <c r="CE217" s="24">
        <f>EXP($D217-$D$17)*(($B217*FixedParams!$D$31)^$B$10*(1+FixedParams!$D$25)^(1-$B$10)+(1-$B217)^$B$10*((1+FixedParams!$D$28)/$CE$12)^(1-$B$10))^(1/(1-$B$10))</f>
        <v>6.6530800352627777</v>
      </c>
      <c r="CF217" s="24">
        <f>EXP($D217-$D$17)*(($B217*FixedParams!$D$30)^$B$10*(1+FixedParams!$D$23)^(1-$B$10)+(1-$B217)^$B$10*((1+FixedParams!$D$26)/$CE$12)^(1-$B$10))^(1/(1-$B$10))</f>
        <v>6.1834131042157745</v>
      </c>
      <c r="CG217">
        <f>IF(FixedParams!$I$6=1,IF(CE217&lt;=MIN(CD217:CF217),1,0),$H217)</f>
        <v>0</v>
      </c>
      <c r="CH217">
        <f>IF(FixedParams!$I$6=1,IF(CF217&lt;=MIN(CD217:CF217),1,0),IF(CF217&lt;=CD217,1,0)*(1-$H217))</f>
        <v>0</v>
      </c>
      <c r="CI217" s="24">
        <f>$CE$13*IF(CG217=1,1,IF(CH217=1,FixedParams!$D$52,FixedParams!$D$53))</f>
        <v>0.42008589776177102</v>
      </c>
      <c r="CJ217">
        <f>EXP($C217*FixedParams!$B$47)*EXP(IF(CG217+CH217=1,(1-FixedParams!$B$47)*$D217,0))*($B217^((FixedParams!$B$47-1)*$B$10/($B$10-1)))*((1/$B217-1)^$B$10*(CI217)^($B$10-1)+1)^((FixedParams!$B$47-$B$10)/($B$10-1))/((1+IF(CG217=1,FixedParams!$D$25,IF(CH217=1,FixedParams!$D$23,FixedParams!$D$24)))^FixedParams!$B$47)</f>
        <v>3.4519768844370448E-2</v>
      </c>
      <c r="CK217">
        <f t="shared" si="180"/>
        <v>0.90891794739095522</v>
      </c>
      <c r="CL217">
        <f t="shared" si="182"/>
        <v>24.831894436401736</v>
      </c>
      <c r="CM217">
        <f t="shared" si="149"/>
        <v>6.6864265113110202</v>
      </c>
      <c r="CN217">
        <f t="shared" si="183"/>
        <v>31.518320947712755</v>
      </c>
      <c r="CO217" s="24">
        <f t="shared" si="184"/>
        <v>0.26926767623130715</v>
      </c>
      <c r="CP217" s="24">
        <f t="shared" si="185"/>
        <v>1.8138065386867119</v>
      </c>
      <c r="CQ217" s="23">
        <f>IF(CG217=1,CL217*(1+FixedParams!$D$25)+CM217*(1+FixedParams!$D$28)/$CE$12,IF(CH217=1,CL217*(1+FixedParams!$D$23)+CM217*(1+FixedParams!$D$26)/$CE$12,CL217*(1+FixedParams!$D$24)+CM217*(1+FixedParams!$D$27)/$CE$12))</f>
        <v>59.340348534782592</v>
      </c>
      <c r="CR217" s="24">
        <f t="shared" si="186"/>
        <v>10.569596161578371</v>
      </c>
      <c r="CS217" s="24">
        <f>CR217^((FixedParams!$B$47-1)/FixedParams!$B$47)*EXP($C217)</f>
        <v>8.1972168090674882E-2</v>
      </c>
      <c r="CT217" s="24"/>
    </row>
  </sheetData>
  <mergeCells count="15">
    <mergeCell ref="AO15:AP15"/>
    <mergeCell ref="BZ15:CB15"/>
    <mergeCell ref="CD3:CR3"/>
    <mergeCell ref="CD15:CF15"/>
    <mergeCell ref="BJ3:BX3"/>
    <mergeCell ref="AS3:BG3"/>
    <mergeCell ref="AS15:AU15"/>
    <mergeCell ref="BJ15:BL15"/>
    <mergeCell ref="A3:U3"/>
    <mergeCell ref="T16:U16"/>
    <mergeCell ref="Y15:AA15"/>
    <mergeCell ref="C6:C8"/>
    <mergeCell ref="A4:C4"/>
    <mergeCell ref="F4:I4"/>
    <mergeCell ref="Y3:AM3"/>
  </mergeCells>
  <phoneticPr fontId="27" type="noConversion"/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C61"/>
  <sheetViews>
    <sheetView topLeftCell="A12" zoomScale="87" zoomScaleNormal="87" zoomScalePageLayoutView="87" workbookViewId="0">
      <selection activeCell="E62" sqref="E62"/>
    </sheetView>
  </sheetViews>
  <sheetFormatPr baseColWidth="10" defaultColWidth="8.83203125" defaultRowHeight="14" x14ac:dyDescent="0.15"/>
  <cols>
    <col min="1" max="1" width="30.5" customWidth="1"/>
    <col min="2" max="2" width="12.5" bestFit="1" customWidth="1"/>
    <col min="5" max="5" width="13" bestFit="1" customWidth="1"/>
    <col min="7" max="7" width="2.6640625" customWidth="1"/>
    <col min="8" max="8" width="23" bestFit="1" customWidth="1"/>
    <col min="9" max="12" width="6.6640625" customWidth="1"/>
    <col min="13" max="13" width="19" customWidth="1"/>
    <col min="14" max="137" width="6.6640625" customWidth="1"/>
    <col min="138" max="138" width="23" bestFit="1" customWidth="1"/>
    <col min="139" max="142" width="24" bestFit="1" customWidth="1"/>
    <col min="143" max="248" width="6.6640625" customWidth="1"/>
    <col min="249" max="249" width="6" customWidth="1"/>
    <col min="250" max="267" width="6.6640625" customWidth="1"/>
    <col min="268" max="268" width="9.6640625" customWidth="1"/>
    <col min="269" max="4031" width="6.6640625" customWidth="1"/>
  </cols>
  <sheetData>
    <row r="1" spans="1:666" x14ac:dyDescent="0.15">
      <c r="A1" t="s">
        <v>125</v>
      </c>
      <c r="B1">
        <v>1</v>
      </c>
      <c r="C1">
        <v>2</v>
      </c>
      <c r="D1">
        <v>3</v>
      </c>
      <c r="E1">
        <v>4</v>
      </c>
      <c r="F1">
        <v>5</v>
      </c>
      <c r="H1" s="71">
        <v>4726</v>
      </c>
      <c r="I1" s="71">
        <f>H1+1</f>
        <v>4727</v>
      </c>
      <c r="J1" s="71">
        <f t="shared" ref="J1:BU1" si="0">I1+1</f>
        <v>4728</v>
      </c>
      <c r="K1" s="71">
        <f t="shared" si="0"/>
        <v>4729</v>
      </c>
      <c r="L1" s="71">
        <f t="shared" si="0"/>
        <v>4730</v>
      </c>
      <c r="M1" s="71">
        <f t="shared" si="0"/>
        <v>4731</v>
      </c>
      <c r="N1" s="71">
        <f t="shared" si="0"/>
        <v>4732</v>
      </c>
      <c r="O1" s="71">
        <f t="shared" si="0"/>
        <v>4733</v>
      </c>
      <c r="P1" s="71">
        <f t="shared" si="0"/>
        <v>4734</v>
      </c>
      <c r="Q1" s="71">
        <f t="shared" si="0"/>
        <v>4735</v>
      </c>
      <c r="R1" s="71">
        <f t="shared" si="0"/>
        <v>4736</v>
      </c>
      <c r="S1" s="71">
        <f t="shared" si="0"/>
        <v>4737</v>
      </c>
      <c r="T1" s="71">
        <f t="shared" si="0"/>
        <v>4738</v>
      </c>
      <c r="U1" s="71">
        <f t="shared" si="0"/>
        <v>4739</v>
      </c>
      <c r="V1" s="71">
        <f t="shared" si="0"/>
        <v>4740</v>
      </c>
      <c r="W1" s="71">
        <f t="shared" si="0"/>
        <v>4741</v>
      </c>
      <c r="X1" s="71">
        <f t="shared" si="0"/>
        <v>4742</v>
      </c>
      <c r="Y1" s="71">
        <f t="shared" si="0"/>
        <v>4743</v>
      </c>
      <c r="Z1" s="71">
        <f t="shared" si="0"/>
        <v>4744</v>
      </c>
      <c r="AA1" s="71">
        <f t="shared" si="0"/>
        <v>4745</v>
      </c>
      <c r="AB1" s="71">
        <f t="shared" si="0"/>
        <v>4746</v>
      </c>
      <c r="AC1" s="71">
        <f t="shared" si="0"/>
        <v>4747</v>
      </c>
      <c r="AD1" s="71">
        <f t="shared" si="0"/>
        <v>4748</v>
      </c>
      <c r="AE1" s="71">
        <f t="shared" si="0"/>
        <v>4749</v>
      </c>
      <c r="AF1" s="71">
        <f t="shared" si="0"/>
        <v>4750</v>
      </c>
      <c r="AG1" s="71">
        <f>AF1+1</f>
        <v>4751</v>
      </c>
      <c r="AH1" s="71">
        <f t="shared" si="0"/>
        <v>4752</v>
      </c>
      <c r="AI1" s="71">
        <f t="shared" si="0"/>
        <v>4753</v>
      </c>
      <c r="AJ1" s="71">
        <f t="shared" si="0"/>
        <v>4754</v>
      </c>
      <c r="AK1" s="71">
        <f t="shared" si="0"/>
        <v>4755</v>
      </c>
      <c r="AL1" s="71">
        <f t="shared" si="0"/>
        <v>4756</v>
      </c>
      <c r="AM1" s="71">
        <f t="shared" si="0"/>
        <v>4757</v>
      </c>
      <c r="AN1" s="71">
        <f t="shared" si="0"/>
        <v>4758</v>
      </c>
      <c r="AO1" s="71">
        <f t="shared" si="0"/>
        <v>4759</v>
      </c>
      <c r="AP1" s="71">
        <f t="shared" si="0"/>
        <v>4760</v>
      </c>
      <c r="AQ1" s="71">
        <f t="shared" si="0"/>
        <v>4761</v>
      </c>
      <c r="AR1" s="71">
        <f t="shared" si="0"/>
        <v>4762</v>
      </c>
      <c r="AS1" s="71">
        <f t="shared" si="0"/>
        <v>4763</v>
      </c>
      <c r="AT1" s="71">
        <f t="shared" si="0"/>
        <v>4764</v>
      </c>
      <c r="AU1" s="71">
        <f t="shared" si="0"/>
        <v>4765</v>
      </c>
      <c r="AV1" s="71">
        <f t="shared" si="0"/>
        <v>4766</v>
      </c>
      <c r="AW1" s="71">
        <f t="shared" si="0"/>
        <v>4767</v>
      </c>
      <c r="AX1" s="71">
        <f t="shared" si="0"/>
        <v>4768</v>
      </c>
      <c r="AY1" s="71">
        <f t="shared" si="0"/>
        <v>4769</v>
      </c>
      <c r="AZ1" s="71">
        <f t="shared" si="0"/>
        <v>4770</v>
      </c>
      <c r="BA1" s="71">
        <f t="shared" si="0"/>
        <v>4771</v>
      </c>
      <c r="BB1" s="71">
        <f t="shared" si="0"/>
        <v>4772</v>
      </c>
      <c r="BC1" s="71">
        <f t="shared" si="0"/>
        <v>4773</v>
      </c>
      <c r="BD1" s="71">
        <f t="shared" si="0"/>
        <v>4774</v>
      </c>
      <c r="BE1" s="71">
        <f t="shared" si="0"/>
        <v>4775</v>
      </c>
      <c r="BF1" s="71">
        <f t="shared" si="0"/>
        <v>4776</v>
      </c>
      <c r="BG1" s="71">
        <f t="shared" si="0"/>
        <v>4777</v>
      </c>
      <c r="BH1" s="71">
        <f t="shared" si="0"/>
        <v>4778</v>
      </c>
      <c r="BI1" s="71">
        <f t="shared" si="0"/>
        <v>4779</v>
      </c>
      <c r="BJ1" s="71">
        <f t="shared" si="0"/>
        <v>4780</v>
      </c>
      <c r="BK1" s="71">
        <f t="shared" si="0"/>
        <v>4781</v>
      </c>
      <c r="BL1" s="71">
        <f t="shared" si="0"/>
        <v>4782</v>
      </c>
      <c r="BM1" s="71">
        <f t="shared" si="0"/>
        <v>4783</v>
      </c>
      <c r="BN1" s="71">
        <f t="shared" si="0"/>
        <v>4784</v>
      </c>
      <c r="BO1" s="71">
        <f t="shared" si="0"/>
        <v>4785</v>
      </c>
      <c r="BP1" s="71">
        <f t="shared" si="0"/>
        <v>4786</v>
      </c>
      <c r="BQ1" s="71">
        <f t="shared" si="0"/>
        <v>4787</v>
      </c>
      <c r="BR1" s="71">
        <f t="shared" si="0"/>
        <v>4788</v>
      </c>
      <c r="BS1" s="71">
        <f t="shared" si="0"/>
        <v>4789</v>
      </c>
      <c r="BT1" s="71">
        <f t="shared" si="0"/>
        <v>4790</v>
      </c>
      <c r="BU1" s="71">
        <f t="shared" si="0"/>
        <v>4791</v>
      </c>
      <c r="BV1" s="71">
        <f t="shared" ref="BV1:EG1" si="1">BU1+1</f>
        <v>4792</v>
      </c>
      <c r="BW1" s="71">
        <f t="shared" si="1"/>
        <v>4793</v>
      </c>
      <c r="BX1" s="71">
        <f t="shared" si="1"/>
        <v>4794</v>
      </c>
      <c r="BY1" s="71">
        <f t="shared" si="1"/>
        <v>4795</v>
      </c>
      <c r="BZ1" s="71">
        <f t="shared" si="1"/>
        <v>4796</v>
      </c>
      <c r="CA1" s="71">
        <f t="shared" si="1"/>
        <v>4797</v>
      </c>
      <c r="CB1" s="71">
        <f t="shared" si="1"/>
        <v>4798</v>
      </c>
      <c r="CC1" s="71">
        <f t="shared" si="1"/>
        <v>4799</v>
      </c>
      <c r="CD1" s="71">
        <f t="shared" si="1"/>
        <v>4800</v>
      </c>
      <c r="CE1" s="71">
        <f t="shared" si="1"/>
        <v>4801</v>
      </c>
      <c r="CF1" s="71">
        <f t="shared" si="1"/>
        <v>4802</v>
      </c>
      <c r="CG1" s="71">
        <f t="shared" si="1"/>
        <v>4803</v>
      </c>
      <c r="CH1" s="71">
        <f t="shared" si="1"/>
        <v>4804</v>
      </c>
      <c r="CI1" s="71">
        <f t="shared" si="1"/>
        <v>4805</v>
      </c>
      <c r="CJ1" s="71">
        <f t="shared" si="1"/>
        <v>4806</v>
      </c>
      <c r="CK1" s="71">
        <f t="shared" si="1"/>
        <v>4807</v>
      </c>
      <c r="CL1" s="71">
        <f t="shared" si="1"/>
        <v>4808</v>
      </c>
      <c r="CM1" s="71">
        <f t="shared" si="1"/>
        <v>4809</v>
      </c>
      <c r="CN1" s="71">
        <f t="shared" si="1"/>
        <v>4810</v>
      </c>
      <c r="CO1" s="71">
        <f t="shared" si="1"/>
        <v>4811</v>
      </c>
      <c r="CP1" s="71">
        <f t="shared" si="1"/>
        <v>4812</v>
      </c>
      <c r="CQ1" s="71">
        <f t="shared" si="1"/>
        <v>4813</v>
      </c>
      <c r="CR1" s="71">
        <f t="shared" si="1"/>
        <v>4814</v>
      </c>
      <c r="CS1" s="71">
        <f t="shared" si="1"/>
        <v>4815</v>
      </c>
      <c r="CT1" s="71">
        <f t="shared" si="1"/>
        <v>4816</v>
      </c>
      <c r="CU1" s="71">
        <f t="shared" si="1"/>
        <v>4817</v>
      </c>
      <c r="CV1" s="71">
        <f t="shared" si="1"/>
        <v>4818</v>
      </c>
      <c r="CW1" s="71">
        <f t="shared" si="1"/>
        <v>4819</v>
      </c>
      <c r="CX1" s="71">
        <f t="shared" si="1"/>
        <v>4820</v>
      </c>
      <c r="CY1" s="71">
        <f t="shared" si="1"/>
        <v>4821</v>
      </c>
      <c r="CZ1" s="71">
        <f t="shared" si="1"/>
        <v>4822</v>
      </c>
      <c r="DA1" s="71">
        <f t="shared" si="1"/>
        <v>4823</v>
      </c>
      <c r="DB1" s="71">
        <f t="shared" si="1"/>
        <v>4824</v>
      </c>
      <c r="DC1" s="71">
        <f t="shared" si="1"/>
        <v>4825</v>
      </c>
      <c r="DD1" s="71">
        <f t="shared" si="1"/>
        <v>4826</v>
      </c>
      <c r="DE1" s="71">
        <f t="shared" si="1"/>
        <v>4827</v>
      </c>
      <c r="DF1" s="71">
        <f t="shared" si="1"/>
        <v>4828</v>
      </c>
      <c r="DG1" s="71">
        <f t="shared" si="1"/>
        <v>4829</v>
      </c>
      <c r="DH1" s="71">
        <f t="shared" si="1"/>
        <v>4830</v>
      </c>
      <c r="DI1" s="71">
        <f t="shared" si="1"/>
        <v>4831</v>
      </c>
      <c r="DJ1" s="71">
        <f t="shared" si="1"/>
        <v>4832</v>
      </c>
      <c r="DK1" s="71">
        <f t="shared" si="1"/>
        <v>4833</v>
      </c>
      <c r="DL1" s="71">
        <f t="shared" si="1"/>
        <v>4834</v>
      </c>
      <c r="DM1" s="71">
        <f t="shared" si="1"/>
        <v>4835</v>
      </c>
      <c r="DN1" s="71">
        <f t="shared" si="1"/>
        <v>4836</v>
      </c>
      <c r="DO1" s="71">
        <f t="shared" si="1"/>
        <v>4837</v>
      </c>
      <c r="DP1" s="71">
        <f t="shared" si="1"/>
        <v>4838</v>
      </c>
      <c r="DQ1" s="71">
        <f t="shared" si="1"/>
        <v>4839</v>
      </c>
      <c r="DR1" s="71">
        <f t="shared" si="1"/>
        <v>4840</v>
      </c>
      <c r="DS1" s="71">
        <f t="shared" si="1"/>
        <v>4841</v>
      </c>
      <c r="DT1" s="71">
        <f t="shared" si="1"/>
        <v>4842</v>
      </c>
      <c r="DU1" s="71">
        <f t="shared" si="1"/>
        <v>4843</v>
      </c>
      <c r="DV1" s="71">
        <f t="shared" si="1"/>
        <v>4844</v>
      </c>
      <c r="DW1" s="71">
        <f t="shared" si="1"/>
        <v>4845</v>
      </c>
      <c r="DX1" s="71">
        <f t="shared" si="1"/>
        <v>4846</v>
      </c>
      <c r="DY1" s="71">
        <f t="shared" si="1"/>
        <v>4847</v>
      </c>
      <c r="DZ1" s="71">
        <f t="shared" si="1"/>
        <v>4848</v>
      </c>
      <c r="EA1" s="71">
        <f t="shared" si="1"/>
        <v>4849</v>
      </c>
      <c r="EB1" s="71">
        <f t="shared" si="1"/>
        <v>4850</v>
      </c>
      <c r="EC1" s="71">
        <f t="shared" si="1"/>
        <v>4851</v>
      </c>
      <c r="ED1" s="71">
        <f t="shared" si="1"/>
        <v>4852</v>
      </c>
      <c r="EE1" s="71">
        <f t="shared" si="1"/>
        <v>4853</v>
      </c>
      <c r="EF1" s="71">
        <f t="shared" si="1"/>
        <v>4854</v>
      </c>
      <c r="EG1" s="71">
        <f t="shared" si="1"/>
        <v>4855</v>
      </c>
      <c r="EH1" s="71">
        <f t="shared" ref="EH1:GS1" si="2">EG1+1</f>
        <v>4856</v>
      </c>
      <c r="EI1" s="71">
        <f t="shared" si="2"/>
        <v>4857</v>
      </c>
      <c r="EJ1" s="71">
        <f t="shared" si="2"/>
        <v>4858</v>
      </c>
      <c r="EK1" s="71">
        <f t="shared" si="2"/>
        <v>4859</v>
      </c>
      <c r="EL1" s="71">
        <f t="shared" si="2"/>
        <v>4860</v>
      </c>
      <c r="EM1" s="71">
        <f t="shared" si="2"/>
        <v>4861</v>
      </c>
      <c r="EN1" s="71">
        <f t="shared" si="2"/>
        <v>4862</v>
      </c>
      <c r="EO1" s="71">
        <f t="shared" si="2"/>
        <v>4863</v>
      </c>
      <c r="EP1" s="71">
        <f t="shared" si="2"/>
        <v>4864</v>
      </c>
      <c r="EQ1" s="71">
        <f t="shared" si="2"/>
        <v>4865</v>
      </c>
      <c r="ER1" s="71">
        <f t="shared" si="2"/>
        <v>4866</v>
      </c>
      <c r="ES1" s="71">
        <f t="shared" si="2"/>
        <v>4867</v>
      </c>
      <c r="ET1" s="71">
        <f t="shared" si="2"/>
        <v>4868</v>
      </c>
      <c r="EU1" s="71">
        <f t="shared" si="2"/>
        <v>4869</v>
      </c>
      <c r="EV1" s="71">
        <f t="shared" si="2"/>
        <v>4870</v>
      </c>
      <c r="EW1" s="71">
        <f t="shared" si="2"/>
        <v>4871</v>
      </c>
      <c r="EX1" s="71">
        <f t="shared" si="2"/>
        <v>4872</v>
      </c>
      <c r="EY1" s="71">
        <f t="shared" si="2"/>
        <v>4873</v>
      </c>
      <c r="EZ1" s="71">
        <f t="shared" si="2"/>
        <v>4874</v>
      </c>
      <c r="FA1" s="71">
        <f t="shared" si="2"/>
        <v>4875</v>
      </c>
      <c r="FB1" s="71">
        <f t="shared" si="2"/>
        <v>4876</v>
      </c>
      <c r="FC1" s="71">
        <f t="shared" si="2"/>
        <v>4877</v>
      </c>
      <c r="FD1" s="71">
        <f t="shared" si="2"/>
        <v>4878</v>
      </c>
      <c r="FE1" s="71">
        <f t="shared" si="2"/>
        <v>4879</v>
      </c>
      <c r="FF1" s="71">
        <f t="shared" si="2"/>
        <v>4880</v>
      </c>
      <c r="FG1" s="71">
        <f t="shared" si="2"/>
        <v>4881</v>
      </c>
      <c r="FH1" s="71">
        <f t="shared" si="2"/>
        <v>4882</v>
      </c>
      <c r="FI1" s="71">
        <f t="shared" si="2"/>
        <v>4883</v>
      </c>
      <c r="FJ1" s="71">
        <f t="shared" si="2"/>
        <v>4884</v>
      </c>
      <c r="FK1" s="71">
        <f t="shared" si="2"/>
        <v>4885</v>
      </c>
      <c r="FL1" s="71">
        <f t="shared" si="2"/>
        <v>4886</v>
      </c>
      <c r="FM1" s="71">
        <f t="shared" si="2"/>
        <v>4887</v>
      </c>
      <c r="FN1" s="71">
        <f t="shared" si="2"/>
        <v>4888</v>
      </c>
      <c r="FO1" s="71">
        <f t="shared" si="2"/>
        <v>4889</v>
      </c>
      <c r="FP1" s="71">
        <f t="shared" si="2"/>
        <v>4890</v>
      </c>
      <c r="FQ1" s="71">
        <f t="shared" si="2"/>
        <v>4891</v>
      </c>
      <c r="FR1" s="71">
        <f t="shared" si="2"/>
        <v>4892</v>
      </c>
      <c r="FS1" s="71">
        <f t="shared" si="2"/>
        <v>4893</v>
      </c>
      <c r="FT1" s="71">
        <f t="shared" si="2"/>
        <v>4894</v>
      </c>
      <c r="FU1" s="71">
        <f t="shared" si="2"/>
        <v>4895</v>
      </c>
      <c r="FV1" s="71">
        <f t="shared" si="2"/>
        <v>4896</v>
      </c>
      <c r="FW1" s="71">
        <f t="shared" si="2"/>
        <v>4897</v>
      </c>
      <c r="FX1" s="71">
        <f t="shared" si="2"/>
        <v>4898</v>
      </c>
      <c r="FY1" s="71">
        <f t="shared" si="2"/>
        <v>4899</v>
      </c>
      <c r="FZ1" s="71">
        <f t="shared" si="2"/>
        <v>4900</v>
      </c>
      <c r="GA1" s="71">
        <f t="shared" si="2"/>
        <v>4901</v>
      </c>
      <c r="GB1" s="71">
        <f t="shared" si="2"/>
        <v>4902</v>
      </c>
      <c r="GC1" s="71">
        <f t="shared" si="2"/>
        <v>4903</v>
      </c>
      <c r="GD1" s="71">
        <f t="shared" si="2"/>
        <v>4904</v>
      </c>
      <c r="GE1" s="71">
        <f t="shared" si="2"/>
        <v>4905</v>
      </c>
      <c r="GF1" s="71">
        <f t="shared" si="2"/>
        <v>4906</v>
      </c>
      <c r="GG1" s="71">
        <f t="shared" si="2"/>
        <v>4907</v>
      </c>
      <c r="GH1" s="71">
        <f t="shared" si="2"/>
        <v>4908</v>
      </c>
      <c r="GI1" s="71">
        <f t="shared" si="2"/>
        <v>4909</v>
      </c>
      <c r="GJ1" s="71">
        <f t="shared" si="2"/>
        <v>4910</v>
      </c>
      <c r="GK1" s="71">
        <f t="shared" si="2"/>
        <v>4911</v>
      </c>
      <c r="GL1" s="71">
        <f t="shared" si="2"/>
        <v>4912</v>
      </c>
      <c r="GM1" s="71">
        <f t="shared" si="2"/>
        <v>4913</v>
      </c>
      <c r="GN1" s="71">
        <f t="shared" si="2"/>
        <v>4914</v>
      </c>
      <c r="GO1" s="71">
        <f t="shared" si="2"/>
        <v>4915</v>
      </c>
      <c r="GP1" s="71">
        <f t="shared" si="2"/>
        <v>4916</v>
      </c>
      <c r="GQ1" s="71">
        <f t="shared" si="2"/>
        <v>4917</v>
      </c>
      <c r="GR1" s="71">
        <f t="shared" si="2"/>
        <v>4918</v>
      </c>
      <c r="GS1" s="71">
        <f t="shared" si="2"/>
        <v>4919</v>
      </c>
      <c r="GT1" s="71">
        <f t="shared" ref="GT1:HD1" si="3">GS1+1</f>
        <v>4920</v>
      </c>
      <c r="GU1" s="71">
        <f t="shared" si="3"/>
        <v>4921</v>
      </c>
      <c r="GV1" s="71">
        <f t="shared" si="3"/>
        <v>4922</v>
      </c>
      <c r="GW1" s="71">
        <f t="shared" si="3"/>
        <v>4923</v>
      </c>
      <c r="GX1" s="71">
        <f t="shared" si="3"/>
        <v>4924</v>
      </c>
      <c r="GY1" s="71">
        <f t="shared" si="3"/>
        <v>4925</v>
      </c>
      <c r="GZ1" s="71">
        <f t="shared" si="3"/>
        <v>4926</v>
      </c>
      <c r="HA1" s="71">
        <f t="shared" si="3"/>
        <v>4927</v>
      </c>
      <c r="HB1" s="71">
        <f t="shared" si="3"/>
        <v>4928</v>
      </c>
      <c r="HC1" s="71">
        <f t="shared" si="3"/>
        <v>4929</v>
      </c>
      <c r="HD1" s="71">
        <f t="shared" si="3"/>
        <v>4930</v>
      </c>
      <c r="HE1" s="71">
        <f t="shared" ref="HE1:JL1" si="4">HD1+1</f>
        <v>4931</v>
      </c>
      <c r="HF1" s="71">
        <f t="shared" si="4"/>
        <v>4932</v>
      </c>
      <c r="HG1" s="71">
        <f t="shared" si="4"/>
        <v>4933</v>
      </c>
      <c r="HH1" s="71">
        <f t="shared" si="4"/>
        <v>4934</v>
      </c>
      <c r="HI1" s="71">
        <f t="shared" si="4"/>
        <v>4935</v>
      </c>
      <c r="HJ1" s="71">
        <f t="shared" si="4"/>
        <v>4936</v>
      </c>
      <c r="HK1" s="71">
        <f t="shared" si="4"/>
        <v>4937</v>
      </c>
      <c r="HL1" s="71">
        <f t="shared" si="4"/>
        <v>4938</v>
      </c>
      <c r="HM1" s="71">
        <f t="shared" si="4"/>
        <v>4939</v>
      </c>
      <c r="HN1" s="71">
        <f t="shared" si="4"/>
        <v>4940</v>
      </c>
      <c r="HO1" s="71">
        <f t="shared" si="4"/>
        <v>4941</v>
      </c>
      <c r="HP1" s="71">
        <f t="shared" si="4"/>
        <v>4942</v>
      </c>
      <c r="HQ1" s="71">
        <f t="shared" si="4"/>
        <v>4943</v>
      </c>
      <c r="HR1" s="71">
        <f t="shared" si="4"/>
        <v>4944</v>
      </c>
      <c r="HS1" s="71">
        <f t="shared" si="4"/>
        <v>4945</v>
      </c>
      <c r="HT1" s="71">
        <f t="shared" si="4"/>
        <v>4946</v>
      </c>
      <c r="HU1" s="71">
        <f t="shared" si="4"/>
        <v>4947</v>
      </c>
      <c r="HV1" s="71">
        <f t="shared" si="4"/>
        <v>4948</v>
      </c>
      <c r="HW1" s="71">
        <f t="shared" si="4"/>
        <v>4949</v>
      </c>
      <c r="HX1" s="71">
        <f t="shared" si="4"/>
        <v>4950</v>
      </c>
      <c r="HY1" s="71">
        <f t="shared" si="4"/>
        <v>4951</v>
      </c>
      <c r="HZ1" s="71">
        <f t="shared" si="4"/>
        <v>4952</v>
      </c>
      <c r="IA1" s="71">
        <f t="shared" si="4"/>
        <v>4953</v>
      </c>
      <c r="IB1" s="71">
        <f t="shared" si="4"/>
        <v>4954</v>
      </c>
      <c r="IC1" s="71">
        <f t="shared" si="4"/>
        <v>4955</v>
      </c>
      <c r="ID1" s="71">
        <f t="shared" si="4"/>
        <v>4956</v>
      </c>
      <c r="IE1" s="71">
        <f t="shared" si="4"/>
        <v>4957</v>
      </c>
      <c r="IF1" s="71">
        <f t="shared" si="4"/>
        <v>4958</v>
      </c>
      <c r="IG1" s="71">
        <f t="shared" si="4"/>
        <v>4959</v>
      </c>
      <c r="IH1" s="71">
        <f t="shared" si="4"/>
        <v>4960</v>
      </c>
      <c r="II1" s="71">
        <f t="shared" si="4"/>
        <v>4961</v>
      </c>
      <c r="IJ1" s="71">
        <f t="shared" si="4"/>
        <v>4962</v>
      </c>
      <c r="IK1" s="71">
        <f t="shared" si="4"/>
        <v>4963</v>
      </c>
      <c r="IL1" s="71">
        <f t="shared" si="4"/>
        <v>4964</v>
      </c>
      <c r="IM1" s="71">
        <f t="shared" si="4"/>
        <v>4965</v>
      </c>
      <c r="IN1" s="71">
        <f t="shared" si="4"/>
        <v>4966</v>
      </c>
      <c r="IO1" s="71">
        <f t="shared" si="4"/>
        <v>4967</v>
      </c>
      <c r="IP1" s="71">
        <f t="shared" si="4"/>
        <v>4968</v>
      </c>
      <c r="IQ1" s="71">
        <f t="shared" si="4"/>
        <v>4969</v>
      </c>
      <c r="IR1" s="71">
        <f t="shared" si="4"/>
        <v>4970</v>
      </c>
      <c r="IS1" s="71">
        <f t="shared" si="4"/>
        <v>4971</v>
      </c>
      <c r="IT1" s="71">
        <f t="shared" si="4"/>
        <v>4972</v>
      </c>
      <c r="IU1" s="71">
        <f t="shared" si="4"/>
        <v>4973</v>
      </c>
      <c r="IV1" s="71">
        <f t="shared" si="4"/>
        <v>4974</v>
      </c>
      <c r="IW1" s="71">
        <f t="shared" si="4"/>
        <v>4975</v>
      </c>
      <c r="IX1" s="71">
        <f t="shared" si="4"/>
        <v>4976</v>
      </c>
      <c r="IY1" s="71">
        <f t="shared" si="4"/>
        <v>4977</v>
      </c>
      <c r="IZ1" s="71">
        <f t="shared" si="4"/>
        <v>4978</v>
      </c>
      <c r="JA1" s="71">
        <f t="shared" si="4"/>
        <v>4979</v>
      </c>
      <c r="JB1" s="71">
        <f t="shared" si="4"/>
        <v>4980</v>
      </c>
      <c r="JC1" s="71">
        <f t="shared" si="4"/>
        <v>4981</v>
      </c>
      <c r="JD1" s="71">
        <f t="shared" si="4"/>
        <v>4982</v>
      </c>
      <c r="JE1" s="71">
        <f t="shared" si="4"/>
        <v>4983</v>
      </c>
      <c r="JF1" s="71">
        <f t="shared" si="4"/>
        <v>4984</v>
      </c>
      <c r="JG1" s="71">
        <f t="shared" si="4"/>
        <v>4985</v>
      </c>
      <c r="JH1" s="71">
        <f t="shared" si="4"/>
        <v>4986</v>
      </c>
      <c r="JI1" s="71">
        <f t="shared" si="4"/>
        <v>4987</v>
      </c>
      <c r="JJ1" s="71">
        <f t="shared" si="4"/>
        <v>4988</v>
      </c>
      <c r="JK1" s="71">
        <f t="shared" si="4"/>
        <v>4989</v>
      </c>
      <c r="JL1" s="71">
        <f t="shared" si="4"/>
        <v>4990</v>
      </c>
      <c r="JM1" s="71">
        <f t="shared" ref="JM1" si="5">JL1+1</f>
        <v>4991</v>
      </c>
      <c r="JN1" s="71">
        <f t="shared" ref="JN1" si="6">JM1+1</f>
        <v>4992</v>
      </c>
      <c r="JO1" s="71">
        <f t="shared" ref="JO1" si="7">JN1+1</f>
        <v>4993</v>
      </c>
      <c r="JP1" s="71">
        <f t="shared" ref="JP1" si="8">JO1+1</f>
        <v>4994</v>
      </c>
      <c r="JQ1" s="71">
        <f t="shared" ref="JQ1" si="9">JP1+1</f>
        <v>4995</v>
      </c>
      <c r="JR1" s="71">
        <f t="shared" ref="JR1" si="10">JQ1+1</f>
        <v>4996</v>
      </c>
      <c r="JS1" s="71">
        <f t="shared" ref="JS1" si="11">JR1+1</f>
        <v>4997</v>
      </c>
      <c r="JT1" s="71">
        <f t="shared" ref="JT1" si="12">JS1+1</f>
        <v>4998</v>
      </c>
      <c r="JU1" s="71">
        <f t="shared" ref="JU1" si="13">JT1+1</f>
        <v>4999</v>
      </c>
      <c r="JV1" s="71">
        <f t="shared" ref="JV1" si="14">JU1+1</f>
        <v>5000</v>
      </c>
      <c r="JW1" s="71">
        <f t="shared" ref="JW1" si="15">JV1+1</f>
        <v>5001</v>
      </c>
      <c r="JX1" s="71">
        <f t="shared" ref="JX1" si="16">JW1+1</f>
        <v>5002</v>
      </c>
      <c r="JY1" s="71">
        <f t="shared" ref="JY1" si="17">JX1+1</f>
        <v>5003</v>
      </c>
      <c r="JZ1" s="71">
        <f t="shared" ref="JZ1" si="18">JY1+1</f>
        <v>5004</v>
      </c>
      <c r="KA1" s="71">
        <f t="shared" ref="KA1" si="19">JZ1+1</f>
        <v>5005</v>
      </c>
      <c r="KB1" s="71">
        <f t="shared" ref="KB1" si="20">KA1+1</f>
        <v>5006</v>
      </c>
      <c r="KC1" s="71">
        <f t="shared" ref="KC1" si="21">KB1+1</f>
        <v>5007</v>
      </c>
      <c r="KD1" s="71">
        <f t="shared" ref="KD1" si="22">KC1+1</f>
        <v>5008</v>
      </c>
      <c r="KE1" s="71">
        <f t="shared" ref="KE1" si="23">KD1+1</f>
        <v>5009</v>
      </c>
      <c r="KF1" s="71">
        <f t="shared" ref="KF1" si="24">KE1+1</f>
        <v>5010</v>
      </c>
      <c r="KG1" s="71">
        <f t="shared" ref="KG1" si="25">KF1+1</f>
        <v>5011</v>
      </c>
      <c r="KH1" s="71">
        <f t="shared" ref="KH1" si="26">KG1+1</f>
        <v>5012</v>
      </c>
      <c r="KI1" s="71">
        <f t="shared" ref="KI1" si="27">KH1+1</f>
        <v>5013</v>
      </c>
      <c r="KJ1" s="71">
        <f t="shared" ref="KJ1" si="28">KI1+1</f>
        <v>5014</v>
      </c>
      <c r="KK1" s="71">
        <f t="shared" ref="KK1" si="29">KJ1+1</f>
        <v>5015</v>
      </c>
      <c r="KL1" s="71">
        <f t="shared" ref="KL1" si="30">KK1+1</f>
        <v>5016</v>
      </c>
      <c r="KM1" s="71">
        <f t="shared" ref="KM1" si="31">KL1+1</f>
        <v>5017</v>
      </c>
      <c r="KN1" s="71">
        <f t="shared" ref="KN1" si="32">KM1+1</f>
        <v>5018</v>
      </c>
      <c r="KO1" s="71">
        <f t="shared" ref="KO1" si="33">KN1+1</f>
        <v>5019</v>
      </c>
      <c r="KP1" s="71">
        <f t="shared" ref="KP1" si="34">KO1+1</f>
        <v>5020</v>
      </c>
      <c r="KQ1" s="71">
        <f t="shared" ref="KQ1" si="35">KP1+1</f>
        <v>5021</v>
      </c>
      <c r="KR1" s="71">
        <f t="shared" ref="KR1" si="36">KQ1+1</f>
        <v>5022</v>
      </c>
      <c r="KS1" s="71">
        <f t="shared" ref="KS1" si="37">KR1+1</f>
        <v>5023</v>
      </c>
      <c r="KT1" s="71">
        <f t="shared" ref="KT1" si="38">KS1+1</f>
        <v>5024</v>
      </c>
      <c r="KU1" s="71">
        <f t="shared" ref="KU1" si="39">KT1+1</f>
        <v>5025</v>
      </c>
      <c r="KV1" s="71">
        <f t="shared" ref="KV1" si="40">KU1+1</f>
        <v>5026</v>
      </c>
      <c r="KW1" s="71">
        <f t="shared" ref="KW1" si="41">KV1+1</f>
        <v>5027</v>
      </c>
      <c r="KX1" s="71">
        <f t="shared" ref="KX1" si="42">KW1+1</f>
        <v>5028</v>
      </c>
      <c r="KY1" s="71">
        <f t="shared" ref="KY1" si="43">KX1+1</f>
        <v>5029</v>
      </c>
      <c r="KZ1" s="71">
        <f t="shared" ref="KZ1" si="44">KY1+1</f>
        <v>5030</v>
      </c>
      <c r="LA1" s="71">
        <f t="shared" ref="LA1" si="45">KZ1+1</f>
        <v>5031</v>
      </c>
      <c r="LB1" s="71">
        <f t="shared" ref="LB1" si="46">LA1+1</f>
        <v>5032</v>
      </c>
      <c r="LC1" s="71">
        <f t="shared" ref="LC1" si="47">LB1+1</f>
        <v>5033</v>
      </c>
      <c r="LD1" s="71">
        <f t="shared" ref="LD1" si="48">LC1+1</f>
        <v>5034</v>
      </c>
      <c r="LE1" s="71">
        <f t="shared" ref="LE1" si="49">LD1+1</f>
        <v>5035</v>
      </c>
      <c r="LF1" s="71">
        <f t="shared" ref="LF1" si="50">LE1+1</f>
        <v>5036</v>
      </c>
      <c r="LG1" s="71">
        <f t="shared" ref="LG1" si="51">LF1+1</f>
        <v>5037</v>
      </c>
      <c r="LH1" s="71">
        <f t="shared" ref="LH1" si="52">LG1+1</f>
        <v>5038</v>
      </c>
      <c r="LI1" s="71">
        <f t="shared" ref="LI1" si="53">LH1+1</f>
        <v>5039</v>
      </c>
      <c r="LJ1" s="71">
        <f t="shared" ref="LJ1" si="54">LI1+1</f>
        <v>5040</v>
      </c>
      <c r="LK1" s="71">
        <f t="shared" ref="LK1" si="55">LJ1+1</f>
        <v>5041</v>
      </c>
      <c r="LL1" s="71">
        <f t="shared" ref="LL1" si="56">LK1+1</f>
        <v>5042</v>
      </c>
      <c r="LM1" s="71">
        <f t="shared" ref="LM1" si="57">LL1+1</f>
        <v>5043</v>
      </c>
      <c r="LN1" s="71">
        <f t="shared" ref="LN1" si="58">LM1+1</f>
        <v>5044</v>
      </c>
      <c r="LO1" s="71">
        <f t="shared" ref="LO1" si="59">LN1+1</f>
        <v>5045</v>
      </c>
      <c r="LP1" s="71">
        <f t="shared" ref="LP1" si="60">LO1+1</f>
        <v>5046</v>
      </c>
      <c r="LQ1" s="71">
        <f t="shared" ref="LQ1" si="61">LP1+1</f>
        <v>5047</v>
      </c>
      <c r="LR1" s="71">
        <f t="shared" ref="LR1" si="62">LQ1+1</f>
        <v>5048</v>
      </c>
      <c r="LS1" s="71">
        <f t="shared" ref="LS1" si="63">LR1+1</f>
        <v>5049</v>
      </c>
      <c r="LT1" s="71">
        <f t="shared" ref="LT1" si="64">LS1+1</f>
        <v>5050</v>
      </c>
      <c r="LU1" s="71">
        <f t="shared" ref="LU1" si="65">LT1+1</f>
        <v>5051</v>
      </c>
      <c r="LV1" s="71">
        <f t="shared" ref="LV1" si="66">LU1+1</f>
        <v>5052</v>
      </c>
      <c r="LW1" s="71">
        <f t="shared" ref="LW1" si="67">LV1+1</f>
        <v>5053</v>
      </c>
      <c r="LX1" s="71">
        <f t="shared" ref="LX1" si="68">LW1+1</f>
        <v>5054</v>
      </c>
      <c r="LY1" s="71">
        <f t="shared" ref="LY1" si="69">LX1+1</f>
        <v>5055</v>
      </c>
      <c r="LZ1" s="71">
        <f t="shared" ref="LZ1" si="70">LY1+1</f>
        <v>5056</v>
      </c>
      <c r="MA1" s="71">
        <f t="shared" ref="MA1" si="71">LZ1+1</f>
        <v>5057</v>
      </c>
      <c r="MB1" s="71">
        <f t="shared" ref="MB1" si="72">MA1+1</f>
        <v>5058</v>
      </c>
      <c r="MC1" s="71">
        <f t="shared" ref="MC1" si="73">MB1+1</f>
        <v>5059</v>
      </c>
      <c r="MD1" s="71">
        <f t="shared" ref="MD1" si="74">MC1+1</f>
        <v>5060</v>
      </c>
      <c r="ME1" s="71">
        <f t="shared" ref="ME1" si="75">MD1+1</f>
        <v>5061</v>
      </c>
      <c r="MF1" s="71">
        <f t="shared" ref="MF1" si="76">ME1+1</f>
        <v>5062</v>
      </c>
      <c r="MG1" s="71">
        <f t="shared" ref="MG1" si="77">MF1+1</f>
        <v>5063</v>
      </c>
      <c r="MH1" s="71">
        <f t="shared" ref="MH1" si="78">MG1+1</f>
        <v>5064</v>
      </c>
      <c r="MI1" s="71">
        <f t="shared" ref="MI1" si="79">MH1+1</f>
        <v>5065</v>
      </c>
      <c r="MJ1" s="71">
        <f t="shared" ref="MJ1" si="80">MI1+1</f>
        <v>5066</v>
      </c>
      <c r="MK1" s="71">
        <f t="shared" ref="MK1" si="81">MJ1+1</f>
        <v>5067</v>
      </c>
      <c r="ML1" s="71">
        <f t="shared" ref="ML1" si="82">MK1+1</f>
        <v>5068</v>
      </c>
      <c r="MM1" s="71">
        <f t="shared" ref="MM1" si="83">ML1+1</f>
        <v>5069</v>
      </c>
      <c r="MN1" s="71">
        <f t="shared" ref="MN1" si="84">MM1+1</f>
        <v>5070</v>
      </c>
      <c r="MO1" s="71">
        <f t="shared" ref="MO1" si="85">MN1+1</f>
        <v>5071</v>
      </c>
      <c r="MP1" s="71">
        <f t="shared" ref="MP1" si="86">MO1+1</f>
        <v>5072</v>
      </c>
      <c r="MQ1" s="71">
        <f t="shared" ref="MQ1" si="87">MP1+1</f>
        <v>5073</v>
      </c>
      <c r="MR1" s="71">
        <f t="shared" ref="MR1" si="88">MQ1+1</f>
        <v>5074</v>
      </c>
      <c r="MS1" s="71">
        <f t="shared" ref="MS1" si="89">MR1+1</f>
        <v>5075</v>
      </c>
      <c r="MT1" s="71">
        <f t="shared" ref="MT1" si="90">MS1+1</f>
        <v>5076</v>
      </c>
      <c r="MU1" s="71">
        <f t="shared" ref="MU1" si="91">MT1+1</f>
        <v>5077</v>
      </c>
      <c r="MV1" s="71">
        <f t="shared" ref="MV1" si="92">MU1+1</f>
        <v>5078</v>
      </c>
      <c r="MW1" s="71">
        <f t="shared" ref="MW1" si="93">MV1+1</f>
        <v>5079</v>
      </c>
      <c r="MX1" s="71">
        <f t="shared" ref="MX1" si="94">MW1+1</f>
        <v>5080</v>
      </c>
      <c r="MY1" s="71">
        <f t="shared" ref="MY1" si="95">MX1+1</f>
        <v>5081</v>
      </c>
      <c r="MZ1" s="71">
        <f t="shared" ref="MZ1" si="96">MY1+1</f>
        <v>5082</v>
      </c>
      <c r="NA1" s="71">
        <f t="shared" ref="NA1" si="97">MZ1+1</f>
        <v>5083</v>
      </c>
      <c r="NB1" s="71">
        <f t="shared" ref="NB1" si="98">NA1+1</f>
        <v>5084</v>
      </c>
      <c r="NC1" s="71">
        <f t="shared" ref="NC1" si="99">NB1+1</f>
        <v>5085</v>
      </c>
      <c r="ND1" s="71">
        <f t="shared" ref="ND1" si="100">NC1+1</f>
        <v>5086</v>
      </c>
      <c r="NE1" s="71">
        <f t="shared" ref="NE1" si="101">ND1+1</f>
        <v>5087</v>
      </c>
      <c r="NF1" s="71">
        <f t="shared" ref="NF1" si="102">NE1+1</f>
        <v>5088</v>
      </c>
      <c r="NG1" s="71">
        <f t="shared" ref="NG1" si="103">NF1+1</f>
        <v>5089</v>
      </c>
      <c r="NH1" s="71">
        <f t="shared" ref="NH1" si="104">NG1+1</f>
        <v>5090</v>
      </c>
      <c r="NI1" s="71">
        <f t="shared" ref="NI1" si="105">NH1+1</f>
        <v>5091</v>
      </c>
      <c r="NJ1" s="71">
        <f t="shared" ref="NJ1" si="106">NI1+1</f>
        <v>5092</v>
      </c>
      <c r="NK1" s="71">
        <f t="shared" ref="NK1" si="107">NJ1+1</f>
        <v>5093</v>
      </c>
      <c r="NL1" s="71">
        <f t="shared" ref="NL1" si="108">NK1+1</f>
        <v>5094</v>
      </c>
      <c r="NM1" s="71">
        <f t="shared" ref="NM1" si="109">NL1+1</f>
        <v>5095</v>
      </c>
      <c r="NN1" s="71">
        <f t="shared" ref="NN1" si="110">NM1+1</f>
        <v>5096</v>
      </c>
      <c r="NO1" s="71">
        <f t="shared" ref="NO1" si="111">NN1+1</f>
        <v>5097</v>
      </c>
      <c r="NP1" s="71">
        <f t="shared" ref="NP1" si="112">NO1+1</f>
        <v>5098</v>
      </c>
      <c r="NQ1" s="71">
        <f t="shared" ref="NQ1" si="113">NP1+1</f>
        <v>5099</v>
      </c>
      <c r="NR1" s="71">
        <f>NQ1+1</f>
        <v>5100</v>
      </c>
      <c r="NS1" s="71">
        <f t="shared" ref="NS1:QD1" si="114">NR1+1</f>
        <v>5101</v>
      </c>
      <c r="NT1" s="71">
        <f t="shared" si="114"/>
        <v>5102</v>
      </c>
      <c r="NU1" s="71">
        <f t="shared" si="114"/>
        <v>5103</v>
      </c>
      <c r="NV1" s="71">
        <f t="shared" si="114"/>
        <v>5104</v>
      </c>
      <c r="NW1" s="71">
        <f t="shared" si="114"/>
        <v>5105</v>
      </c>
      <c r="NX1" s="71">
        <f t="shared" si="114"/>
        <v>5106</v>
      </c>
      <c r="NY1" s="71">
        <f t="shared" si="114"/>
        <v>5107</v>
      </c>
      <c r="NZ1" s="71">
        <f t="shared" si="114"/>
        <v>5108</v>
      </c>
      <c r="OA1" s="71">
        <f t="shared" si="114"/>
        <v>5109</v>
      </c>
      <c r="OB1" s="71">
        <f t="shared" si="114"/>
        <v>5110</v>
      </c>
      <c r="OC1" s="71">
        <f t="shared" si="114"/>
        <v>5111</v>
      </c>
      <c r="OD1" s="71">
        <f t="shared" si="114"/>
        <v>5112</v>
      </c>
      <c r="OE1" s="71">
        <f t="shared" si="114"/>
        <v>5113</v>
      </c>
      <c r="OF1" s="71">
        <f t="shared" si="114"/>
        <v>5114</v>
      </c>
      <c r="OG1" s="71">
        <f t="shared" si="114"/>
        <v>5115</v>
      </c>
      <c r="OH1" s="71">
        <f t="shared" si="114"/>
        <v>5116</v>
      </c>
      <c r="OI1" s="71">
        <f t="shared" si="114"/>
        <v>5117</v>
      </c>
      <c r="OJ1" s="71">
        <f t="shared" si="114"/>
        <v>5118</v>
      </c>
      <c r="OK1" s="71">
        <f t="shared" si="114"/>
        <v>5119</v>
      </c>
      <c r="OL1" s="71">
        <f t="shared" si="114"/>
        <v>5120</v>
      </c>
      <c r="OM1" s="71">
        <f t="shared" si="114"/>
        <v>5121</v>
      </c>
      <c r="ON1" s="71">
        <f t="shared" si="114"/>
        <v>5122</v>
      </c>
      <c r="OO1" s="71">
        <f t="shared" si="114"/>
        <v>5123</v>
      </c>
      <c r="OP1" s="71">
        <f t="shared" si="114"/>
        <v>5124</v>
      </c>
      <c r="OQ1" s="71">
        <f t="shared" si="114"/>
        <v>5125</v>
      </c>
      <c r="OR1" s="71">
        <f t="shared" si="114"/>
        <v>5126</v>
      </c>
      <c r="OS1" s="71">
        <f t="shared" si="114"/>
        <v>5127</v>
      </c>
      <c r="OT1" s="71">
        <f t="shared" si="114"/>
        <v>5128</v>
      </c>
      <c r="OU1" s="71">
        <f t="shared" si="114"/>
        <v>5129</v>
      </c>
      <c r="OV1" s="71">
        <f t="shared" si="114"/>
        <v>5130</v>
      </c>
      <c r="OW1" s="71">
        <f t="shared" si="114"/>
        <v>5131</v>
      </c>
      <c r="OX1" s="71">
        <f t="shared" si="114"/>
        <v>5132</v>
      </c>
      <c r="OY1" s="71">
        <f t="shared" si="114"/>
        <v>5133</v>
      </c>
      <c r="OZ1" s="71">
        <f t="shared" si="114"/>
        <v>5134</v>
      </c>
      <c r="PA1" s="71">
        <f t="shared" si="114"/>
        <v>5135</v>
      </c>
      <c r="PB1" s="71">
        <f t="shared" si="114"/>
        <v>5136</v>
      </c>
      <c r="PC1" s="71">
        <f t="shared" si="114"/>
        <v>5137</v>
      </c>
      <c r="PD1" s="71">
        <f t="shared" si="114"/>
        <v>5138</v>
      </c>
      <c r="PE1" s="71">
        <f t="shared" si="114"/>
        <v>5139</v>
      </c>
      <c r="PF1" s="71">
        <f t="shared" si="114"/>
        <v>5140</v>
      </c>
      <c r="PG1" s="71">
        <f t="shared" si="114"/>
        <v>5141</v>
      </c>
      <c r="PH1" s="71">
        <f t="shared" si="114"/>
        <v>5142</v>
      </c>
      <c r="PI1" s="71">
        <f t="shared" si="114"/>
        <v>5143</v>
      </c>
      <c r="PJ1" s="71">
        <f t="shared" si="114"/>
        <v>5144</v>
      </c>
      <c r="PK1" s="71">
        <f t="shared" si="114"/>
        <v>5145</v>
      </c>
      <c r="PL1" s="71">
        <f t="shared" si="114"/>
        <v>5146</v>
      </c>
      <c r="PM1" s="71">
        <f t="shared" si="114"/>
        <v>5147</v>
      </c>
      <c r="PN1" s="71">
        <f t="shared" si="114"/>
        <v>5148</v>
      </c>
      <c r="PO1" s="71">
        <f t="shared" si="114"/>
        <v>5149</v>
      </c>
      <c r="PP1" s="71">
        <f t="shared" si="114"/>
        <v>5150</v>
      </c>
      <c r="PQ1" s="71">
        <f t="shared" si="114"/>
        <v>5151</v>
      </c>
      <c r="PR1" s="71">
        <f t="shared" si="114"/>
        <v>5152</v>
      </c>
      <c r="PS1" s="71">
        <f t="shared" si="114"/>
        <v>5153</v>
      </c>
      <c r="PT1" s="71">
        <f t="shared" si="114"/>
        <v>5154</v>
      </c>
      <c r="PU1" s="71">
        <f t="shared" si="114"/>
        <v>5155</v>
      </c>
      <c r="PV1" s="71">
        <f t="shared" si="114"/>
        <v>5156</v>
      </c>
      <c r="PW1" s="71">
        <f t="shared" si="114"/>
        <v>5157</v>
      </c>
      <c r="PX1" s="71">
        <f t="shared" si="114"/>
        <v>5158</v>
      </c>
      <c r="PY1" s="71">
        <f t="shared" si="114"/>
        <v>5159</v>
      </c>
      <c r="PZ1" s="71">
        <f t="shared" si="114"/>
        <v>5160</v>
      </c>
      <c r="QA1" s="71">
        <f t="shared" si="114"/>
        <v>5161</v>
      </c>
      <c r="QB1" s="71">
        <f t="shared" si="114"/>
        <v>5162</v>
      </c>
      <c r="QC1" s="71">
        <f t="shared" si="114"/>
        <v>5163</v>
      </c>
      <c r="QD1" s="71">
        <f t="shared" si="114"/>
        <v>5164</v>
      </c>
      <c r="QE1" s="71">
        <f t="shared" ref="QE1" si="115">QD1+1</f>
        <v>5165</v>
      </c>
    </row>
    <row r="2" spans="1:666" x14ac:dyDescent="0.15">
      <c r="A2" s="7" t="s">
        <v>126</v>
      </c>
      <c r="B2" s="7">
        <v>0</v>
      </c>
      <c r="C2" s="7">
        <f>FixedParams!C12</f>
        <v>3045.6930093731203</v>
      </c>
      <c r="D2" s="7">
        <f t="shared" ref="D2:F15" si="116">C2</f>
        <v>3045.6930093731203</v>
      </c>
      <c r="E2" s="7">
        <f>FixedParams!D12</f>
        <v>1522.8465046865601</v>
      </c>
      <c r="F2" s="7">
        <f t="shared" si="116"/>
        <v>1522.8465046865601</v>
      </c>
      <c r="H2" s="7">
        <v>0</v>
      </c>
      <c r="I2" s="7">
        <v>3045.6930093731203</v>
      </c>
      <c r="J2" s="7">
        <v>3045.6930093731203</v>
      </c>
      <c r="K2" s="7">
        <v>1522.8465046865601</v>
      </c>
      <c r="L2" s="7">
        <v>1522.8465046865601</v>
      </c>
      <c r="M2" s="7">
        <v>0</v>
      </c>
      <c r="N2" s="7">
        <v>3045.6930093731203</v>
      </c>
      <c r="O2" s="7">
        <v>3045.6930093731203</v>
      </c>
      <c r="P2" s="7">
        <v>1522.8465046865601</v>
      </c>
      <c r="Q2" s="7">
        <v>1522.8465046865601</v>
      </c>
      <c r="R2" s="7">
        <v>0</v>
      </c>
      <c r="S2" s="7">
        <v>3045.6930093731203</v>
      </c>
      <c r="T2" s="7">
        <v>3045.6930093731203</v>
      </c>
      <c r="U2" s="7">
        <v>1522.8465046865601</v>
      </c>
      <c r="V2" s="7">
        <v>1522.8465046865601</v>
      </c>
      <c r="W2" s="7">
        <v>0</v>
      </c>
      <c r="X2" s="7">
        <v>3045.6930093731203</v>
      </c>
      <c r="Y2" s="7">
        <v>3045.6930093731203</v>
      </c>
      <c r="Z2" s="7">
        <v>1522.8465046865601</v>
      </c>
      <c r="AA2" s="7">
        <v>1522.8465046865601</v>
      </c>
      <c r="AB2" s="7">
        <v>0</v>
      </c>
      <c r="AC2" s="7">
        <v>3045.6930093731203</v>
      </c>
      <c r="AD2" s="7">
        <v>3045.6930093731203</v>
      </c>
      <c r="AE2" s="7">
        <v>1522.8465046865601</v>
      </c>
      <c r="AF2" s="7">
        <v>1522.8465046865599</v>
      </c>
      <c r="AG2" s="7">
        <v>0</v>
      </c>
      <c r="AH2" s="7">
        <v>3045.6930093731203</v>
      </c>
      <c r="AI2" s="7">
        <v>3045.6930093731203</v>
      </c>
      <c r="AJ2" s="7">
        <v>1522.8465046865601</v>
      </c>
      <c r="AK2" s="7">
        <v>1522.8465046865601</v>
      </c>
      <c r="AL2" s="7">
        <v>0</v>
      </c>
      <c r="AM2" s="7">
        <v>3045.6930093731203</v>
      </c>
      <c r="AN2" s="7">
        <v>3045.6930093731203</v>
      </c>
      <c r="AO2" s="7">
        <v>1522.8465046865601</v>
      </c>
      <c r="AP2" s="7">
        <v>1522.8465046865601</v>
      </c>
      <c r="AQ2" s="7">
        <v>0</v>
      </c>
      <c r="AR2" s="7">
        <v>3045.6930093731203</v>
      </c>
      <c r="AS2" s="7">
        <v>3045.6930093731203</v>
      </c>
      <c r="AT2" s="7">
        <v>1522.8465046865601</v>
      </c>
      <c r="AU2" s="7">
        <v>1522.8465046865601</v>
      </c>
      <c r="AV2" s="7">
        <v>0</v>
      </c>
      <c r="AW2" s="7">
        <v>3045.6930093731203</v>
      </c>
      <c r="AX2" s="7">
        <v>3045.6930093731203</v>
      </c>
      <c r="AY2" s="7">
        <v>1522.8465046865601</v>
      </c>
      <c r="AZ2" s="7">
        <v>1522.8465046865601</v>
      </c>
      <c r="BA2" s="7">
        <v>0</v>
      </c>
      <c r="BB2" s="7">
        <v>3045.6930093731203</v>
      </c>
      <c r="BC2" s="7">
        <v>3045.6930093731203</v>
      </c>
      <c r="BD2" s="7">
        <v>1522.8465046865601</v>
      </c>
      <c r="BE2" s="7">
        <v>1522.8465046865601</v>
      </c>
      <c r="BF2" s="7">
        <v>0</v>
      </c>
      <c r="BG2" s="7">
        <v>3045.6930093731203</v>
      </c>
      <c r="BH2" s="7">
        <v>3045.6930093731203</v>
      </c>
      <c r="BI2" s="7">
        <v>1522.8465046865601</v>
      </c>
      <c r="BJ2" s="7">
        <v>1522.8465046865601</v>
      </c>
      <c r="BK2" s="7">
        <v>0</v>
      </c>
      <c r="BL2" s="7">
        <v>3045.6930093731203</v>
      </c>
      <c r="BM2" s="7">
        <v>3045.6930093731203</v>
      </c>
      <c r="BN2" s="7">
        <v>1522.8465046865601</v>
      </c>
      <c r="BO2" s="7">
        <v>1522.8465046865601</v>
      </c>
      <c r="BP2" s="7">
        <v>0</v>
      </c>
      <c r="BQ2" s="7">
        <v>3045.6930093731203</v>
      </c>
      <c r="BR2" s="7">
        <v>3045.6930093731203</v>
      </c>
      <c r="BS2" s="7">
        <v>1522.8465046865601</v>
      </c>
      <c r="BT2" s="7">
        <v>1522.8465046865601</v>
      </c>
      <c r="BU2" s="7">
        <v>0</v>
      </c>
      <c r="BV2" s="7">
        <v>761.42325234328007</v>
      </c>
      <c r="BW2" s="7">
        <v>761.42325234328007</v>
      </c>
      <c r="BX2" s="7">
        <v>0</v>
      </c>
      <c r="BY2" s="7">
        <v>0</v>
      </c>
      <c r="BZ2" s="7">
        <v>0</v>
      </c>
      <c r="CA2" s="7">
        <v>761.42325234328007</v>
      </c>
      <c r="CB2" s="7">
        <v>761.42325234328007</v>
      </c>
      <c r="CC2" s="7">
        <v>0</v>
      </c>
      <c r="CD2" s="7">
        <v>0</v>
      </c>
      <c r="CE2" s="7">
        <v>0</v>
      </c>
      <c r="CF2" s="7">
        <v>761.42325234328007</v>
      </c>
      <c r="CG2" s="7">
        <v>761.42325234328007</v>
      </c>
      <c r="CH2" s="7">
        <v>0</v>
      </c>
      <c r="CI2" s="7">
        <v>0</v>
      </c>
      <c r="CJ2" s="7">
        <v>0</v>
      </c>
      <c r="CK2" s="7">
        <v>761.42325234328007</v>
      </c>
      <c r="CL2" s="7">
        <v>761.42325234328007</v>
      </c>
      <c r="CM2" s="7">
        <v>0</v>
      </c>
      <c r="CN2" s="7">
        <v>0</v>
      </c>
      <c r="CO2" s="7">
        <v>0</v>
      </c>
      <c r="CP2" s="7">
        <v>761.42325234328007</v>
      </c>
      <c r="CQ2" s="7">
        <v>761.42325234328007</v>
      </c>
      <c r="CR2" s="7">
        <v>0</v>
      </c>
      <c r="CS2" s="7">
        <v>0</v>
      </c>
      <c r="CT2" s="7">
        <v>0</v>
      </c>
      <c r="CU2" s="7">
        <v>761.42325234328007</v>
      </c>
      <c r="CV2" s="7">
        <v>761.42325234328007</v>
      </c>
      <c r="CW2" s="7">
        <v>0</v>
      </c>
      <c r="CX2" s="7">
        <v>0</v>
      </c>
      <c r="CY2" s="7">
        <v>0</v>
      </c>
      <c r="CZ2" s="7">
        <v>761.42325234328007</v>
      </c>
      <c r="DA2" s="7">
        <v>761.42325234328007</v>
      </c>
      <c r="DB2" s="7">
        <v>0</v>
      </c>
      <c r="DC2" s="7">
        <v>0</v>
      </c>
      <c r="DD2" s="7">
        <v>0</v>
      </c>
      <c r="DE2" s="7">
        <v>761.42325234328007</v>
      </c>
      <c r="DF2" s="7">
        <v>761.42325234328007</v>
      </c>
      <c r="DG2" s="7">
        <v>0</v>
      </c>
      <c r="DH2" s="7">
        <v>0</v>
      </c>
      <c r="DI2" s="7">
        <v>0</v>
      </c>
      <c r="DJ2" s="7">
        <v>761.42325234328007</v>
      </c>
      <c r="DK2" s="7">
        <v>761.42325234328007</v>
      </c>
      <c r="DL2" s="7">
        <v>0</v>
      </c>
      <c r="DM2" s="7">
        <v>0</v>
      </c>
      <c r="DN2" s="7">
        <v>0</v>
      </c>
      <c r="DO2" s="7">
        <v>761.42325234328007</v>
      </c>
      <c r="DP2" s="7">
        <v>761.42325234328007</v>
      </c>
      <c r="DQ2" s="7">
        <v>0</v>
      </c>
      <c r="DR2" s="7">
        <v>0</v>
      </c>
      <c r="DS2" s="7">
        <v>0</v>
      </c>
      <c r="DT2" s="7">
        <v>761.42325234328007</v>
      </c>
      <c r="DU2" s="7">
        <v>761.42325234328007</v>
      </c>
      <c r="DV2" s="7">
        <v>0</v>
      </c>
      <c r="DW2" s="7">
        <v>0</v>
      </c>
      <c r="DX2" s="7">
        <v>0</v>
      </c>
      <c r="DY2" s="7">
        <v>761.42325234328007</v>
      </c>
      <c r="DZ2" s="7">
        <v>761.42325234328007</v>
      </c>
      <c r="EA2" s="7">
        <v>0</v>
      </c>
      <c r="EB2" s="7">
        <v>0</v>
      </c>
      <c r="EC2" s="7">
        <v>0</v>
      </c>
      <c r="ED2" s="7">
        <v>3045.6930093731203</v>
      </c>
      <c r="EE2" s="7">
        <v>3045.6930093731203</v>
      </c>
      <c r="EF2" s="7">
        <v>1522.8465046865601</v>
      </c>
      <c r="EG2" s="7">
        <v>1522.8465046865601</v>
      </c>
      <c r="EH2" s="7">
        <v>0</v>
      </c>
      <c r="EI2" s="7">
        <v>3045.6930093731203</v>
      </c>
      <c r="EJ2" s="7">
        <v>3045.6930093731203</v>
      </c>
      <c r="EK2" s="7">
        <v>1522.8465046865601</v>
      </c>
      <c r="EL2" s="7">
        <v>1522.8465046865601</v>
      </c>
      <c r="EM2" s="7">
        <v>0</v>
      </c>
      <c r="EN2" s="7">
        <v>3045.6930093731203</v>
      </c>
      <c r="EO2" s="7">
        <v>3045.6930093731203</v>
      </c>
      <c r="EP2" s="7">
        <v>1522.8465046865601</v>
      </c>
      <c r="EQ2" s="7">
        <v>1522.8465046865601</v>
      </c>
      <c r="ER2" s="7">
        <v>0</v>
      </c>
      <c r="ES2" s="7">
        <v>3045.6930093731203</v>
      </c>
      <c r="ET2" s="7">
        <v>3045.6930093731203</v>
      </c>
      <c r="EU2" s="7">
        <v>1522.8465046865601</v>
      </c>
      <c r="EV2" s="7">
        <v>1522.8465046865601</v>
      </c>
      <c r="EW2" s="7">
        <v>0</v>
      </c>
      <c r="EX2" s="7">
        <v>3045.6930093731203</v>
      </c>
      <c r="EY2" s="7">
        <v>3045.6930093731203</v>
      </c>
      <c r="EZ2" s="7">
        <v>1522.8465046865601</v>
      </c>
      <c r="FA2" s="7">
        <v>1522.8465046865601</v>
      </c>
      <c r="FB2" s="7">
        <v>0</v>
      </c>
      <c r="FC2" s="7">
        <v>3045.6930093731203</v>
      </c>
      <c r="FD2" s="7">
        <v>3045.6930093731203</v>
      </c>
      <c r="FE2" s="7">
        <v>1522.8465046865601</v>
      </c>
      <c r="FF2" s="7">
        <v>1522.8465046865601</v>
      </c>
      <c r="FG2" s="7">
        <v>0</v>
      </c>
      <c r="FH2" s="7">
        <v>3045.6930093731203</v>
      </c>
      <c r="FI2" s="7">
        <v>3045.6930093731203</v>
      </c>
      <c r="FJ2" s="7">
        <v>1522.8465046865601</v>
      </c>
      <c r="FK2" s="7">
        <v>1522.8465046865601</v>
      </c>
      <c r="FL2" s="7">
        <v>0</v>
      </c>
      <c r="FM2" s="7">
        <v>3045.6930093731203</v>
      </c>
      <c r="FN2" s="7">
        <v>3045.6930093731203</v>
      </c>
      <c r="FO2" s="7">
        <v>1522.8465046865601</v>
      </c>
      <c r="FP2" s="7">
        <v>1522.8465046865601</v>
      </c>
      <c r="FQ2" s="7">
        <v>0</v>
      </c>
      <c r="FR2" s="7">
        <v>3045.6930093731203</v>
      </c>
      <c r="FS2" s="7">
        <v>3045.6930093731203</v>
      </c>
      <c r="FT2" s="7">
        <v>1522.8465046865601</v>
      </c>
      <c r="FU2" s="7">
        <v>1522.8465046865601</v>
      </c>
      <c r="FV2" s="7">
        <v>0</v>
      </c>
      <c r="FW2" s="7">
        <v>3045.6930093731203</v>
      </c>
      <c r="FX2" s="7">
        <v>3045.6930093731203</v>
      </c>
      <c r="FY2" s="7">
        <v>1522.8465046865601</v>
      </c>
      <c r="FZ2" s="7">
        <v>1522.8465046865601</v>
      </c>
      <c r="GA2" s="7">
        <v>0</v>
      </c>
      <c r="GB2" s="7">
        <v>3045.6930093731203</v>
      </c>
      <c r="GC2" s="7">
        <v>3045.6930093731203</v>
      </c>
      <c r="GD2" s="7">
        <v>1522.8465046865601</v>
      </c>
      <c r="GE2" s="7">
        <v>1522.8465046865601</v>
      </c>
      <c r="GF2" s="7">
        <v>0</v>
      </c>
      <c r="GG2" s="7">
        <v>3045.6930093731203</v>
      </c>
      <c r="GH2" s="7">
        <v>3045.6930093731203</v>
      </c>
      <c r="GI2" s="7">
        <v>1522.8465046865601</v>
      </c>
      <c r="GJ2" s="7">
        <v>1522.8465046865601</v>
      </c>
      <c r="GK2" s="7">
        <v>0</v>
      </c>
      <c r="GL2" s="7">
        <v>3045.6930093731203</v>
      </c>
      <c r="GM2" s="7">
        <v>3045.6930093731203</v>
      </c>
      <c r="GN2" s="7">
        <v>1522.8465046865601</v>
      </c>
      <c r="GO2" s="7">
        <v>1522.8465046865601</v>
      </c>
      <c r="GP2" s="7">
        <v>0</v>
      </c>
      <c r="GQ2" s="7">
        <v>3045.6930093731203</v>
      </c>
      <c r="GR2" s="7">
        <v>3045.6930093731203</v>
      </c>
      <c r="GS2" s="7">
        <v>1522.8465046865601</v>
      </c>
      <c r="GT2" s="7">
        <v>1522.8465046865601</v>
      </c>
      <c r="GU2" s="7">
        <v>0</v>
      </c>
      <c r="GV2" s="7">
        <v>3045.6930093731203</v>
      </c>
      <c r="GW2" s="7">
        <v>3045.6930093731203</v>
      </c>
      <c r="GX2" s="7">
        <v>1522.8465046865601</v>
      </c>
      <c r="GY2" s="7">
        <v>1522.8465046865601</v>
      </c>
      <c r="GZ2" s="7">
        <v>0</v>
      </c>
      <c r="HA2" s="7">
        <v>3045.6930093731203</v>
      </c>
      <c r="HB2" s="7">
        <v>3045.6930093731203</v>
      </c>
      <c r="HC2" s="7">
        <v>1522.8465046865601</v>
      </c>
      <c r="HD2" s="7">
        <v>1522.8465046865601</v>
      </c>
      <c r="HE2" s="7">
        <v>0</v>
      </c>
      <c r="HF2" s="7">
        <v>3045.6930093731203</v>
      </c>
      <c r="HG2" s="7">
        <v>3045.6930093731203</v>
      </c>
      <c r="HH2" s="7">
        <v>1522.8465046865601</v>
      </c>
      <c r="HI2" s="7">
        <v>1522.8465046865601</v>
      </c>
      <c r="HJ2" s="7">
        <v>0</v>
      </c>
      <c r="HK2" s="7">
        <v>3045.6930093731203</v>
      </c>
      <c r="HL2" s="7">
        <v>3045.6930093731203</v>
      </c>
      <c r="HM2" s="7">
        <v>1522.8465046865601</v>
      </c>
      <c r="HN2" s="7">
        <v>1522.8465046865601</v>
      </c>
      <c r="HO2">
        <v>0</v>
      </c>
      <c r="HP2">
        <v>3045.6930093731203</v>
      </c>
      <c r="HQ2">
        <v>3045.6930093731203</v>
      </c>
      <c r="HR2">
        <v>1522.8465046865601</v>
      </c>
      <c r="HS2">
        <v>1522.8465046865601</v>
      </c>
      <c r="HT2">
        <v>0</v>
      </c>
      <c r="HU2">
        <v>3045.6930093731203</v>
      </c>
      <c r="HV2">
        <v>3045.6930093731203</v>
      </c>
      <c r="HW2">
        <v>1522.8465046865601</v>
      </c>
      <c r="HX2">
        <v>1522.8465046865601</v>
      </c>
      <c r="HY2">
        <v>0</v>
      </c>
      <c r="HZ2">
        <v>3045.6930093731203</v>
      </c>
      <c r="IA2">
        <v>3045.6930093731203</v>
      </c>
      <c r="IB2">
        <v>1522.8465046865601</v>
      </c>
      <c r="IC2">
        <v>1522.8465046865601</v>
      </c>
      <c r="ID2">
        <v>0</v>
      </c>
      <c r="IE2">
        <v>3045.6930093731203</v>
      </c>
      <c r="IF2">
        <v>3045.6930093731203</v>
      </c>
      <c r="IG2">
        <v>1522.8465046865601</v>
      </c>
      <c r="IH2">
        <v>1522.8465046865601</v>
      </c>
      <c r="II2">
        <v>0</v>
      </c>
      <c r="IJ2">
        <v>3045.6930093731203</v>
      </c>
      <c r="IK2">
        <v>3045.6930093731203</v>
      </c>
      <c r="IL2">
        <v>1522.8465046865601</v>
      </c>
      <c r="IM2">
        <v>1522.8465046865601</v>
      </c>
      <c r="IN2">
        <v>0</v>
      </c>
      <c r="IO2" s="86">
        <v>3045.6930093731203</v>
      </c>
      <c r="IP2">
        <v>3045.6930093731203</v>
      </c>
      <c r="IQ2">
        <v>1522.8465046865601</v>
      </c>
      <c r="IR2">
        <v>1522.8465046865601</v>
      </c>
      <c r="IS2">
        <v>0</v>
      </c>
      <c r="IT2">
        <v>3045.6930093731203</v>
      </c>
      <c r="IU2">
        <v>3045.6930093731203</v>
      </c>
      <c r="IV2">
        <v>1522.8465046865601</v>
      </c>
      <c r="IW2">
        <v>1522.8465046865601</v>
      </c>
      <c r="IX2">
        <v>0</v>
      </c>
      <c r="IY2">
        <v>3045.6930093731203</v>
      </c>
      <c r="IZ2">
        <v>3045.6930093731203</v>
      </c>
      <c r="JA2">
        <v>1522.8465046865601</v>
      </c>
      <c r="JB2">
        <v>1522.8465046865601</v>
      </c>
      <c r="JC2">
        <v>0</v>
      </c>
      <c r="JD2">
        <v>3045.6930093731203</v>
      </c>
      <c r="JE2">
        <v>3045.6930093731203</v>
      </c>
      <c r="JF2">
        <v>1522.8465046865601</v>
      </c>
      <c r="JG2">
        <v>1522.8465046865601</v>
      </c>
      <c r="JH2">
        <v>0</v>
      </c>
      <c r="JI2">
        <v>3045.6930093731203</v>
      </c>
      <c r="JJ2">
        <v>3045.6930093731203</v>
      </c>
      <c r="JK2">
        <v>1522.8465046865601</v>
      </c>
      <c r="JL2">
        <v>1522.8465046865601</v>
      </c>
      <c r="JM2">
        <v>0</v>
      </c>
      <c r="JN2">
        <v>3045.6930093731203</v>
      </c>
      <c r="JO2">
        <v>3045.6930093731203</v>
      </c>
      <c r="JP2">
        <v>1522.8465046865601</v>
      </c>
      <c r="JQ2">
        <v>1522.8465046865601</v>
      </c>
      <c r="JR2">
        <v>0</v>
      </c>
      <c r="JS2">
        <v>3045.6930093731203</v>
      </c>
      <c r="JT2">
        <v>3045.6930093731203</v>
      </c>
      <c r="JU2">
        <v>1522.8465046865601</v>
      </c>
      <c r="JV2">
        <v>1522.8465046865601</v>
      </c>
      <c r="JW2">
        <v>0</v>
      </c>
      <c r="JX2">
        <v>3045.6930093731203</v>
      </c>
      <c r="JY2">
        <v>3045.6930093731203</v>
      </c>
      <c r="JZ2">
        <v>1522.8465046865601</v>
      </c>
      <c r="KA2">
        <v>1522.8465046865601</v>
      </c>
      <c r="KB2">
        <v>0</v>
      </c>
      <c r="KC2">
        <v>3045.6930093731203</v>
      </c>
      <c r="KD2">
        <v>3045.6930093731203</v>
      </c>
      <c r="KE2">
        <v>1522.8465046865601</v>
      </c>
      <c r="KF2">
        <v>1522.8465046865601</v>
      </c>
      <c r="KG2">
        <v>0</v>
      </c>
      <c r="KH2">
        <v>3045.6930093731203</v>
      </c>
      <c r="KI2">
        <v>3045.6930093731203</v>
      </c>
      <c r="KJ2">
        <v>1522.8465046865601</v>
      </c>
      <c r="KK2">
        <v>1522.8465046865601</v>
      </c>
      <c r="KL2">
        <v>0</v>
      </c>
      <c r="KM2">
        <v>3045.6930093731203</v>
      </c>
      <c r="KN2">
        <v>3045.6930093731203</v>
      </c>
      <c r="KO2">
        <v>1522.8465046865601</v>
      </c>
      <c r="KP2">
        <v>1522.8465046865601</v>
      </c>
      <c r="KQ2">
        <v>0</v>
      </c>
      <c r="KR2">
        <v>3045.6930093731203</v>
      </c>
      <c r="KS2">
        <v>3045.6930093731203</v>
      </c>
      <c r="KT2">
        <v>1522.8465046865601</v>
      </c>
      <c r="KU2">
        <v>1522.8465046865601</v>
      </c>
      <c r="KV2">
        <v>0</v>
      </c>
      <c r="KW2">
        <v>3045.6930093731203</v>
      </c>
      <c r="KX2">
        <v>3045.6930093731203</v>
      </c>
      <c r="KY2">
        <v>1522.8465046865601</v>
      </c>
      <c r="KZ2">
        <v>1522.8465046865601</v>
      </c>
      <c r="LA2">
        <v>0</v>
      </c>
      <c r="LB2">
        <v>3045.6930093731203</v>
      </c>
      <c r="LC2">
        <v>3045.6930093731203</v>
      </c>
      <c r="LD2">
        <v>1522.8465046865601</v>
      </c>
      <c r="LE2">
        <v>1522.8465046865601</v>
      </c>
      <c r="LF2">
        <v>0</v>
      </c>
      <c r="LG2">
        <v>3045.6930093731203</v>
      </c>
      <c r="LH2">
        <v>3045.6930093731203</v>
      </c>
      <c r="LI2">
        <v>1522.8465046865601</v>
      </c>
      <c r="LJ2">
        <v>1522.8465046865601</v>
      </c>
      <c r="LK2">
        <v>0</v>
      </c>
      <c r="LL2">
        <v>3045.6930093731203</v>
      </c>
      <c r="LM2">
        <v>3045.6930093731203</v>
      </c>
      <c r="LN2">
        <v>1522.8465046865601</v>
      </c>
      <c r="LO2">
        <v>1522.8465046865601</v>
      </c>
      <c r="LP2">
        <v>0</v>
      </c>
      <c r="LQ2">
        <v>3045.6930093731203</v>
      </c>
      <c r="LR2">
        <v>3045.6930093731203</v>
      </c>
      <c r="LS2">
        <v>1522.8465046865601</v>
      </c>
      <c r="LT2">
        <v>1522.8465046865601</v>
      </c>
      <c r="LU2">
        <v>0</v>
      </c>
      <c r="LV2">
        <v>3045.6930093731203</v>
      </c>
      <c r="LW2">
        <v>3045.6930093731203</v>
      </c>
      <c r="LX2">
        <v>1522.8465046865601</v>
      </c>
      <c r="LY2">
        <v>1522.8465046865601</v>
      </c>
      <c r="LZ2">
        <v>0</v>
      </c>
      <c r="MA2">
        <v>3045.6930093731203</v>
      </c>
      <c r="MB2">
        <v>3045.6930093731203</v>
      </c>
      <c r="MC2">
        <v>1522.8465046865601</v>
      </c>
      <c r="MD2">
        <v>1522.8465046865601</v>
      </c>
      <c r="ME2">
        <v>0</v>
      </c>
      <c r="MF2">
        <v>3045.6930093731203</v>
      </c>
      <c r="MG2">
        <v>3045.6930093731203</v>
      </c>
      <c r="MH2">
        <v>1522.8465046865601</v>
      </c>
      <c r="MI2">
        <v>1522.8465046865601</v>
      </c>
      <c r="MJ2">
        <v>0</v>
      </c>
      <c r="MK2">
        <v>3045.6930093731203</v>
      </c>
      <c r="ML2">
        <v>3045.6930093731203</v>
      </c>
      <c r="MM2">
        <v>1522.8465046865601</v>
      </c>
      <c r="MN2">
        <v>1522.8465046865601</v>
      </c>
      <c r="MO2">
        <v>0</v>
      </c>
      <c r="MP2">
        <v>3045.6930093731203</v>
      </c>
      <c r="MQ2">
        <v>3045.6930093731203</v>
      </c>
      <c r="MR2">
        <v>1522.8465046865601</v>
      </c>
      <c r="MS2">
        <v>1522.8465046865601</v>
      </c>
      <c r="MT2">
        <v>0</v>
      </c>
      <c r="MU2">
        <v>3045.6930093731203</v>
      </c>
      <c r="MV2">
        <v>3045.6930093731203</v>
      </c>
      <c r="MW2">
        <v>1522.8465046865601</v>
      </c>
      <c r="MX2">
        <v>1522.8465046865601</v>
      </c>
      <c r="MY2">
        <v>0</v>
      </c>
      <c r="MZ2">
        <v>3045.6930093731203</v>
      </c>
      <c r="NA2">
        <v>3045.6930093731203</v>
      </c>
      <c r="NB2">
        <v>1522.8465046865601</v>
      </c>
      <c r="NC2">
        <v>1522.8465046865601</v>
      </c>
      <c r="ND2">
        <v>0</v>
      </c>
      <c r="NE2">
        <v>3045.6930093731203</v>
      </c>
      <c r="NF2">
        <v>3045.6930093731203</v>
      </c>
      <c r="NG2">
        <v>1522.8465046865601</v>
      </c>
      <c r="NH2">
        <v>1522.8465046865601</v>
      </c>
      <c r="NI2">
        <v>0</v>
      </c>
      <c r="NJ2">
        <v>3045.6930093731203</v>
      </c>
      <c r="NK2">
        <v>3045.6930093731203</v>
      </c>
      <c r="NL2">
        <v>1522.8465046865601</v>
      </c>
      <c r="NM2">
        <v>1522.8465046865601</v>
      </c>
      <c r="NN2">
        <v>0</v>
      </c>
      <c r="NO2">
        <v>3045.6930093731203</v>
      </c>
      <c r="NP2">
        <v>3045.6930093731203</v>
      </c>
      <c r="NQ2">
        <v>1522.8465046865601</v>
      </c>
      <c r="NR2">
        <v>1522.8465046865601</v>
      </c>
      <c r="NS2">
        <v>0</v>
      </c>
      <c r="NT2">
        <v>3045.6930093731203</v>
      </c>
      <c r="NU2">
        <v>3045.6930093731203</v>
      </c>
      <c r="NV2">
        <v>1522.8465046865601</v>
      </c>
      <c r="NW2">
        <v>1522.8465046865601</v>
      </c>
      <c r="NX2">
        <v>0</v>
      </c>
      <c r="NY2">
        <v>3045.6930093731203</v>
      </c>
      <c r="NZ2">
        <v>3045.6930093731203</v>
      </c>
      <c r="OA2">
        <v>1522.8465046865601</v>
      </c>
      <c r="OB2">
        <v>1522.8465046865601</v>
      </c>
      <c r="OC2">
        <v>0</v>
      </c>
      <c r="OD2">
        <v>3045.6930093731203</v>
      </c>
      <c r="OE2">
        <v>3045.6930093731203</v>
      </c>
      <c r="OF2">
        <v>1522.8465046865601</v>
      </c>
      <c r="OG2">
        <v>1522.8465046865601</v>
      </c>
      <c r="OH2">
        <v>0</v>
      </c>
      <c r="OI2">
        <v>3045.6930093731203</v>
      </c>
      <c r="OJ2">
        <v>3045.6930093731203</v>
      </c>
      <c r="OK2">
        <v>1522.8465046865601</v>
      </c>
      <c r="OL2">
        <v>1522.8465046865601</v>
      </c>
      <c r="OM2">
        <v>0</v>
      </c>
      <c r="ON2">
        <v>3045.6930093731203</v>
      </c>
      <c r="OO2">
        <v>3045.6930093731203</v>
      </c>
      <c r="OP2">
        <v>1522.8465046865601</v>
      </c>
      <c r="OQ2">
        <v>1522.8465046865601</v>
      </c>
      <c r="OR2">
        <v>0</v>
      </c>
      <c r="OS2">
        <v>3045.6930093731203</v>
      </c>
      <c r="OT2">
        <v>3045.6930093731203</v>
      </c>
      <c r="OU2">
        <v>1522.8465046865601</v>
      </c>
      <c r="OV2">
        <v>1522.8465046865601</v>
      </c>
      <c r="OW2">
        <v>0</v>
      </c>
      <c r="OX2">
        <v>3045.6930093731203</v>
      </c>
      <c r="OY2">
        <v>3045.6930093731203</v>
      </c>
      <c r="OZ2">
        <v>1522.8465046865601</v>
      </c>
      <c r="PA2">
        <v>1522.8465046865601</v>
      </c>
      <c r="PB2">
        <v>0</v>
      </c>
      <c r="PC2">
        <v>3045.6930093731203</v>
      </c>
      <c r="PD2">
        <v>3045.6930093731203</v>
      </c>
      <c r="PE2">
        <v>1522.8465046865601</v>
      </c>
      <c r="PF2">
        <v>1522.8465046865601</v>
      </c>
      <c r="PG2">
        <v>0</v>
      </c>
      <c r="PH2">
        <v>3045.6930093731203</v>
      </c>
      <c r="PI2">
        <v>3045.6930093731203</v>
      </c>
      <c r="PJ2">
        <v>1522.8465046865601</v>
      </c>
      <c r="PK2">
        <v>1522.8465046865601</v>
      </c>
      <c r="PL2" s="7">
        <v>0</v>
      </c>
      <c r="PM2" s="7">
        <v>3045.6930093731203</v>
      </c>
      <c r="PN2" s="7">
        <v>3045.6930093731203</v>
      </c>
      <c r="PO2" s="7">
        <v>1522.8465046865601</v>
      </c>
      <c r="PP2" s="7">
        <v>1522.8465046865601</v>
      </c>
      <c r="PQ2">
        <v>0</v>
      </c>
      <c r="PR2">
        <v>3045.6930093731203</v>
      </c>
      <c r="PS2">
        <v>3045.6930093731203</v>
      </c>
      <c r="PT2">
        <v>1522.8465046865601</v>
      </c>
      <c r="PU2">
        <v>1522.8465046865601</v>
      </c>
      <c r="PV2">
        <v>0</v>
      </c>
      <c r="PW2">
        <v>3045.6930093731203</v>
      </c>
      <c r="PX2">
        <v>3045.6930093731203</v>
      </c>
      <c r="PY2">
        <v>1522.8465046865601</v>
      </c>
      <c r="PZ2">
        <v>1522.8465046865601</v>
      </c>
      <c r="QA2" s="7">
        <v>0</v>
      </c>
      <c r="QB2" s="7">
        <v>3045.6930093731203</v>
      </c>
      <c r="QC2" s="7">
        <v>3045.6930093731203</v>
      </c>
      <c r="QD2" s="7">
        <v>1522.8465046865601</v>
      </c>
      <c r="QE2" s="7">
        <v>1522.8465046865601</v>
      </c>
    </row>
    <row r="3" spans="1:666" x14ac:dyDescent="0.15">
      <c r="A3" s="42" t="s">
        <v>174</v>
      </c>
      <c r="B3" s="42">
        <v>0</v>
      </c>
      <c r="C3" s="42">
        <f>FixedParams!$G$6</f>
        <v>1</v>
      </c>
      <c r="D3" s="42">
        <f t="shared" si="116"/>
        <v>1</v>
      </c>
      <c r="E3" s="42">
        <f>FixedParams!$G$7</f>
        <v>0.8</v>
      </c>
      <c r="F3" s="42">
        <f t="shared" si="116"/>
        <v>0.8</v>
      </c>
      <c r="H3" s="42">
        <v>0</v>
      </c>
      <c r="I3" s="42">
        <v>1</v>
      </c>
      <c r="J3" s="42">
        <v>1</v>
      </c>
      <c r="K3" s="42">
        <v>1</v>
      </c>
      <c r="L3" s="42">
        <v>1</v>
      </c>
      <c r="M3" s="42">
        <v>0</v>
      </c>
      <c r="N3" s="42">
        <v>0.95</v>
      </c>
      <c r="O3" s="42">
        <v>0.95</v>
      </c>
      <c r="P3" s="42">
        <v>0.95</v>
      </c>
      <c r="Q3" s="42">
        <v>0.95</v>
      </c>
      <c r="R3" s="42">
        <v>0</v>
      </c>
      <c r="S3" s="42">
        <v>0.9</v>
      </c>
      <c r="T3" s="42">
        <v>0.9</v>
      </c>
      <c r="U3" s="42">
        <v>0.9</v>
      </c>
      <c r="V3" s="42">
        <v>0.9</v>
      </c>
      <c r="W3" s="42">
        <v>0</v>
      </c>
      <c r="X3" s="42">
        <v>0.85</v>
      </c>
      <c r="Y3" s="42">
        <v>0.85</v>
      </c>
      <c r="Z3" s="42">
        <v>0.85</v>
      </c>
      <c r="AA3" s="42">
        <v>0.85</v>
      </c>
      <c r="AB3" s="42">
        <v>0</v>
      </c>
      <c r="AC3" s="42">
        <v>0.8</v>
      </c>
      <c r="AD3" s="42">
        <v>0.8</v>
      </c>
      <c r="AE3" s="42">
        <v>0.8</v>
      </c>
      <c r="AF3" s="42">
        <v>0.8</v>
      </c>
      <c r="AG3" s="42">
        <v>0</v>
      </c>
      <c r="AH3" s="42">
        <v>0.75</v>
      </c>
      <c r="AI3" s="42">
        <v>0.75</v>
      </c>
      <c r="AJ3" s="42">
        <v>0.75</v>
      </c>
      <c r="AK3" s="42">
        <v>0.75</v>
      </c>
      <c r="AL3" s="42">
        <v>0</v>
      </c>
      <c r="AM3" s="42">
        <v>0.7</v>
      </c>
      <c r="AN3" s="42">
        <v>0.7</v>
      </c>
      <c r="AO3" s="42">
        <v>0.7</v>
      </c>
      <c r="AP3" s="42">
        <v>0.7</v>
      </c>
      <c r="AQ3" s="42">
        <v>0</v>
      </c>
      <c r="AR3" s="42">
        <v>0.65</v>
      </c>
      <c r="AS3" s="42">
        <v>0.65</v>
      </c>
      <c r="AT3" s="42">
        <v>0.65</v>
      </c>
      <c r="AU3" s="42">
        <v>0.65</v>
      </c>
      <c r="AV3" s="42">
        <v>0</v>
      </c>
      <c r="AW3" s="42">
        <v>0.6</v>
      </c>
      <c r="AX3" s="42">
        <v>0.6</v>
      </c>
      <c r="AY3" s="42">
        <v>0.6</v>
      </c>
      <c r="AZ3" s="42">
        <v>0.6</v>
      </c>
      <c r="BA3" s="42">
        <v>0</v>
      </c>
      <c r="BB3" s="42">
        <v>0.55000000000000004</v>
      </c>
      <c r="BC3" s="42">
        <v>0.55000000000000004</v>
      </c>
      <c r="BD3" s="42">
        <v>0.55000000000000004</v>
      </c>
      <c r="BE3" s="42">
        <v>0.55000000000000004</v>
      </c>
      <c r="BF3" s="42">
        <v>0</v>
      </c>
      <c r="BG3" s="42">
        <v>0.5</v>
      </c>
      <c r="BH3" s="42">
        <v>0.5</v>
      </c>
      <c r="BI3" s="42">
        <v>0.5</v>
      </c>
      <c r="BJ3" s="42">
        <v>0.5</v>
      </c>
      <c r="BK3" s="42">
        <v>0</v>
      </c>
      <c r="BL3" s="42">
        <v>0.3</v>
      </c>
      <c r="BM3" s="42">
        <v>0.3</v>
      </c>
      <c r="BN3" s="42">
        <v>0.3</v>
      </c>
      <c r="BO3" s="42">
        <v>0.3</v>
      </c>
      <c r="BP3" s="42">
        <v>0</v>
      </c>
      <c r="BQ3" s="42">
        <v>0.1</v>
      </c>
      <c r="BR3" s="42">
        <v>0.1</v>
      </c>
      <c r="BS3" s="42">
        <v>0.1</v>
      </c>
      <c r="BT3" s="42">
        <v>0.1</v>
      </c>
      <c r="BU3" s="42">
        <v>0</v>
      </c>
      <c r="BV3" s="42">
        <v>1</v>
      </c>
      <c r="BW3" s="42">
        <v>1</v>
      </c>
      <c r="BX3" s="42">
        <v>1</v>
      </c>
      <c r="BY3" s="42">
        <v>1</v>
      </c>
      <c r="BZ3" s="42">
        <v>0</v>
      </c>
      <c r="CA3" s="42">
        <v>0.95</v>
      </c>
      <c r="CB3" s="42">
        <v>0.95</v>
      </c>
      <c r="CC3" s="42">
        <v>0.95</v>
      </c>
      <c r="CD3" s="42">
        <v>0.95</v>
      </c>
      <c r="CE3" s="42">
        <v>0</v>
      </c>
      <c r="CF3" s="42">
        <v>0.9</v>
      </c>
      <c r="CG3" s="42">
        <v>0.9</v>
      </c>
      <c r="CH3" s="42">
        <v>0.9</v>
      </c>
      <c r="CI3" s="42">
        <v>0.9</v>
      </c>
      <c r="CJ3" s="42">
        <v>0</v>
      </c>
      <c r="CK3" s="42">
        <v>0.85</v>
      </c>
      <c r="CL3" s="42">
        <v>0.85</v>
      </c>
      <c r="CM3" s="42">
        <v>0.85</v>
      </c>
      <c r="CN3" s="42">
        <v>0.85</v>
      </c>
      <c r="CO3" s="42">
        <v>0</v>
      </c>
      <c r="CP3" s="42">
        <v>0.8</v>
      </c>
      <c r="CQ3" s="42">
        <v>0.8</v>
      </c>
      <c r="CR3" s="42">
        <v>0.8</v>
      </c>
      <c r="CS3" s="42">
        <v>0.8</v>
      </c>
      <c r="CT3" s="42">
        <v>0</v>
      </c>
      <c r="CU3" s="42">
        <v>0.75</v>
      </c>
      <c r="CV3" s="42">
        <v>0.75</v>
      </c>
      <c r="CW3" s="42">
        <v>0.75</v>
      </c>
      <c r="CX3" s="42">
        <v>0.75</v>
      </c>
      <c r="CY3" s="42">
        <v>0</v>
      </c>
      <c r="CZ3" s="42">
        <v>0.7</v>
      </c>
      <c r="DA3" s="42">
        <v>0.7</v>
      </c>
      <c r="DB3" s="42">
        <v>0.7</v>
      </c>
      <c r="DC3" s="42">
        <v>0.7</v>
      </c>
      <c r="DD3" s="42">
        <v>0</v>
      </c>
      <c r="DE3" s="42">
        <v>0.65</v>
      </c>
      <c r="DF3" s="42">
        <v>0.65</v>
      </c>
      <c r="DG3" s="42">
        <v>0.65</v>
      </c>
      <c r="DH3" s="42">
        <v>0.65</v>
      </c>
      <c r="DI3" s="42">
        <v>0</v>
      </c>
      <c r="DJ3" s="42">
        <v>0.6</v>
      </c>
      <c r="DK3" s="42">
        <v>0.6</v>
      </c>
      <c r="DL3" s="42">
        <v>0.6</v>
      </c>
      <c r="DM3" s="42">
        <v>0.6</v>
      </c>
      <c r="DN3" s="42">
        <v>0</v>
      </c>
      <c r="DO3" s="42">
        <v>0.5</v>
      </c>
      <c r="DP3" s="42">
        <v>0.5</v>
      </c>
      <c r="DQ3" s="42">
        <v>0.5</v>
      </c>
      <c r="DR3" s="42">
        <v>0.5</v>
      </c>
      <c r="DS3" s="42">
        <v>0</v>
      </c>
      <c r="DT3" s="42">
        <v>0.3</v>
      </c>
      <c r="DU3" s="42">
        <v>0.3</v>
      </c>
      <c r="DV3" s="42">
        <v>0.3</v>
      </c>
      <c r="DW3" s="42">
        <v>0.3</v>
      </c>
      <c r="DX3" s="42">
        <v>0</v>
      </c>
      <c r="DY3" s="42">
        <v>0.1</v>
      </c>
      <c r="DZ3" s="42">
        <v>0.1</v>
      </c>
      <c r="EA3" s="42">
        <v>0.1</v>
      </c>
      <c r="EB3" s="42">
        <v>0.1</v>
      </c>
      <c r="EC3" s="42">
        <v>0</v>
      </c>
      <c r="ED3" s="42">
        <v>1</v>
      </c>
      <c r="EE3" s="42">
        <v>1</v>
      </c>
      <c r="EF3" s="42">
        <v>1</v>
      </c>
      <c r="EG3" s="42">
        <v>1</v>
      </c>
      <c r="EH3" s="42">
        <v>0</v>
      </c>
      <c r="EI3" s="42">
        <v>0.95</v>
      </c>
      <c r="EJ3" s="42">
        <v>0.95</v>
      </c>
      <c r="EK3" s="42">
        <v>0.95</v>
      </c>
      <c r="EL3" s="42">
        <v>0.95</v>
      </c>
      <c r="EM3" s="42">
        <v>0</v>
      </c>
      <c r="EN3" s="42">
        <v>0.9</v>
      </c>
      <c r="EO3" s="42">
        <v>0.9</v>
      </c>
      <c r="EP3" s="42">
        <v>0.9</v>
      </c>
      <c r="EQ3" s="42">
        <v>0.9</v>
      </c>
      <c r="ER3" s="42">
        <v>0</v>
      </c>
      <c r="ES3" s="42">
        <v>0.85</v>
      </c>
      <c r="ET3" s="42">
        <v>0.85</v>
      </c>
      <c r="EU3" s="42">
        <v>0.85</v>
      </c>
      <c r="EV3" s="42">
        <v>0.85</v>
      </c>
      <c r="EW3" s="42">
        <v>0</v>
      </c>
      <c r="EX3" s="42">
        <v>0.8</v>
      </c>
      <c r="EY3" s="42">
        <v>0.8</v>
      </c>
      <c r="EZ3" s="42">
        <v>0.8</v>
      </c>
      <c r="FA3" s="42">
        <v>0.8</v>
      </c>
      <c r="FB3" s="42">
        <v>0</v>
      </c>
      <c r="FC3" s="42">
        <v>0.75</v>
      </c>
      <c r="FD3" s="42">
        <v>0.75</v>
      </c>
      <c r="FE3" s="42">
        <v>0.75</v>
      </c>
      <c r="FF3" s="42">
        <v>0.75</v>
      </c>
      <c r="FG3" s="42">
        <v>0</v>
      </c>
      <c r="FH3" s="42">
        <v>0.7</v>
      </c>
      <c r="FI3" s="42">
        <v>0.7</v>
      </c>
      <c r="FJ3" s="42">
        <v>0.7</v>
      </c>
      <c r="FK3" s="42">
        <v>0.7</v>
      </c>
      <c r="FL3" s="42">
        <v>0</v>
      </c>
      <c r="FM3" s="42">
        <v>0.65</v>
      </c>
      <c r="FN3" s="42">
        <v>0.65</v>
      </c>
      <c r="FO3" s="42">
        <v>0.65</v>
      </c>
      <c r="FP3" s="42">
        <v>0.65</v>
      </c>
      <c r="FQ3" s="42">
        <v>0</v>
      </c>
      <c r="FR3" s="42">
        <v>0.6</v>
      </c>
      <c r="FS3" s="42">
        <v>0.6</v>
      </c>
      <c r="FT3" s="42">
        <v>0.6</v>
      </c>
      <c r="FU3" s="42">
        <v>0.6</v>
      </c>
      <c r="FV3" s="42">
        <v>0</v>
      </c>
      <c r="FW3" s="42">
        <v>0.5</v>
      </c>
      <c r="FX3" s="42">
        <v>0.5</v>
      </c>
      <c r="FY3" s="42">
        <v>0.5</v>
      </c>
      <c r="FZ3" s="42">
        <v>0.5</v>
      </c>
      <c r="GA3" s="42">
        <v>0</v>
      </c>
      <c r="GB3" s="42">
        <v>0.3</v>
      </c>
      <c r="GC3" s="42">
        <v>0.3</v>
      </c>
      <c r="GD3" s="42">
        <v>0.3</v>
      </c>
      <c r="GE3" s="42">
        <v>0.3</v>
      </c>
      <c r="GF3" s="42">
        <v>0</v>
      </c>
      <c r="GG3" s="42">
        <v>0.1</v>
      </c>
      <c r="GH3" s="42">
        <v>0.1</v>
      </c>
      <c r="GI3" s="42">
        <v>0.1</v>
      </c>
      <c r="GJ3" s="42">
        <v>0.1</v>
      </c>
      <c r="GK3" s="42">
        <v>0</v>
      </c>
      <c r="GL3" s="42">
        <v>1</v>
      </c>
      <c r="GM3" s="42">
        <v>1</v>
      </c>
      <c r="GN3" s="42">
        <v>0.8</v>
      </c>
      <c r="GO3" s="42">
        <v>0.8</v>
      </c>
      <c r="GP3" s="42">
        <v>0</v>
      </c>
      <c r="GQ3" s="42">
        <v>1</v>
      </c>
      <c r="GR3" s="42">
        <v>1</v>
      </c>
      <c r="GS3" s="42">
        <v>0.8</v>
      </c>
      <c r="GT3" s="42">
        <v>0.8</v>
      </c>
      <c r="GU3" s="42">
        <v>0</v>
      </c>
      <c r="GV3" s="42">
        <v>1</v>
      </c>
      <c r="GW3" s="42">
        <v>1</v>
      </c>
      <c r="GX3" s="42">
        <v>0.8</v>
      </c>
      <c r="GY3" s="42">
        <v>0.8</v>
      </c>
      <c r="GZ3" s="42">
        <v>0</v>
      </c>
      <c r="HA3" s="42">
        <v>1</v>
      </c>
      <c r="HB3" s="42">
        <v>1</v>
      </c>
      <c r="HC3" s="42">
        <v>0.8</v>
      </c>
      <c r="HD3" s="42">
        <v>0.8</v>
      </c>
      <c r="HE3" s="42">
        <v>0</v>
      </c>
      <c r="HF3" s="42">
        <v>0.8</v>
      </c>
      <c r="HG3" s="42">
        <v>0.8</v>
      </c>
      <c r="HH3" s="42">
        <v>0.8</v>
      </c>
      <c r="HI3" s="42">
        <v>0.8</v>
      </c>
      <c r="HJ3" s="42">
        <v>0</v>
      </c>
      <c r="HK3" s="42">
        <v>1</v>
      </c>
      <c r="HL3" s="42">
        <v>1</v>
      </c>
      <c r="HM3" s="42">
        <v>0.8</v>
      </c>
      <c r="HN3" s="42">
        <v>0.8</v>
      </c>
      <c r="HO3">
        <v>0</v>
      </c>
      <c r="HP3">
        <v>1</v>
      </c>
      <c r="HQ3">
        <v>1</v>
      </c>
      <c r="HR3">
        <v>0.8</v>
      </c>
      <c r="HS3">
        <v>0.8</v>
      </c>
      <c r="HT3">
        <v>0</v>
      </c>
      <c r="HU3">
        <v>1</v>
      </c>
      <c r="HV3">
        <v>1</v>
      </c>
      <c r="HW3">
        <v>0.8</v>
      </c>
      <c r="HX3">
        <v>0.8</v>
      </c>
      <c r="HY3">
        <v>0</v>
      </c>
      <c r="HZ3">
        <v>1</v>
      </c>
      <c r="IA3">
        <v>1</v>
      </c>
      <c r="IB3">
        <v>0.8</v>
      </c>
      <c r="IC3">
        <v>0.8</v>
      </c>
      <c r="ID3">
        <v>0</v>
      </c>
      <c r="IE3">
        <v>1</v>
      </c>
      <c r="IF3">
        <v>1</v>
      </c>
      <c r="IG3">
        <v>0.8</v>
      </c>
      <c r="IH3">
        <v>0.8</v>
      </c>
      <c r="II3">
        <v>0</v>
      </c>
      <c r="IJ3">
        <v>1</v>
      </c>
      <c r="IK3">
        <v>1</v>
      </c>
      <c r="IL3">
        <v>0.8</v>
      </c>
      <c r="IM3">
        <v>0.8</v>
      </c>
      <c r="IN3">
        <v>0</v>
      </c>
      <c r="IO3" s="86">
        <v>1</v>
      </c>
      <c r="IP3">
        <v>1</v>
      </c>
      <c r="IQ3">
        <v>0.8</v>
      </c>
      <c r="IR3">
        <v>0.8</v>
      </c>
      <c r="IS3">
        <v>0</v>
      </c>
      <c r="IT3">
        <v>1</v>
      </c>
      <c r="IU3">
        <v>1</v>
      </c>
      <c r="IV3">
        <v>0.8</v>
      </c>
      <c r="IW3">
        <v>0.8</v>
      </c>
      <c r="IX3">
        <v>0</v>
      </c>
      <c r="IY3">
        <v>1</v>
      </c>
      <c r="IZ3">
        <v>1</v>
      </c>
      <c r="JA3">
        <v>0.8</v>
      </c>
      <c r="JB3">
        <v>0.8</v>
      </c>
      <c r="JC3">
        <v>0</v>
      </c>
      <c r="JD3">
        <v>1</v>
      </c>
      <c r="JE3">
        <v>1</v>
      </c>
      <c r="JF3">
        <v>0.8</v>
      </c>
      <c r="JG3">
        <v>0.8</v>
      </c>
      <c r="JH3">
        <v>0</v>
      </c>
      <c r="JI3">
        <v>1</v>
      </c>
      <c r="JJ3">
        <v>1</v>
      </c>
      <c r="JK3">
        <v>0.8</v>
      </c>
      <c r="JL3">
        <v>0.8</v>
      </c>
      <c r="JM3">
        <v>0</v>
      </c>
      <c r="JN3">
        <v>1</v>
      </c>
      <c r="JO3">
        <v>1</v>
      </c>
      <c r="JP3">
        <v>0.8</v>
      </c>
      <c r="JQ3">
        <v>0.8</v>
      </c>
      <c r="JR3">
        <v>0</v>
      </c>
      <c r="JS3">
        <v>1</v>
      </c>
      <c r="JT3">
        <v>1</v>
      </c>
      <c r="JU3">
        <v>0.8</v>
      </c>
      <c r="JV3">
        <v>0.8</v>
      </c>
      <c r="JW3">
        <v>0</v>
      </c>
      <c r="JX3">
        <v>1</v>
      </c>
      <c r="JY3">
        <v>1</v>
      </c>
      <c r="JZ3">
        <v>0.8</v>
      </c>
      <c r="KA3">
        <v>0.8</v>
      </c>
      <c r="KB3">
        <v>0</v>
      </c>
      <c r="KC3">
        <v>1</v>
      </c>
      <c r="KD3">
        <v>1</v>
      </c>
      <c r="KE3">
        <v>0.8</v>
      </c>
      <c r="KF3">
        <v>0.8</v>
      </c>
      <c r="KG3">
        <v>0</v>
      </c>
      <c r="KH3">
        <v>1</v>
      </c>
      <c r="KI3">
        <v>1</v>
      </c>
      <c r="KJ3">
        <v>0.8</v>
      </c>
      <c r="KK3">
        <v>0.8</v>
      </c>
      <c r="KL3">
        <v>0</v>
      </c>
      <c r="KM3">
        <v>1</v>
      </c>
      <c r="KN3">
        <v>1</v>
      </c>
      <c r="KO3">
        <v>0.8</v>
      </c>
      <c r="KP3">
        <v>0.8</v>
      </c>
      <c r="KQ3">
        <v>0</v>
      </c>
      <c r="KR3">
        <v>1</v>
      </c>
      <c r="KS3">
        <v>1</v>
      </c>
      <c r="KT3">
        <v>0.8</v>
      </c>
      <c r="KU3">
        <v>0.8</v>
      </c>
      <c r="KV3">
        <v>0</v>
      </c>
      <c r="KW3">
        <v>1</v>
      </c>
      <c r="KX3">
        <v>1</v>
      </c>
      <c r="KY3">
        <v>0.8</v>
      </c>
      <c r="KZ3">
        <v>0.8</v>
      </c>
      <c r="LA3">
        <v>0</v>
      </c>
      <c r="LB3">
        <v>1</v>
      </c>
      <c r="LC3">
        <v>1</v>
      </c>
      <c r="LD3">
        <v>0.8</v>
      </c>
      <c r="LE3">
        <v>0.8</v>
      </c>
      <c r="LF3">
        <v>0</v>
      </c>
      <c r="LG3">
        <v>1</v>
      </c>
      <c r="LH3">
        <v>1</v>
      </c>
      <c r="LI3">
        <v>0.8</v>
      </c>
      <c r="LJ3">
        <v>0.8</v>
      </c>
      <c r="LK3">
        <v>0</v>
      </c>
      <c r="LL3">
        <v>1</v>
      </c>
      <c r="LM3">
        <v>1</v>
      </c>
      <c r="LN3">
        <v>0.8</v>
      </c>
      <c r="LO3">
        <v>0.8</v>
      </c>
      <c r="LP3">
        <v>0</v>
      </c>
      <c r="LQ3">
        <v>1</v>
      </c>
      <c r="LR3">
        <v>1</v>
      </c>
      <c r="LS3">
        <v>0.8</v>
      </c>
      <c r="LT3">
        <v>0.8</v>
      </c>
      <c r="LU3">
        <v>0</v>
      </c>
      <c r="LV3">
        <v>1</v>
      </c>
      <c r="LW3">
        <v>1</v>
      </c>
      <c r="LX3">
        <v>0.8</v>
      </c>
      <c r="LY3">
        <v>0.8</v>
      </c>
      <c r="LZ3">
        <v>0</v>
      </c>
      <c r="MA3">
        <v>1</v>
      </c>
      <c r="MB3">
        <v>1</v>
      </c>
      <c r="MC3">
        <v>0.8</v>
      </c>
      <c r="MD3">
        <v>0.8</v>
      </c>
      <c r="ME3">
        <v>0</v>
      </c>
      <c r="MF3">
        <v>1</v>
      </c>
      <c r="MG3">
        <v>1</v>
      </c>
      <c r="MH3">
        <v>0.8</v>
      </c>
      <c r="MI3">
        <v>0.8</v>
      </c>
      <c r="MJ3">
        <v>0</v>
      </c>
      <c r="MK3">
        <v>1</v>
      </c>
      <c r="ML3">
        <v>1</v>
      </c>
      <c r="MM3">
        <v>0.8</v>
      </c>
      <c r="MN3">
        <v>0.8</v>
      </c>
      <c r="MO3">
        <v>0</v>
      </c>
      <c r="MP3">
        <v>1</v>
      </c>
      <c r="MQ3">
        <v>1</v>
      </c>
      <c r="MR3">
        <v>0.8</v>
      </c>
      <c r="MS3">
        <v>0.8</v>
      </c>
      <c r="MT3">
        <v>0</v>
      </c>
      <c r="MU3">
        <v>1</v>
      </c>
      <c r="MV3">
        <v>1</v>
      </c>
      <c r="MW3">
        <v>0.8</v>
      </c>
      <c r="MX3">
        <v>0.8</v>
      </c>
      <c r="MY3">
        <v>0</v>
      </c>
      <c r="MZ3">
        <v>1</v>
      </c>
      <c r="NA3">
        <v>1</v>
      </c>
      <c r="NB3">
        <v>0.8</v>
      </c>
      <c r="NC3">
        <v>0.8</v>
      </c>
      <c r="ND3">
        <v>0</v>
      </c>
      <c r="NE3">
        <v>1</v>
      </c>
      <c r="NF3">
        <v>1</v>
      </c>
      <c r="NG3">
        <v>0.8</v>
      </c>
      <c r="NH3">
        <v>0.8</v>
      </c>
      <c r="NI3">
        <v>0</v>
      </c>
      <c r="NJ3">
        <v>1</v>
      </c>
      <c r="NK3">
        <v>1</v>
      </c>
      <c r="NL3">
        <v>0.8</v>
      </c>
      <c r="NM3">
        <v>0.8</v>
      </c>
      <c r="NN3">
        <v>0</v>
      </c>
      <c r="NO3">
        <v>1</v>
      </c>
      <c r="NP3">
        <v>1</v>
      </c>
      <c r="NQ3">
        <v>0.8</v>
      </c>
      <c r="NR3">
        <v>0.8</v>
      </c>
      <c r="NS3">
        <v>0</v>
      </c>
      <c r="NT3">
        <v>1</v>
      </c>
      <c r="NU3">
        <v>1</v>
      </c>
      <c r="NV3">
        <v>0.8</v>
      </c>
      <c r="NW3">
        <v>0.8</v>
      </c>
      <c r="NX3">
        <v>0</v>
      </c>
      <c r="NY3">
        <v>1</v>
      </c>
      <c r="NZ3">
        <v>1</v>
      </c>
      <c r="OA3">
        <v>0.8</v>
      </c>
      <c r="OB3">
        <v>0.8</v>
      </c>
      <c r="OC3">
        <v>0</v>
      </c>
      <c r="OD3">
        <v>1</v>
      </c>
      <c r="OE3">
        <v>1</v>
      </c>
      <c r="OF3">
        <v>0.8</v>
      </c>
      <c r="OG3">
        <v>0.8</v>
      </c>
      <c r="OH3">
        <v>0</v>
      </c>
      <c r="OI3">
        <v>1</v>
      </c>
      <c r="OJ3">
        <v>1</v>
      </c>
      <c r="OK3">
        <v>0.8</v>
      </c>
      <c r="OL3">
        <v>0.8</v>
      </c>
      <c r="OM3">
        <v>0</v>
      </c>
      <c r="ON3">
        <v>1</v>
      </c>
      <c r="OO3">
        <v>1</v>
      </c>
      <c r="OP3">
        <v>0.8</v>
      </c>
      <c r="OQ3">
        <v>0.8</v>
      </c>
      <c r="OR3">
        <v>0</v>
      </c>
      <c r="OS3">
        <v>1</v>
      </c>
      <c r="OT3">
        <v>1</v>
      </c>
      <c r="OU3">
        <v>0.8</v>
      </c>
      <c r="OV3">
        <v>0.8</v>
      </c>
      <c r="OW3">
        <v>0</v>
      </c>
      <c r="OX3">
        <v>1</v>
      </c>
      <c r="OY3">
        <v>1</v>
      </c>
      <c r="OZ3">
        <v>0.8</v>
      </c>
      <c r="PA3">
        <v>0.8</v>
      </c>
      <c r="PB3">
        <v>0</v>
      </c>
      <c r="PC3">
        <v>1</v>
      </c>
      <c r="PD3">
        <v>1</v>
      </c>
      <c r="PE3">
        <v>0.8</v>
      </c>
      <c r="PF3">
        <v>0.8</v>
      </c>
      <c r="PG3">
        <v>0</v>
      </c>
      <c r="PH3">
        <v>1</v>
      </c>
      <c r="PI3">
        <v>1</v>
      </c>
      <c r="PJ3">
        <v>0.8</v>
      </c>
      <c r="PK3">
        <v>0.8</v>
      </c>
      <c r="PL3" s="42">
        <v>0</v>
      </c>
      <c r="PM3" s="42">
        <v>1</v>
      </c>
      <c r="PN3" s="42">
        <v>1</v>
      </c>
      <c r="PO3" s="42">
        <v>0.8</v>
      </c>
      <c r="PP3" s="42">
        <v>0.8</v>
      </c>
      <c r="PQ3">
        <v>0</v>
      </c>
      <c r="PR3">
        <v>1</v>
      </c>
      <c r="PS3">
        <v>1</v>
      </c>
      <c r="PT3">
        <v>0.8</v>
      </c>
      <c r="PU3">
        <v>0.8</v>
      </c>
      <c r="PV3">
        <v>0</v>
      </c>
      <c r="PW3">
        <v>1</v>
      </c>
      <c r="PX3">
        <v>1</v>
      </c>
      <c r="PY3">
        <v>0.8</v>
      </c>
      <c r="PZ3">
        <v>0.8</v>
      </c>
      <c r="QA3" s="42">
        <v>0</v>
      </c>
      <c r="QB3" s="42">
        <v>1</v>
      </c>
      <c r="QC3" s="42">
        <v>1</v>
      </c>
      <c r="QD3" s="42">
        <v>0.8</v>
      </c>
      <c r="QE3" s="42">
        <v>0.8</v>
      </c>
    </row>
    <row r="4" spans="1:666" x14ac:dyDescent="0.15">
      <c r="A4" s="42" t="s">
        <v>175</v>
      </c>
      <c r="B4" s="42">
        <v>0</v>
      </c>
      <c r="C4" s="42">
        <f>FixedParams!$H$6</f>
        <v>1</v>
      </c>
      <c r="D4" s="42">
        <f t="shared" si="116"/>
        <v>1</v>
      </c>
      <c r="E4" s="42">
        <f>FixedParams!$H$7</f>
        <v>0.5</v>
      </c>
      <c r="F4" s="42">
        <f t="shared" si="116"/>
        <v>0.5</v>
      </c>
      <c r="H4" s="42">
        <v>0</v>
      </c>
      <c r="I4" s="42">
        <v>1</v>
      </c>
      <c r="J4" s="42">
        <v>1</v>
      </c>
      <c r="K4" s="42">
        <v>0.5</v>
      </c>
      <c r="L4" s="42">
        <v>0.5</v>
      </c>
      <c r="M4" s="42">
        <v>0</v>
      </c>
      <c r="N4" s="42">
        <v>1</v>
      </c>
      <c r="O4" s="42">
        <v>1</v>
      </c>
      <c r="P4" s="42">
        <v>0.5</v>
      </c>
      <c r="Q4" s="42">
        <v>0.5</v>
      </c>
      <c r="R4" s="42">
        <v>0</v>
      </c>
      <c r="S4" s="42">
        <v>1</v>
      </c>
      <c r="T4" s="42">
        <v>1</v>
      </c>
      <c r="U4" s="42">
        <v>0.5</v>
      </c>
      <c r="V4" s="42">
        <v>0.5</v>
      </c>
      <c r="W4" s="42">
        <v>0</v>
      </c>
      <c r="X4" s="42">
        <v>1</v>
      </c>
      <c r="Y4" s="42">
        <v>1</v>
      </c>
      <c r="Z4" s="42">
        <v>0.5</v>
      </c>
      <c r="AA4" s="42">
        <v>0.5</v>
      </c>
      <c r="AB4" s="42">
        <v>0</v>
      </c>
      <c r="AC4" s="42">
        <v>1</v>
      </c>
      <c r="AD4" s="42">
        <v>1</v>
      </c>
      <c r="AE4" s="42">
        <v>0.5</v>
      </c>
      <c r="AF4" s="42">
        <v>0.5</v>
      </c>
      <c r="AG4" s="42">
        <v>0</v>
      </c>
      <c r="AH4" s="42">
        <v>1</v>
      </c>
      <c r="AI4" s="42">
        <v>1</v>
      </c>
      <c r="AJ4" s="42">
        <v>0.5</v>
      </c>
      <c r="AK4" s="42">
        <v>0.5</v>
      </c>
      <c r="AL4" s="42">
        <v>0</v>
      </c>
      <c r="AM4" s="42">
        <v>1</v>
      </c>
      <c r="AN4" s="42">
        <v>1</v>
      </c>
      <c r="AO4" s="42">
        <v>0.5</v>
      </c>
      <c r="AP4" s="42">
        <v>0.5</v>
      </c>
      <c r="AQ4" s="42">
        <v>0</v>
      </c>
      <c r="AR4" s="42">
        <v>1</v>
      </c>
      <c r="AS4" s="42">
        <v>1</v>
      </c>
      <c r="AT4" s="42">
        <v>0.5</v>
      </c>
      <c r="AU4" s="42">
        <v>0.5</v>
      </c>
      <c r="AV4" s="42">
        <v>0</v>
      </c>
      <c r="AW4" s="42">
        <v>1</v>
      </c>
      <c r="AX4" s="42">
        <v>1</v>
      </c>
      <c r="AY4" s="42">
        <v>0.5</v>
      </c>
      <c r="AZ4" s="42">
        <v>0.5</v>
      </c>
      <c r="BA4" s="42">
        <v>0</v>
      </c>
      <c r="BB4" s="42">
        <v>1</v>
      </c>
      <c r="BC4" s="42">
        <v>1</v>
      </c>
      <c r="BD4" s="42">
        <v>0.5</v>
      </c>
      <c r="BE4" s="42">
        <v>0.5</v>
      </c>
      <c r="BF4" s="42">
        <v>0</v>
      </c>
      <c r="BG4" s="42">
        <v>1</v>
      </c>
      <c r="BH4" s="42">
        <v>1</v>
      </c>
      <c r="BI4" s="42">
        <v>0.5</v>
      </c>
      <c r="BJ4" s="42">
        <v>0.5</v>
      </c>
      <c r="BK4" s="42">
        <v>0</v>
      </c>
      <c r="BL4" s="42">
        <v>1</v>
      </c>
      <c r="BM4" s="42">
        <v>1</v>
      </c>
      <c r="BN4" s="42">
        <v>0.5</v>
      </c>
      <c r="BO4" s="42">
        <v>0.5</v>
      </c>
      <c r="BP4" s="42">
        <v>0</v>
      </c>
      <c r="BQ4" s="42">
        <v>1</v>
      </c>
      <c r="BR4" s="42">
        <v>1</v>
      </c>
      <c r="BS4" s="42">
        <v>0.5</v>
      </c>
      <c r="BT4" s="42">
        <v>0.5</v>
      </c>
      <c r="BU4" s="42">
        <v>0</v>
      </c>
      <c r="BV4" s="42">
        <v>0.25</v>
      </c>
      <c r="BW4" s="42">
        <v>0.25</v>
      </c>
      <c r="BX4" s="42">
        <v>0</v>
      </c>
      <c r="BY4" s="42">
        <v>0</v>
      </c>
      <c r="BZ4" s="42">
        <v>0</v>
      </c>
      <c r="CA4" s="42">
        <v>0.25</v>
      </c>
      <c r="CB4" s="42">
        <v>0.25</v>
      </c>
      <c r="CC4" s="42">
        <v>0</v>
      </c>
      <c r="CD4" s="42">
        <v>0</v>
      </c>
      <c r="CE4" s="42">
        <v>0</v>
      </c>
      <c r="CF4" s="42">
        <v>0.25</v>
      </c>
      <c r="CG4" s="42">
        <v>0.25</v>
      </c>
      <c r="CH4" s="42">
        <v>0</v>
      </c>
      <c r="CI4" s="42">
        <v>0</v>
      </c>
      <c r="CJ4" s="42">
        <v>0</v>
      </c>
      <c r="CK4" s="42">
        <v>0.25</v>
      </c>
      <c r="CL4" s="42">
        <v>0.25</v>
      </c>
      <c r="CM4" s="42">
        <v>0</v>
      </c>
      <c r="CN4" s="42">
        <v>0</v>
      </c>
      <c r="CO4" s="42">
        <v>0</v>
      </c>
      <c r="CP4" s="42">
        <v>0.25</v>
      </c>
      <c r="CQ4" s="42">
        <v>0.25</v>
      </c>
      <c r="CR4" s="42">
        <v>0</v>
      </c>
      <c r="CS4" s="42">
        <v>0</v>
      </c>
      <c r="CT4" s="42">
        <v>0</v>
      </c>
      <c r="CU4" s="42">
        <v>0.25</v>
      </c>
      <c r="CV4" s="42">
        <v>0.25</v>
      </c>
      <c r="CW4" s="42">
        <v>0</v>
      </c>
      <c r="CX4" s="42">
        <v>0</v>
      </c>
      <c r="CY4" s="42">
        <v>0</v>
      </c>
      <c r="CZ4" s="42">
        <v>0.25</v>
      </c>
      <c r="DA4" s="42">
        <v>0.25</v>
      </c>
      <c r="DB4" s="42">
        <v>0</v>
      </c>
      <c r="DC4" s="42">
        <v>0</v>
      </c>
      <c r="DD4" s="42">
        <v>0</v>
      </c>
      <c r="DE4" s="42">
        <v>0.25</v>
      </c>
      <c r="DF4" s="42">
        <v>0.25</v>
      </c>
      <c r="DG4" s="42">
        <v>0</v>
      </c>
      <c r="DH4" s="42">
        <v>0</v>
      </c>
      <c r="DI4" s="42">
        <v>0</v>
      </c>
      <c r="DJ4" s="42">
        <v>0.25</v>
      </c>
      <c r="DK4" s="42">
        <v>0.25</v>
      </c>
      <c r="DL4" s="42">
        <v>0</v>
      </c>
      <c r="DM4" s="42">
        <v>0</v>
      </c>
      <c r="DN4" s="42">
        <v>0</v>
      </c>
      <c r="DO4" s="42">
        <v>0.25</v>
      </c>
      <c r="DP4" s="42">
        <v>0.25</v>
      </c>
      <c r="DQ4" s="42">
        <v>0</v>
      </c>
      <c r="DR4" s="42">
        <v>0</v>
      </c>
      <c r="DS4" s="42">
        <v>0</v>
      </c>
      <c r="DT4" s="42">
        <v>0.25</v>
      </c>
      <c r="DU4" s="42">
        <v>0.25</v>
      </c>
      <c r="DV4" s="42">
        <v>0</v>
      </c>
      <c r="DW4" s="42">
        <v>0</v>
      </c>
      <c r="DX4" s="42">
        <v>0</v>
      </c>
      <c r="DY4" s="42">
        <v>0.25</v>
      </c>
      <c r="DZ4" s="42">
        <v>0.25</v>
      </c>
      <c r="EA4" s="42">
        <v>0</v>
      </c>
      <c r="EB4" s="42">
        <v>0</v>
      </c>
      <c r="EC4" s="42">
        <v>0</v>
      </c>
      <c r="ED4" s="42">
        <v>1</v>
      </c>
      <c r="EE4" s="42">
        <v>1</v>
      </c>
      <c r="EF4" s="42">
        <v>0.5</v>
      </c>
      <c r="EG4" s="42">
        <v>0.5</v>
      </c>
      <c r="EH4" s="42">
        <v>0</v>
      </c>
      <c r="EI4" s="42">
        <v>1</v>
      </c>
      <c r="EJ4" s="42">
        <v>1</v>
      </c>
      <c r="EK4" s="42">
        <v>0.5</v>
      </c>
      <c r="EL4" s="42">
        <v>0.5</v>
      </c>
      <c r="EM4" s="42">
        <v>0</v>
      </c>
      <c r="EN4" s="42">
        <v>1</v>
      </c>
      <c r="EO4" s="42">
        <v>1</v>
      </c>
      <c r="EP4" s="42">
        <v>0.5</v>
      </c>
      <c r="EQ4" s="42">
        <v>0.5</v>
      </c>
      <c r="ER4" s="42">
        <v>0</v>
      </c>
      <c r="ES4" s="42">
        <v>1</v>
      </c>
      <c r="ET4" s="42">
        <v>1</v>
      </c>
      <c r="EU4" s="42">
        <v>0.5</v>
      </c>
      <c r="EV4" s="42">
        <v>0.5</v>
      </c>
      <c r="EW4" s="42">
        <v>0</v>
      </c>
      <c r="EX4" s="42">
        <v>1</v>
      </c>
      <c r="EY4" s="42">
        <v>1</v>
      </c>
      <c r="EZ4" s="42">
        <v>0.5</v>
      </c>
      <c r="FA4" s="42">
        <v>0.5</v>
      </c>
      <c r="FB4" s="42">
        <v>0</v>
      </c>
      <c r="FC4" s="42">
        <v>1</v>
      </c>
      <c r="FD4" s="42">
        <v>1</v>
      </c>
      <c r="FE4" s="42">
        <v>0.5</v>
      </c>
      <c r="FF4" s="42">
        <v>0.5</v>
      </c>
      <c r="FG4" s="42">
        <v>0</v>
      </c>
      <c r="FH4" s="42">
        <v>1</v>
      </c>
      <c r="FI4" s="42">
        <v>1</v>
      </c>
      <c r="FJ4" s="42">
        <v>0.5</v>
      </c>
      <c r="FK4" s="42">
        <v>0.5</v>
      </c>
      <c r="FL4" s="42">
        <v>0</v>
      </c>
      <c r="FM4" s="42">
        <v>1</v>
      </c>
      <c r="FN4" s="42">
        <v>1</v>
      </c>
      <c r="FO4" s="42">
        <v>0.5</v>
      </c>
      <c r="FP4" s="42">
        <v>0.5</v>
      </c>
      <c r="FQ4" s="42">
        <v>0</v>
      </c>
      <c r="FR4" s="42">
        <v>1</v>
      </c>
      <c r="FS4" s="42">
        <v>1</v>
      </c>
      <c r="FT4" s="42">
        <v>0.5</v>
      </c>
      <c r="FU4" s="42">
        <v>0.5</v>
      </c>
      <c r="FV4" s="42">
        <v>0</v>
      </c>
      <c r="FW4" s="42">
        <v>1</v>
      </c>
      <c r="FX4" s="42">
        <v>1</v>
      </c>
      <c r="FY4" s="42">
        <v>0.5</v>
      </c>
      <c r="FZ4" s="42">
        <v>0.5</v>
      </c>
      <c r="GA4" s="42">
        <v>0</v>
      </c>
      <c r="GB4" s="42">
        <v>1</v>
      </c>
      <c r="GC4" s="42">
        <v>1</v>
      </c>
      <c r="GD4" s="42">
        <v>0.5</v>
      </c>
      <c r="GE4" s="42">
        <v>0.5</v>
      </c>
      <c r="GF4" s="42">
        <v>0</v>
      </c>
      <c r="GG4" s="42">
        <v>1</v>
      </c>
      <c r="GH4" s="42">
        <v>1</v>
      </c>
      <c r="GI4" s="42">
        <v>0.5</v>
      </c>
      <c r="GJ4" s="42">
        <v>0.5</v>
      </c>
      <c r="GK4" s="42">
        <v>0</v>
      </c>
      <c r="GL4" s="42">
        <v>1</v>
      </c>
      <c r="GM4" s="42">
        <v>1</v>
      </c>
      <c r="GN4" s="42">
        <v>0.5</v>
      </c>
      <c r="GO4" s="42">
        <v>0.5</v>
      </c>
      <c r="GP4" s="42">
        <v>0</v>
      </c>
      <c r="GQ4" s="42">
        <v>1</v>
      </c>
      <c r="GR4" s="42">
        <v>1</v>
      </c>
      <c r="GS4" s="42">
        <v>0.5</v>
      </c>
      <c r="GT4" s="42">
        <v>0.5</v>
      </c>
      <c r="GU4" s="42">
        <v>0</v>
      </c>
      <c r="GV4" s="42">
        <v>1</v>
      </c>
      <c r="GW4" s="42">
        <v>1</v>
      </c>
      <c r="GX4" s="42">
        <v>0.5</v>
      </c>
      <c r="GY4" s="42">
        <v>0.5</v>
      </c>
      <c r="GZ4" s="42">
        <v>0</v>
      </c>
      <c r="HA4" s="42">
        <v>1</v>
      </c>
      <c r="HB4" s="42">
        <v>1</v>
      </c>
      <c r="HC4" s="42">
        <v>0.5</v>
      </c>
      <c r="HD4" s="42">
        <v>0.5</v>
      </c>
      <c r="HE4" s="42">
        <v>0</v>
      </c>
      <c r="HF4" s="42">
        <v>1</v>
      </c>
      <c r="HG4" s="42">
        <v>1</v>
      </c>
      <c r="HH4" s="42">
        <v>0.5</v>
      </c>
      <c r="HI4" s="42">
        <v>0.5</v>
      </c>
      <c r="HJ4" s="42">
        <v>0</v>
      </c>
      <c r="HK4" s="42">
        <v>1</v>
      </c>
      <c r="HL4" s="42">
        <v>1</v>
      </c>
      <c r="HM4" s="42">
        <v>0.5</v>
      </c>
      <c r="HN4" s="42">
        <v>0.5</v>
      </c>
      <c r="HO4">
        <v>0</v>
      </c>
      <c r="HP4">
        <v>1</v>
      </c>
      <c r="HQ4">
        <v>1</v>
      </c>
      <c r="HR4">
        <v>0.5</v>
      </c>
      <c r="HS4">
        <v>0.5</v>
      </c>
      <c r="HT4">
        <v>0</v>
      </c>
      <c r="HU4">
        <v>1</v>
      </c>
      <c r="HV4">
        <v>1</v>
      </c>
      <c r="HW4">
        <v>0.5</v>
      </c>
      <c r="HX4">
        <v>0.5</v>
      </c>
      <c r="HY4">
        <v>0</v>
      </c>
      <c r="HZ4">
        <v>1</v>
      </c>
      <c r="IA4">
        <v>1</v>
      </c>
      <c r="IB4">
        <v>0.5</v>
      </c>
      <c r="IC4">
        <v>0.5</v>
      </c>
      <c r="ID4">
        <v>0</v>
      </c>
      <c r="IE4">
        <v>1</v>
      </c>
      <c r="IF4">
        <v>1</v>
      </c>
      <c r="IG4">
        <v>0.5</v>
      </c>
      <c r="IH4">
        <v>0.5</v>
      </c>
      <c r="II4">
        <v>0</v>
      </c>
      <c r="IJ4">
        <v>1</v>
      </c>
      <c r="IK4">
        <v>1</v>
      </c>
      <c r="IL4">
        <v>0.5</v>
      </c>
      <c r="IM4">
        <v>0.5</v>
      </c>
      <c r="IN4">
        <v>0</v>
      </c>
      <c r="IO4" s="86">
        <v>1</v>
      </c>
      <c r="IP4">
        <v>1</v>
      </c>
      <c r="IQ4">
        <v>0.5</v>
      </c>
      <c r="IR4">
        <v>0.5</v>
      </c>
      <c r="IS4">
        <v>0</v>
      </c>
      <c r="IT4">
        <v>1</v>
      </c>
      <c r="IU4">
        <v>1</v>
      </c>
      <c r="IV4">
        <v>0.5</v>
      </c>
      <c r="IW4">
        <v>0.5</v>
      </c>
      <c r="IX4">
        <v>0</v>
      </c>
      <c r="IY4">
        <v>1</v>
      </c>
      <c r="IZ4">
        <v>1</v>
      </c>
      <c r="JA4">
        <v>0.5</v>
      </c>
      <c r="JB4">
        <v>0.5</v>
      </c>
      <c r="JC4">
        <v>0</v>
      </c>
      <c r="JD4">
        <v>1</v>
      </c>
      <c r="JE4">
        <v>1</v>
      </c>
      <c r="JF4">
        <v>0.5</v>
      </c>
      <c r="JG4">
        <v>0.5</v>
      </c>
      <c r="JH4">
        <v>0</v>
      </c>
      <c r="JI4">
        <v>1</v>
      </c>
      <c r="JJ4">
        <v>1</v>
      </c>
      <c r="JK4">
        <v>0.5</v>
      </c>
      <c r="JL4">
        <v>0.5</v>
      </c>
      <c r="JM4">
        <v>0</v>
      </c>
      <c r="JN4">
        <v>1</v>
      </c>
      <c r="JO4">
        <v>1</v>
      </c>
      <c r="JP4">
        <v>0.5</v>
      </c>
      <c r="JQ4">
        <v>0.5</v>
      </c>
      <c r="JR4">
        <v>0</v>
      </c>
      <c r="JS4">
        <v>1</v>
      </c>
      <c r="JT4">
        <v>1</v>
      </c>
      <c r="JU4">
        <v>0.5</v>
      </c>
      <c r="JV4">
        <v>0.5</v>
      </c>
      <c r="JW4">
        <v>0</v>
      </c>
      <c r="JX4">
        <v>1</v>
      </c>
      <c r="JY4">
        <v>1</v>
      </c>
      <c r="JZ4">
        <v>0.5</v>
      </c>
      <c r="KA4">
        <v>0.5</v>
      </c>
      <c r="KB4">
        <v>0</v>
      </c>
      <c r="KC4">
        <v>1</v>
      </c>
      <c r="KD4">
        <v>1</v>
      </c>
      <c r="KE4">
        <v>0.5</v>
      </c>
      <c r="KF4">
        <v>0.5</v>
      </c>
      <c r="KG4">
        <v>0</v>
      </c>
      <c r="KH4">
        <v>1</v>
      </c>
      <c r="KI4">
        <v>1</v>
      </c>
      <c r="KJ4">
        <v>0.5</v>
      </c>
      <c r="KK4">
        <v>0.5</v>
      </c>
      <c r="KL4">
        <v>0</v>
      </c>
      <c r="KM4">
        <v>1</v>
      </c>
      <c r="KN4">
        <v>1</v>
      </c>
      <c r="KO4">
        <v>0.5</v>
      </c>
      <c r="KP4">
        <v>0.5</v>
      </c>
      <c r="KQ4">
        <v>0</v>
      </c>
      <c r="KR4">
        <v>1</v>
      </c>
      <c r="KS4">
        <v>1</v>
      </c>
      <c r="KT4">
        <v>0.5</v>
      </c>
      <c r="KU4">
        <v>0.5</v>
      </c>
      <c r="KV4">
        <v>0</v>
      </c>
      <c r="KW4">
        <v>1</v>
      </c>
      <c r="KX4">
        <v>1</v>
      </c>
      <c r="KY4">
        <v>0.5</v>
      </c>
      <c r="KZ4">
        <v>0.5</v>
      </c>
      <c r="LA4">
        <v>0</v>
      </c>
      <c r="LB4">
        <v>1</v>
      </c>
      <c r="LC4">
        <v>1</v>
      </c>
      <c r="LD4">
        <v>0.5</v>
      </c>
      <c r="LE4">
        <v>0.5</v>
      </c>
      <c r="LF4">
        <v>0</v>
      </c>
      <c r="LG4">
        <v>1</v>
      </c>
      <c r="LH4">
        <v>1</v>
      </c>
      <c r="LI4">
        <v>0.5</v>
      </c>
      <c r="LJ4">
        <v>0.5</v>
      </c>
      <c r="LK4">
        <v>0</v>
      </c>
      <c r="LL4">
        <v>1</v>
      </c>
      <c r="LM4">
        <v>1</v>
      </c>
      <c r="LN4">
        <v>0.5</v>
      </c>
      <c r="LO4">
        <v>0.5</v>
      </c>
      <c r="LP4">
        <v>0</v>
      </c>
      <c r="LQ4">
        <v>1</v>
      </c>
      <c r="LR4">
        <v>1</v>
      </c>
      <c r="LS4">
        <v>0.5</v>
      </c>
      <c r="LT4">
        <v>0.5</v>
      </c>
      <c r="LU4">
        <v>0</v>
      </c>
      <c r="LV4">
        <v>1</v>
      </c>
      <c r="LW4">
        <v>1</v>
      </c>
      <c r="LX4">
        <v>0.5</v>
      </c>
      <c r="LY4">
        <v>0.5</v>
      </c>
      <c r="LZ4">
        <v>0</v>
      </c>
      <c r="MA4">
        <v>1</v>
      </c>
      <c r="MB4">
        <v>1</v>
      </c>
      <c r="MC4">
        <v>0.5</v>
      </c>
      <c r="MD4">
        <v>0.5</v>
      </c>
      <c r="ME4">
        <v>0</v>
      </c>
      <c r="MF4">
        <v>1</v>
      </c>
      <c r="MG4">
        <v>1</v>
      </c>
      <c r="MH4">
        <v>0.5</v>
      </c>
      <c r="MI4">
        <v>0.5</v>
      </c>
      <c r="MJ4">
        <v>0</v>
      </c>
      <c r="MK4">
        <v>1</v>
      </c>
      <c r="ML4">
        <v>1</v>
      </c>
      <c r="MM4">
        <v>0.5</v>
      </c>
      <c r="MN4">
        <v>0.5</v>
      </c>
      <c r="MO4">
        <v>0</v>
      </c>
      <c r="MP4">
        <v>1</v>
      </c>
      <c r="MQ4">
        <v>1</v>
      </c>
      <c r="MR4">
        <v>0.5</v>
      </c>
      <c r="MS4">
        <v>0.5</v>
      </c>
      <c r="MT4">
        <v>0</v>
      </c>
      <c r="MU4">
        <v>1</v>
      </c>
      <c r="MV4">
        <v>1</v>
      </c>
      <c r="MW4">
        <v>0.5</v>
      </c>
      <c r="MX4">
        <v>0.5</v>
      </c>
      <c r="MY4">
        <v>0</v>
      </c>
      <c r="MZ4">
        <v>1</v>
      </c>
      <c r="NA4">
        <v>1</v>
      </c>
      <c r="NB4">
        <v>0.5</v>
      </c>
      <c r="NC4">
        <v>0.5</v>
      </c>
      <c r="ND4">
        <v>0</v>
      </c>
      <c r="NE4">
        <v>1</v>
      </c>
      <c r="NF4">
        <v>1</v>
      </c>
      <c r="NG4">
        <v>0.5</v>
      </c>
      <c r="NH4">
        <v>0.5</v>
      </c>
      <c r="NI4">
        <v>0</v>
      </c>
      <c r="NJ4">
        <v>1</v>
      </c>
      <c r="NK4">
        <v>1</v>
      </c>
      <c r="NL4">
        <v>0.5</v>
      </c>
      <c r="NM4">
        <v>0.5</v>
      </c>
      <c r="NN4">
        <v>0</v>
      </c>
      <c r="NO4">
        <v>1</v>
      </c>
      <c r="NP4">
        <v>1</v>
      </c>
      <c r="NQ4">
        <v>0.5</v>
      </c>
      <c r="NR4">
        <v>0.5</v>
      </c>
      <c r="NS4">
        <v>0</v>
      </c>
      <c r="NT4">
        <v>1</v>
      </c>
      <c r="NU4">
        <v>1</v>
      </c>
      <c r="NV4">
        <v>0.5</v>
      </c>
      <c r="NW4">
        <v>0.5</v>
      </c>
      <c r="NX4">
        <v>0</v>
      </c>
      <c r="NY4">
        <v>1</v>
      </c>
      <c r="NZ4">
        <v>1</v>
      </c>
      <c r="OA4">
        <v>0.5</v>
      </c>
      <c r="OB4">
        <v>0.5</v>
      </c>
      <c r="OC4">
        <v>0</v>
      </c>
      <c r="OD4">
        <v>1</v>
      </c>
      <c r="OE4">
        <v>1</v>
      </c>
      <c r="OF4">
        <v>0.5</v>
      </c>
      <c r="OG4">
        <v>0.5</v>
      </c>
      <c r="OH4">
        <v>0</v>
      </c>
      <c r="OI4">
        <v>1</v>
      </c>
      <c r="OJ4">
        <v>1</v>
      </c>
      <c r="OK4">
        <v>0.5</v>
      </c>
      <c r="OL4">
        <v>0.5</v>
      </c>
      <c r="OM4">
        <v>0</v>
      </c>
      <c r="ON4">
        <v>1</v>
      </c>
      <c r="OO4">
        <v>1</v>
      </c>
      <c r="OP4">
        <v>0.5</v>
      </c>
      <c r="OQ4">
        <v>0.5</v>
      </c>
      <c r="OR4">
        <v>0</v>
      </c>
      <c r="OS4">
        <v>1</v>
      </c>
      <c r="OT4">
        <v>1</v>
      </c>
      <c r="OU4">
        <v>0.5</v>
      </c>
      <c r="OV4">
        <v>0.5</v>
      </c>
      <c r="OW4">
        <v>0</v>
      </c>
      <c r="OX4">
        <v>1</v>
      </c>
      <c r="OY4">
        <v>1</v>
      </c>
      <c r="OZ4">
        <v>0.5</v>
      </c>
      <c r="PA4">
        <v>0.5</v>
      </c>
      <c r="PB4">
        <v>0</v>
      </c>
      <c r="PC4">
        <v>1</v>
      </c>
      <c r="PD4">
        <v>1</v>
      </c>
      <c r="PE4">
        <v>0.5</v>
      </c>
      <c r="PF4">
        <v>0.5</v>
      </c>
      <c r="PG4">
        <v>0</v>
      </c>
      <c r="PH4">
        <v>1</v>
      </c>
      <c r="PI4">
        <v>1</v>
      </c>
      <c r="PJ4">
        <v>0.5</v>
      </c>
      <c r="PK4">
        <v>0.5</v>
      </c>
      <c r="PL4" s="42">
        <v>0</v>
      </c>
      <c r="PM4" s="42">
        <v>1</v>
      </c>
      <c r="PN4" s="42">
        <v>1</v>
      </c>
      <c r="PO4" s="42">
        <v>0.5</v>
      </c>
      <c r="PP4" s="42">
        <v>0.5</v>
      </c>
      <c r="PQ4">
        <v>0</v>
      </c>
      <c r="PR4">
        <v>1</v>
      </c>
      <c r="PS4">
        <v>1</v>
      </c>
      <c r="PT4">
        <v>0.5</v>
      </c>
      <c r="PU4">
        <v>0.5</v>
      </c>
      <c r="PV4">
        <v>0</v>
      </c>
      <c r="PW4">
        <v>1</v>
      </c>
      <c r="PX4">
        <v>1</v>
      </c>
      <c r="PY4">
        <v>0.5</v>
      </c>
      <c r="PZ4">
        <v>0.5</v>
      </c>
      <c r="QA4" s="42">
        <v>0</v>
      </c>
      <c r="QB4" s="42">
        <v>1</v>
      </c>
      <c r="QC4" s="42">
        <v>1</v>
      </c>
      <c r="QD4" s="42">
        <v>0.5</v>
      </c>
      <c r="QE4" s="42">
        <v>0.5</v>
      </c>
    </row>
    <row r="5" spans="1:666" x14ac:dyDescent="0.15">
      <c r="A5" s="42" t="s">
        <v>20</v>
      </c>
      <c r="B5" s="42">
        <f>FixedParams!B11</f>
        <v>0</v>
      </c>
      <c r="C5" s="42">
        <f>FixedParams!C11</f>
        <v>0</v>
      </c>
      <c r="D5" s="42">
        <f t="shared" si="116"/>
        <v>0</v>
      </c>
      <c r="E5" s="42">
        <f>FixedParams!D11</f>
        <v>0</v>
      </c>
      <c r="F5" s="42">
        <f t="shared" si="116"/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2">
        <v>0</v>
      </c>
      <c r="AE5" s="42">
        <v>0</v>
      </c>
      <c r="AF5" s="42">
        <v>0</v>
      </c>
      <c r="AG5" s="42">
        <v>0</v>
      </c>
      <c r="AH5" s="42">
        <v>0</v>
      </c>
      <c r="AI5" s="42">
        <v>0</v>
      </c>
      <c r="AJ5" s="42">
        <v>0</v>
      </c>
      <c r="AK5" s="42">
        <v>0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2">
        <v>0</v>
      </c>
      <c r="AU5" s="42">
        <v>0</v>
      </c>
      <c r="AV5" s="42">
        <v>0</v>
      </c>
      <c r="AW5" s="42">
        <v>0</v>
      </c>
      <c r="AX5" s="42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42">
        <v>0</v>
      </c>
      <c r="BE5" s="42">
        <v>0</v>
      </c>
      <c r="BF5" s="42">
        <v>0</v>
      </c>
      <c r="BG5" s="42">
        <v>0</v>
      </c>
      <c r="BH5" s="42">
        <v>0</v>
      </c>
      <c r="BI5" s="42">
        <v>0</v>
      </c>
      <c r="BJ5" s="42">
        <v>0</v>
      </c>
      <c r="BK5" s="42">
        <v>0</v>
      </c>
      <c r="BL5" s="42">
        <v>0</v>
      </c>
      <c r="BM5" s="42">
        <v>0</v>
      </c>
      <c r="BN5" s="42">
        <v>0</v>
      </c>
      <c r="BO5" s="42">
        <v>0</v>
      </c>
      <c r="BP5" s="42">
        <v>0</v>
      </c>
      <c r="BQ5" s="42">
        <v>0</v>
      </c>
      <c r="BR5" s="42">
        <v>0</v>
      </c>
      <c r="BS5" s="42">
        <v>0</v>
      </c>
      <c r="BT5" s="42">
        <v>0</v>
      </c>
      <c r="BU5" s="42">
        <v>0</v>
      </c>
      <c r="BV5" s="42">
        <v>0</v>
      </c>
      <c r="BW5" s="42">
        <v>0</v>
      </c>
      <c r="BX5" s="42">
        <v>0</v>
      </c>
      <c r="BY5" s="42">
        <v>0</v>
      </c>
      <c r="BZ5" s="42">
        <v>0</v>
      </c>
      <c r="CA5" s="42">
        <v>0</v>
      </c>
      <c r="CB5" s="42">
        <v>0</v>
      </c>
      <c r="CC5" s="42">
        <v>0</v>
      </c>
      <c r="CD5" s="42">
        <v>0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v>0</v>
      </c>
      <c r="DQ5" s="42">
        <v>0</v>
      </c>
      <c r="DR5" s="42">
        <v>0</v>
      </c>
      <c r="DS5" s="42">
        <v>0</v>
      </c>
      <c r="DT5" s="42">
        <v>0</v>
      </c>
      <c r="DU5" s="42">
        <v>0</v>
      </c>
      <c r="DV5" s="42">
        <v>0</v>
      </c>
      <c r="DW5" s="42">
        <v>0</v>
      </c>
      <c r="DX5" s="42">
        <v>0</v>
      </c>
      <c r="DY5" s="42">
        <v>0</v>
      </c>
      <c r="DZ5" s="42">
        <v>0</v>
      </c>
      <c r="EA5" s="42">
        <v>0</v>
      </c>
      <c r="EB5" s="42">
        <v>0</v>
      </c>
      <c r="EC5" s="42">
        <v>0</v>
      </c>
      <c r="ED5" s="42">
        <v>0.25</v>
      </c>
      <c r="EE5" s="42">
        <v>0.25</v>
      </c>
      <c r="EF5" s="42">
        <v>0.25</v>
      </c>
      <c r="EG5" s="42">
        <v>0.25</v>
      </c>
      <c r="EH5" s="42">
        <v>0</v>
      </c>
      <c r="EI5" s="42">
        <v>0.25</v>
      </c>
      <c r="EJ5" s="42">
        <v>0.25</v>
      </c>
      <c r="EK5" s="42">
        <v>0.25</v>
      </c>
      <c r="EL5" s="42">
        <v>0.25</v>
      </c>
      <c r="EM5" s="42">
        <v>0</v>
      </c>
      <c r="EN5" s="42">
        <v>0.25</v>
      </c>
      <c r="EO5" s="42">
        <v>0.25</v>
      </c>
      <c r="EP5" s="42">
        <v>0.25</v>
      </c>
      <c r="EQ5" s="42">
        <v>0.25</v>
      </c>
      <c r="ER5" s="42">
        <v>0</v>
      </c>
      <c r="ES5" s="42">
        <v>0.25</v>
      </c>
      <c r="ET5" s="42">
        <v>0.25</v>
      </c>
      <c r="EU5" s="42">
        <v>0.25</v>
      </c>
      <c r="EV5" s="42">
        <v>0.25</v>
      </c>
      <c r="EW5" s="42">
        <v>0</v>
      </c>
      <c r="EX5" s="42">
        <v>0.25</v>
      </c>
      <c r="EY5" s="42">
        <v>0.25</v>
      </c>
      <c r="EZ5" s="42">
        <v>0.25</v>
      </c>
      <c r="FA5" s="42">
        <v>0.25</v>
      </c>
      <c r="FB5" s="42">
        <v>0</v>
      </c>
      <c r="FC5" s="42">
        <v>0.25</v>
      </c>
      <c r="FD5" s="42">
        <v>0.25</v>
      </c>
      <c r="FE5" s="42">
        <v>0.25</v>
      </c>
      <c r="FF5" s="42">
        <v>0.25</v>
      </c>
      <c r="FG5" s="42">
        <v>0</v>
      </c>
      <c r="FH5" s="42">
        <v>0.25</v>
      </c>
      <c r="FI5" s="42">
        <v>0.25</v>
      </c>
      <c r="FJ5" s="42">
        <v>0.25</v>
      </c>
      <c r="FK5" s="42">
        <v>0.25</v>
      </c>
      <c r="FL5" s="42">
        <v>0</v>
      </c>
      <c r="FM5" s="42">
        <v>0.25</v>
      </c>
      <c r="FN5" s="42">
        <v>0.25</v>
      </c>
      <c r="FO5" s="42">
        <v>0.25</v>
      </c>
      <c r="FP5" s="42">
        <v>0.25</v>
      </c>
      <c r="FQ5" s="42">
        <v>0</v>
      </c>
      <c r="FR5" s="42">
        <v>0.25</v>
      </c>
      <c r="FS5" s="42">
        <v>0.25</v>
      </c>
      <c r="FT5" s="42">
        <v>0.25</v>
      </c>
      <c r="FU5" s="42">
        <v>0.25</v>
      </c>
      <c r="FV5" s="42">
        <v>0</v>
      </c>
      <c r="FW5" s="42">
        <v>0.25</v>
      </c>
      <c r="FX5" s="42">
        <v>0.25</v>
      </c>
      <c r="FY5" s="42">
        <v>0.25</v>
      </c>
      <c r="FZ5" s="42">
        <v>0.25</v>
      </c>
      <c r="GA5" s="42">
        <v>0</v>
      </c>
      <c r="GB5" s="42">
        <v>0.25</v>
      </c>
      <c r="GC5" s="42">
        <v>0.25</v>
      </c>
      <c r="GD5" s="42">
        <v>0.25</v>
      </c>
      <c r="GE5" s="42">
        <v>0.25</v>
      </c>
      <c r="GF5" s="42">
        <v>0</v>
      </c>
      <c r="GG5" s="42">
        <v>0.25</v>
      </c>
      <c r="GH5" s="42">
        <v>0.25</v>
      </c>
      <c r="GI5" s="42">
        <v>0.25</v>
      </c>
      <c r="GJ5" s="42">
        <v>0.25</v>
      </c>
      <c r="GK5" s="42">
        <v>0</v>
      </c>
      <c r="GL5" s="42">
        <v>0</v>
      </c>
      <c r="GM5" s="42">
        <v>0</v>
      </c>
      <c r="GN5" s="42">
        <v>0</v>
      </c>
      <c r="GO5" s="42">
        <v>0</v>
      </c>
      <c r="GP5" s="42">
        <v>0</v>
      </c>
      <c r="GQ5" s="42">
        <v>0</v>
      </c>
      <c r="GR5" s="42">
        <v>0</v>
      </c>
      <c r="GS5" s="42">
        <v>0</v>
      </c>
      <c r="GT5" s="42">
        <v>0</v>
      </c>
      <c r="GU5" s="42">
        <v>0</v>
      </c>
      <c r="GV5" s="42">
        <v>0</v>
      </c>
      <c r="GW5" s="42">
        <v>0</v>
      </c>
      <c r="GX5" s="42">
        <v>0</v>
      </c>
      <c r="GY5" s="42">
        <v>0</v>
      </c>
      <c r="GZ5" s="42">
        <v>0</v>
      </c>
      <c r="HA5" s="42">
        <v>0</v>
      </c>
      <c r="HB5" s="42">
        <v>0</v>
      </c>
      <c r="HC5" s="42">
        <v>0</v>
      </c>
      <c r="HD5" s="42">
        <v>0</v>
      </c>
      <c r="HE5" s="42">
        <v>0</v>
      </c>
      <c r="HF5" s="42">
        <v>0</v>
      </c>
      <c r="HG5" s="42">
        <v>0</v>
      </c>
      <c r="HH5" s="42">
        <v>0</v>
      </c>
      <c r="HI5" s="42">
        <v>0</v>
      </c>
      <c r="HJ5" s="42">
        <v>0</v>
      </c>
      <c r="HK5" s="42">
        <v>0</v>
      </c>
      <c r="HL5" s="42">
        <v>0</v>
      </c>
      <c r="HM5" s="42">
        <v>0</v>
      </c>
      <c r="HN5" s="42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 s="86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 s="42">
        <v>0</v>
      </c>
      <c r="PM5" s="42">
        <v>0</v>
      </c>
      <c r="PN5" s="42">
        <v>0</v>
      </c>
      <c r="PO5" s="42">
        <v>0</v>
      </c>
      <c r="PP5" s="42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 s="42">
        <v>0</v>
      </c>
      <c r="QB5" s="42">
        <v>0</v>
      </c>
      <c r="QC5" s="42">
        <v>0</v>
      </c>
      <c r="QD5" s="42">
        <v>0</v>
      </c>
      <c r="QE5" s="42">
        <v>0</v>
      </c>
    </row>
    <row r="6" spans="1:666" x14ac:dyDescent="0.15">
      <c r="A6" s="42" t="s">
        <v>243</v>
      </c>
      <c r="B6" s="71">
        <v>1</v>
      </c>
      <c r="C6" s="71">
        <f>FixedParams!I6</f>
        <v>1</v>
      </c>
      <c r="D6" s="71">
        <f>C6</f>
        <v>1</v>
      </c>
      <c r="E6" s="71">
        <f>D6</f>
        <v>1</v>
      </c>
      <c r="F6" s="71">
        <f t="shared" si="116"/>
        <v>1</v>
      </c>
      <c r="H6" s="71">
        <v>1</v>
      </c>
      <c r="I6" s="71">
        <v>1</v>
      </c>
      <c r="J6" s="71">
        <v>1</v>
      </c>
      <c r="K6" s="71">
        <v>1</v>
      </c>
      <c r="L6" s="71">
        <v>1</v>
      </c>
      <c r="M6" s="71">
        <v>1</v>
      </c>
      <c r="N6" s="71">
        <v>1</v>
      </c>
      <c r="O6" s="71">
        <v>1</v>
      </c>
      <c r="P6" s="71">
        <v>1</v>
      </c>
      <c r="Q6" s="71">
        <v>1</v>
      </c>
      <c r="R6" s="71">
        <v>1</v>
      </c>
      <c r="S6" s="71">
        <v>1</v>
      </c>
      <c r="T6" s="71">
        <v>1</v>
      </c>
      <c r="U6" s="71">
        <v>1</v>
      </c>
      <c r="V6" s="71">
        <v>1</v>
      </c>
      <c r="W6" s="71">
        <v>1</v>
      </c>
      <c r="X6" s="71">
        <v>1</v>
      </c>
      <c r="Y6" s="71">
        <v>1</v>
      </c>
      <c r="Z6" s="71">
        <v>1</v>
      </c>
      <c r="AA6" s="71">
        <v>1</v>
      </c>
      <c r="AB6" s="71">
        <v>1</v>
      </c>
      <c r="AC6" s="71">
        <v>1</v>
      </c>
      <c r="AD6" s="71">
        <v>1</v>
      </c>
      <c r="AE6" s="71">
        <v>1</v>
      </c>
      <c r="AF6" s="71">
        <v>1</v>
      </c>
      <c r="AG6" s="71">
        <v>1</v>
      </c>
      <c r="AH6" s="71">
        <v>1</v>
      </c>
      <c r="AI6" s="71">
        <v>1</v>
      </c>
      <c r="AJ6" s="71">
        <v>1</v>
      </c>
      <c r="AK6" s="71">
        <v>1</v>
      </c>
      <c r="AL6" s="71">
        <v>1</v>
      </c>
      <c r="AM6" s="71">
        <v>1</v>
      </c>
      <c r="AN6" s="71">
        <v>1</v>
      </c>
      <c r="AO6" s="71">
        <v>1</v>
      </c>
      <c r="AP6" s="71">
        <v>1</v>
      </c>
      <c r="AQ6" s="71">
        <v>1</v>
      </c>
      <c r="AR6" s="71">
        <v>1</v>
      </c>
      <c r="AS6" s="71">
        <v>1</v>
      </c>
      <c r="AT6" s="71">
        <v>1</v>
      </c>
      <c r="AU6" s="71">
        <v>1</v>
      </c>
      <c r="AV6" s="71">
        <v>1</v>
      </c>
      <c r="AW6" s="71">
        <v>1</v>
      </c>
      <c r="AX6" s="71">
        <v>1</v>
      </c>
      <c r="AY6" s="71">
        <v>1</v>
      </c>
      <c r="AZ6" s="71">
        <v>1</v>
      </c>
      <c r="BA6" s="71">
        <v>1</v>
      </c>
      <c r="BB6" s="71">
        <v>1</v>
      </c>
      <c r="BC6" s="71">
        <v>1</v>
      </c>
      <c r="BD6" s="71">
        <v>1</v>
      </c>
      <c r="BE6" s="71">
        <v>1</v>
      </c>
      <c r="BF6" s="71">
        <v>1</v>
      </c>
      <c r="BG6" s="71">
        <v>1</v>
      </c>
      <c r="BH6" s="71">
        <v>1</v>
      </c>
      <c r="BI6" s="71">
        <v>1</v>
      </c>
      <c r="BJ6" s="71">
        <v>1</v>
      </c>
      <c r="BK6" s="71">
        <v>1</v>
      </c>
      <c r="BL6" s="71">
        <v>1</v>
      </c>
      <c r="BM6" s="71">
        <v>1</v>
      </c>
      <c r="BN6" s="71">
        <v>1</v>
      </c>
      <c r="BO6" s="71">
        <v>1</v>
      </c>
      <c r="BP6" s="71">
        <v>1</v>
      </c>
      <c r="BQ6" s="71">
        <v>1</v>
      </c>
      <c r="BR6" s="71">
        <v>1</v>
      </c>
      <c r="BS6" s="71">
        <v>1</v>
      </c>
      <c r="BT6" s="71">
        <v>1</v>
      </c>
      <c r="BU6" s="71">
        <v>1</v>
      </c>
      <c r="BV6" s="71">
        <v>1</v>
      </c>
      <c r="BW6" s="71">
        <v>1</v>
      </c>
      <c r="BX6" s="71">
        <v>1</v>
      </c>
      <c r="BY6" s="71">
        <v>1</v>
      </c>
      <c r="BZ6" s="71">
        <v>1</v>
      </c>
      <c r="CA6" s="71">
        <v>1</v>
      </c>
      <c r="CB6" s="71">
        <v>1</v>
      </c>
      <c r="CC6" s="71">
        <v>1</v>
      </c>
      <c r="CD6" s="71">
        <v>1</v>
      </c>
      <c r="CE6" s="71">
        <v>1</v>
      </c>
      <c r="CF6" s="71">
        <v>1</v>
      </c>
      <c r="CG6" s="71">
        <v>1</v>
      </c>
      <c r="CH6" s="71">
        <v>1</v>
      </c>
      <c r="CI6" s="71">
        <v>1</v>
      </c>
      <c r="CJ6" s="71">
        <v>1</v>
      </c>
      <c r="CK6" s="71">
        <v>1</v>
      </c>
      <c r="CL6" s="71">
        <v>1</v>
      </c>
      <c r="CM6" s="71">
        <v>1</v>
      </c>
      <c r="CN6" s="71">
        <v>1</v>
      </c>
      <c r="CO6" s="71">
        <v>1</v>
      </c>
      <c r="CP6" s="71">
        <v>1</v>
      </c>
      <c r="CQ6" s="71">
        <v>1</v>
      </c>
      <c r="CR6" s="71">
        <v>1</v>
      </c>
      <c r="CS6" s="71">
        <v>1</v>
      </c>
      <c r="CT6" s="71">
        <v>1</v>
      </c>
      <c r="CU6" s="71">
        <v>1</v>
      </c>
      <c r="CV6" s="71">
        <v>1</v>
      </c>
      <c r="CW6" s="71">
        <v>1</v>
      </c>
      <c r="CX6" s="71">
        <v>1</v>
      </c>
      <c r="CY6" s="71">
        <v>1</v>
      </c>
      <c r="CZ6" s="71">
        <v>1</v>
      </c>
      <c r="DA6" s="71">
        <v>1</v>
      </c>
      <c r="DB6" s="71">
        <v>1</v>
      </c>
      <c r="DC6" s="71">
        <v>1</v>
      </c>
      <c r="DD6" s="71">
        <v>1</v>
      </c>
      <c r="DE6" s="71">
        <v>1</v>
      </c>
      <c r="DF6" s="71">
        <v>1</v>
      </c>
      <c r="DG6" s="71">
        <v>1</v>
      </c>
      <c r="DH6" s="71">
        <v>1</v>
      </c>
      <c r="DI6" s="71">
        <v>1</v>
      </c>
      <c r="DJ6" s="71">
        <v>1</v>
      </c>
      <c r="DK6" s="71">
        <v>1</v>
      </c>
      <c r="DL6" s="71">
        <v>1</v>
      </c>
      <c r="DM6" s="71">
        <v>1</v>
      </c>
      <c r="DN6" s="71">
        <v>1</v>
      </c>
      <c r="DO6" s="71">
        <v>1</v>
      </c>
      <c r="DP6" s="71">
        <v>1</v>
      </c>
      <c r="DQ6" s="71">
        <v>1</v>
      </c>
      <c r="DR6" s="71">
        <v>1</v>
      </c>
      <c r="DS6" s="71">
        <v>1</v>
      </c>
      <c r="DT6" s="71">
        <v>1</v>
      </c>
      <c r="DU6" s="71">
        <v>1</v>
      </c>
      <c r="DV6" s="71">
        <v>1</v>
      </c>
      <c r="DW6" s="71">
        <v>1</v>
      </c>
      <c r="DX6" s="71">
        <v>1</v>
      </c>
      <c r="DY6" s="71">
        <v>1</v>
      </c>
      <c r="DZ6" s="71">
        <v>1</v>
      </c>
      <c r="EA6" s="71">
        <v>1</v>
      </c>
      <c r="EB6" s="71">
        <v>1</v>
      </c>
      <c r="EC6" s="71">
        <v>1</v>
      </c>
      <c r="ED6" s="71">
        <v>1</v>
      </c>
      <c r="EE6" s="71">
        <v>1</v>
      </c>
      <c r="EF6" s="71">
        <v>1</v>
      </c>
      <c r="EG6" s="71">
        <v>1</v>
      </c>
      <c r="EH6" s="71">
        <v>1</v>
      </c>
      <c r="EI6" s="71">
        <v>1</v>
      </c>
      <c r="EJ6" s="71">
        <v>1</v>
      </c>
      <c r="EK6" s="71">
        <v>1</v>
      </c>
      <c r="EL6" s="71">
        <v>1</v>
      </c>
      <c r="EM6" s="71">
        <v>1</v>
      </c>
      <c r="EN6" s="71">
        <v>1</v>
      </c>
      <c r="EO6" s="71">
        <v>1</v>
      </c>
      <c r="EP6" s="71">
        <v>1</v>
      </c>
      <c r="EQ6" s="71">
        <v>1</v>
      </c>
      <c r="ER6" s="71">
        <v>1</v>
      </c>
      <c r="ES6" s="71">
        <v>1</v>
      </c>
      <c r="ET6" s="71">
        <v>1</v>
      </c>
      <c r="EU6" s="71">
        <v>1</v>
      </c>
      <c r="EV6" s="71">
        <v>1</v>
      </c>
      <c r="EW6" s="71">
        <v>1</v>
      </c>
      <c r="EX6" s="71">
        <v>1</v>
      </c>
      <c r="EY6" s="71">
        <v>1</v>
      </c>
      <c r="EZ6" s="71">
        <v>1</v>
      </c>
      <c r="FA6" s="71">
        <v>1</v>
      </c>
      <c r="FB6" s="71">
        <v>1</v>
      </c>
      <c r="FC6" s="71">
        <v>1</v>
      </c>
      <c r="FD6" s="71">
        <v>1</v>
      </c>
      <c r="FE6" s="71">
        <v>1</v>
      </c>
      <c r="FF6" s="71">
        <v>1</v>
      </c>
      <c r="FG6" s="71">
        <v>1</v>
      </c>
      <c r="FH6" s="71">
        <v>1</v>
      </c>
      <c r="FI6" s="71">
        <v>1</v>
      </c>
      <c r="FJ6" s="71">
        <v>1</v>
      </c>
      <c r="FK6" s="71">
        <v>1</v>
      </c>
      <c r="FL6" s="71">
        <v>1</v>
      </c>
      <c r="FM6" s="71">
        <v>1</v>
      </c>
      <c r="FN6" s="71">
        <v>1</v>
      </c>
      <c r="FO6" s="71">
        <v>1</v>
      </c>
      <c r="FP6" s="71">
        <v>1</v>
      </c>
      <c r="FQ6" s="71">
        <v>1</v>
      </c>
      <c r="FR6" s="71">
        <v>1</v>
      </c>
      <c r="FS6" s="71">
        <v>1</v>
      </c>
      <c r="FT6" s="71">
        <v>1</v>
      </c>
      <c r="FU6" s="71">
        <v>1</v>
      </c>
      <c r="FV6" s="71">
        <v>1</v>
      </c>
      <c r="FW6" s="71">
        <v>1</v>
      </c>
      <c r="FX6" s="71">
        <v>1</v>
      </c>
      <c r="FY6" s="71">
        <v>1</v>
      </c>
      <c r="FZ6" s="71">
        <v>1</v>
      </c>
      <c r="GA6" s="71">
        <v>1</v>
      </c>
      <c r="GB6" s="71">
        <v>1</v>
      </c>
      <c r="GC6" s="71">
        <v>1</v>
      </c>
      <c r="GD6" s="71">
        <v>1</v>
      </c>
      <c r="GE6" s="71">
        <v>1</v>
      </c>
      <c r="GF6" s="71">
        <v>1</v>
      </c>
      <c r="GG6" s="71">
        <v>1</v>
      </c>
      <c r="GH6" s="71">
        <v>1</v>
      </c>
      <c r="GI6" s="71">
        <v>1</v>
      </c>
      <c r="GJ6" s="71">
        <v>1</v>
      </c>
      <c r="GK6" s="71">
        <v>1</v>
      </c>
      <c r="GL6" s="71">
        <v>1</v>
      </c>
      <c r="GM6" s="71">
        <v>1</v>
      </c>
      <c r="GN6" s="71">
        <v>1</v>
      </c>
      <c r="GO6" s="71">
        <v>1</v>
      </c>
      <c r="GP6" s="71">
        <v>1</v>
      </c>
      <c r="GQ6" s="71">
        <v>0</v>
      </c>
      <c r="GR6" s="71">
        <v>0</v>
      </c>
      <c r="GS6" s="71">
        <v>0</v>
      </c>
      <c r="GT6" s="71">
        <v>0</v>
      </c>
      <c r="GU6" s="71">
        <v>1</v>
      </c>
      <c r="GV6" s="71">
        <v>0</v>
      </c>
      <c r="GW6" s="71">
        <v>0</v>
      </c>
      <c r="GX6" s="71">
        <v>0</v>
      </c>
      <c r="GY6" s="71">
        <v>0</v>
      </c>
      <c r="GZ6" s="71">
        <v>1</v>
      </c>
      <c r="HA6" s="71">
        <v>1</v>
      </c>
      <c r="HB6" s="71">
        <v>1</v>
      </c>
      <c r="HC6" s="71">
        <v>1</v>
      </c>
      <c r="HD6" s="71">
        <v>1</v>
      </c>
      <c r="HE6" s="71">
        <v>1</v>
      </c>
      <c r="HF6" s="71">
        <v>0</v>
      </c>
      <c r="HG6" s="71">
        <v>0</v>
      </c>
      <c r="HH6" s="71">
        <v>0</v>
      </c>
      <c r="HI6" s="71">
        <v>0</v>
      </c>
      <c r="HJ6" s="71">
        <v>1</v>
      </c>
      <c r="HK6" s="71">
        <v>1</v>
      </c>
      <c r="HL6" s="71">
        <v>1</v>
      </c>
      <c r="HM6" s="71">
        <v>1</v>
      </c>
      <c r="HN6" s="71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 s="8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 s="71">
        <v>1</v>
      </c>
      <c r="KR6" s="71">
        <v>1</v>
      </c>
      <c r="KS6" s="71">
        <v>1</v>
      </c>
      <c r="KT6" s="71">
        <v>1</v>
      </c>
      <c r="KU6" s="71">
        <v>1</v>
      </c>
      <c r="KV6" s="71">
        <v>1</v>
      </c>
      <c r="KW6" s="71">
        <v>1</v>
      </c>
      <c r="KX6" s="71">
        <v>1</v>
      </c>
      <c r="KY6" s="71">
        <v>1</v>
      </c>
      <c r="KZ6" s="71">
        <v>1</v>
      </c>
      <c r="LA6" s="71">
        <v>1</v>
      </c>
      <c r="LB6" s="71">
        <v>1</v>
      </c>
      <c r="LC6" s="71">
        <v>1</v>
      </c>
      <c r="LD6" s="71">
        <v>1</v>
      </c>
      <c r="LE6" s="71">
        <v>1</v>
      </c>
      <c r="LF6" s="71">
        <v>1</v>
      </c>
      <c r="LG6" s="71">
        <v>1</v>
      </c>
      <c r="LH6" s="71">
        <v>1</v>
      </c>
      <c r="LI6" s="71">
        <v>1</v>
      </c>
      <c r="LJ6" s="71">
        <v>1</v>
      </c>
      <c r="LK6">
        <v>1</v>
      </c>
      <c r="LL6">
        <v>1</v>
      </c>
      <c r="LM6">
        <v>1</v>
      </c>
      <c r="LN6">
        <v>1</v>
      </c>
      <c r="LO6">
        <v>1</v>
      </c>
      <c r="LP6" s="71">
        <v>1</v>
      </c>
      <c r="LQ6" s="71">
        <v>1</v>
      </c>
      <c r="LR6" s="71">
        <v>1</v>
      </c>
      <c r="LS6" s="71">
        <v>1</v>
      </c>
      <c r="LT6" s="71">
        <v>1</v>
      </c>
      <c r="LU6" s="71">
        <v>1</v>
      </c>
      <c r="LV6" s="71">
        <v>1</v>
      </c>
      <c r="LW6" s="71">
        <v>1</v>
      </c>
      <c r="LX6" s="71">
        <v>1</v>
      </c>
      <c r="LY6" s="71">
        <v>1</v>
      </c>
      <c r="LZ6" s="71">
        <v>1</v>
      </c>
      <c r="MA6" s="71">
        <v>1</v>
      </c>
      <c r="MB6" s="71">
        <v>1</v>
      </c>
      <c r="MC6" s="71">
        <v>1</v>
      </c>
      <c r="MD6" s="71">
        <v>1</v>
      </c>
      <c r="ME6" s="71">
        <v>1</v>
      </c>
      <c r="MF6" s="71">
        <v>1</v>
      </c>
      <c r="MG6" s="71">
        <v>1</v>
      </c>
      <c r="MH6" s="71">
        <v>1</v>
      </c>
      <c r="MI6" s="71">
        <v>1</v>
      </c>
      <c r="MJ6" s="71">
        <v>1</v>
      </c>
      <c r="MK6" s="71">
        <v>1</v>
      </c>
      <c r="ML6" s="71">
        <v>1</v>
      </c>
      <c r="MM6" s="71">
        <v>1</v>
      </c>
      <c r="MN6" s="71">
        <v>1</v>
      </c>
      <c r="MO6" s="71">
        <v>1</v>
      </c>
      <c r="MP6" s="71">
        <v>1</v>
      </c>
      <c r="MQ6" s="71">
        <v>1</v>
      </c>
      <c r="MR6" s="71">
        <v>1</v>
      </c>
      <c r="MS6" s="71">
        <v>1</v>
      </c>
      <c r="MT6" s="71">
        <v>1</v>
      </c>
      <c r="MU6" s="71">
        <v>1</v>
      </c>
      <c r="MV6" s="71">
        <v>1</v>
      </c>
      <c r="MW6" s="71">
        <v>1</v>
      </c>
      <c r="MX6" s="71">
        <v>1</v>
      </c>
      <c r="MY6" s="71">
        <v>1</v>
      </c>
      <c r="MZ6" s="71">
        <v>1</v>
      </c>
      <c r="NA6" s="71">
        <v>1</v>
      </c>
      <c r="NB6" s="71">
        <v>1</v>
      </c>
      <c r="NC6" s="71">
        <v>1</v>
      </c>
      <c r="ND6" s="71">
        <v>1</v>
      </c>
      <c r="NE6" s="71">
        <v>1</v>
      </c>
      <c r="NF6" s="71">
        <v>1</v>
      </c>
      <c r="NG6" s="71">
        <v>1</v>
      </c>
      <c r="NH6" s="71">
        <v>1</v>
      </c>
      <c r="NI6" s="71">
        <v>1</v>
      </c>
      <c r="NJ6" s="71">
        <v>1</v>
      </c>
      <c r="NK6" s="71">
        <v>1</v>
      </c>
      <c r="NL6" s="71">
        <v>1</v>
      </c>
      <c r="NM6" s="71">
        <v>1</v>
      </c>
      <c r="NN6" s="71">
        <v>1</v>
      </c>
      <c r="NO6" s="71">
        <v>1</v>
      </c>
      <c r="NP6" s="71">
        <v>1</v>
      </c>
      <c r="NQ6" s="71">
        <v>1</v>
      </c>
      <c r="NR6" s="71">
        <v>1</v>
      </c>
      <c r="NS6">
        <v>1</v>
      </c>
      <c r="NT6">
        <v>1</v>
      </c>
      <c r="NU6">
        <v>1</v>
      </c>
      <c r="NV6">
        <v>1</v>
      </c>
      <c r="NW6">
        <v>1</v>
      </c>
      <c r="NX6" s="71">
        <v>1</v>
      </c>
      <c r="NY6" s="71">
        <v>1</v>
      </c>
      <c r="NZ6" s="71">
        <v>1</v>
      </c>
      <c r="OA6" s="71">
        <v>1</v>
      </c>
      <c r="OB6" s="71">
        <v>1</v>
      </c>
      <c r="OC6" s="71">
        <v>1</v>
      </c>
      <c r="OD6" s="71">
        <v>1</v>
      </c>
      <c r="OE6" s="71">
        <v>1</v>
      </c>
      <c r="OF6" s="71">
        <v>1</v>
      </c>
      <c r="OG6" s="71">
        <v>1</v>
      </c>
      <c r="OH6" s="71">
        <v>1</v>
      </c>
      <c r="OI6" s="71">
        <v>1</v>
      </c>
      <c r="OJ6" s="71">
        <v>1</v>
      </c>
      <c r="OK6" s="71">
        <v>1</v>
      </c>
      <c r="OL6" s="71">
        <v>1</v>
      </c>
      <c r="OM6" s="71">
        <v>1</v>
      </c>
      <c r="ON6" s="71">
        <v>1</v>
      </c>
      <c r="OO6" s="71">
        <v>1</v>
      </c>
      <c r="OP6" s="71">
        <v>1</v>
      </c>
      <c r="OQ6" s="71">
        <v>1</v>
      </c>
      <c r="OR6" s="71">
        <v>1</v>
      </c>
      <c r="OS6" s="71">
        <v>1</v>
      </c>
      <c r="OT6" s="71">
        <v>1</v>
      </c>
      <c r="OU6" s="71">
        <v>1</v>
      </c>
      <c r="OV6" s="71">
        <v>1</v>
      </c>
      <c r="OW6" s="71">
        <v>1</v>
      </c>
      <c r="OX6" s="71">
        <v>1</v>
      </c>
      <c r="OY6" s="71">
        <v>1</v>
      </c>
      <c r="OZ6" s="71">
        <v>1</v>
      </c>
      <c r="PA6" s="71">
        <v>1</v>
      </c>
      <c r="PB6" s="71">
        <v>1</v>
      </c>
      <c r="PC6" s="71">
        <v>1</v>
      </c>
      <c r="PD6" s="71">
        <v>1</v>
      </c>
      <c r="PE6" s="71">
        <v>1</v>
      </c>
      <c r="PF6" s="71">
        <v>1</v>
      </c>
      <c r="PG6" s="71">
        <v>1</v>
      </c>
      <c r="PH6" s="71">
        <v>1</v>
      </c>
      <c r="PI6" s="71">
        <v>1</v>
      </c>
      <c r="PJ6" s="71">
        <v>1</v>
      </c>
      <c r="PK6" s="71">
        <v>1</v>
      </c>
      <c r="PL6" s="71">
        <v>1</v>
      </c>
      <c r="PM6" s="71">
        <v>1</v>
      </c>
      <c r="PN6" s="71">
        <v>1</v>
      </c>
      <c r="PO6" s="71">
        <v>1</v>
      </c>
      <c r="PP6" s="71">
        <v>1</v>
      </c>
      <c r="PQ6" s="71">
        <v>1</v>
      </c>
      <c r="PR6" s="71">
        <v>1</v>
      </c>
      <c r="PS6" s="71">
        <v>1</v>
      </c>
      <c r="PT6" s="71">
        <v>1</v>
      </c>
      <c r="PU6" s="71">
        <v>1</v>
      </c>
      <c r="PV6" s="71">
        <v>1</v>
      </c>
      <c r="PW6" s="71">
        <v>1</v>
      </c>
      <c r="PX6" s="71">
        <v>1</v>
      </c>
      <c r="PY6" s="71">
        <v>1</v>
      </c>
      <c r="PZ6" s="71">
        <v>1</v>
      </c>
      <c r="QA6" s="71">
        <v>1</v>
      </c>
      <c r="QB6" s="71">
        <v>1</v>
      </c>
      <c r="QC6" s="71">
        <v>1</v>
      </c>
      <c r="QD6" s="71">
        <v>1</v>
      </c>
      <c r="QE6" s="71">
        <v>1</v>
      </c>
      <c r="QF6" s="71"/>
      <c r="QG6" s="71"/>
      <c r="QH6" s="71"/>
      <c r="QI6" s="71"/>
      <c r="QJ6" s="71"/>
      <c r="QK6" s="71"/>
      <c r="QL6" s="71"/>
      <c r="QM6" s="71"/>
      <c r="QN6" s="71"/>
      <c r="QO6" s="71"/>
      <c r="QP6" s="71"/>
      <c r="QQ6" s="71"/>
      <c r="QR6" s="71"/>
      <c r="QS6" s="71"/>
      <c r="QT6" s="71"/>
      <c r="QU6" s="71"/>
      <c r="QV6" s="71"/>
      <c r="QW6" s="71"/>
      <c r="QX6" s="71"/>
      <c r="QY6" s="71"/>
      <c r="QZ6" s="71"/>
      <c r="RA6" s="71"/>
      <c r="RB6" s="71"/>
      <c r="RC6" s="71"/>
      <c r="RD6" s="71"/>
      <c r="RE6" s="71"/>
      <c r="RF6" s="71"/>
      <c r="RG6" s="71"/>
      <c r="RH6" s="71"/>
      <c r="RI6" s="71"/>
      <c r="RJ6" s="71"/>
      <c r="RK6" s="71"/>
      <c r="RL6" s="71"/>
      <c r="RM6" s="71"/>
      <c r="RN6" s="71"/>
      <c r="RO6" s="71"/>
      <c r="RP6" s="71"/>
      <c r="RQ6" s="71"/>
      <c r="RR6" s="71"/>
      <c r="RS6" s="71"/>
      <c r="RT6" s="71"/>
      <c r="RU6" s="71"/>
      <c r="RV6" s="71"/>
      <c r="RW6" s="71"/>
      <c r="RX6" s="71"/>
      <c r="RY6" s="71"/>
      <c r="RZ6" s="71"/>
      <c r="SA6" s="71"/>
      <c r="SB6" s="71"/>
      <c r="SC6" s="71"/>
      <c r="SD6" s="71"/>
      <c r="SE6" s="71"/>
      <c r="SF6" s="71"/>
      <c r="SG6" s="71"/>
      <c r="SH6" s="71"/>
      <c r="SI6" s="71"/>
      <c r="SJ6" s="71"/>
      <c r="SK6" s="71"/>
      <c r="SL6" s="71"/>
      <c r="SM6" s="71"/>
      <c r="SN6" s="71"/>
      <c r="SO6" s="71"/>
      <c r="SP6" s="71"/>
      <c r="SQ6" s="71"/>
      <c r="SR6" s="71"/>
      <c r="SS6" s="71"/>
      <c r="ST6" s="71"/>
      <c r="SU6" s="71"/>
      <c r="SV6" s="71"/>
      <c r="SW6" s="71"/>
      <c r="SX6" s="71"/>
      <c r="SY6" s="71"/>
      <c r="SZ6" s="71"/>
      <c r="TA6" s="71"/>
      <c r="TB6" s="71"/>
      <c r="TC6" s="71"/>
      <c r="TD6" s="71"/>
      <c r="TE6" s="71"/>
      <c r="TF6" s="71"/>
      <c r="TG6" s="71"/>
      <c r="TH6" s="71"/>
      <c r="TI6" s="71"/>
      <c r="TJ6" s="71"/>
      <c r="TK6" s="71"/>
      <c r="TL6" s="71"/>
      <c r="TM6" s="71"/>
      <c r="TN6" s="71"/>
      <c r="TO6" s="71"/>
      <c r="TP6" s="71"/>
      <c r="TQ6" s="71"/>
      <c r="TR6" s="71"/>
      <c r="TS6" s="71"/>
      <c r="TT6" s="71"/>
      <c r="TU6" s="71"/>
      <c r="TV6" s="71"/>
      <c r="TW6" s="71"/>
      <c r="TX6" s="71"/>
      <c r="TY6" s="71"/>
      <c r="TZ6" s="71"/>
      <c r="UA6" s="71"/>
      <c r="UB6" s="71"/>
      <c r="UC6" s="71"/>
      <c r="UD6" s="71"/>
      <c r="UE6" s="71"/>
      <c r="UF6" s="71"/>
      <c r="UG6" s="71"/>
      <c r="UH6" s="71"/>
      <c r="UI6" s="71"/>
      <c r="UJ6" s="71"/>
      <c r="UK6" s="71"/>
      <c r="UL6" s="71"/>
      <c r="UM6" s="71"/>
      <c r="UN6" s="71"/>
      <c r="UO6" s="71"/>
      <c r="UP6" s="71"/>
      <c r="UQ6" s="71"/>
      <c r="UR6" s="71"/>
      <c r="US6" s="71"/>
      <c r="UT6" s="71"/>
      <c r="UU6" s="71"/>
      <c r="UV6" s="71"/>
      <c r="UW6" s="71"/>
      <c r="UX6" s="71"/>
      <c r="UY6" s="71"/>
      <c r="UZ6" s="71"/>
      <c r="VA6" s="71"/>
      <c r="VB6" s="71"/>
      <c r="VC6" s="71"/>
      <c r="VD6" s="71"/>
      <c r="VE6" s="71"/>
      <c r="VF6" s="71"/>
      <c r="VG6" s="71"/>
      <c r="VH6" s="71"/>
      <c r="VI6" s="71"/>
      <c r="VJ6" s="71"/>
      <c r="VK6" s="71"/>
      <c r="VL6" s="71"/>
      <c r="VM6" s="71"/>
      <c r="VN6" s="71"/>
      <c r="VO6" s="71"/>
      <c r="VP6" s="71"/>
      <c r="VQ6" s="71"/>
      <c r="VR6" s="71"/>
      <c r="VS6" s="71"/>
      <c r="VT6" s="71"/>
      <c r="VU6" s="71"/>
      <c r="VV6" s="71"/>
      <c r="VW6" s="71"/>
      <c r="VX6" s="71"/>
      <c r="VY6" s="71"/>
      <c r="VZ6" s="71"/>
      <c r="WA6" s="71"/>
      <c r="WB6" s="71"/>
      <c r="WC6" s="71"/>
      <c r="WD6" s="71"/>
      <c r="WE6" s="71"/>
      <c r="WF6" s="71"/>
      <c r="WG6" s="71"/>
      <c r="WH6" s="71"/>
      <c r="WI6" s="71"/>
      <c r="WJ6" s="71"/>
      <c r="WK6" s="71"/>
      <c r="WL6" s="71"/>
      <c r="WM6" s="71"/>
      <c r="WN6" s="71"/>
      <c r="WO6" s="71"/>
      <c r="WP6" s="71"/>
      <c r="WQ6" s="71"/>
      <c r="WR6" s="71"/>
      <c r="WS6" s="71"/>
      <c r="WT6" s="71"/>
      <c r="WU6" s="71"/>
      <c r="WV6" s="71"/>
      <c r="WW6" s="71"/>
      <c r="WX6" s="71"/>
      <c r="WY6" s="71"/>
      <c r="WZ6" s="71"/>
      <c r="XA6" s="71"/>
      <c r="XB6" s="71"/>
      <c r="XC6" s="71"/>
      <c r="XD6" s="71"/>
      <c r="XE6" s="71"/>
      <c r="XF6" s="71"/>
      <c r="XG6" s="71"/>
      <c r="XH6" s="71"/>
      <c r="XI6" s="71"/>
      <c r="XJ6" s="71"/>
      <c r="XK6" s="71"/>
      <c r="XL6" s="71"/>
      <c r="XM6" s="71"/>
      <c r="XN6" s="71"/>
      <c r="XO6" s="71"/>
      <c r="XP6" s="71"/>
      <c r="XQ6" s="71"/>
      <c r="XR6" s="71"/>
      <c r="XS6" s="71"/>
      <c r="XT6" s="71"/>
      <c r="XU6" s="71"/>
      <c r="XV6" s="71"/>
      <c r="XW6" s="71"/>
      <c r="XX6" s="71"/>
      <c r="XY6" s="71"/>
      <c r="XZ6" s="71"/>
      <c r="YA6" s="71"/>
      <c r="YB6" s="71"/>
      <c r="YC6" s="71"/>
      <c r="YD6" s="71"/>
      <c r="YE6" s="71"/>
      <c r="YF6" s="71"/>
      <c r="YG6" s="71"/>
      <c r="YH6" s="71"/>
      <c r="YI6" s="71"/>
      <c r="YJ6" s="71"/>
      <c r="YK6" s="71"/>
      <c r="YL6" s="71"/>
      <c r="YM6" s="71"/>
      <c r="YN6" s="71"/>
      <c r="YO6" s="71"/>
      <c r="YP6" s="71"/>
    </row>
    <row r="7" spans="1:666" x14ac:dyDescent="0.15">
      <c r="A7" s="41" t="s">
        <v>84</v>
      </c>
      <c r="B7" s="41">
        <f>FixedParams!B23</f>
        <v>7.6499999999999999E-2</v>
      </c>
      <c r="C7" s="41">
        <f>FixedParams!C23</f>
        <v>0.15571813762960329</v>
      </c>
      <c r="D7" s="42">
        <v>0.90206640597158705</v>
      </c>
      <c r="E7" s="41">
        <f>FixedParams!D23</f>
        <v>0.11535616105563706</v>
      </c>
      <c r="F7" s="42">
        <f t="shared" si="116"/>
        <v>0.11535616105563706</v>
      </c>
      <c r="H7" s="41">
        <v>7.6499999999999999E-2</v>
      </c>
      <c r="I7" s="41">
        <v>0.15571813762960329</v>
      </c>
      <c r="J7" s="42">
        <v>0.15571813762960329</v>
      </c>
      <c r="K7" s="41">
        <v>0.11535616105563706</v>
      </c>
      <c r="L7" s="42">
        <v>0.11535616105563706</v>
      </c>
      <c r="M7" s="41">
        <v>7.6499999999999999E-2</v>
      </c>
      <c r="N7" s="41">
        <v>0.15571813762960329</v>
      </c>
      <c r="O7" s="42">
        <v>0.15571813762960329</v>
      </c>
      <c r="P7" s="41">
        <v>0.11535616105563706</v>
      </c>
      <c r="Q7" s="42">
        <v>0.11535616105563706</v>
      </c>
      <c r="R7" s="41">
        <v>7.6499999999999999E-2</v>
      </c>
      <c r="S7" s="41">
        <v>0.15571813762960329</v>
      </c>
      <c r="T7" s="42">
        <v>0.15571813762960329</v>
      </c>
      <c r="U7" s="41">
        <v>0.11535616105563706</v>
      </c>
      <c r="V7" s="42">
        <v>0.11535616105563706</v>
      </c>
      <c r="W7" s="41">
        <v>7.6499999999999999E-2</v>
      </c>
      <c r="X7" s="41">
        <v>0.15571813762960329</v>
      </c>
      <c r="Y7" s="42">
        <v>0.15571813762960329</v>
      </c>
      <c r="Z7" s="41">
        <v>0.11535616105563706</v>
      </c>
      <c r="AA7" s="42">
        <v>0.11535616105563706</v>
      </c>
      <c r="AB7" s="41">
        <v>7.6499999999999999E-2</v>
      </c>
      <c r="AC7" s="41">
        <v>0.15571813762960329</v>
      </c>
      <c r="AD7" s="42">
        <v>0.15571813762960329</v>
      </c>
      <c r="AE7" s="41">
        <v>0.11535616105563706</v>
      </c>
      <c r="AF7" s="42">
        <v>0.11535616105563699</v>
      </c>
      <c r="AG7" s="41">
        <v>7.6499999999999999E-2</v>
      </c>
      <c r="AH7" s="41">
        <v>0.15571813762960329</v>
      </c>
      <c r="AI7" s="42">
        <v>0.15571813762960329</v>
      </c>
      <c r="AJ7" s="41">
        <v>0.11535616105563706</v>
      </c>
      <c r="AK7" s="42">
        <v>0.11535616105563706</v>
      </c>
      <c r="AL7" s="41">
        <v>7.6499999999999999E-2</v>
      </c>
      <c r="AM7" s="41">
        <v>0.15571813762960329</v>
      </c>
      <c r="AN7" s="42">
        <v>0.15571813762960329</v>
      </c>
      <c r="AO7" s="41">
        <v>0.11535616105563706</v>
      </c>
      <c r="AP7" s="42">
        <v>0.11535616105563706</v>
      </c>
      <c r="AQ7" s="41">
        <v>7.6499999999999999E-2</v>
      </c>
      <c r="AR7" s="41">
        <v>0.15571813762960329</v>
      </c>
      <c r="AS7" s="42">
        <v>0.15571813762960329</v>
      </c>
      <c r="AT7" s="41">
        <v>0.11535616105563706</v>
      </c>
      <c r="AU7" s="42">
        <v>0.11535616105563706</v>
      </c>
      <c r="AV7" s="41">
        <v>7.6499999999999999E-2</v>
      </c>
      <c r="AW7" s="41">
        <v>0.15571813762960329</v>
      </c>
      <c r="AX7" s="42">
        <v>0.15571813762960329</v>
      </c>
      <c r="AY7" s="41">
        <v>0.11535616105563706</v>
      </c>
      <c r="AZ7" s="42">
        <v>0.11535616105563706</v>
      </c>
      <c r="BA7" s="41">
        <v>7.6499999999999999E-2</v>
      </c>
      <c r="BB7" s="41">
        <v>0.15571813762960329</v>
      </c>
      <c r="BC7" s="42">
        <v>0.15571813762960329</v>
      </c>
      <c r="BD7" s="41">
        <v>0.11535616105563706</v>
      </c>
      <c r="BE7" s="42">
        <v>0.11535616105563706</v>
      </c>
      <c r="BF7" s="41">
        <v>7.6499999999999999E-2</v>
      </c>
      <c r="BG7" s="41">
        <v>0.15571813762960329</v>
      </c>
      <c r="BH7" s="42">
        <v>0.15571813762960329</v>
      </c>
      <c r="BI7" s="41">
        <v>0.11535616105563706</v>
      </c>
      <c r="BJ7" s="42">
        <v>0.11535616105563706</v>
      </c>
      <c r="BK7" s="41">
        <v>7.6499999999999999E-2</v>
      </c>
      <c r="BL7" s="41">
        <v>0.15571813762960329</v>
      </c>
      <c r="BM7" s="42">
        <v>0.15571813762960329</v>
      </c>
      <c r="BN7" s="41">
        <v>0.11535616105563706</v>
      </c>
      <c r="BO7" s="42">
        <v>0.11535616105563706</v>
      </c>
      <c r="BP7" s="41">
        <v>7.6499999999999999E-2</v>
      </c>
      <c r="BQ7" s="41">
        <v>0.15571813762960329</v>
      </c>
      <c r="BR7" s="42">
        <v>0.15571813762960329</v>
      </c>
      <c r="BS7" s="41">
        <v>0.11535616105563706</v>
      </c>
      <c r="BT7" s="42">
        <v>0.11535616105563706</v>
      </c>
      <c r="BU7" s="41">
        <v>7.6499999999999999E-2</v>
      </c>
      <c r="BV7" s="41">
        <v>9.5749756625602034E-2</v>
      </c>
      <c r="BW7" s="42">
        <v>9.5749756625602034E-2</v>
      </c>
      <c r="BX7" s="41">
        <v>7.6500000000000012E-2</v>
      </c>
      <c r="BY7" s="42">
        <v>7.6500000000000012E-2</v>
      </c>
      <c r="BZ7" s="41">
        <v>7.6499999999999999E-2</v>
      </c>
      <c r="CA7" s="41">
        <v>9.5749756625602034E-2</v>
      </c>
      <c r="CB7" s="42">
        <v>9.5749756625602034E-2</v>
      </c>
      <c r="CC7" s="41">
        <v>7.6500000000000012E-2</v>
      </c>
      <c r="CD7" s="42">
        <v>7.6500000000000012E-2</v>
      </c>
      <c r="CE7" s="41">
        <v>7.6499999999999999E-2</v>
      </c>
      <c r="CF7" s="41">
        <v>9.5749756625602034E-2</v>
      </c>
      <c r="CG7" s="42">
        <v>9.5749756625602034E-2</v>
      </c>
      <c r="CH7" s="41">
        <v>7.6500000000000012E-2</v>
      </c>
      <c r="CI7" s="42">
        <v>7.6500000000000012E-2</v>
      </c>
      <c r="CJ7" s="41">
        <v>7.6499999999999999E-2</v>
      </c>
      <c r="CK7" s="41">
        <v>9.5749756625602034E-2</v>
      </c>
      <c r="CL7" s="42">
        <v>9.5749756625602034E-2</v>
      </c>
      <c r="CM7" s="41">
        <v>7.6500000000000012E-2</v>
      </c>
      <c r="CN7" s="42">
        <v>7.6500000000000012E-2</v>
      </c>
      <c r="CO7" s="41">
        <v>7.6499999999999999E-2</v>
      </c>
      <c r="CP7" s="41">
        <v>9.5749756625602034E-2</v>
      </c>
      <c r="CQ7" s="42">
        <v>9.5749756625602034E-2</v>
      </c>
      <c r="CR7" s="41">
        <v>7.6500000000000012E-2</v>
      </c>
      <c r="CS7" s="42">
        <v>7.6500000000000012E-2</v>
      </c>
      <c r="CT7" s="41">
        <v>7.6499999999999999E-2</v>
      </c>
      <c r="CU7" s="41">
        <v>9.5749756625602034E-2</v>
      </c>
      <c r="CV7" s="42">
        <v>9.5749756625602034E-2</v>
      </c>
      <c r="CW7" s="41">
        <v>7.6500000000000012E-2</v>
      </c>
      <c r="CX7" s="42">
        <v>7.6500000000000012E-2</v>
      </c>
      <c r="CY7" s="41">
        <v>7.6499999999999999E-2</v>
      </c>
      <c r="CZ7" s="41">
        <v>9.5749756625602034E-2</v>
      </c>
      <c r="DA7" s="42">
        <v>9.5749756625602034E-2</v>
      </c>
      <c r="DB7" s="41">
        <v>7.6500000000000012E-2</v>
      </c>
      <c r="DC7" s="42">
        <v>7.6500000000000012E-2</v>
      </c>
      <c r="DD7" s="41">
        <v>7.6499999999999999E-2</v>
      </c>
      <c r="DE7" s="41">
        <v>9.5749756625602034E-2</v>
      </c>
      <c r="DF7" s="42">
        <v>9.5749756625602034E-2</v>
      </c>
      <c r="DG7" s="41">
        <v>7.6500000000000012E-2</v>
      </c>
      <c r="DH7" s="42">
        <v>7.6500000000000012E-2</v>
      </c>
      <c r="DI7" s="41">
        <v>7.6499999999999999E-2</v>
      </c>
      <c r="DJ7" s="41">
        <v>9.5749756625602034E-2</v>
      </c>
      <c r="DK7" s="42">
        <v>9.5749756625602034E-2</v>
      </c>
      <c r="DL7" s="41">
        <v>7.6500000000000012E-2</v>
      </c>
      <c r="DM7" s="42">
        <v>7.6500000000000012E-2</v>
      </c>
      <c r="DN7" s="41">
        <v>7.6499999999999999E-2</v>
      </c>
      <c r="DO7" s="41">
        <v>9.5749756625602034E-2</v>
      </c>
      <c r="DP7" s="42">
        <v>9.5749756625602034E-2</v>
      </c>
      <c r="DQ7" s="41">
        <v>7.6500000000000012E-2</v>
      </c>
      <c r="DR7" s="42">
        <v>7.6500000000000012E-2</v>
      </c>
      <c r="DS7" s="41">
        <v>7.6499999999999999E-2</v>
      </c>
      <c r="DT7" s="41">
        <v>9.5749756625602034E-2</v>
      </c>
      <c r="DU7" s="42">
        <v>9.5749756625602034E-2</v>
      </c>
      <c r="DV7" s="41">
        <v>7.6500000000000012E-2</v>
      </c>
      <c r="DW7" s="42">
        <v>7.6500000000000012E-2</v>
      </c>
      <c r="DX7" s="41">
        <v>7.6499999999999999E-2</v>
      </c>
      <c r="DY7" s="41">
        <v>9.5749756625602034E-2</v>
      </c>
      <c r="DZ7" s="42">
        <v>9.5749756625602034E-2</v>
      </c>
      <c r="EA7" s="41">
        <v>7.6500000000000012E-2</v>
      </c>
      <c r="EB7" s="42">
        <v>7.6500000000000012E-2</v>
      </c>
      <c r="EC7" s="41">
        <v>7.6499999999999999E-2</v>
      </c>
      <c r="ED7" s="41">
        <v>0.15571813762960329</v>
      </c>
      <c r="EE7" s="42">
        <v>0.15571813762960329</v>
      </c>
      <c r="EF7" s="41">
        <v>0.11535616105563706</v>
      </c>
      <c r="EG7" s="42">
        <v>0.11535616105563706</v>
      </c>
      <c r="EH7" s="41">
        <v>7.6499999999999999E-2</v>
      </c>
      <c r="EI7" s="41">
        <v>0.15571813762960329</v>
      </c>
      <c r="EJ7" s="42">
        <v>0.15571813762960329</v>
      </c>
      <c r="EK7" s="41">
        <v>0.11535616105563706</v>
      </c>
      <c r="EL7" s="42">
        <v>0.11535616105563706</v>
      </c>
      <c r="EM7" s="41">
        <v>7.6499999999999999E-2</v>
      </c>
      <c r="EN7" s="41">
        <v>0.15571813762960329</v>
      </c>
      <c r="EO7" s="42">
        <v>0.15571813762960329</v>
      </c>
      <c r="EP7" s="41">
        <v>0.11535616105563706</v>
      </c>
      <c r="EQ7" s="42">
        <v>0.11535616105563706</v>
      </c>
      <c r="ER7" s="41">
        <v>7.6499999999999999E-2</v>
      </c>
      <c r="ES7" s="41">
        <v>0.15571813762960329</v>
      </c>
      <c r="ET7" s="42">
        <v>0.15571813762960329</v>
      </c>
      <c r="EU7" s="41">
        <v>0.11535616105563706</v>
      </c>
      <c r="EV7" s="42">
        <v>0.11535616105563706</v>
      </c>
      <c r="EW7" s="41">
        <v>7.6499999999999999E-2</v>
      </c>
      <c r="EX7" s="41">
        <v>0.15571813762960329</v>
      </c>
      <c r="EY7" s="42">
        <v>0.15571813762960329</v>
      </c>
      <c r="EZ7" s="41">
        <v>0.11535616105563706</v>
      </c>
      <c r="FA7" s="42">
        <v>0.11535616105563706</v>
      </c>
      <c r="FB7" s="41">
        <v>7.6499999999999999E-2</v>
      </c>
      <c r="FC7" s="41">
        <v>0.15571813762960329</v>
      </c>
      <c r="FD7" s="42">
        <v>0.15571813762960329</v>
      </c>
      <c r="FE7" s="41">
        <v>0.11535616105563706</v>
      </c>
      <c r="FF7" s="42">
        <v>0.11535616105563706</v>
      </c>
      <c r="FG7" s="41">
        <v>7.6499999999999999E-2</v>
      </c>
      <c r="FH7" s="41">
        <v>0.15571813762960329</v>
      </c>
      <c r="FI7" s="42">
        <v>0.15571813762960329</v>
      </c>
      <c r="FJ7" s="41">
        <v>0.11535616105563706</v>
      </c>
      <c r="FK7" s="42">
        <v>0.11535616105563706</v>
      </c>
      <c r="FL7" s="41">
        <v>7.6499999999999999E-2</v>
      </c>
      <c r="FM7" s="41">
        <v>0.15571813762960329</v>
      </c>
      <c r="FN7" s="42">
        <v>0.15571813762960329</v>
      </c>
      <c r="FO7" s="41">
        <v>0.11535616105563706</v>
      </c>
      <c r="FP7" s="42">
        <v>0.11535616105563706</v>
      </c>
      <c r="FQ7" s="41">
        <v>7.6499999999999999E-2</v>
      </c>
      <c r="FR7" s="41">
        <v>0.15571813762960329</v>
      </c>
      <c r="FS7" s="42">
        <v>0.15571813762960329</v>
      </c>
      <c r="FT7" s="41">
        <v>0.11535616105563706</v>
      </c>
      <c r="FU7" s="42">
        <v>0.11535616105563706</v>
      </c>
      <c r="FV7" s="41">
        <v>7.6499999999999999E-2</v>
      </c>
      <c r="FW7" s="41">
        <v>0.15571813762960329</v>
      </c>
      <c r="FX7" s="42">
        <v>0.15571813762960329</v>
      </c>
      <c r="FY7" s="41">
        <v>0.11535616105563706</v>
      </c>
      <c r="FZ7" s="42">
        <v>0.11535616105563706</v>
      </c>
      <c r="GA7" s="41">
        <v>7.6499999999999999E-2</v>
      </c>
      <c r="GB7" s="41">
        <v>0.15571813762960329</v>
      </c>
      <c r="GC7" s="42">
        <v>0.15571813762960329</v>
      </c>
      <c r="GD7" s="41">
        <v>0.11535616105563706</v>
      </c>
      <c r="GE7" s="42">
        <v>0.11535616105563706</v>
      </c>
      <c r="GF7" s="41">
        <v>7.6499999999999999E-2</v>
      </c>
      <c r="GG7" s="41">
        <v>0.15571813762960329</v>
      </c>
      <c r="GH7" s="42">
        <v>0.15571813762960329</v>
      </c>
      <c r="GI7" s="41">
        <v>0.11535616105563706</v>
      </c>
      <c r="GJ7" s="42">
        <v>0.11535616105563706</v>
      </c>
      <c r="GK7" s="41">
        <v>7.6499999999999999E-2</v>
      </c>
      <c r="GL7" s="41">
        <v>0.15571813762960329</v>
      </c>
      <c r="GM7" s="42">
        <v>0.15571813762960329</v>
      </c>
      <c r="GN7" s="41">
        <v>0.11535616105563706</v>
      </c>
      <c r="GO7" s="42">
        <v>0.11535616105563706</v>
      </c>
      <c r="GP7" s="41">
        <v>7.6499999999999999E-2</v>
      </c>
      <c r="GQ7" s="41">
        <v>0.15571813762960329</v>
      </c>
      <c r="GR7" s="42">
        <v>0.15571813762960329</v>
      </c>
      <c r="GS7" s="41">
        <v>0.11535616105563706</v>
      </c>
      <c r="GT7" s="42">
        <v>0.11535616105563706</v>
      </c>
      <c r="GU7" s="41">
        <v>7.6499999999999999E-2</v>
      </c>
      <c r="GV7" s="41">
        <v>0.15571813762960329</v>
      </c>
      <c r="GW7" s="42">
        <v>0.15571813762960329</v>
      </c>
      <c r="GX7" s="41">
        <v>0.11535616105563706</v>
      </c>
      <c r="GY7" s="42">
        <v>0.11535616105563706</v>
      </c>
      <c r="GZ7" s="41">
        <v>7.6499999999999999E-2</v>
      </c>
      <c r="HA7" s="41">
        <v>0.15571813762960329</v>
      </c>
      <c r="HB7" s="42">
        <v>0.15571813762960329</v>
      </c>
      <c r="HC7" s="41">
        <v>0.11535616105563706</v>
      </c>
      <c r="HD7" s="42">
        <v>0.11535616105563706</v>
      </c>
      <c r="HE7" s="41">
        <v>7.6499999999999999E-2</v>
      </c>
      <c r="HF7" s="41">
        <v>0.15571813762960329</v>
      </c>
      <c r="HG7" s="42">
        <v>0.15571813762960329</v>
      </c>
      <c r="HH7" s="41">
        <v>0.11535616105563706</v>
      </c>
      <c r="HI7" s="42">
        <v>0.11535616105563706</v>
      </c>
      <c r="HJ7" s="41">
        <v>7.6499999999999999E-2</v>
      </c>
      <c r="HK7" s="41">
        <v>0.15571813762960329</v>
      </c>
      <c r="HL7" s="42">
        <v>0.15571813762960329</v>
      </c>
      <c r="HM7" s="41">
        <v>0.11535616105563706</v>
      </c>
      <c r="HN7" s="42">
        <v>0.11535616105563706</v>
      </c>
      <c r="HO7">
        <v>7.6499999999999999E-2</v>
      </c>
      <c r="HP7">
        <v>0.15571813762960329</v>
      </c>
      <c r="HQ7">
        <v>0.15571813762960329</v>
      </c>
      <c r="HR7">
        <v>0.11535616105563706</v>
      </c>
      <c r="HS7">
        <v>0.11535616105563706</v>
      </c>
      <c r="HT7">
        <v>7.6499999999999999E-2</v>
      </c>
      <c r="HU7">
        <v>0.15571813762960329</v>
      </c>
      <c r="HV7">
        <v>0.15571813762960329</v>
      </c>
      <c r="HW7">
        <v>0.11535616105563706</v>
      </c>
      <c r="HX7">
        <v>0.11535616105563706</v>
      </c>
      <c r="HY7">
        <v>7.6499999999999999E-2</v>
      </c>
      <c r="HZ7">
        <v>0.15571813762960329</v>
      </c>
      <c r="IA7">
        <v>0.15571813762960329</v>
      </c>
      <c r="IB7">
        <v>0.11535616105563706</v>
      </c>
      <c r="IC7">
        <v>0.11535616105563706</v>
      </c>
      <c r="ID7">
        <v>7.6499999999999999E-2</v>
      </c>
      <c r="IE7">
        <v>0.15571813762960329</v>
      </c>
      <c r="IF7">
        <v>0.90206640597158705</v>
      </c>
      <c r="IG7">
        <v>0.11535616105563706</v>
      </c>
      <c r="IH7">
        <v>0.11535616105563706</v>
      </c>
      <c r="II7">
        <v>7.6499999999999999E-2</v>
      </c>
      <c r="IJ7">
        <v>0.15571813762960329</v>
      </c>
      <c r="IK7">
        <v>0.90206640597158705</v>
      </c>
      <c r="IL7">
        <v>0.11535616105563706</v>
      </c>
      <c r="IM7">
        <v>0.11535616105563706</v>
      </c>
      <c r="IN7">
        <v>7.6499999999999999E-2</v>
      </c>
      <c r="IO7" s="86">
        <v>0.15571813762960329</v>
      </c>
      <c r="IP7">
        <v>0.90206640597158705</v>
      </c>
      <c r="IQ7">
        <v>0.11535616105563706</v>
      </c>
      <c r="IR7">
        <v>0.11535616105563706</v>
      </c>
      <c r="IS7">
        <v>7.6499999999999999E-2</v>
      </c>
      <c r="IT7">
        <v>0.15571813762960329</v>
      </c>
      <c r="IU7">
        <v>0.90206640597158705</v>
      </c>
      <c r="IV7">
        <v>0.11535616105563706</v>
      </c>
      <c r="IW7">
        <v>0.11535616105563706</v>
      </c>
      <c r="IX7">
        <v>7.6499999999999999E-2</v>
      </c>
      <c r="IY7">
        <v>0.15571813762960329</v>
      </c>
      <c r="IZ7">
        <v>0.90206640597158705</v>
      </c>
      <c r="JA7">
        <v>0.11535616105563706</v>
      </c>
      <c r="JB7">
        <v>0.11535616105563706</v>
      </c>
      <c r="JC7">
        <v>7.6499999999999999E-2</v>
      </c>
      <c r="JD7">
        <v>0.15571813762960329</v>
      </c>
      <c r="JE7">
        <v>0.90206640597158705</v>
      </c>
      <c r="JF7">
        <v>0.11535616105563706</v>
      </c>
      <c r="JG7">
        <v>0.11535616105563706</v>
      </c>
      <c r="JH7">
        <v>7.6499999999999999E-2</v>
      </c>
      <c r="JI7">
        <v>0.15571813762960329</v>
      </c>
      <c r="JJ7">
        <v>0.90206640597158705</v>
      </c>
      <c r="JK7">
        <v>0.11535616105563706</v>
      </c>
      <c r="JL7">
        <v>0.11535616105563706</v>
      </c>
      <c r="JM7">
        <v>7.6499999999999999E-2</v>
      </c>
      <c r="JN7">
        <v>0.15571813762960329</v>
      </c>
      <c r="JO7">
        <v>0.90206640597158705</v>
      </c>
      <c r="JP7">
        <v>0.11535616105563706</v>
      </c>
      <c r="JQ7">
        <v>0.11535616105563706</v>
      </c>
      <c r="JR7">
        <v>7.6499999999999999E-2</v>
      </c>
      <c r="JS7">
        <v>0.15571813762960329</v>
      </c>
      <c r="JT7">
        <v>0.90206640597158705</v>
      </c>
      <c r="JU7">
        <v>0.11535616105563706</v>
      </c>
      <c r="JV7">
        <v>0.11535616105563706</v>
      </c>
      <c r="JW7">
        <v>7.6499999999999999E-2</v>
      </c>
      <c r="JX7">
        <v>0.15571813762960329</v>
      </c>
      <c r="JY7">
        <v>0.90206640597158705</v>
      </c>
      <c r="JZ7">
        <v>0.11535616105563706</v>
      </c>
      <c r="KA7">
        <v>0.11535616105563706</v>
      </c>
      <c r="KB7">
        <v>7.6499999999999999E-2</v>
      </c>
      <c r="KC7">
        <v>0.15571813762960329</v>
      </c>
      <c r="KD7">
        <v>0.90206640597158705</v>
      </c>
      <c r="KE7">
        <v>0.11535616105563706</v>
      </c>
      <c r="KF7">
        <v>0.11535616105563706</v>
      </c>
      <c r="KG7">
        <v>7.6499999999999999E-2</v>
      </c>
      <c r="KH7">
        <v>0.15571813762960329</v>
      </c>
      <c r="KI7">
        <v>0.90206640597158705</v>
      </c>
      <c r="KJ7">
        <v>0.11535616105563706</v>
      </c>
      <c r="KK7">
        <v>0.11535616105563706</v>
      </c>
      <c r="KL7">
        <v>7.6499999999999999E-2</v>
      </c>
      <c r="KM7">
        <v>0.15571813762960329</v>
      </c>
      <c r="KN7">
        <v>0.90206640597158705</v>
      </c>
      <c r="KO7">
        <v>0.11535616105563706</v>
      </c>
      <c r="KP7">
        <v>0.11535616105563706</v>
      </c>
      <c r="KQ7">
        <v>7.6499999999999999E-2</v>
      </c>
      <c r="KR7">
        <v>0.15571813762960329</v>
      </c>
      <c r="KS7">
        <v>0.90206640597158705</v>
      </c>
      <c r="KT7">
        <v>0.11535616105563706</v>
      </c>
      <c r="KU7">
        <v>0.11535616105563706</v>
      </c>
      <c r="KV7">
        <v>7.6499999999999999E-2</v>
      </c>
      <c r="KW7">
        <v>0.15571813762960329</v>
      </c>
      <c r="KX7">
        <v>0.90206640597158705</v>
      </c>
      <c r="KY7">
        <v>0.11535616105563706</v>
      </c>
      <c r="KZ7">
        <v>0.11535616105563706</v>
      </c>
      <c r="LA7">
        <v>7.6499999999999999E-2</v>
      </c>
      <c r="LB7">
        <v>0.15571813762960329</v>
      </c>
      <c r="LC7">
        <v>0.90206640597158705</v>
      </c>
      <c r="LD7">
        <v>0.11535616105563706</v>
      </c>
      <c r="LE7">
        <v>0.11535616105563706</v>
      </c>
      <c r="LF7">
        <v>7.6499999999999999E-2</v>
      </c>
      <c r="LG7">
        <v>0.15571813762960329</v>
      </c>
      <c r="LH7">
        <v>0.90206640597158705</v>
      </c>
      <c r="LI7">
        <v>0.11535616105563706</v>
      </c>
      <c r="LJ7">
        <v>0.11535616105563706</v>
      </c>
      <c r="LK7">
        <v>7.6499999999999999E-2</v>
      </c>
      <c r="LL7">
        <v>0.15571813762960329</v>
      </c>
      <c r="LM7">
        <v>0.90206640597158705</v>
      </c>
      <c r="LN7">
        <v>0.11535616105563706</v>
      </c>
      <c r="LO7">
        <v>0.11535616105563706</v>
      </c>
      <c r="LP7">
        <v>7.6499999999999999E-2</v>
      </c>
      <c r="LQ7">
        <v>0.15571813762960329</v>
      </c>
      <c r="LR7">
        <v>0.90206640597158705</v>
      </c>
      <c r="LS7">
        <v>0.11535616105563706</v>
      </c>
      <c r="LT7">
        <v>0.11535616105563706</v>
      </c>
      <c r="LU7">
        <v>7.6499999999999999E-2</v>
      </c>
      <c r="LV7">
        <v>0.15571813762960329</v>
      </c>
      <c r="LW7">
        <v>0.90206640597158705</v>
      </c>
      <c r="LX7">
        <v>0.11535616105563706</v>
      </c>
      <c r="LY7">
        <v>0.11535616105563706</v>
      </c>
      <c r="LZ7">
        <v>7.6499999999999999E-2</v>
      </c>
      <c r="MA7">
        <v>0.15571813762960329</v>
      </c>
      <c r="MB7">
        <v>0.90206640597158705</v>
      </c>
      <c r="MC7">
        <v>0.11535616105563706</v>
      </c>
      <c r="MD7">
        <v>0.11535616105563706</v>
      </c>
      <c r="ME7">
        <v>7.6499999999999999E-2</v>
      </c>
      <c r="MF7">
        <v>0.15571813762960329</v>
      </c>
      <c r="MG7">
        <v>0.90206640597158705</v>
      </c>
      <c r="MH7">
        <v>0.11535616105563706</v>
      </c>
      <c r="MI7">
        <v>0.11535616105563706</v>
      </c>
      <c r="MJ7">
        <v>7.6499999999999999E-2</v>
      </c>
      <c r="MK7">
        <v>0.15571813762960329</v>
      </c>
      <c r="ML7">
        <v>0.90206640597158705</v>
      </c>
      <c r="MM7">
        <v>0.11535616105563706</v>
      </c>
      <c r="MN7">
        <v>0.11535616105563706</v>
      </c>
      <c r="MO7">
        <v>7.6499999999999999E-2</v>
      </c>
      <c r="MP7">
        <v>0.15571813762960329</v>
      </c>
      <c r="MQ7">
        <v>0.90206640597158705</v>
      </c>
      <c r="MR7">
        <v>0.11535616105563706</v>
      </c>
      <c r="MS7">
        <v>0.11535616105563706</v>
      </c>
      <c r="MT7">
        <v>7.6499999999999999E-2</v>
      </c>
      <c r="MU7">
        <v>0.15571813762960329</v>
      </c>
      <c r="MV7">
        <v>0.90206640597158705</v>
      </c>
      <c r="MW7">
        <v>0.11535616105563706</v>
      </c>
      <c r="MX7">
        <v>0.11535616105563706</v>
      </c>
      <c r="MY7">
        <v>7.6499999999999999E-2</v>
      </c>
      <c r="MZ7">
        <v>0.15571813762960329</v>
      </c>
      <c r="NA7">
        <v>0.90206640597158705</v>
      </c>
      <c r="NB7">
        <v>0.11535616105563706</v>
      </c>
      <c r="NC7">
        <v>0.11535616105563706</v>
      </c>
      <c r="ND7">
        <v>7.6499999999999999E-2</v>
      </c>
      <c r="NE7">
        <v>0.15571813762960329</v>
      </c>
      <c r="NF7">
        <v>0.90206640597158705</v>
      </c>
      <c r="NG7">
        <v>0.11535616105563706</v>
      </c>
      <c r="NH7">
        <v>0.11535616105563706</v>
      </c>
      <c r="NI7">
        <v>7.6499999999999999E-2</v>
      </c>
      <c r="NJ7">
        <v>0.15571813762960329</v>
      </c>
      <c r="NK7">
        <v>0.90206640597158705</v>
      </c>
      <c r="NL7">
        <v>0.11535616105563706</v>
      </c>
      <c r="NM7">
        <v>0.11535616105563706</v>
      </c>
      <c r="NN7">
        <v>7.6499999999999999E-2</v>
      </c>
      <c r="NO7">
        <v>0.15571813762960329</v>
      </c>
      <c r="NP7">
        <v>0.90206640597158705</v>
      </c>
      <c r="NQ7">
        <v>0.11535616105563706</v>
      </c>
      <c r="NR7">
        <v>0.11535616105563706</v>
      </c>
      <c r="NS7">
        <v>7.6499999999999999E-2</v>
      </c>
      <c r="NT7">
        <v>0.15571813762960329</v>
      </c>
      <c r="NU7">
        <v>0.90206640597158705</v>
      </c>
      <c r="NV7">
        <v>0.11535616105563706</v>
      </c>
      <c r="NW7">
        <v>0.11535616105563706</v>
      </c>
      <c r="NX7">
        <v>7.6499999999999999E-2</v>
      </c>
      <c r="NY7">
        <v>0.15571813762960329</v>
      </c>
      <c r="NZ7">
        <v>0.90206640597158705</v>
      </c>
      <c r="OA7">
        <v>0.11535616105563706</v>
      </c>
      <c r="OB7">
        <v>0.11535616105563706</v>
      </c>
      <c r="OC7">
        <v>7.6499999999999999E-2</v>
      </c>
      <c r="OD7">
        <v>0.15571813762960329</v>
      </c>
      <c r="OE7">
        <v>0.90206640597158705</v>
      </c>
      <c r="OF7">
        <v>0.11535616105563706</v>
      </c>
      <c r="OG7">
        <v>0.11535616105563706</v>
      </c>
      <c r="OH7">
        <v>7.6499999999999999E-2</v>
      </c>
      <c r="OI7">
        <v>0.15571813762960329</v>
      </c>
      <c r="OJ7">
        <v>0.90206640597158705</v>
      </c>
      <c r="OK7">
        <v>0.11535616105563706</v>
      </c>
      <c r="OL7">
        <v>0.11535616105563706</v>
      </c>
      <c r="OM7">
        <v>7.6499999999999999E-2</v>
      </c>
      <c r="ON7">
        <v>0.15571813762960329</v>
      </c>
      <c r="OO7">
        <v>0.90206640597158705</v>
      </c>
      <c r="OP7">
        <v>0.11535616105563706</v>
      </c>
      <c r="OQ7">
        <v>0.11535616105563706</v>
      </c>
      <c r="OR7">
        <v>7.6499999999999999E-2</v>
      </c>
      <c r="OS7">
        <v>0.15571813762960329</v>
      </c>
      <c r="OT7">
        <v>0.90206640597158705</v>
      </c>
      <c r="OU7">
        <v>0.11535616105563706</v>
      </c>
      <c r="OV7">
        <v>0.11535616105563706</v>
      </c>
      <c r="OW7">
        <v>7.6499999999999999E-2</v>
      </c>
      <c r="OX7">
        <v>0.15571813762960329</v>
      </c>
      <c r="OY7">
        <v>0.90206640597158705</v>
      </c>
      <c r="OZ7">
        <v>0.11535616105563706</v>
      </c>
      <c r="PA7">
        <v>0.11535616105563706</v>
      </c>
      <c r="PB7">
        <v>7.6499999999999999E-2</v>
      </c>
      <c r="PC7">
        <v>0.15571813762960329</v>
      </c>
      <c r="PD7">
        <v>0.90206640597158705</v>
      </c>
      <c r="PE7">
        <v>0.11535616105563706</v>
      </c>
      <c r="PF7">
        <v>0.11535616105563706</v>
      </c>
      <c r="PG7">
        <v>7.6499999999999999E-2</v>
      </c>
      <c r="PH7">
        <v>0.15571813762960329</v>
      </c>
      <c r="PI7">
        <v>0.90206640597158705</v>
      </c>
      <c r="PJ7">
        <v>0.11535616105563706</v>
      </c>
      <c r="PK7">
        <v>0.11535616105563706</v>
      </c>
      <c r="PL7" s="41">
        <v>7.6499999999999999E-2</v>
      </c>
      <c r="PM7" s="41">
        <v>0.15571813762960329</v>
      </c>
      <c r="PN7" s="42">
        <v>0.90206640597158705</v>
      </c>
      <c r="PO7" s="41">
        <v>0.11535616105563706</v>
      </c>
      <c r="PP7" s="42">
        <v>0.11535616105563706</v>
      </c>
      <c r="PQ7">
        <v>7.6499999999999999E-2</v>
      </c>
      <c r="PR7">
        <v>0.15571813762960329</v>
      </c>
      <c r="PS7">
        <v>0.90206640597158705</v>
      </c>
      <c r="PT7">
        <v>0.11535616105563706</v>
      </c>
      <c r="PU7">
        <v>0.11535616105563706</v>
      </c>
      <c r="PV7">
        <v>7.6499999999999999E-2</v>
      </c>
      <c r="PW7">
        <v>0.15571813762960329</v>
      </c>
      <c r="PX7">
        <v>0.90206640597158705</v>
      </c>
      <c r="PY7">
        <v>0.11535616105563706</v>
      </c>
      <c r="PZ7">
        <v>0.11535616105563706</v>
      </c>
      <c r="QA7" s="41">
        <v>7.6499999999999999E-2</v>
      </c>
      <c r="QB7" s="41">
        <v>0.15571813762960329</v>
      </c>
      <c r="QC7" s="42">
        <v>0.90206640597158705</v>
      </c>
      <c r="QD7" s="41">
        <v>0.11535616105563706</v>
      </c>
      <c r="QE7" s="42">
        <v>0.11535616105563706</v>
      </c>
    </row>
    <row r="8" spans="1:666" x14ac:dyDescent="0.15">
      <c r="A8" s="41" t="s">
        <v>11</v>
      </c>
      <c r="B8" s="41">
        <f>FixedParams!B24</f>
        <v>7.6499999999999999E-2</v>
      </c>
      <c r="C8" s="41">
        <f>FixedParams!C24</f>
        <v>0.6589556007041486</v>
      </c>
      <c r="D8" s="42">
        <v>0.34823537297239893</v>
      </c>
      <c r="E8" s="41">
        <f>FixedParams!D24</f>
        <v>0.45625124773503489</v>
      </c>
      <c r="F8" s="42">
        <f t="shared" si="116"/>
        <v>0.45625124773503489</v>
      </c>
      <c r="H8" s="41">
        <v>7.6499999999999999E-2</v>
      </c>
      <c r="I8" s="41">
        <v>0.6589556007041486</v>
      </c>
      <c r="J8" s="42">
        <v>0.6589556007041486</v>
      </c>
      <c r="K8" s="41">
        <v>0.55672729398914744</v>
      </c>
      <c r="L8" s="42">
        <v>0.55672729398914744</v>
      </c>
      <c r="M8" s="41">
        <v>7.6499999999999999E-2</v>
      </c>
      <c r="N8" s="41">
        <v>0.62972916581074201</v>
      </c>
      <c r="O8" s="42">
        <v>0.62972916581074201</v>
      </c>
      <c r="P8" s="41">
        <v>0.53055391808586871</v>
      </c>
      <c r="Q8" s="42">
        <v>0.53055391808586871</v>
      </c>
      <c r="R8" s="41">
        <v>7.6499999999999999E-2</v>
      </c>
      <c r="S8" s="41">
        <v>0.60140926345750878</v>
      </c>
      <c r="T8" s="42">
        <v>0.60140926345750878</v>
      </c>
      <c r="U8" s="41">
        <v>0.50510986765253318</v>
      </c>
      <c r="V8" s="42">
        <v>0.50510986765253318</v>
      </c>
      <c r="W8" s="41">
        <v>7.6499999999999999E-2</v>
      </c>
      <c r="X8" s="41">
        <v>0.57394189119036487</v>
      </c>
      <c r="Y8" s="42">
        <v>0.57394189119036487</v>
      </c>
      <c r="Z8" s="41">
        <v>0.48035478472198867</v>
      </c>
      <c r="AA8" s="42">
        <v>0.48035478472198867</v>
      </c>
      <c r="AB8" s="41">
        <v>7.6499999999999999E-2</v>
      </c>
      <c r="AC8" s="41">
        <v>0.54727732805932483</v>
      </c>
      <c r="AD8" s="42">
        <v>0.54727732805932483</v>
      </c>
      <c r="AE8" s="41">
        <v>0.45625124773503489</v>
      </c>
      <c r="AF8" s="42">
        <v>0.456251247735035</v>
      </c>
      <c r="AG8" s="41">
        <v>7.6499999999999999E-2</v>
      </c>
      <c r="AH8" s="41">
        <v>0.52136970147079476</v>
      </c>
      <c r="AI8" s="42">
        <v>0.52136970147079476</v>
      </c>
      <c r="AJ8" s="41">
        <v>0.43276449641006409</v>
      </c>
      <c r="AK8" s="42">
        <v>0.43276449641006409</v>
      </c>
      <c r="AL8" s="41">
        <v>7.6499999999999999E-2</v>
      </c>
      <c r="AM8" s="41">
        <v>0.49617660625889948</v>
      </c>
      <c r="AN8" s="42">
        <v>0.49617660625889948</v>
      </c>
      <c r="AO8" s="41">
        <v>0.40986218727291157</v>
      </c>
      <c r="AP8" s="42">
        <v>0.40986218727291157</v>
      </c>
      <c r="AQ8" s="41">
        <v>7.6499999999999999E-2</v>
      </c>
      <c r="AR8" s="41">
        <v>0.47165876867597056</v>
      </c>
      <c r="AS8" s="42">
        <v>0.47165876867597056</v>
      </c>
      <c r="AT8" s="41">
        <v>0.3875141758704983</v>
      </c>
      <c r="AU8" s="42">
        <v>0.3875141758704983</v>
      </c>
      <c r="AV8" s="41">
        <v>7.6499999999999999E-2</v>
      </c>
      <c r="AW8" s="41">
        <v>0.44777974915462293</v>
      </c>
      <c r="AX8" s="42">
        <v>0.44777974915462293</v>
      </c>
      <c r="AY8" s="41">
        <v>0.36569232227445037</v>
      </c>
      <c r="AZ8" s="42">
        <v>0.36569232227445037</v>
      </c>
      <c r="BA8" s="41">
        <v>7.6499999999999999E-2</v>
      </c>
      <c r="BB8" s="41">
        <v>0.42450567864408439</v>
      </c>
      <c r="BC8" s="42">
        <v>0.42450567864408439</v>
      </c>
      <c r="BD8" s="41">
        <v>0.34437031696845399</v>
      </c>
      <c r="BE8" s="42">
        <v>0.34437031696845399</v>
      </c>
      <c r="BF8" s="41">
        <v>7.6499999999999999E-2</v>
      </c>
      <c r="BG8" s="41">
        <v>0.40180502411043739</v>
      </c>
      <c r="BH8" s="42">
        <v>0.40180502411043739</v>
      </c>
      <c r="BI8" s="41">
        <v>0.32352352462267397</v>
      </c>
      <c r="BJ8" s="42">
        <v>0.32352352462267397</v>
      </c>
      <c r="BK8" s="41">
        <v>7.6499999999999999E-2</v>
      </c>
      <c r="BL8" s="41">
        <v>0.31617655645684595</v>
      </c>
      <c r="BM8" s="42">
        <v>0.31617655645684595</v>
      </c>
      <c r="BN8" s="41">
        <v>0.24444688318062502</v>
      </c>
      <c r="BO8" s="42">
        <v>0.24444688318062502</v>
      </c>
      <c r="BP8" s="41">
        <v>7.6499999999999999E-2</v>
      </c>
      <c r="BQ8" s="41">
        <v>0.23768259428664806</v>
      </c>
      <c r="BR8" s="42">
        <v>0.23768259428664806</v>
      </c>
      <c r="BS8" s="41">
        <v>0.17135346919630678</v>
      </c>
      <c r="BT8" s="42">
        <v>0.17135346919630678</v>
      </c>
      <c r="BU8" s="41">
        <v>7.6499999999999999E-2</v>
      </c>
      <c r="BV8" s="41">
        <v>0.5096094431360656</v>
      </c>
      <c r="BW8" s="42">
        <v>0.5096094431360656</v>
      </c>
      <c r="BX8" s="41">
        <v>0.46480166296673797</v>
      </c>
      <c r="BY8" s="42">
        <v>0.46480166296673797</v>
      </c>
      <c r="BZ8" s="41">
        <v>7.6499999999999999E-2</v>
      </c>
      <c r="CA8" s="41">
        <v>0.48473395049144918</v>
      </c>
      <c r="CB8" s="42">
        <v>0.48473395049144918</v>
      </c>
      <c r="CC8" s="41">
        <v>0.44109809338057926</v>
      </c>
      <c r="CD8" s="42">
        <v>0.44109809338057926</v>
      </c>
      <c r="CE8" s="41">
        <v>7.6499999999999999E-2</v>
      </c>
      <c r="CF8" s="41">
        <v>0.46051649460642174</v>
      </c>
      <c r="CG8" s="42">
        <v>0.46051649460642174</v>
      </c>
      <c r="CH8" s="41">
        <v>0.41799027341808381</v>
      </c>
      <c r="CI8" s="42">
        <v>0.41799027341808381</v>
      </c>
      <c r="CJ8" s="41">
        <v>7.6499999999999999E-2</v>
      </c>
      <c r="CK8" s="41">
        <v>0.43692185794672977</v>
      </c>
      <c r="CL8" s="42">
        <v>0.43692185794672977</v>
      </c>
      <c r="CM8" s="41">
        <v>0.39544729541622559</v>
      </c>
      <c r="CN8" s="42">
        <v>0.39544729541622559</v>
      </c>
      <c r="CO8" s="41">
        <v>7.6499999999999999E-2</v>
      </c>
      <c r="CP8" s="41">
        <v>0.41391728144895668</v>
      </c>
      <c r="CQ8" s="42">
        <v>0.41391728144895668</v>
      </c>
      <c r="CR8" s="41">
        <v>0.3734403233342718</v>
      </c>
      <c r="CS8" s="42">
        <v>0.3734403233342718</v>
      </c>
      <c r="CT8" s="41">
        <v>7.6499999999999999E-2</v>
      </c>
      <c r="CU8" s="41">
        <v>0.39147224222580257</v>
      </c>
      <c r="CV8" s="42">
        <v>0.39147224222580257</v>
      </c>
      <c r="CW8" s="41">
        <v>0.35194241165549256</v>
      </c>
      <c r="CX8" s="42">
        <v>0.35194241165549256</v>
      </c>
      <c r="CY8" s="41">
        <v>7.6499999999999999E-2</v>
      </c>
      <c r="CZ8" s="41">
        <v>0.36955825513010798</v>
      </c>
      <c r="DA8" s="42">
        <v>0.36955825513010798</v>
      </c>
      <c r="DB8" s="41">
        <v>0.33092834302636542</v>
      </c>
      <c r="DC8" s="42">
        <v>0.33092834302636542</v>
      </c>
      <c r="DD8" s="41">
        <v>7.6499999999999999E-2</v>
      </c>
      <c r="DE8" s="41">
        <v>0.34814869519032987</v>
      </c>
      <c r="DF8" s="42">
        <v>0.34814869519032987</v>
      </c>
      <c r="DG8" s="41">
        <v>0.31037448236497323</v>
      </c>
      <c r="DH8" s="42">
        <v>0.31037448236497323</v>
      </c>
      <c r="DI8" s="41">
        <v>7.6499999999999999E-2</v>
      </c>
      <c r="DJ8" s="41">
        <v>0.32721863835262521</v>
      </c>
      <c r="DK8" s="42">
        <v>0.32721863835262521</v>
      </c>
      <c r="DL8" s="41">
        <v>0.2902586454801539</v>
      </c>
      <c r="DM8" s="42">
        <v>0.2902586454801539</v>
      </c>
      <c r="DN8" s="41">
        <v>7.6499999999999999E-2</v>
      </c>
      <c r="DO8" s="41">
        <v>0.2867049975839977</v>
      </c>
      <c r="DP8" s="42">
        <v>0.2867049975839977</v>
      </c>
      <c r="DQ8" s="41">
        <v>0.25125886067630732</v>
      </c>
      <c r="DR8" s="42">
        <v>0.25125886067630732</v>
      </c>
      <c r="DS8" s="41">
        <v>7.6499999999999999E-2</v>
      </c>
      <c r="DT8" s="41">
        <v>0.21049314551611875</v>
      </c>
      <c r="DU8" s="42">
        <v>0.21049314551611875</v>
      </c>
      <c r="DV8" s="41">
        <v>0.17767497754219552</v>
      </c>
      <c r="DW8" s="42">
        <v>0.17767497754219552</v>
      </c>
      <c r="DX8" s="41">
        <v>7.6499999999999999E-2</v>
      </c>
      <c r="DY8" s="41">
        <v>0.13977452736540008</v>
      </c>
      <c r="DZ8" s="42">
        <v>0.13977452736540008</v>
      </c>
      <c r="EA8" s="41">
        <v>0.10914118689109786</v>
      </c>
      <c r="EB8" s="42">
        <v>0.10914118689109786</v>
      </c>
      <c r="EC8" s="41">
        <v>7.6499999999999999E-2</v>
      </c>
      <c r="ED8" s="41">
        <v>0.6589556007041486</v>
      </c>
      <c r="EE8" s="42">
        <v>0.6589556007041486</v>
      </c>
      <c r="EF8" s="41">
        <v>0.55672729398914744</v>
      </c>
      <c r="EG8" s="42">
        <v>0.55672729398914744</v>
      </c>
      <c r="EH8" s="41">
        <v>7.6499999999999999E-2</v>
      </c>
      <c r="EI8" s="41">
        <v>0.62972916581074201</v>
      </c>
      <c r="EJ8" s="42">
        <v>0.62972916581074201</v>
      </c>
      <c r="EK8" s="41">
        <v>0.53055391808586871</v>
      </c>
      <c r="EL8" s="42">
        <v>0.53055391808586871</v>
      </c>
      <c r="EM8" s="41">
        <v>7.6499999999999999E-2</v>
      </c>
      <c r="EN8" s="41">
        <v>0.60140926345750878</v>
      </c>
      <c r="EO8" s="42">
        <v>0.60140926345750878</v>
      </c>
      <c r="EP8" s="41">
        <v>0.50510986765253318</v>
      </c>
      <c r="EQ8" s="42">
        <v>0.50510986765253318</v>
      </c>
      <c r="ER8" s="41">
        <v>7.6499999999999999E-2</v>
      </c>
      <c r="ES8" s="41">
        <v>0.57394189119036487</v>
      </c>
      <c r="ET8" s="42">
        <v>0.57394189119036487</v>
      </c>
      <c r="EU8" s="41">
        <v>0.48035478472198867</v>
      </c>
      <c r="EV8" s="42">
        <v>0.48035478472198867</v>
      </c>
      <c r="EW8" s="41">
        <v>7.6499999999999999E-2</v>
      </c>
      <c r="EX8" s="41">
        <v>0.54727732805932483</v>
      </c>
      <c r="EY8" s="42">
        <v>0.54727732805932483</v>
      </c>
      <c r="EZ8" s="41">
        <v>0.45625124773503489</v>
      </c>
      <c r="FA8" s="42">
        <v>0.45625124773503489</v>
      </c>
      <c r="FB8" s="41">
        <v>7.6499999999999999E-2</v>
      </c>
      <c r="FC8" s="41">
        <v>0.52136970147079476</v>
      </c>
      <c r="FD8" s="42">
        <v>0.52136970147079476</v>
      </c>
      <c r="FE8" s="41">
        <v>0.43276449641006409</v>
      </c>
      <c r="FF8" s="42">
        <v>0.43276449641006409</v>
      </c>
      <c r="FG8" s="41">
        <v>7.6499999999999999E-2</v>
      </c>
      <c r="FH8" s="41">
        <v>0.49617660625889948</v>
      </c>
      <c r="FI8" s="42">
        <v>0.49617660625889948</v>
      </c>
      <c r="FJ8" s="41">
        <v>0.40986218727291157</v>
      </c>
      <c r="FK8" s="42">
        <v>0.40986218727291157</v>
      </c>
      <c r="FL8" s="41">
        <v>7.6499999999999999E-2</v>
      </c>
      <c r="FM8" s="41">
        <v>0.47165876867597056</v>
      </c>
      <c r="FN8" s="42">
        <v>0.47165876867597056</v>
      </c>
      <c r="FO8" s="41">
        <v>0.3875141758704983</v>
      </c>
      <c r="FP8" s="42">
        <v>0.3875141758704983</v>
      </c>
      <c r="FQ8" s="41">
        <v>7.6499999999999999E-2</v>
      </c>
      <c r="FR8" s="41">
        <v>0.44777974915462293</v>
      </c>
      <c r="FS8" s="42">
        <v>0.44777974915462293</v>
      </c>
      <c r="FT8" s="41">
        <v>0.36569232227445037</v>
      </c>
      <c r="FU8" s="42">
        <v>0.36569232227445037</v>
      </c>
      <c r="FV8" s="41">
        <v>7.6499999999999999E-2</v>
      </c>
      <c r="FW8" s="41">
        <v>0.40180502411043739</v>
      </c>
      <c r="FX8" s="42">
        <v>0.40180502411043739</v>
      </c>
      <c r="FY8" s="41">
        <v>0.32352352462267397</v>
      </c>
      <c r="FZ8" s="42">
        <v>0.32352352462267397</v>
      </c>
      <c r="GA8" s="41">
        <v>7.6499999999999999E-2</v>
      </c>
      <c r="GB8" s="41">
        <v>0.31617655645684595</v>
      </c>
      <c r="GC8" s="42">
        <v>0.31617655645684595</v>
      </c>
      <c r="GD8" s="41">
        <v>0.24444688318062502</v>
      </c>
      <c r="GE8" s="42">
        <v>0.24444688318062502</v>
      </c>
      <c r="GF8" s="41">
        <v>7.6499999999999999E-2</v>
      </c>
      <c r="GG8" s="41">
        <v>0.23768259428664806</v>
      </c>
      <c r="GH8" s="42">
        <v>0.23768259428664806</v>
      </c>
      <c r="GI8" s="41">
        <v>0.17135346919630678</v>
      </c>
      <c r="GJ8" s="42">
        <v>0.17135346919630678</v>
      </c>
      <c r="GK8" s="41">
        <v>7.6499999999999999E-2</v>
      </c>
      <c r="GL8" s="41">
        <v>0.6589556007041486</v>
      </c>
      <c r="GM8" s="42">
        <v>0.6589556007041486</v>
      </c>
      <c r="GN8" s="41">
        <v>0.45625124773503489</v>
      </c>
      <c r="GO8" s="42">
        <v>0.45625124773503489</v>
      </c>
      <c r="GP8" s="41">
        <v>7.6499999999999999E-2</v>
      </c>
      <c r="GQ8" s="41">
        <v>0.6589556007041486</v>
      </c>
      <c r="GR8" s="42">
        <v>0.6589556007041486</v>
      </c>
      <c r="GS8" s="41">
        <v>0.45625124773503489</v>
      </c>
      <c r="GT8" s="42">
        <v>0.45625124773503489</v>
      </c>
      <c r="GU8" s="41">
        <v>7.6499999999999999E-2</v>
      </c>
      <c r="GV8" s="41">
        <v>0.6589556007041486</v>
      </c>
      <c r="GW8" s="42">
        <v>0.6589556007041486</v>
      </c>
      <c r="GX8" s="41">
        <v>0.45625124773503489</v>
      </c>
      <c r="GY8" s="42">
        <v>0.45625124773503489</v>
      </c>
      <c r="GZ8" s="41">
        <v>7.6499999999999999E-2</v>
      </c>
      <c r="HA8" s="41">
        <v>0.6589556007041486</v>
      </c>
      <c r="HB8" s="42">
        <v>0.6589556007041486</v>
      </c>
      <c r="HC8" s="41">
        <v>0.45625124773503489</v>
      </c>
      <c r="HD8" s="42">
        <v>0.45625124773503489</v>
      </c>
      <c r="HE8" s="41">
        <v>7.6499999999999999E-2</v>
      </c>
      <c r="HF8" s="41">
        <v>0.54727732805932483</v>
      </c>
      <c r="HG8" s="42">
        <v>0.54727732805932483</v>
      </c>
      <c r="HH8" s="41">
        <v>0.45625124773503489</v>
      </c>
      <c r="HI8" s="42">
        <v>0.45625124773503489</v>
      </c>
      <c r="HJ8" s="41">
        <v>7.6499999999999999E-2</v>
      </c>
      <c r="HK8" s="41">
        <v>0.6589556007041486</v>
      </c>
      <c r="HL8" s="42">
        <v>0.6589556007041486</v>
      </c>
      <c r="HM8" s="41">
        <v>0.45625124773503489</v>
      </c>
      <c r="HN8" s="42">
        <v>0.45625124773503489</v>
      </c>
      <c r="HO8">
        <v>7.6499999999999999E-2</v>
      </c>
      <c r="HP8">
        <v>0.6589556007041486</v>
      </c>
      <c r="HQ8">
        <v>0.6589556007041486</v>
      </c>
      <c r="HR8">
        <v>0.45625124773503489</v>
      </c>
      <c r="HS8">
        <v>0.45625124773503489</v>
      </c>
      <c r="HT8">
        <v>7.6499999999999999E-2</v>
      </c>
      <c r="HU8">
        <v>0.6589556007041486</v>
      </c>
      <c r="HV8">
        <v>0.6589556007041486</v>
      </c>
      <c r="HW8">
        <v>0.45625124773503489</v>
      </c>
      <c r="HX8">
        <v>0.45625124773503489</v>
      </c>
      <c r="HY8">
        <v>7.6499999999999999E-2</v>
      </c>
      <c r="HZ8">
        <v>0.6589556007041486</v>
      </c>
      <c r="IA8">
        <v>0.6589556007041486</v>
      </c>
      <c r="IB8">
        <v>0.45625124773503489</v>
      </c>
      <c r="IC8">
        <v>0.45625124773503489</v>
      </c>
      <c r="ID8">
        <v>7.6499999999999999E-2</v>
      </c>
      <c r="IE8">
        <v>0.6589556007041486</v>
      </c>
      <c r="IF8">
        <v>0.34823537297239893</v>
      </c>
      <c r="IG8">
        <v>0.45625124773503489</v>
      </c>
      <c r="IH8">
        <v>0.45625124773503489</v>
      </c>
      <c r="II8">
        <v>7.6499999999999999E-2</v>
      </c>
      <c r="IJ8">
        <v>0.6589556007041486</v>
      </c>
      <c r="IK8">
        <v>0.34823537297239893</v>
      </c>
      <c r="IL8">
        <v>0.45625124773503489</v>
      </c>
      <c r="IM8">
        <v>0.45625124773503489</v>
      </c>
      <c r="IN8">
        <v>7.6499999999999999E-2</v>
      </c>
      <c r="IO8" s="86">
        <v>0.6589556007041486</v>
      </c>
      <c r="IP8">
        <v>0.34823537297239893</v>
      </c>
      <c r="IQ8">
        <v>0.45625124773503489</v>
      </c>
      <c r="IR8">
        <v>0.45625124773503489</v>
      </c>
      <c r="IS8">
        <v>7.6499999999999999E-2</v>
      </c>
      <c r="IT8">
        <v>0.6589556007041486</v>
      </c>
      <c r="IU8">
        <v>0.34823537297239893</v>
      </c>
      <c r="IV8">
        <v>0.45625124773503489</v>
      </c>
      <c r="IW8">
        <v>0.45625124773503489</v>
      </c>
      <c r="IX8">
        <v>7.6499999999999999E-2</v>
      </c>
      <c r="IY8">
        <v>0.6589556007041486</v>
      </c>
      <c r="IZ8">
        <v>0.34823537297239893</v>
      </c>
      <c r="JA8">
        <v>0.45625124773503489</v>
      </c>
      <c r="JB8">
        <v>0.45625124773503489</v>
      </c>
      <c r="JC8">
        <v>7.6499999999999999E-2</v>
      </c>
      <c r="JD8">
        <v>0.6589556007041486</v>
      </c>
      <c r="JE8">
        <v>0.34823537297239893</v>
      </c>
      <c r="JF8">
        <v>0.45625124773503489</v>
      </c>
      <c r="JG8">
        <v>0.45625124773503489</v>
      </c>
      <c r="JH8">
        <v>7.6499999999999999E-2</v>
      </c>
      <c r="JI8">
        <v>0.6589556007041486</v>
      </c>
      <c r="JJ8">
        <v>0.34823537297239893</v>
      </c>
      <c r="JK8">
        <v>0.45625124773503489</v>
      </c>
      <c r="JL8">
        <v>0.45625124773503489</v>
      </c>
      <c r="JM8">
        <v>7.6499999999999999E-2</v>
      </c>
      <c r="JN8">
        <v>0.6589556007041486</v>
      </c>
      <c r="JO8">
        <v>0.34823537297239893</v>
      </c>
      <c r="JP8">
        <v>0.45625124773503489</v>
      </c>
      <c r="JQ8">
        <v>0.45625124773503489</v>
      </c>
      <c r="JR8">
        <v>7.6499999999999999E-2</v>
      </c>
      <c r="JS8">
        <v>0.6589556007041486</v>
      </c>
      <c r="JT8">
        <v>0.34823537297239893</v>
      </c>
      <c r="JU8">
        <v>0.45625124773503489</v>
      </c>
      <c r="JV8">
        <v>0.45625124773503489</v>
      </c>
      <c r="JW8">
        <v>7.6499999999999999E-2</v>
      </c>
      <c r="JX8">
        <v>0.6589556007041486</v>
      </c>
      <c r="JY8">
        <v>0.34823537297239893</v>
      </c>
      <c r="JZ8">
        <v>0.45625124773503489</v>
      </c>
      <c r="KA8">
        <v>0.45625124773503489</v>
      </c>
      <c r="KB8">
        <v>7.6499999999999999E-2</v>
      </c>
      <c r="KC8">
        <v>0.6589556007041486</v>
      </c>
      <c r="KD8">
        <v>0.34823537297239893</v>
      </c>
      <c r="KE8">
        <v>0.45625124773503489</v>
      </c>
      <c r="KF8">
        <v>0.45625124773503489</v>
      </c>
      <c r="KG8">
        <v>7.6499999999999999E-2</v>
      </c>
      <c r="KH8">
        <v>0.6589556007041486</v>
      </c>
      <c r="KI8">
        <v>0.34823537297239893</v>
      </c>
      <c r="KJ8">
        <v>0.45625124773503489</v>
      </c>
      <c r="KK8">
        <v>0.45625124773503489</v>
      </c>
      <c r="KL8">
        <v>7.6499999999999999E-2</v>
      </c>
      <c r="KM8">
        <v>0.6589556007041486</v>
      </c>
      <c r="KN8">
        <v>0.34823537297239893</v>
      </c>
      <c r="KO8">
        <v>0.45625124773503489</v>
      </c>
      <c r="KP8">
        <v>0.45625124773503489</v>
      </c>
      <c r="KQ8">
        <v>7.6499999999999999E-2</v>
      </c>
      <c r="KR8">
        <v>0.6589556007041486</v>
      </c>
      <c r="KS8">
        <v>0.34823537297239893</v>
      </c>
      <c r="KT8">
        <v>0.45625124773503489</v>
      </c>
      <c r="KU8">
        <v>0.45625124773503489</v>
      </c>
      <c r="KV8">
        <v>7.6499999999999999E-2</v>
      </c>
      <c r="KW8">
        <v>0.6589556007041486</v>
      </c>
      <c r="KX8">
        <v>0.34823537297239893</v>
      </c>
      <c r="KY8">
        <v>0.45625124773503489</v>
      </c>
      <c r="KZ8">
        <v>0.45625124773503489</v>
      </c>
      <c r="LA8">
        <v>7.6499999999999999E-2</v>
      </c>
      <c r="LB8">
        <v>0.6589556007041486</v>
      </c>
      <c r="LC8">
        <v>0.34823537297239893</v>
      </c>
      <c r="LD8">
        <v>0.45625124773503489</v>
      </c>
      <c r="LE8">
        <v>0.45625124773503489</v>
      </c>
      <c r="LF8">
        <v>7.6499999999999999E-2</v>
      </c>
      <c r="LG8">
        <v>0.6589556007041486</v>
      </c>
      <c r="LH8">
        <v>0.34823537297239893</v>
      </c>
      <c r="LI8">
        <v>0.45625124773503489</v>
      </c>
      <c r="LJ8">
        <v>0.45625124773503489</v>
      </c>
      <c r="LK8">
        <v>7.6499999999999999E-2</v>
      </c>
      <c r="LL8">
        <v>0.6589556007041486</v>
      </c>
      <c r="LM8">
        <v>0.34823537297239893</v>
      </c>
      <c r="LN8">
        <v>0.45625124773503489</v>
      </c>
      <c r="LO8">
        <v>0.45625124773503489</v>
      </c>
      <c r="LP8">
        <v>7.0379999999999998E-2</v>
      </c>
      <c r="LQ8">
        <v>0.64995270816199802</v>
      </c>
      <c r="LR8">
        <v>0.34823537297239893</v>
      </c>
      <c r="LS8">
        <v>0.44814389104514762</v>
      </c>
      <c r="LT8">
        <v>0.44814389104514762</v>
      </c>
      <c r="LU8">
        <v>6.4259999999999998E-2</v>
      </c>
      <c r="LV8">
        <v>0.64095001996622325</v>
      </c>
      <c r="LW8">
        <v>0.34823537297239893</v>
      </c>
      <c r="LX8">
        <v>0.44003656698415283</v>
      </c>
      <c r="LY8">
        <v>0.44003656698415283</v>
      </c>
      <c r="LZ8">
        <v>5.8139999999999997E-2</v>
      </c>
      <c r="MA8">
        <v>0.63194753985645202</v>
      </c>
      <c r="MB8">
        <v>0.34823537297239893</v>
      </c>
      <c r="MC8">
        <v>0.43192927613143595</v>
      </c>
      <c r="MD8">
        <v>0.43192927613143595</v>
      </c>
      <c r="ME8">
        <v>7.6499999999999999E-2</v>
      </c>
      <c r="MF8">
        <v>0.6589556007041486</v>
      </c>
      <c r="MG8">
        <v>0.34823537297239893</v>
      </c>
      <c r="MH8">
        <v>0.45625124773503489</v>
      </c>
      <c r="MI8">
        <v>0.45625124773503489</v>
      </c>
      <c r="MJ8">
        <v>7.6499999999999999E-2</v>
      </c>
      <c r="MK8">
        <v>0.6589556007041486</v>
      </c>
      <c r="ML8">
        <v>0.34823537297239893</v>
      </c>
      <c r="MM8">
        <v>0.45625124773503489</v>
      </c>
      <c r="MN8">
        <v>0.45625124773503489</v>
      </c>
      <c r="MO8">
        <v>7.6499999999999999E-2</v>
      </c>
      <c r="MP8">
        <v>0.6589556007041486</v>
      </c>
      <c r="MQ8">
        <v>0.34823537297239893</v>
      </c>
      <c r="MR8">
        <v>0.45625124773503489</v>
      </c>
      <c r="MS8">
        <v>0.45625124773503489</v>
      </c>
      <c r="MT8">
        <v>7.6499999999999999E-2</v>
      </c>
      <c r="MU8">
        <v>0.6589556007041486</v>
      </c>
      <c r="MV8">
        <v>0.34823537297239893</v>
      </c>
      <c r="MW8">
        <v>0.45625124773503489</v>
      </c>
      <c r="MX8">
        <v>0.45625124773503489</v>
      </c>
      <c r="MY8">
        <v>7.6499999999999999E-2</v>
      </c>
      <c r="MZ8">
        <v>0.6589556007041486</v>
      </c>
      <c r="NA8">
        <v>0.34823537297239893</v>
      </c>
      <c r="NB8">
        <v>0.45625124773503489</v>
      </c>
      <c r="NC8">
        <v>0.45625124773503489</v>
      </c>
      <c r="ND8">
        <v>7.6499999999999999E-2</v>
      </c>
      <c r="NE8">
        <v>0.6589556007041486</v>
      </c>
      <c r="NF8">
        <v>0.34823537297239893</v>
      </c>
      <c r="NG8">
        <v>0.45625124773503489</v>
      </c>
      <c r="NH8">
        <v>0.45625124773503489</v>
      </c>
      <c r="NI8">
        <v>7.6499999999999999E-2</v>
      </c>
      <c r="NJ8">
        <v>0.6589556007041486</v>
      </c>
      <c r="NK8">
        <v>0.34823537297239893</v>
      </c>
      <c r="NL8">
        <v>0.45625124773503489</v>
      </c>
      <c r="NM8">
        <v>0.45625124773503489</v>
      </c>
      <c r="NN8">
        <v>7.6499999999999999E-2</v>
      </c>
      <c r="NO8">
        <v>0.6589556007041486</v>
      </c>
      <c r="NP8">
        <v>0.34823537297239893</v>
      </c>
      <c r="NQ8">
        <v>0.45625124773503489</v>
      </c>
      <c r="NR8">
        <v>0.45625124773503489</v>
      </c>
      <c r="NS8">
        <v>7.6499999999999999E-2</v>
      </c>
      <c r="NT8">
        <v>0.6589556007041486</v>
      </c>
      <c r="NU8">
        <v>0.34823537297239893</v>
      </c>
      <c r="NV8">
        <v>0.45625124773503489</v>
      </c>
      <c r="NW8">
        <v>0.45625124773503489</v>
      </c>
      <c r="NX8">
        <v>7.6499999999999999E-2</v>
      </c>
      <c r="NY8">
        <v>0.6589556007041486</v>
      </c>
      <c r="NZ8">
        <v>0.34823537297239893</v>
      </c>
      <c r="OA8">
        <v>0.45625124773503489</v>
      </c>
      <c r="OB8">
        <v>0.45625124773503489</v>
      </c>
      <c r="OC8">
        <v>7.6499999999999999E-2</v>
      </c>
      <c r="OD8">
        <v>0.6589556007041486</v>
      </c>
      <c r="OE8">
        <v>0.34823537297239893</v>
      </c>
      <c r="OF8">
        <v>0.45625124773503489</v>
      </c>
      <c r="OG8">
        <v>0.45625124773503489</v>
      </c>
      <c r="OH8">
        <v>7.6499999999999999E-2</v>
      </c>
      <c r="OI8">
        <v>0.6589556007041486</v>
      </c>
      <c r="OJ8">
        <v>0.34823537297239893</v>
      </c>
      <c r="OK8">
        <v>0.45625124773503489</v>
      </c>
      <c r="OL8">
        <v>0.45625124773503489</v>
      </c>
      <c r="OM8">
        <v>7.6499999999999999E-2</v>
      </c>
      <c r="ON8">
        <v>0.6589556007041486</v>
      </c>
      <c r="OO8">
        <v>0.34823537297239893</v>
      </c>
      <c r="OP8">
        <v>0.45625124773503489</v>
      </c>
      <c r="OQ8">
        <v>0.45625124773503489</v>
      </c>
      <c r="OR8">
        <v>8.2619999999999999E-2</v>
      </c>
      <c r="OS8">
        <v>0.6679586939421307</v>
      </c>
      <c r="OT8">
        <v>0.34823537297239893</v>
      </c>
      <c r="OU8">
        <v>0.46435863648783093</v>
      </c>
      <c r="OV8">
        <v>0.46435863648783093</v>
      </c>
      <c r="OW8">
        <v>8.8739999999999999E-2</v>
      </c>
      <c r="OX8">
        <v>0.67696198431184351</v>
      </c>
      <c r="OY8">
        <v>0.34823537297239893</v>
      </c>
      <c r="OZ8">
        <v>0.4724660567505663</v>
      </c>
      <c r="PA8">
        <v>0.4724660567505663</v>
      </c>
      <c r="PB8">
        <v>8.5680000000000006E-2</v>
      </c>
      <c r="PC8">
        <v>0.67246031470497059</v>
      </c>
      <c r="PD8">
        <v>0.34823537297239893</v>
      </c>
      <c r="PE8">
        <v>0.46841234271451881</v>
      </c>
      <c r="PF8">
        <v>0.46841234271451881</v>
      </c>
      <c r="PG8">
        <v>6.7319999999999991E-2</v>
      </c>
      <c r="PH8">
        <v>0.6454513382892062</v>
      </c>
      <c r="PI8">
        <v>0.34823537297239893</v>
      </c>
      <c r="PJ8">
        <v>0.44409022490014571</v>
      </c>
      <c r="PK8">
        <v>0.44409022490014571</v>
      </c>
      <c r="PL8" s="41">
        <v>7.6499999999999999E-2</v>
      </c>
      <c r="PM8" s="41">
        <v>0.6589556007041486</v>
      </c>
      <c r="PN8" s="42">
        <v>0.34823537297239893</v>
      </c>
      <c r="PO8" s="41">
        <v>0.45625124773503489</v>
      </c>
      <c r="PP8" s="42">
        <v>0.45625124773503489</v>
      </c>
      <c r="PQ8">
        <v>7.6499999999999999E-2</v>
      </c>
      <c r="PR8">
        <v>0.6589556007041486</v>
      </c>
      <c r="PS8">
        <v>0.34823537297239893</v>
      </c>
      <c r="PT8">
        <v>0.45625124773503489</v>
      </c>
      <c r="PU8">
        <v>0.45625124773503489</v>
      </c>
      <c r="PV8">
        <v>7.6499999999999999E-2</v>
      </c>
      <c r="PW8">
        <v>0.6589556007041486</v>
      </c>
      <c r="PX8">
        <v>0.34823537297239893</v>
      </c>
      <c r="PY8">
        <v>0.45625124773503489</v>
      </c>
      <c r="PZ8">
        <v>0.45625124773503489</v>
      </c>
      <c r="QA8" s="41">
        <v>7.6499999999999999E-2</v>
      </c>
      <c r="QB8" s="41">
        <v>0.6589556007041486</v>
      </c>
      <c r="QC8" s="42">
        <v>0.34823537297239893</v>
      </c>
      <c r="QD8" s="41">
        <v>0.45625124773503489</v>
      </c>
      <c r="QE8" s="42">
        <v>0.45625124773503489</v>
      </c>
    </row>
    <row r="9" spans="1:666" x14ac:dyDescent="0.15">
      <c r="A9" s="41" t="s">
        <v>12</v>
      </c>
      <c r="B9" s="41">
        <f>FixedParams!B25</f>
        <v>1.7525788174877349E-3</v>
      </c>
      <c r="C9" s="41">
        <f>FixedParams!C25</f>
        <v>0.36840544995609315</v>
      </c>
      <c r="D9" s="42">
        <v>-0.12386769025043352</v>
      </c>
      <c r="E9" s="41">
        <f>FixedParams!D25</f>
        <v>0.28047661499631182</v>
      </c>
      <c r="F9" s="42">
        <f t="shared" si="116"/>
        <v>0.28047661499631182</v>
      </c>
      <c r="H9" s="41">
        <v>1.7525788174877349E-3</v>
      </c>
      <c r="I9" s="41">
        <v>0.36840544995609315</v>
      </c>
      <c r="J9" s="42">
        <v>0.36840544995609315</v>
      </c>
      <c r="K9" s="41">
        <v>0.36574473081634307</v>
      </c>
      <c r="L9" s="42">
        <v>0.36574473081634307</v>
      </c>
      <c r="M9" s="41">
        <v>1.7525788174877349E-3</v>
      </c>
      <c r="N9" s="41">
        <v>0.34621189686812004</v>
      </c>
      <c r="O9" s="42">
        <v>0.34621189686812004</v>
      </c>
      <c r="P9" s="41">
        <v>0.34361932384613825</v>
      </c>
      <c r="Q9" s="42">
        <v>0.34361932384613825</v>
      </c>
      <c r="R9" s="41">
        <v>1.7525788174877349E-3</v>
      </c>
      <c r="S9" s="41">
        <v>0.32457984760191838</v>
      </c>
      <c r="T9" s="42">
        <v>0.32457984760191838</v>
      </c>
      <c r="U9" s="41">
        <v>0.32205184546622245</v>
      </c>
      <c r="V9" s="42">
        <v>0.32205184546622245</v>
      </c>
      <c r="W9" s="41">
        <v>1.7525788174877349E-3</v>
      </c>
      <c r="X9" s="41">
        <v>0.30348005680004508</v>
      </c>
      <c r="Y9" s="42">
        <v>0.30348005680004508</v>
      </c>
      <c r="Z9" s="41">
        <v>0.30101329355185835</v>
      </c>
      <c r="AA9" s="42">
        <v>0.30101329355185835</v>
      </c>
      <c r="AB9" s="41">
        <v>1.7525788174877349E-3</v>
      </c>
      <c r="AC9" s="41">
        <v>0.28288524964644557</v>
      </c>
      <c r="AD9" s="42">
        <v>0.28288524964644557</v>
      </c>
      <c r="AE9" s="41">
        <v>0.28047661499631182</v>
      </c>
      <c r="AF9" s="42">
        <v>0.28047661499631199</v>
      </c>
      <c r="AG9" s="41">
        <v>1.7525788174877349E-3</v>
      </c>
      <c r="AH9" s="41">
        <v>0.26276994886414129</v>
      </c>
      <c r="AI9" s="42">
        <v>0.26276994886414129</v>
      </c>
      <c r="AJ9" s="41">
        <v>0.26041653496538242</v>
      </c>
      <c r="AK9" s="42">
        <v>0.26041653496538242</v>
      </c>
      <c r="AL9" s="41">
        <v>1.7525788174877349E-3</v>
      </c>
      <c r="AM9" s="41">
        <v>0.24311031969757524</v>
      </c>
      <c r="AN9" s="42">
        <v>0.24311031969757524</v>
      </c>
      <c r="AO9" s="41">
        <v>0.24080940386004768</v>
      </c>
      <c r="AP9" s="42">
        <v>0.24080940386004768</v>
      </c>
      <c r="AQ9" s="41">
        <v>1.7525788174877349E-3</v>
      </c>
      <c r="AR9" s="41">
        <v>0.22388403069305585</v>
      </c>
      <c r="AS9" s="42">
        <v>0.22388403069305585</v>
      </c>
      <c r="AT9" s="41">
        <v>0.22163305983891424</v>
      </c>
      <c r="AU9" s="42">
        <v>0.22163305983891424</v>
      </c>
      <c r="AV9" s="41">
        <v>1.7525788174877349E-3</v>
      </c>
      <c r="AW9" s="41">
        <v>0.20507012839077587</v>
      </c>
      <c r="AX9" s="42">
        <v>0.20507012839077587</v>
      </c>
      <c r="AY9" s="41">
        <v>0.20286670504630688</v>
      </c>
      <c r="AZ9" s="42">
        <v>0.20286670504630688</v>
      </c>
      <c r="BA9" s="41">
        <v>1.7525788174877349E-3</v>
      </c>
      <c r="BB9" s="41">
        <v>0.18664892429598057</v>
      </c>
      <c r="BC9" s="42">
        <v>0.18664892429598057</v>
      </c>
      <c r="BD9" s="41">
        <v>0.18449079394101409</v>
      </c>
      <c r="BE9" s="42">
        <v>0.18449079394101409</v>
      </c>
      <c r="BF9" s="41">
        <v>1.7525788174877349E-3</v>
      </c>
      <c r="BG9" s="41">
        <v>0.16860189271271508</v>
      </c>
      <c r="BH9" s="42">
        <v>0.16860189271271508</v>
      </c>
      <c r="BI9" s="41">
        <v>0.1664869323324758</v>
      </c>
      <c r="BJ9" s="42">
        <v>0.1664869323324758</v>
      </c>
      <c r="BK9" s="41">
        <v>1.7525788174877349E-3</v>
      </c>
      <c r="BL9" s="41">
        <v>9.9820725614599981E-2</v>
      </c>
      <c r="BM9" s="42">
        <v>9.9820725614599981E-2</v>
      </c>
      <c r="BN9" s="41">
        <v>9.7859500980916003E-2</v>
      </c>
      <c r="BO9" s="42">
        <v>9.7859500980916003E-2</v>
      </c>
      <c r="BP9" s="41">
        <v>1.7525788174877349E-3</v>
      </c>
      <c r="BQ9" s="41">
        <v>3.5790414926116787E-2</v>
      </c>
      <c r="BR9" s="42">
        <v>3.5790414926116787E-2</v>
      </c>
      <c r="BS9" s="41">
        <v>3.3957135316726506E-2</v>
      </c>
      <c r="BT9" s="42">
        <v>3.3957135316726506E-2</v>
      </c>
      <c r="BU9" s="41">
        <v>1.7525788174877349E-3</v>
      </c>
      <c r="BV9" s="41">
        <v>0.36441747658428048</v>
      </c>
      <c r="BW9" s="42">
        <v>0.36441747658428048</v>
      </c>
      <c r="BX9" s="41">
        <v>0.36309228363499702</v>
      </c>
      <c r="BY9" s="42">
        <v>0.36309228363499702</v>
      </c>
      <c r="BZ9" s="41">
        <v>1.7525788174877349E-3</v>
      </c>
      <c r="CA9" s="41">
        <v>0.34232597848779944</v>
      </c>
      <c r="CB9" s="42">
        <v>0.34232597848779944</v>
      </c>
      <c r="CC9" s="41">
        <v>0.3410345855763679</v>
      </c>
      <c r="CD9" s="42">
        <v>0.3410345855763679</v>
      </c>
      <c r="CE9" s="41">
        <v>1.7525788174877349E-3</v>
      </c>
      <c r="CF9" s="41">
        <v>0.32079063264938901</v>
      </c>
      <c r="CG9" s="42">
        <v>0.32079063264938901</v>
      </c>
      <c r="CH9" s="41">
        <v>0.31953127091006017</v>
      </c>
      <c r="CI9" s="42">
        <v>0.31953127091006017</v>
      </c>
      <c r="CJ9" s="41">
        <v>1.7525788174877349E-3</v>
      </c>
      <c r="CK9" s="41">
        <v>0.29978255755382799</v>
      </c>
      <c r="CL9" s="42">
        <v>0.29978255755382799</v>
      </c>
      <c r="CM9" s="41">
        <v>0.2985535780651114</v>
      </c>
      <c r="CN9" s="42">
        <v>0.2985535780651114</v>
      </c>
      <c r="CO9" s="41">
        <v>1.7525788174877349E-3</v>
      </c>
      <c r="CP9" s="41">
        <v>0.27927481004873767</v>
      </c>
      <c r="CQ9" s="42">
        <v>0.27927481004873767</v>
      </c>
      <c r="CR9" s="41">
        <v>0.27807467324851909</v>
      </c>
      <c r="CS9" s="42">
        <v>0.27807467324851909</v>
      </c>
      <c r="CT9" s="41">
        <v>1.7525788174877349E-3</v>
      </c>
      <c r="CU9" s="41">
        <v>0.25924221571437189</v>
      </c>
      <c r="CV9" s="42">
        <v>0.25924221571437189</v>
      </c>
      <c r="CW9" s="41">
        <v>0.25806948192161916</v>
      </c>
      <c r="CX9" s="42">
        <v>0.25806948192161916</v>
      </c>
      <c r="CY9" s="41">
        <v>1.7525788174877349E-3</v>
      </c>
      <c r="CZ9" s="41">
        <v>0.23966121680508268</v>
      </c>
      <c r="DA9" s="42">
        <v>0.23966121680508268</v>
      </c>
      <c r="DB9" s="41">
        <v>0.23851453771290987</v>
      </c>
      <c r="DC9" s="42">
        <v>0.23851453771290987</v>
      </c>
      <c r="DD9" s="41">
        <v>1.7525788174877349E-3</v>
      </c>
      <c r="DE9" s="41">
        <v>0.22050973563300036</v>
      </c>
      <c r="DF9" s="42">
        <v>0.22050973563300036</v>
      </c>
      <c r="DG9" s="41">
        <v>0.21938784665651889</v>
      </c>
      <c r="DH9" s="42">
        <v>0.21938784665651889</v>
      </c>
      <c r="DI9" s="41">
        <v>1.7525788174877349E-3</v>
      </c>
      <c r="DJ9" s="41">
        <v>0.20176705155569508</v>
      </c>
      <c r="DK9" s="42">
        <v>0.20176705155569508</v>
      </c>
      <c r="DL9" s="41">
        <v>0.20066876493386232</v>
      </c>
      <c r="DM9" s="42">
        <v>0.20066876493386232</v>
      </c>
      <c r="DN9" s="41">
        <v>1.7525788174877349E-3</v>
      </c>
      <c r="DO9" s="41">
        <v>0.16543132197485733</v>
      </c>
      <c r="DP9" s="42">
        <v>0.16543132197485733</v>
      </c>
      <c r="DQ9" s="41">
        <v>0.16437695350740578</v>
      </c>
      <c r="DR9" s="42">
        <v>0.16437695350740578</v>
      </c>
      <c r="DS9" s="41">
        <v>1.7525788174877349E-3</v>
      </c>
      <c r="DT9" s="41">
        <v>9.6880440672386881E-2</v>
      </c>
      <c r="DU9" s="42">
        <v>9.6880440672386881E-2</v>
      </c>
      <c r="DV9" s="41">
        <v>9.5902411297465129E-2</v>
      </c>
      <c r="DW9" s="42">
        <v>9.5902411297465129E-2</v>
      </c>
      <c r="DX9" s="41">
        <v>1.7525788174877349E-3</v>
      </c>
      <c r="DY9" s="41">
        <v>3.3041790286141515E-2</v>
      </c>
      <c r="DZ9" s="42">
        <v>3.3041790286141515E-2</v>
      </c>
      <c r="EA9" s="41">
        <v>3.2127305379327842E-2</v>
      </c>
      <c r="EB9" s="42">
        <v>3.2127305379327842E-2</v>
      </c>
      <c r="EC9" s="41">
        <v>1.7525788174877349E-3</v>
      </c>
      <c r="ED9" s="41">
        <v>0.28548715013079673</v>
      </c>
      <c r="EE9" s="42">
        <v>0.28548715013079673</v>
      </c>
      <c r="EF9" s="41">
        <v>0.2716698258046919</v>
      </c>
      <c r="EG9" s="42">
        <v>0.2716698258046919</v>
      </c>
      <c r="EH9" s="41">
        <v>1.7525788174877349E-3</v>
      </c>
      <c r="EI9" s="41">
        <v>0.27031187630068931</v>
      </c>
      <c r="EJ9" s="42">
        <v>0.27031187630068931</v>
      </c>
      <c r="EK9" s="41">
        <v>0.25673263734840179</v>
      </c>
      <c r="EL9" s="42">
        <v>0.25673263734840179</v>
      </c>
      <c r="EM9" s="41">
        <v>1.7525788174877349E-3</v>
      </c>
      <c r="EN9" s="41">
        <v>0.25539784579494373</v>
      </c>
      <c r="EO9" s="42">
        <v>0.25539784579494373</v>
      </c>
      <c r="EP9" s="41">
        <v>0.24204782065672203</v>
      </c>
      <c r="EQ9" s="42">
        <v>0.24204782065672203</v>
      </c>
      <c r="ER9" s="41">
        <v>1.7525788174877349E-3</v>
      </c>
      <c r="ES9" s="41">
        <v>0.24073532874261638</v>
      </c>
      <c r="ET9" s="42">
        <v>0.24073532874261638</v>
      </c>
      <c r="EU9" s="41">
        <v>0.22760606567952135</v>
      </c>
      <c r="EV9" s="42">
        <v>0.22760606567952135</v>
      </c>
      <c r="EW9" s="41">
        <v>1.7525788174877349E-3</v>
      </c>
      <c r="EX9" s="41">
        <v>0.22631505537352115</v>
      </c>
      <c r="EY9" s="42">
        <v>0.22631505537352115</v>
      </c>
      <c r="EZ9" s="41">
        <v>0.21339849603984051</v>
      </c>
      <c r="FA9" s="42">
        <v>0.21339849603984051</v>
      </c>
      <c r="FB9" s="41">
        <v>1.7525788174877349E-3</v>
      </c>
      <c r="FC9" s="41">
        <v>0.21212818707068948</v>
      </c>
      <c r="FD9" s="42">
        <v>0.21212818707068948</v>
      </c>
      <c r="FE9" s="41">
        <v>0.19941664204912879</v>
      </c>
      <c r="FF9" s="42">
        <v>0.19941664204912879</v>
      </c>
      <c r="FG9" s="41">
        <v>1.7525788174877349E-3</v>
      </c>
      <c r="FH9" s="41">
        <v>0.19816628957137095</v>
      </c>
      <c r="FI9" s="42">
        <v>0.19816628957137095</v>
      </c>
      <c r="FJ9" s="41">
        <v>0.1856524156986159</v>
      </c>
      <c r="FK9" s="42">
        <v>0.1856524156986159</v>
      </c>
      <c r="FL9" s="41">
        <v>1.7525788174877349E-3</v>
      </c>
      <c r="FM9" s="41">
        <v>0.18442130812795288</v>
      </c>
      <c r="FN9" s="42">
        <v>0.18442130812795288</v>
      </c>
      <c r="FO9" s="41">
        <v>0.17209808745530708</v>
      </c>
      <c r="FP9" s="42">
        <v>0.17209808745530708</v>
      </c>
      <c r="FQ9" s="41">
        <v>1.7525788174877349E-3</v>
      </c>
      <c r="FR9" s="41">
        <v>0.17088554445889659</v>
      </c>
      <c r="FS9" s="42">
        <v>0.17088554445889659</v>
      </c>
      <c r="FT9" s="41">
        <v>0.15874626470791564</v>
      </c>
      <c r="FU9" s="42">
        <v>0.15874626470791564</v>
      </c>
      <c r="FV9" s="41">
        <v>1.7525788174877349E-3</v>
      </c>
      <c r="FW9" s="41">
        <v>0.14441253267236642</v>
      </c>
      <c r="FX9" s="42">
        <v>0.14441253267236642</v>
      </c>
      <c r="FY9" s="41">
        <v>0.13262213098465025</v>
      </c>
      <c r="FZ9" s="42">
        <v>0.13262213098465025</v>
      </c>
      <c r="GA9" s="41">
        <v>1.7525788174877349E-3</v>
      </c>
      <c r="GB9" s="41">
        <v>9.3673250872169378E-2</v>
      </c>
      <c r="GC9" s="42">
        <v>9.3673250872169378E-2</v>
      </c>
      <c r="GD9" s="41">
        <v>8.2511635788606208E-2</v>
      </c>
      <c r="GE9" s="42">
        <v>8.2511635788606208E-2</v>
      </c>
      <c r="GF9" s="41">
        <v>1.7525788174877349E-3</v>
      </c>
      <c r="GG9" s="41">
        <v>4.5557371364475685E-2</v>
      </c>
      <c r="GH9" s="42">
        <v>4.5557371364475685E-2</v>
      </c>
      <c r="GI9" s="41">
        <v>3.4944028245545322E-2</v>
      </c>
      <c r="GJ9" s="42">
        <v>3.4944028245545322E-2</v>
      </c>
      <c r="GK9" s="41">
        <v>1.7525788174877349E-3</v>
      </c>
      <c r="GL9" s="41">
        <v>0.36840544995609315</v>
      </c>
      <c r="GM9" s="42">
        <v>0.36840544995609315</v>
      </c>
      <c r="GN9" s="41">
        <v>0.28047661499631182</v>
      </c>
      <c r="GO9" s="42">
        <v>0.28047661499631182</v>
      </c>
      <c r="GP9" s="41">
        <v>1.7525788174877349E-3</v>
      </c>
      <c r="GQ9" s="41">
        <v>0.36840544995609315</v>
      </c>
      <c r="GR9" s="42">
        <v>0.36840544995609315</v>
      </c>
      <c r="GS9" s="41">
        <v>0.28047661499631182</v>
      </c>
      <c r="GT9" s="42">
        <v>0.28047661499631182</v>
      </c>
      <c r="GU9" s="41">
        <v>1.7525788174877349E-3</v>
      </c>
      <c r="GV9" s="41">
        <v>0.36840544995609315</v>
      </c>
      <c r="GW9" s="42">
        <v>0.36840544995609315</v>
      </c>
      <c r="GX9" s="41">
        <v>0.28047661499631182</v>
      </c>
      <c r="GY9" s="42">
        <v>0.28047661499631182</v>
      </c>
      <c r="GZ9" s="41">
        <v>1.7525788174877349E-3</v>
      </c>
      <c r="HA9" s="41">
        <v>0.36840544995609315</v>
      </c>
      <c r="HB9" s="42">
        <v>0.36840544995609315</v>
      </c>
      <c r="HC9" s="41">
        <v>0.28047661499631182</v>
      </c>
      <c r="HD9" s="42">
        <v>0.28047661499631182</v>
      </c>
      <c r="HE9" s="41">
        <v>1.7525788174877349E-3</v>
      </c>
      <c r="HF9" s="41">
        <v>0.28288524964644557</v>
      </c>
      <c r="HG9" s="42">
        <v>0.28288524964644557</v>
      </c>
      <c r="HH9" s="41">
        <v>0.28047661499631182</v>
      </c>
      <c r="HI9" s="42">
        <v>0.28047661499631182</v>
      </c>
      <c r="HJ9" s="41">
        <v>1.7525788174877349E-3</v>
      </c>
      <c r="HK9" s="41">
        <v>0.36840544995609315</v>
      </c>
      <c r="HL9" s="42">
        <v>0.36840544995609315</v>
      </c>
      <c r="HM9" s="41">
        <v>0.28047661499631182</v>
      </c>
      <c r="HN9" s="42">
        <v>0.28047661499631182</v>
      </c>
      <c r="HO9">
        <v>1.7525788174877349E-3</v>
      </c>
      <c r="HP9">
        <v>0.36840544995609315</v>
      </c>
      <c r="HQ9">
        <v>0.36840544995609315</v>
      </c>
      <c r="HR9">
        <v>0.28047661499631182</v>
      </c>
      <c r="HS9">
        <v>0.28047661499631182</v>
      </c>
      <c r="HT9">
        <v>1.7525788174877349E-3</v>
      </c>
      <c r="HU9">
        <v>0.36840544995609315</v>
      </c>
      <c r="HV9">
        <v>0.36840544995609315</v>
      </c>
      <c r="HW9">
        <v>0.28047661499631182</v>
      </c>
      <c r="HX9">
        <v>0.28047661499631182</v>
      </c>
      <c r="HY9">
        <v>1.7525788174877349E-3</v>
      </c>
      <c r="HZ9">
        <v>0.36840544995609315</v>
      </c>
      <c r="IA9">
        <v>0.36840544995609315</v>
      </c>
      <c r="IB9">
        <v>0.28047661499631182</v>
      </c>
      <c r="IC9">
        <v>0.28047661499631182</v>
      </c>
      <c r="ID9">
        <v>1.7525788174877349E-3</v>
      </c>
      <c r="IE9">
        <v>0.36840544995609315</v>
      </c>
      <c r="IF9">
        <v>-0.12386769025043352</v>
      </c>
      <c r="IG9">
        <v>0.28047661499631182</v>
      </c>
      <c r="IH9">
        <v>0.28047661499631182</v>
      </c>
      <c r="II9">
        <v>1.7525788174877349E-3</v>
      </c>
      <c r="IJ9">
        <v>0.36840544995609315</v>
      </c>
      <c r="IK9">
        <v>-0.12386769025043352</v>
      </c>
      <c r="IL9">
        <v>0.28047661499631182</v>
      </c>
      <c r="IM9">
        <v>0.28047661499631182</v>
      </c>
      <c r="IN9">
        <v>1.7525788174877349E-3</v>
      </c>
      <c r="IO9" s="86">
        <v>0.36840544995609315</v>
      </c>
      <c r="IP9">
        <v>-0.12386769025043352</v>
      </c>
      <c r="IQ9">
        <v>0.28047661499631182</v>
      </c>
      <c r="IR9">
        <v>0.28047661499631182</v>
      </c>
      <c r="IS9">
        <v>1.7525788174877349E-3</v>
      </c>
      <c r="IT9">
        <v>0.36840544995609315</v>
      </c>
      <c r="IU9">
        <v>-0.12386769025043352</v>
      </c>
      <c r="IV9">
        <v>0.28047661499631182</v>
      </c>
      <c r="IW9">
        <v>0.28047661499631182</v>
      </c>
      <c r="IX9">
        <v>1.7525788174877349E-3</v>
      </c>
      <c r="IY9">
        <v>0.36840544995609315</v>
      </c>
      <c r="IZ9">
        <v>-0.12386769025043352</v>
      </c>
      <c r="JA9">
        <v>0.28047661499631182</v>
      </c>
      <c r="JB9">
        <v>0.28047661499631182</v>
      </c>
      <c r="JC9">
        <v>1.7525788174877349E-3</v>
      </c>
      <c r="JD9">
        <v>0.36840544995609315</v>
      </c>
      <c r="JE9">
        <v>-0.12386769025043352</v>
      </c>
      <c r="JF9">
        <v>0.28047661499631182</v>
      </c>
      <c r="JG9">
        <v>0.28047661499631182</v>
      </c>
      <c r="JH9">
        <v>1.7525788174877349E-3</v>
      </c>
      <c r="JI9">
        <v>0.36840544995609315</v>
      </c>
      <c r="JJ9">
        <v>-0.12386769025043352</v>
      </c>
      <c r="JK9">
        <v>0.28047661499631182</v>
      </c>
      <c r="JL9">
        <v>0.28047661499631182</v>
      </c>
      <c r="JM9">
        <v>1.7525788174877349E-3</v>
      </c>
      <c r="JN9">
        <v>0.36840544995609315</v>
      </c>
      <c r="JO9">
        <v>-0.12386769025043352</v>
      </c>
      <c r="JP9">
        <v>0.28047661499631182</v>
      </c>
      <c r="JQ9">
        <v>0.28047661499631182</v>
      </c>
      <c r="JR9">
        <v>1.7525788174877349E-3</v>
      </c>
      <c r="JS9">
        <v>0.36840544995609315</v>
      </c>
      <c r="JT9">
        <v>-0.12386769025043352</v>
      </c>
      <c r="JU9">
        <v>0.28047661499631182</v>
      </c>
      <c r="JV9">
        <v>0.28047661499631182</v>
      </c>
      <c r="JW9">
        <v>1.7525788174877349E-3</v>
      </c>
      <c r="JX9">
        <v>0.36840544995609315</v>
      </c>
      <c r="JY9">
        <v>-0.12386769025043352</v>
      </c>
      <c r="JZ9">
        <v>0.28047661499631182</v>
      </c>
      <c r="KA9">
        <v>0.28047661499631182</v>
      </c>
      <c r="KB9">
        <v>1.7525788174877349E-3</v>
      </c>
      <c r="KC9">
        <v>0.36840544995609315</v>
      </c>
      <c r="KD9">
        <v>-0.12386769025043352</v>
      </c>
      <c r="KE9">
        <v>0.28047661499631182</v>
      </c>
      <c r="KF9">
        <v>0.28047661499631182</v>
      </c>
      <c r="KG9">
        <v>1.7525788174877349E-3</v>
      </c>
      <c r="KH9">
        <v>0.36840544995609315</v>
      </c>
      <c r="KI9">
        <v>-0.12386769025043352</v>
      </c>
      <c r="KJ9">
        <v>0.28047661499631182</v>
      </c>
      <c r="KK9">
        <v>0.28047661499631182</v>
      </c>
      <c r="KL9">
        <v>1.7525788174877349E-3</v>
      </c>
      <c r="KM9">
        <v>0.36840544995609315</v>
      </c>
      <c r="KN9">
        <v>-0.12386769025043352</v>
      </c>
      <c r="KO9">
        <v>0.28047661499631182</v>
      </c>
      <c r="KP9">
        <v>0.28047661499631182</v>
      </c>
      <c r="KQ9">
        <v>1.7525788174877349E-3</v>
      </c>
      <c r="KR9">
        <v>0.36840544995609315</v>
      </c>
      <c r="KS9">
        <v>-0.12386769025043352</v>
      </c>
      <c r="KT9">
        <v>0.28047661499631182</v>
      </c>
      <c r="KU9">
        <v>0.28047661499631182</v>
      </c>
      <c r="KV9">
        <v>1.7525788174877349E-3</v>
      </c>
      <c r="KW9">
        <v>0.36840544995609315</v>
      </c>
      <c r="KX9">
        <v>-0.12386769025043352</v>
      </c>
      <c r="KY9">
        <v>0.28047661499631182</v>
      </c>
      <c r="KZ9">
        <v>0.28047661499631182</v>
      </c>
      <c r="LA9">
        <v>1.7525788174877349E-3</v>
      </c>
      <c r="LB9">
        <v>0.36840544995609315</v>
      </c>
      <c r="LC9">
        <v>-0.12386769025043352</v>
      </c>
      <c r="LD9">
        <v>0.28047661499631182</v>
      </c>
      <c r="LE9">
        <v>0.28047661499631182</v>
      </c>
      <c r="LF9">
        <v>1.7525788174877349E-3</v>
      </c>
      <c r="LG9">
        <v>0.36840544995609315</v>
      </c>
      <c r="LH9">
        <v>-0.12386769025043352</v>
      </c>
      <c r="LI9">
        <v>0.28047661499631182</v>
      </c>
      <c r="LJ9">
        <v>0.28047661499631182</v>
      </c>
      <c r="LK9">
        <v>1.7525788174877349E-3</v>
      </c>
      <c r="LL9">
        <v>0.36840544995609315</v>
      </c>
      <c r="LM9">
        <v>-0.12386769025043352</v>
      </c>
      <c r="LN9">
        <v>0.28047661499631182</v>
      </c>
      <c r="LO9">
        <v>0.28047661499631182</v>
      </c>
      <c r="LP9">
        <v>1.7525788174877349E-3</v>
      </c>
      <c r="LQ9">
        <v>0.36840544995609315</v>
      </c>
      <c r="LR9">
        <v>-0.12386769025043352</v>
      </c>
      <c r="LS9">
        <v>0.28047661499631182</v>
      </c>
      <c r="LT9">
        <v>0.28047661499631182</v>
      </c>
      <c r="LU9">
        <v>1.7525788174877349E-3</v>
      </c>
      <c r="LV9">
        <v>0.36840544995609315</v>
      </c>
      <c r="LW9">
        <v>-0.12386769025043352</v>
      </c>
      <c r="LX9">
        <v>0.28047661499631182</v>
      </c>
      <c r="LY9">
        <v>0.28047661499631182</v>
      </c>
      <c r="LZ9">
        <v>1.7525788174877349E-3</v>
      </c>
      <c r="MA9">
        <v>0.36840544995609315</v>
      </c>
      <c r="MB9">
        <v>-0.12386769025043352</v>
      </c>
      <c r="MC9">
        <v>0.28047661499631182</v>
      </c>
      <c r="MD9">
        <v>0.28047661499631182</v>
      </c>
      <c r="ME9">
        <v>1.7525788174877349E-3</v>
      </c>
      <c r="MF9">
        <v>0.36840544995609315</v>
      </c>
      <c r="MG9">
        <v>-0.12386769025043352</v>
      </c>
      <c r="MH9">
        <v>0.28047661499631182</v>
      </c>
      <c r="MI9">
        <v>0.28047661499631182</v>
      </c>
      <c r="MJ9">
        <v>1.7525788174877349E-3</v>
      </c>
      <c r="MK9">
        <v>0.36840544995609315</v>
      </c>
      <c r="ML9">
        <v>-0.12386769025043352</v>
      </c>
      <c r="MM9">
        <v>0.28047661499631182</v>
      </c>
      <c r="MN9">
        <v>0.28047661499631182</v>
      </c>
      <c r="MO9">
        <v>1.7525788174877349E-3</v>
      </c>
      <c r="MP9">
        <v>0.36840544995609315</v>
      </c>
      <c r="MQ9">
        <v>-0.12386769025043352</v>
      </c>
      <c r="MR9">
        <v>0.28047661499631182</v>
      </c>
      <c r="MS9">
        <v>0.28047661499631182</v>
      </c>
      <c r="MT9">
        <v>1.7525788174877349E-3</v>
      </c>
      <c r="MU9">
        <v>0.36840544995609315</v>
      </c>
      <c r="MV9">
        <v>-0.12386769025043352</v>
      </c>
      <c r="MW9">
        <v>0.28047661499631182</v>
      </c>
      <c r="MX9">
        <v>0.28047661499631182</v>
      </c>
      <c r="MY9">
        <v>1.7525788174877349E-3</v>
      </c>
      <c r="MZ9">
        <v>0.36840544995609315</v>
      </c>
      <c r="NA9">
        <v>-0.12386769025043352</v>
      </c>
      <c r="NB9">
        <v>0.28047661499631182</v>
      </c>
      <c r="NC9">
        <v>0.28047661499631182</v>
      </c>
      <c r="ND9">
        <v>1.7525788174877349E-3</v>
      </c>
      <c r="NE9">
        <v>0.36840544995609315</v>
      </c>
      <c r="NF9">
        <v>-0.12386769025043352</v>
      </c>
      <c r="NG9">
        <v>0.28047661499631182</v>
      </c>
      <c r="NH9">
        <v>0.28047661499631182</v>
      </c>
      <c r="NI9">
        <v>1.7525788174877349E-3</v>
      </c>
      <c r="NJ9">
        <v>0.36840544995609315</v>
      </c>
      <c r="NK9">
        <v>-0.12386769025043352</v>
      </c>
      <c r="NL9">
        <v>0.28047661499631182</v>
      </c>
      <c r="NM9">
        <v>0.28047661499631182</v>
      </c>
      <c r="NN9">
        <v>1.7525788174877349E-3</v>
      </c>
      <c r="NO9">
        <v>0.36840544995609315</v>
      </c>
      <c r="NP9">
        <v>-0.12386769025043352</v>
      </c>
      <c r="NQ9">
        <v>0.28047661499631182</v>
      </c>
      <c r="NR9">
        <v>0.28047661499631182</v>
      </c>
      <c r="NS9">
        <v>1.7525788174877349E-3</v>
      </c>
      <c r="NT9">
        <v>0.36840544995609315</v>
      </c>
      <c r="NU9">
        <v>-0.12386769025043352</v>
      </c>
      <c r="NV9">
        <v>0.28047661499631182</v>
      </c>
      <c r="NW9">
        <v>0.28047661499631182</v>
      </c>
      <c r="NX9">
        <v>1.7525788174877349E-3</v>
      </c>
      <c r="NY9">
        <v>0.36840544995609315</v>
      </c>
      <c r="NZ9">
        <v>-0.12386769025043352</v>
      </c>
      <c r="OA9">
        <v>0.28047661499631182</v>
      </c>
      <c r="OB9">
        <v>0.28047661499631182</v>
      </c>
      <c r="OC9">
        <v>1.7525788174877349E-3</v>
      </c>
      <c r="OD9">
        <v>0.36840544995609315</v>
      </c>
      <c r="OE9">
        <v>-0.12386769025043352</v>
      </c>
      <c r="OF9">
        <v>0.28047661499631182</v>
      </c>
      <c r="OG9">
        <v>0.28047661499631182</v>
      </c>
      <c r="OH9">
        <v>1.7525788174877349E-3</v>
      </c>
      <c r="OI9">
        <v>0.36840544995609315</v>
      </c>
      <c r="OJ9">
        <v>-0.12386769025043352</v>
      </c>
      <c r="OK9">
        <v>0.28047661499631182</v>
      </c>
      <c r="OL9">
        <v>0.28047661499631182</v>
      </c>
      <c r="OM9">
        <v>1.7525788174877349E-3</v>
      </c>
      <c r="ON9">
        <v>0.36840544995609315</v>
      </c>
      <c r="OO9">
        <v>-0.12386769025043352</v>
      </c>
      <c r="OP9">
        <v>0.28047661499631182</v>
      </c>
      <c r="OQ9">
        <v>0.28047661499631182</v>
      </c>
      <c r="OR9">
        <v>1.7525788174877349E-3</v>
      </c>
      <c r="OS9">
        <v>0.36840544995609315</v>
      </c>
      <c r="OT9">
        <v>-0.12386769025043352</v>
      </c>
      <c r="OU9">
        <v>0.28047661499631182</v>
      </c>
      <c r="OV9">
        <v>0.28047661499631182</v>
      </c>
      <c r="OW9">
        <v>1.7525788174877349E-3</v>
      </c>
      <c r="OX9">
        <v>0.36840544995609315</v>
      </c>
      <c r="OY9">
        <v>-0.12386769025043352</v>
      </c>
      <c r="OZ9">
        <v>0.28047661499631182</v>
      </c>
      <c r="PA9">
        <v>0.28047661499631182</v>
      </c>
      <c r="PB9">
        <v>1.7525788174877349E-3</v>
      </c>
      <c r="PC9">
        <v>0.36840544995609315</v>
      </c>
      <c r="PD9">
        <v>-0.12386769025043352</v>
      </c>
      <c r="PE9">
        <v>0.28047661499631182</v>
      </c>
      <c r="PF9">
        <v>0.28047661499631182</v>
      </c>
      <c r="PG9">
        <v>1.7525788174877349E-3</v>
      </c>
      <c r="PH9">
        <v>0.36840544995609315</v>
      </c>
      <c r="PI9">
        <v>-0.12386769025043352</v>
      </c>
      <c r="PJ9">
        <v>0.28047661499631182</v>
      </c>
      <c r="PK9">
        <v>0.28047661499631182</v>
      </c>
      <c r="PL9" s="41">
        <v>1.7525788174877349E-3</v>
      </c>
      <c r="PM9" s="41">
        <v>0.36840544995609315</v>
      </c>
      <c r="PN9" s="42">
        <v>-0.12386769025043352</v>
      </c>
      <c r="PO9" s="41">
        <v>0.28047661499631182</v>
      </c>
      <c r="PP9" s="42">
        <v>0.28047661499631182</v>
      </c>
      <c r="PQ9">
        <v>1.7525788174877349E-3</v>
      </c>
      <c r="PR9">
        <v>0.36840544995609315</v>
      </c>
      <c r="PS9">
        <v>-0.12386769025043352</v>
      </c>
      <c r="PT9">
        <v>0.28047661499631182</v>
      </c>
      <c r="PU9">
        <v>0.28047661499631182</v>
      </c>
      <c r="PV9">
        <v>1.7525788174877349E-3</v>
      </c>
      <c r="PW9">
        <v>0.36840544995609315</v>
      </c>
      <c r="PX9">
        <v>-0.12386769025043352</v>
      </c>
      <c r="PY9">
        <v>0.28047661499631182</v>
      </c>
      <c r="PZ9">
        <v>0.28047661499631182</v>
      </c>
      <c r="QA9" s="41">
        <v>1.7525788174877349E-3</v>
      </c>
      <c r="QB9" s="41">
        <v>0.36840544995609315</v>
      </c>
      <c r="QC9" s="42">
        <v>-0.12386769025043352</v>
      </c>
      <c r="QD9" s="41">
        <v>0.28047661499631182</v>
      </c>
      <c r="QE9" s="42">
        <v>0.28047661499631182</v>
      </c>
    </row>
    <row r="10" spans="1:666" x14ac:dyDescent="0.15">
      <c r="A10" s="41" t="s">
        <v>85</v>
      </c>
      <c r="B10" s="41">
        <f>FixedParams!B26</f>
        <v>7.6499999999999999E-2</v>
      </c>
      <c r="C10" s="41">
        <f>FixedParams!C26</f>
        <v>0.11210483828151419</v>
      </c>
      <c r="D10" s="42">
        <f t="shared" si="116"/>
        <v>0.11210483828151419</v>
      </c>
      <c r="E10" s="41">
        <f>FixedParams!D26</f>
        <v>9.4152891280268491E-2</v>
      </c>
      <c r="F10" s="42">
        <f t="shared" si="116"/>
        <v>9.4152891280268491E-2</v>
      </c>
      <c r="H10" s="41">
        <v>7.6499999999999999E-2</v>
      </c>
      <c r="I10" s="41">
        <v>0.11210483828151419</v>
      </c>
      <c r="J10" s="42">
        <v>0.11210483828151419</v>
      </c>
      <c r="K10" s="41">
        <v>9.4152891280268491E-2</v>
      </c>
      <c r="L10" s="42">
        <v>9.4152891280268491E-2</v>
      </c>
      <c r="M10" s="41">
        <v>7.6499999999999999E-2</v>
      </c>
      <c r="N10" s="41">
        <v>0.11210483828151419</v>
      </c>
      <c r="O10" s="42">
        <v>0.11210483828151419</v>
      </c>
      <c r="P10" s="41">
        <v>9.4152891280268491E-2</v>
      </c>
      <c r="Q10" s="42">
        <v>9.4152891280268491E-2</v>
      </c>
      <c r="R10" s="41">
        <v>7.6499999999999999E-2</v>
      </c>
      <c r="S10" s="41">
        <v>0.11210483828151419</v>
      </c>
      <c r="T10" s="42">
        <v>0.11210483828151419</v>
      </c>
      <c r="U10" s="41">
        <v>9.4152891280268491E-2</v>
      </c>
      <c r="V10" s="42">
        <v>9.4152891280268491E-2</v>
      </c>
      <c r="W10" s="41">
        <v>7.6499999999999999E-2</v>
      </c>
      <c r="X10" s="41">
        <v>0.11210483828151419</v>
      </c>
      <c r="Y10" s="42">
        <v>0.11210483828151419</v>
      </c>
      <c r="Z10" s="41">
        <v>9.4152891280268491E-2</v>
      </c>
      <c r="AA10" s="42">
        <v>9.4152891280268491E-2</v>
      </c>
      <c r="AB10" s="41">
        <v>7.6499999999999999E-2</v>
      </c>
      <c r="AC10" s="41">
        <v>0.11210483828151419</v>
      </c>
      <c r="AD10" s="42">
        <v>0.11210483828151419</v>
      </c>
      <c r="AE10" s="41">
        <v>9.4152891280268491E-2</v>
      </c>
      <c r="AF10" s="42">
        <v>9.4152891280268505E-2</v>
      </c>
      <c r="AG10" s="41">
        <v>7.6499999999999999E-2</v>
      </c>
      <c r="AH10" s="41">
        <v>0.11210483828151419</v>
      </c>
      <c r="AI10" s="42">
        <v>0.11210483828151419</v>
      </c>
      <c r="AJ10" s="41">
        <v>9.4152891280268491E-2</v>
      </c>
      <c r="AK10" s="42">
        <v>9.4152891280268491E-2</v>
      </c>
      <c r="AL10" s="41">
        <v>7.6499999999999999E-2</v>
      </c>
      <c r="AM10" s="41">
        <v>0.11210483828151419</v>
      </c>
      <c r="AN10" s="42">
        <v>0.11210483828151419</v>
      </c>
      <c r="AO10" s="41">
        <v>9.4152891280268491E-2</v>
      </c>
      <c r="AP10" s="42">
        <v>9.4152891280268491E-2</v>
      </c>
      <c r="AQ10" s="41">
        <v>7.6499999999999999E-2</v>
      </c>
      <c r="AR10" s="41">
        <v>0.11210483828151419</v>
      </c>
      <c r="AS10" s="42">
        <v>0.11210483828151419</v>
      </c>
      <c r="AT10" s="41">
        <v>9.4152891280268491E-2</v>
      </c>
      <c r="AU10" s="42">
        <v>9.4152891280268491E-2</v>
      </c>
      <c r="AV10" s="41">
        <v>7.6499999999999999E-2</v>
      </c>
      <c r="AW10" s="41">
        <v>0.11210483828151419</v>
      </c>
      <c r="AX10" s="42">
        <v>0.11210483828151419</v>
      </c>
      <c r="AY10" s="41">
        <v>9.4152891280268491E-2</v>
      </c>
      <c r="AZ10" s="42">
        <v>9.4152891280268491E-2</v>
      </c>
      <c r="BA10" s="41">
        <v>7.6499999999999999E-2</v>
      </c>
      <c r="BB10" s="41">
        <v>0.11210483828151419</v>
      </c>
      <c r="BC10" s="42">
        <v>0.11210483828151419</v>
      </c>
      <c r="BD10" s="41">
        <v>9.4152891280268491E-2</v>
      </c>
      <c r="BE10" s="42">
        <v>9.4152891280268491E-2</v>
      </c>
      <c r="BF10" s="41">
        <v>7.6499999999999999E-2</v>
      </c>
      <c r="BG10" s="41">
        <v>0.11210483828151419</v>
      </c>
      <c r="BH10" s="42">
        <v>0.11210483828151419</v>
      </c>
      <c r="BI10" s="41">
        <v>9.4152891280268491E-2</v>
      </c>
      <c r="BJ10" s="42">
        <v>9.4152891280268491E-2</v>
      </c>
      <c r="BK10" s="41">
        <v>7.6499999999999999E-2</v>
      </c>
      <c r="BL10" s="41">
        <v>0.11210483828151419</v>
      </c>
      <c r="BM10" s="42">
        <v>0.11210483828151419</v>
      </c>
      <c r="BN10" s="41">
        <v>9.4152891280268491E-2</v>
      </c>
      <c r="BO10" s="42">
        <v>9.4152891280268491E-2</v>
      </c>
      <c r="BP10" s="41">
        <v>7.6499999999999999E-2</v>
      </c>
      <c r="BQ10" s="41">
        <v>0.11210483828151419</v>
      </c>
      <c r="BR10" s="42">
        <v>0.11210483828151419</v>
      </c>
      <c r="BS10" s="41">
        <v>9.4152891280268491E-2</v>
      </c>
      <c r="BT10" s="42">
        <v>9.4152891280268491E-2</v>
      </c>
      <c r="BU10" s="41">
        <v>7.6499999999999999E-2</v>
      </c>
      <c r="BV10" s="41">
        <v>8.5289970653106728E-2</v>
      </c>
      <c r="BW10" s="42">
        <v>8.5289970653106728E-2</v>
      </c>
      <c r="BX10" s="41">
        <v>7.6500000000000012E-2</v>
      </c>
      <c r="BY10" s="42">
        <v>7.6500000000000012E-2</v>
      </c>
      <c r="BZ10" s="41">
        <v>7.6499999999999999E-2</v>
      </c>
      <c r="CA10" s="41">
        <v>8.5289970653106728E-2</v>
      </c>
      <c r="CB10" s="42">
        <v>8.5289970653106728E-2</v>
      </c>
      <c r="CC10" s="41">
        <v>7.6500000000000012E-2</v>
      </c>
      <c r="CD10" s="42">
        <v>7.6500000000000012E-2</v>
      </c>
      <c r="CE10" s="41">
        <v>7.6499999999999999E-2</v>
      </c>
      <c r="CF10" s="41">
        <v>8.5289970653106728E-2</v>
      </c>
      <c r="CG10" s="42">
        <v>8.5289970653106728E-2</v>
      </c>
      <c r="CH10" s="41">
        <v>7.6500000000000012E-2</v>
      </c>
      <c r="CI10" s="42">
        <v>7.6500000000000012E-2</v>
      </c>
      <c r="CJ10" s="41">
        <v>7.6499999999999999E-2</v>
      </c>
      <c r="CK10" s="41">
        <v>8.5289970653106728E-2</v>
      </c>
      <c r="CL10" s="42">
        <v>8.5289970653106728E-2</v>
      </c>
      <c r="CM10" s="41">
        <v>7.6500000000000012E-2</v>
      </c>
      <c r="CN10" s="42">
        <v>7.6500000000000012E-2</v>
      </c>
      <c r="CO10" s="41">
        <v>7.6499999999999999E-2</v>
      </c>
      <c r="CP10" s="41">
        <v>8.5289970653106728E-2</v>
      </c>
      <c r="CQ10" s="42">
        <v>8.5289970653106728E-2</v>
      </c>
      <c r="CR10" s="41">
        <v>7.6500000000000012E-2</v>
      </c>
      <c r="CS10" s="42">
        <v>7.6500000000000012E-2</v>
      </c>
      <c r="CT10" s="41">
        <v>7.6499999999999999E-2</v>
      </c>
      <c r="CU10" s="41">
        <v>8.5289970653106728E-2</v>
      </c>
      <c r="CV10" s="42">
        <v>8.5289970653106728E-2</v>
      </c>
      <c r="CW10" s="41">
        <v>7.6500000000000012E-2</v>
      </c>
      <c r="CX10" s="42">
        <v>7.6500000000000012E-2</v>
      </c>
      <c r="CY10" s="41">
        <v>7.6499999999999999E-2</v>
      </c>
      <c r="CZ10" s="41">
        <v>8.5289970653106728E-2</v>
      </c>
      <c r="DA10" s="42">
        <v>8.5289970653106728E-2</v>
      </c>
      <c r="DB10" s="41">
        <v>7.6500000000000012E-2</v>
      </c>
      <c r="DC10" s="42">
        <v>7.6500000000000012E-2</v>
      </c>
      <c r="DD10" s="41">
        <v>7.6499999999999999E-2</v>
      </c>
      <c r="DE10" s="41">
        <v>8.5289970653106728E-2</v>
      </c>
      <c r="DF10" s="42">
        <v>8.5289970653106728E-2</v>
      </c>
      <c r="DG10" s="41">
        <v>7.6500000000000012E-2</v>
      </c>
      <c r="DH10" s="42">
        <v>7.6500000000000012E-2</v>
      </c>
      <c r="DI10" s="41">
        <v>7.6499999999999999E-2</v>
      </c>
      <c r="DJ10" s="41">
        <v>8.5289970653106728E-2</v>
      </c>
      <c r="DK10" s="42">
        <v>8.5289970653106728E-2</v>
      </c>
      <c r="DL10" s="41">
        <v>7.6500000000000012E-2</v>
      </c>
      <c r="DM10" s="42">
        <v>7.6500000000000012E-2</v>
      </c>
      <c r="DN10" s="41">
        <v>7.6499999999999999E-2</v>
      </c>
      <c r="DO10" s="41">
        <v>8.5289970653106728E-2</v>
      </c>
      <c r="DP10" s="42">
        <v>8.5289970653106728E-2</v>
      </c>
      <c r="DQ10" s="41">
        <v>7.6500000000000012E-2</v>
      </c>
      <c r="DR10" s="42">
        <v>7.6500000000000012E-2</v>
      </c>
      <c r="DS10" s="41">
        <v>7.6499999999999999E-2</v>
      </c>
      <c r="DT10" s="41">
        <v>8.5289970653106728E-2</v>
      </c>
      <c r="DU10" s="42">
        <v>8.5289970653106728E-2</v>
      </c>
      <c r="DV10" s="41">
        <v>7.6500000000000012E-2</v>
      </c>
      <c r="DW10" s="42">
        <v>7.6500000000000012E-2</v>
      </c>
      <c r="DX10" s="41">
        <v>7.6499999999999999E-2</v>
      </c>
      <c r="DY10" s="41">
        <v>8.5289970653106728E-2</v>
      </c>
      <c r="DZ10" s="42">
        <v>8.5289970653106728E-2</v>
      </c>
      <c r="EA10" s="41">
        <v>7.6500000000000012E-2</v>
      </c>
      <c r="EB10" s="42">
        <v>7.6500000000000012E-2</v>
      </c>
      <c r="EC10" s="41">
        <v>7.6499999999999999E-2</v>
      </c>
      <c r="ED10" s="41">
        <v>0.11210483828151419</v>
      </c>
      <c r="EE10" s="42">
        <v>0.11210483828151419</v>
      </c>
      <c r="EF10" s="41">
        <v>9.4152891280268491E-2</v>
      </c>
      <c r="EG10" s="42">
        <v>9.4152891280268491E-2</v>
      </c>
      <c r="EH10" s="41">
        <v>7.6499999999999999E-2</v>
      </c>
      <c r="EI10" s="41">
        <v>0.11210483828151419</v>
      </c>
      <c r="EJ10" s="42">
        <v>0.11210483828151419</v>
      </c>
      <c r="EK10" s="41">
        <v>9.4152891280268491E-2</v>
      </c>
      <c r="EL10" s="42">
        <v>9.4152891280268491E-2</v>
      </c>
      <c r="EM10" s="41">
        <v>7.6499999999999999E-2</v>
      </c>
      <c r="EN10" s="41">
        <v>0.11210483828151419</v>
      </c>
      <c r="EO10" s="42">
        <v>0.11210483828151419</v>
      </c>
      <c r="EP10" s="41">
        <v>9.4152891280268491E-2</v>
      </c>
      <c r="EQ10" s="42">
        <v>9.4152891280268491E-2</v>
      </c>
      <c r="ER10" s="41">
        <v>7.6499999999999999E-2</v>
      </c>
      <c r="ES10" s="41">
        <v>0.11210483828151419</v>
      </c>
      <c r="ET10" s="42">
        <v>0.11210483828151419</v>
      </c>
      <c r="EU10" s="41">
        <v>9.4152891280268491E-2</v>
      </c>
      <c r="EV10" s="42">
        <v>9.4152891280268491E-2</v>
      </c>
      <c r="EW10" s="41">
        <v>7.6499999999999999E-2</v>
      </c>
      <c r="EX10" s="41">
        <v>0.11210483828151419</v>
      </c>
      <c r="EY10" s="42">
        <v>0.11210483828151419</v>
      </c>
      <c r="EZ10" s="41">
        <v>9.4152891280268491E-2</v>
      </c>
      <c r="FA10" s="42">
        <v>9.4152891280268491E-2</v>
      </c>
      <c r="FB10" s="41">
        <v>7.6499999999999999E-2</v>
      </c>
      <c r="FC10" s="41">
        <v>0.11210483828151419</v>
      </c>
      <c r="FD10" s="42">
        <v>0.11210483828151419</v>
      </c>
      <c r="FE10" s="41">
        <v>9.4152891280268491E-2</v>
      </c>
      <c r="FF10" s="42">
        <v>9.4152891280268491E-2</v>
      </c>
      <c r="FG10" s="41">
        <v>7.6499999999999999E-2</v>
      </c>
      <c r="FH10" s="41">
        <v>0.11210483828151419</v>
      </c>
      <c r="FI10" s="42">
        <v>0.11210483828151419</v>
      </c>
      <c r="FJ10" s="41">
        <v>9.4152891280268491E-2</v>
      </c>
      <c r="FK10" s="42">
        <v>9.4152891280268491E-2</v>
      </c>
      <c r="FL10" s="41">
        <v>7.6499999999999999E-2</v>
      </c>
      <c r="FM10" s="41">
        <v>0.11210483828151419</v>
      </c>
      <c r="FN10" s="42">
        <v>0.11210483828151419</v>
      </c>
      <c r="FO10" s="41">
        <v>9.4152891280268491E-2</v>
      </c>
      <c r="FP10" s="42">
        <v>9.4152891280268491E-2</v>
      </c>
      <c r="FQ10" s="41">
        <v>7.6499999999999999E-2</v>
      </c>
      <c r="FR10" s="41">
        <v>0.11210483828151419</v>
      </c>
      <c r="FS10" s="42">
        <v>0.11210483828151419</v>
      </c>
      <c r="FT10" s="41">
        <v>9.4152891280268491E-2</v>
      </c>
      <c r="FU10" s="42">
        <v>9.4152891280268491E-2</v>
      </c>
      <c r="FV10" s="41">
        <v>7.6499999999999999E-2</v>
      </c>
      <c r="FW10" s="41">
        <v>0.11210483828151419</v>
      </c>
      <c r="FX10" s="42">
        <v>0.11210483828151419</v>
      </c>
      <c r="FY10" s="41">
        <v>9.4152891280268491E-2</v>
      </c>
      <c r="FZ10" s="42">
        <v>9.4152891280268491E-2</v>
      </c>
      <c r="GA10" s="41">
        <v>7.6499999999999999E-2</v>
      </c>
      <c r="GB10" s="41">
        <v>0.11210483828151419</v>
      </c>
      <c r="GC10" s="42">
        <v>0.11210483828151419</v>
      </c>
      <c r="GD10" s="41">
        <v>9.4152891280268491E-2</v>
      </c>
      <c r="GE10" s="42">
        <v>9.4152891280268491E-2</v>
      </c>
      <c r="GF10" s="41">
        <v>7.6499999999999999E-2</v>
      </c>
      <c r="GG10" s="41">
        <v>0.11210483828151419</v>
      </c>
      <c r="GH10" s="42">
        <v>0.11210483828151419</v>
      </c>
      <c r="GI10" s="41">
        <v>9.4152891280268491E-2</v>
      </c>
      <c r="GJ10" s="42">
        <v>9.4152891280268491E-2</v>
      </c>
      <c r="GK10" s="41">
        <v>7.6499999999999999E-2</v>
      </c>
      <c r="GL10" s="41">
        <v>0.11210483828151419</v>
      </c>
      <c r="GM10" s="42">
        <v>0.11210483828151419</v>
      </c>
      <c r="GN10" s="41">
        <v>9.4152891280268491E-2</v>
      </c>
      <c r="GO10" s="42">
        <v>9.4152891280268491E-2</v>
      </c>
      <c r="GP10" s="41">
        <v>7.6499999999999999E-2</v>
      </c>
      <c r="GQ10" s="41">
        <v>0.11210483828151419</v>
      </c>
      <c r="GR10" s="42">
        <v>0.11210483828151419</v>
      </c>
      <c r="GS10" s="41">
        <v>9.4152891280268491E-2</v>
      </c>
      <c r="GT10" s="42">
        <v>9.4152891280268491E-2</v>
      </c>
      <c r="GU10" s="41">
        <v>7.6499999999999999E-2</v>
      </c>
      <c r="GV10" s="41">
        <v>0.11210483828151419</v>
      </c>
      <c r="GW10" s="42">
        <v>0.11210483828151419</v>
      </c>
      <c r="GX10" s="41">
        <v>9.4152891280268491E-2</v>
      </c>
      <c r="GY10" s="42">
        <v>9.4152891280268491E-2</v>
      </c>
      <c r="GZ10" s="41">
        <v>7.6499999999999999E-2</v>
      </c>
      <c r="HA10" s="41">
        <v>0.11210483828151419</v>
      </c>
      <c r="HB10" s="42">
        <v>0.11210483828151419</v>
      </c>
      <c r="HC10" s="41">
        <v>9.4152891280268491E-2</v>
      </c>
      <c r="HD10" s="42">
        <v>9.4152891280268491E-2</v>
      </c>
      <c r="HE10" s="41">
        <v>7.6499999999999999E-2</v>
      </c>
      <c r="HF10" s="41">
        <v>0.11210483828151419</v>
      </c>
      <c r="HG10" s="42">
        <v>0.11210483828151419</v>
      </c>
      <c r="HH10" s="41">
        <v>9.4152891280268491E-2</v>
      </c>
      <c r="HI10" s="42">
        <v>9.4152891280268491E-2</v>
      </c>
      <c r="HJ10" s="41">
        <v>7.6499999999999999E-2</v>
      </c>
      <c r="HK10" s="41">
        <v>0.11210483828151419</v>
      </c>
      <c r="HL10" s="42">
        <v>0.11210483828151419</v>
      </c>
      <c r="HM10" s="41">
        <v>9.4152891280268491E-2</v>
      </c>
      <c r="HN10" s="42">
        <v>9.4152891280268491E-2</v>
      </c>
      <c r="HO10">
        <v>7.6499999999999999E-2</v>
      </c>
      <c r="HP10">
        <v>0.11210483828151419</v>
      </c>
      <c r="HQ10">
        <v>0.11210483828151419</v>
      </c>
      <c r="HR10">
        <v>9.4152891280268491E-2</v>
      </c>
      <c r="HS10">
        <v>9.4152891280268491E-2</v>
      </c>
      <c r="HT10">
        <v>7.6499999999999999E-2</v>
      </c>
      <c r="HU10">
        <v>0.11210483828151419</v>
      </c>
      <c r="HV10">
        <v>0.11210483828151419</v>
      </c>
      <c r="HW10">
        <v>9.4152891280268491E-2</v>
      </c>
      <c r="HX10">
        <v>9.4152891280268491E-2</v>
      </c>
      <c r="HY10">
        <v>7.6499999999999999E-2</v>
      </c>
      <c r="HZ10">
        <v>0.11210483828151419</v>
      </c>
      <c r="IA10">
        <v>0.11210483828151419</v>
      </c>
      <c r="IB10">
        <v>9.4152891280268491E-2</v>
      </c>
      <c r="IC10">
        <v>9.4152891280268491E-2</v>
      </c>
      <c r="ID10">
        <v>7.6499999999999999E-2</v>
      </c>
      <c r="IE10">
        <v>0.11210483828151419</v>
      </c>
      <c r="IF10">
        <v>0.11210483828151419</v>
      </c>
      <c r="IG10">
        <v>9.4152891280268491E-2</v>
      </c>
      <c r="IH10">
        <v>9.4152891280268491E-2</v>
      </c>
      <c r="II10">
        <v>7.6499999999999999E-2</v>
      </c>
      <c r="IJ10">
        <v>0.11210483828151419</v>
      </c>
      <c r="IK10">
        <v>0.11210483828151419</v>
      </c>
      <c r="IL10">
        <v>9.4152891280268491E-2</v>
      </c>
      <c r="IM10">
        <v>9.4152891280268491E-2</v>
      </c>
      <c r="IN10">
        <v>7.6499999999999999E-2</v>
      </c>
      <c r="IO10" s="86">
        <v>0.11210483828151419</v>
      </c>
      <c r="IP10">
        <v>0.11210483828151419</v>
      </c>
      <c r="IQ10">
        <v>9.4152891280268491E-2</v>
      </c>
      <c r="IR10">
        <v>9.4152891280268491E-2</v>
      </c>
      <c r="IS10">
        <v>7.6499999999999999E-2</v>
      </c>
      <c r="IT10">
        <v>0.11210483828151419</v>
      </c>
      <c r="IU10">
        <v>0.11210483828151419</v>
      </c>
      <c r="IV10">
        <v>9.4152891280268491E-2</v>
      </c>
      <c r="IW10">
        <v>9.4152891280268491E-2</v>
      </c>
      <c r="IX10">
        <v>7.6499999999999999E-2</v>
      </c>
      <c r="IY10">
        <v>0.11210483828151419</v>
      </c>
      <c r="IZ10">
        <v>0.11210483828151419</v>
      </c>
      <c r="JA10">
        <v>9.4152891280268491E-2</v>
      </c>
      <c r="JB10">
        <v>9.4152891280268491E-2</v>
      </c>
      <c r="JC10">
        <v>7.6499999999999999E-2</v>
      </c>
      <c r="JD10">
        <v>0.11210483828151419</v>
      </c>
      <c r="JE10">
        <v>0.11210483828151419</v>
      </c>
      <c r="JF10">
        <v>9.4152891280268491E-2</v>
      </c>
      <c r="JG10">
        <v>9.4152891280268491E-2</v>
      </c>
      <c r="JH10">
        <v>7.6499999999999999E-2</v>
      </c>
      <c r="JI10">
        <v>0.11210483828151419</v>
      </c>
      <c r="JJ10">
        <v>0.11210483828151419</v>
      </c>
      <c r="JK10">
        <v>9.4152891280268491E-2</v>
      </c>
      <c r="JL10">
        <v>9.4152891280268491E-2</v>
      </c>
      <c r="JM10">
        <v>7.6499999999999999E-2</v>
      </c>
      <c r="JN10">
        <v>0.11210483828151419</v>
      </c>
      <c r="JO10">
        <v>0.11210483828151419</v>
      </c>
      <c r="JP10">
        <v>9.4152891280268491E-2</v>
      </c>
      <c r="JQ10">
        <v>9.4152891280268491E-2</v>
      </c>
      <c r="JR10">
        <v>7.6499999999999999E-2</v>
      </c>
      <c r="JS10">
        <v>0.11210483828151419</v>
      </c>
      <c r="JT10">
        <v>0.11210483828151419</v>
      </c>
      <c r="JU10">
        <v>9.4152891280268491E-2</v>
      </c>
      <c r="JV10">
        <v>9.4152891280268491E-2</v>
      </c>
      <c r="JW10">
        <v>7.6499999999999999E-2</v>
      </c>
      <c r="JX10">
        <v>0.11210483828151419</v>
      </c>
      <c r="JY10">
        <v>0.11210483828151419</v>
      </c>
      <c r="JZ10">
        <v>9.4152891280268491E-2</v>
      </c>
      <c r="KA10">
        <v>9.4152891280268491E-2</v>
      </c>
      <c r="KB10">
        <v>7.6499999999999999E-2</v>
      </c>
      <c r="KC10">
        <v>0.11210483828151419</v>
      </c>
      <c r="KD10">
        <v>0.11210483828151419</v>
      </c>
      <c r="KE10">
        <v>9.4152891280268491E-2</v>
      </c>
      <c r="KF10">
        <v>9.4152891280268491E-2</v>
      </c>
      <c r="KG10">
        <v>7.6499999999999999E-2</v>
      </c>
      <c r="KH10">
        <v>0.11210483828151419</v>
      </c>
      <c r="KI10">
        <v>0.11210483828151419</v>
      </c>
      <c r="KJ10">
        <v>9.4152891280268491E-2</v>
      </c>
      <c r="KK10">
        <v>9.4152891280268491E-2</v>
      </c>
      <c r="KL10">
        <v>7.6499999999999999E-2</v>
      </c>
      <c r="KM10">
        <v>0.11210483828151419</v>
      </c>
      <c r="KN10">
        <v>0.11210483828151419</v>
      </c>
      <c r="KO10">
        <v>9.4152891280268491E-2</v>
      </c>
      <c r="KP10">
        <v>9.4152891280268491E-2</v>
      </c>
      <c r="KQ10">
        <v>7.6499999999999999E-2</v>
      </c>
      <c r="KR10">
        <v>0.11210483828151419</v>
      </c>
      <c r="KS10">
        <v>0.11210483828151419</v>
      </c>
      <c r="KT10">
        <v>9.4152891280268491E-2</v>
      </c>
      <c r="KU10">
        <v>9.4152891280268491E-2</v>
      </c>
      <c r="KV10">
        <v>7.6499999999999999E-2</v>
      </c>
      <c r="KW10">
        <v>0.11210483828151419</v>
      </c>
      <c r="KX10">
        <v>0.11210483828151419</v>
      </c>
      <c r="KY10">
        <v>9.4152891280268491E-2</v>
      </c>
      <c r="KZ10">
        <v>9.4152891280268491E-2</v>
      </c>
      <c r="LA10">
        <v>7.6499999999999999E-2</v>
      </c>
      <c r="LB10">
        <v>0.11210483828151419</v>
      </c>
      <c r="LC10">
        <v>0.11210483828151419</v>
      </c>
      <c r="LD10">
        <v>9.4152891280268491E-2</v>
      </c>
      <c r="LE10">
        <v>9.4152891280268491E-2</v>
      </c>
      <c r="LF10">
        <v>7.6499999999999999E-2</v>
      </c>
      <c r="LG10">
        <v>0.11210483828151419</v>
      </c>
      <c r="LH10">
        <v>0.11210483828151419</v>
      </c>
      <c r="LI10">
        <v>9.4152891280268491E-2</v>
      </c>
      <c r="LJ10">
        <v>9.4152891280268491E-2</v>
      </c>
      <c r="LK10">
        <v>7.6499999999999999E-2</v>
      </c>
      <c r="LL10">
        <v>0.11210483828151419</v>
      </c>
      <c r="LM10">
        <v>0.11210483828151419</v>
      </c>
      <c r="LN10">
        <v>9.4152891280268491E-2</v>
      </c>
      <c r="LO10">
        <v>9.4152891280268491E-2</v>
      </c>
      <c r="LP10">
        <v>7.6499999999999999E-2</v>
      </c>
      <c r="LQ10">
        <v>0.11210483828151419</v>
      </c>
      <c r="LR10">
        <v>0.11210483828151419</v>
      </c>
      <c r="LS10">
        <v>9.4152891280268491E-2</v>
      </c>
      <c r="LT10">
        <v>9.4152891280268491E-2</v>
      </c>
      <c r="LU10">
        <v>7.6499999999999999E-2</v>
      </c>
      <c r="LV10">
        <v>0.11210483828151419</v>
      </c>
      <c r="LW10">
        <v>0.11210483828151419</v>
      </c>
      <c r="LX10">
        <v>9.4152891280268491E-2</v>
      </c>
      <c r="LY10">
        <v>9.4152891280268491E-2</v>
      </c>
      <c r="LZ10">
        <v>7.6499999999999999E-2</v>
      </c>
      <c r="MA10">
        <v>0.11210483828151419</v>
      </c>
      <c r="MB10">
        <v>0.11210483828151419</v>
      </c>
      <c r="MC10">
        <v>9.4152891280268491E-2</v>
      </c>
      <c r="MD10">
        <v>9.4152891280268491E-2</v>
      </c>
      <c r="ME10">
        <v>7.6499999999999999E-2</v>
      </c>
      <c r="MF10">
        <v>0.11210483828151419</v>
      </c>
      <c r="MG10">
        <v>0.11210483828151419</v>
      </c>
      <c r="MH10">
        <v>9.4152891280268491E-2</v>
      </c>
      <c r="MI10">
        <v>9.4152891280268491E-2</v>
      </c>
      <c r="MJ10">
        <v>7.6499999999999999E-2</v>
      </c>
      <c r="MK10">
        <v>0.11210483828151419</v>
      </c>
      <c r="ML10">
        <v>0.11210483828151419</v>
      </c>
      <c r="MM10">
        <v>9.4152891280268491E-2</v>
      </c>
      <c r="MN10">
        <v>9.4152891280268491E-2</v>
      </c>
      <c r="MO10">
        <v>7.6499999999999999E-2</v>
      </c>
      <c r="MP10">
        <v>0.11210483828151419</v>
      </c>
      <c r="MQ10">
        <v>0.11210483828151419</v>
      </c>
      <c r="MR10">
        <v>9.4152891280268491E-2</v>
      </c>
      <c r="MS10">
        <v>9.4152891280268491E-2</v>
      </c>
      <c r="MT10">
        <v>7.6499999999999999E-2</v>
      </c>
      <c r="MU10">
        <v>0.11210483828151419</v>
      </c>
      <c r="MV10">
        <v>0.11210483828151419</v>
      </c>
      <c r="MW10">
        <v>9.4152891280268491E-2</v>
      </c>
      <c r="MX10">
        <v>9.4152891280268491E-2</v>
      </c>
      <c r="MY10">
        <v>7.6499999999999999E-2</v>
      </c>
      <c r="MZ10">
        <v>0.11210483828151419</v>
      </c>
      <c r="NA10">
        <v>0.11210483828151419</v>
      </c>
      <c r="NB10">
        <v>9.4152891280268491E-2</v>
      </c>
      <c r="NC10">
        <v>9.4152891280268491E-2</v>
      </c>
      <c r="ND10">
        <v>7.6499999999999999E-2</v>
      </c>
      <c r="NE10">
        <v>0.11210483828151419</v>
      </c>
      <c r="NF10">
        <v>0.11210483828151419</v>
      </c>
      <c r="NG10">
        <v>9.4152891280268491E-2</v>
      </c>
      <c r="NH10">
        <v>9.4152891280268491E-2</v>
      </c>
      <c r="NI10">
        <v>7.6499999999999999E-2</v>
      </c>
      <c r="NJ10">
        <v>0.11210483828151419</v>
      </c>
      <c r="NK10">
        <v>0.11210483828151419</v>
      </c>
      <c r="NL10">
        <v>9.4152891280268491E-2</v>
      </c>
      <c r="NM10">
        <v>9.4152891280268491E-2</v>
      </c>
      <c r="NN10">
        <v>7.6499999999999999E-2</v>
      </c>
      <c r="NO10">
        <v>0.11210483828151419</v>
      </c>
      <c r="NP10">
        <v>0.11210483828151419</v>
      </c>
      <c r="NQ10">
        <v>9.4152891280268491E-2</v>
      </c>
      <c r="NR10">
        <v>9.4152891280268491E-2</v>
      </c>
      <c r="NS10">
        <v>7.6499999999999999E-2</v>
      </c>
      <c r="NT10">
        <v>0.11210483828151419</v>
      </c>
      <c r="NU10">
        <v>0.11210483828151419</v>
      </c>
      <c r="NV10">
        <v>9.4152891280268491E-2</v>
      </c>
      <c r="NW10">
        <v>9.4152891280268491E-2</v>
      </c>
      <c r="NX10">
        <v>7.6499999999999999E-2</v>
      </c>
      <c r="NY10">
        <v>0.11210483828151419</v>
      </c>
      <c r="NZ10">
        <v>0.11210483828151419</v>
      </c>
      <c r="OA10">
        <v>9.4152891280268491E-2</v>
      </c>
      <c r="OB10">
        <v>9.4152891280268491E-2</v>
      </c>
      <c r="OC10">
        <v>7.6499999999999999E-2</v>
      </c>
      <c r="OD10">
        <v>0.11210483828151419</v>
      </c>
      <c r="OE10">
        <v>0.11210483828151419</v>
      </c>
      <c r="OF10">
        <v>9.4152891280268491E-2</v>
      </c>
      <c r="OG10">
        <v>9.4152891280268491E-2</v>
      </c>
      <c r="OH10">
        <v>7.6499999999999999E-2</v>
      </c>
      <c r="OI10">
        <v>0.11210483828151419</v>
      </c>
      <c r="OJ10">
        <v>0.11210483828151419</v>
      </c>
      <c r="OK10">
        <v>9.4152891280268491E-2</v>
      </c>
      <c r="OL10">
        <v>9.4152891280268491E-2</v>
      </c>
      <c r="OM10">
        <v>7.6499999999999999E-2</v>
      </c>
      <c r="ON10">
        <v>0.11210483828151419</v>
      </c>
      <c r="OO10">
        <v>0.11210483828151419</v>
      </c>
      <c r="OP10">
        <v>9.4152891280268491E-2</v>
      </c>
      <c r="OQ10">
        <v>9.4152891280268491E-2</v>
      </c>
      <c r="OR10">
        <v>7.6499999999999999E-2</v>
      </c>
      <c r="OS10">
        <v>0.11210483828151419</v>
      </c>
      <c r="OT10">
        <v>0.11210483828151419</v>
      </c>
      <c r="OU10">
        <v>9.4152891280268491E-2</v>
      </c>
      <c r="OV10">
        <v>9.4152891280268491E-2</v>
      </c>
      <c r="OW10">
        <v>7.6499999999999999E-2</v>
      </c>
      <c r="OX10">
        <v>0.11210483828151419</v>
      </c>
      <c r="OY10">
        <v>0.11210483828151419</v>
      </c>
      <c r="OZ10">
        <v>9.4152891280268491E-2</v>
      </c>
      <c r="PA10">
        <v>9.4152891280268491E-2</v>
      </c>
      <c r="PB10">
        <v>7.6499999999999999E-2</v>
      </c>
      <c r="PC10">
        <v>0.11210483828151419</v>
      </c>
      <c r="PD10">
        <v>0.11210483828151419</v>
      </c>
      <c r="PE10">
        <v>9.4152891280268491E-2</v>
      </c>
      <c r="PF10">
        <v>9.4152891280268491E-2</v>
      </c>
      <c r="PG10">
        <v>7.6499999999999999E-2</v>
      </c>
      <c r="PH10">
        <v>0.11210483828151419</v>
      </c>
      <c r="PI10">
        <v>0.11210483828151419</v>
      </c>
      <c r="PJ10">
        <v>9.4152891280268491E-2</v>
      </c>
      <c r="PK10">
        <v>9.4152891280268491E-2</v>
      </c>
      <c r="PL10" s="41">
        <v>7.6499999999999999E-2</v>
      </c>
      <c r="PM10" s="41">
        <v>0.11210483828151419</v>
      </c>
      <c r="PN10" s="42">
        <v>0.11210483828151419</v>
      </c>
      <c r="PO10" s="41">
        <v>9.4152891280268491E-2</v>
      </c>
      <c r="PP10" s="42">
        <v>9.4152891280268491E-2</v>
      </c>
      <c r="PQ10">
        <v>7.6499999999999999E-2</v>
      </c>
      <c r="PR10">
        <v>0.11210483828151419</v>
      </c>
      <c r="PS10">
        <v>0.11210483828151419</v>
      </c>
      <c r="PT10">
        <v>9.4152891280268491E-2</v>
      </c>
      <c r="PU10">
        <v>9.4152891280268491E-2</v>
      </c>
      <c r="PV10">
        <v>7.6499999999999999E-2</v>
      </c>
      <c r="PW10">
        <v>0.11210483828151419</v>
      </c>
      <c r="PX10">
        <v>0.11210483828151419</v>
      </c>
      <c r="PY10">
        <v>9.4152891280268491E-2</v>
      </c>
      <c r="PZ10">
        <v>9.4152891280268491E-2</v>
      </c>
      <c r="QA10" s="41">
        <v>7.6499999999999999E-2</v>
      </c>
      <c r="QB10" s="41">
        <v>0.11210483828151419</v>
      </c>
      <c r="QC10" s="42">
        <v>0.11210483828151419</v>
      </c>
      <c r="QD10" s="41">
        <v>9.4152891280268491E-2</v>
      </c>
      <c r="QE10" s="42">
        <v>9.4152891280268491E-2</v>
      </c>
    </row>
    <row r="11" spans="1:666" x14ac:dyDescent="0.15">
      <c r="A11" s="41" t="s">
        <v>13</v>
      </c>
      <c r="B11" s="41">
        <f>FixedParams!B27</f>
        <v>7.6499999999999999E-2</v>
      </c>
      <c r="C11" s="41">
        <f>FixedParams!C27</f>
        <v>0.1579163879894796</v>
      </c>
      <c r="D11" s="42">
        <f t="shared" si="116"/>
        <v>0.1579163879894796</v>
      </c>
      <c r="E11" s="41">
        <f>FixedParams!D27</f>
        <v>0.1199470047067912</v>
      </c>
      <c r="F11" s="42">
        <f t="shared" si="116"/>
        <v>0.1199470047067912</v>
      </c>
      <c r="H11" s="41">
        <v>7.6499999999999999E-2</v>
      </c>
      <c r="I11" s="41">
        <v>0.1579163879894796</v>
      </c>
      <c r="J11" s="42">
        <v>0.1579163879894796</v>
      </c>
      <c r="K11" s="41">
        <v>0.12231018749488354</v>
      </c>
      <c r="L11" s="42">
        <v>0.12231018749488354</v>
      </c>
      <c r="M11" s="41">
        <v>7.6499999999999999E-2</v>
      </c>
      <c r="N11" s="41">
        <v>0.15730415374640283</v>
      </c>
      <c r="O11" s="42">
        <v>0.15730415374640283</v>
      </c>
      <c r="P11" s="41">
        <v>0.1217188866197334</v>
      </c>
      <c r="Q11" s="42">
        <v>0.1217188866197334</v>
      </c>
      <c r="R11" s="41">
        <v>7.6499999999999999E-2</v>
      </c>
      <c r="S11" s="41">
        <v>0.15669228996413631</v>
      </c>
      <c r="T11" s="42">
        <v>0.15669228996413631</v>
      </c>
      <c r="U11" s="41">
        <v>0.12112792288599517</v>
      </c>
      <c r="V11" s="42">
        <v>0.12112792288599517</v>
      </c>
      <c r="W11" s="41">
        <v>7.6499999999999999E-2</v>
      </c>
      <c r="X11" s="41">
        <v>0.15608079605008873</v>
      </c>
      <c r="Y11" s="42">
        <v>0.15608079605008873</v>
      </c>
      <c r="Z11" s="41">
        <v>0.1205372957594506</v>
      </c>
      <c r="AA11" s="42">
        <v>0.1205372957594506</v>
      </c>
      <c r="AB11" s="41">
        <v>7.6499999999999999E-2</v>
      </c>
      <c r="AC11" s="41">
        <v>0.15546967141273438</v>
      </c>
      <c r="AD11" s="42">
        <v>0.15546967141273438</v>
      </c>
      <c r="AE11" s="41">
        <v>0.1199470047067912</v>
      </c>
      <c r="AF11" s="42">
        <v>0.119947004706791</v>
      </c>
      <c r="AG11" s="41">
        <v>7.6499999999999999E-2</v>
      </c>
      <c r="AH11" s="41">
        <v>0.15485891546160935</v>
      </c>
      <c r="AI11" s="42">
        <v>0.15485891546160935</v>
      </c>
      <c r="AJ11" s="41">
        <v>0.11935704919561463</v>
      </c>
      <c r="AK11" s="42">
        <v>0.11935704919561463</v>
      </c>
      <c r="AL11" s="41">
        <v>7.6499999999999999E-2</v>
      </c>
      <c r="AM11" s="41">
        <v>0.15424852760730956</v>
      </c>
      <c r="AN11" s="42">
        <v>0.15424852760730956</v>
      </c>
      <c r="AO11" s="41">
        <v>0.11876742869442491</v>
      </c>
      <c r="AP11" s="42">
        <v>0.11876742869442491</v>
      </c>
      <c r="AQ11" s="41">
        <v>7.6499999999999999E-2</v>
      </c>
      <c r="AR11" s="41">
        <v>0.15363850726148764</v>
      </c>
      <c r="AS11" s="42">
        <v>0.15363850726148764</v>
      </c>
      <c r="AT11" s="41">
        <v>0.11817814267262783</v>
      </c>
      <c r="AU11" s="42">
        <v>0.11817814267262783</v>
      </c>
      <c r="AV11" s="41">
        <v>7.6499999999999999E-2</v>
      </c>
      <c r="AW11" s="41">
        <v>0.15302885383684983</v>
      </c>
      <c r="AX11" s="42">
        <v>0.15302885383684983</v>
      </c>
      <c r="AY11" s="41">
        <v>0.1175891906005293</v>
      </c>
      <c r="AZ11" s="42">
        <v>0.1175891906005293</v>
      </c>
      <c r="BA11" s="41">
        <v>7.6499999999999999E-2</v>
      </c>
      <c r="BB11" s="41">
        <v>0.15241956674715373</v>
      </c>
      <c r="BC11" s="42">
        <v>0.15241956674715373</v>
      </c>
      <c r="BD11" s="41">
        <v>0.117000571949333</v>
      </c>
      <c r="BE11" s="42">
        <v>0.117000571949333</v>
      </c>
      <c r="BF11" s="41">
        <v>7.6499999999999999E-2</v>
      </c>
      <c r="BG11" s="41">
        <v>0.15181064540720501</v>
      </c>
      <c r="BH11" s="42">
        <v>0.15181064540720501</v>
      </c>
      <c r="BI11" s="41">
        <v>0.11641228619113808</v>
      </c>
      <c r="BJ11" s="42">
        <v>0.11641228619113808</v>
      </c>
      <c r="BK11" s="41">
        <v>7.6499999999999999E-2</v>
      </c>
      <c r="BL11" s="41">
        <v>0.1493786058775266</v>
      </c>
      <c r="BM11" s="42">
        <v>0.1493786058775266</v>
      </c>
      <c r="BN11" s="41">
        <v>0.11406246156155975</v>
      </c>
      <c r="BO11" s="42">
        <v>0.11406246156155975</v>
      </c>
      <c r="BP11" s="41">
        <v>7.6499999999999999E-2</v>
      </c>
      <c r="BQ11" s="41">
        <v>0.14695237179888965</v>
      </c>
      <c r="BR11" s="42">
        <v>0.14695237179888965</v>
      </c>
      <c r="BS11" s="41">
        <v>0.11171792121912305</v>
      </c>
      <c r="BT11" s="42">
        <v>0.11171792121912305</v>
      </c>
      <c r="BU11" s="41">
        <v>7.6499999999999999E-2</v>
      </c>
      <c r="BV11" s="41">
        <v>0.10495760100865126</v>
      </c>
      <c r="BW11" s="42">
        <v>0.10495760100865126</v>
      </c>
      <c r="BX11" s="41">
        <v>8.7887082234294533E-2</v>
      </c>
      <c r="BY11" s="42">
        <v>8.7887082234294533E-2</v>
      </c>
      <c r="BZ11" s="41">
        <v>7.6499999999999999E-2</v>
      </c>
      <c r="CA11" s="41">
        <v>0.10437605174491726</v>
      </c>
      <c r="CB11" s="42">
        <v>0.10437605174491726</v>
      </c>
      <c r="CC11" s="41">
        <v>8.7314838830855557E-2</v>
      </c>
      <c r="CD11" s="42">
        <v>8.7314838830855557E-2</v>
      </c>
      <c r="CE11" s="41">
        <v>7.6499999999999999E-2</v>
      </c>
      <c r="CF11" s="41">
        <v>0.10379482419369324</v>
      </c>
      <c r="CG11" s="42">
        <v>0.10379482419369324</v>
      </c>
      <c r="CH11" s="41">
        <v>8.6742902449651549E-2</v>
      </c>
      <c r="CI11" s="42">
        <v>8.6742902449651549E-2</v>
      </c>
      <c r="CJ11" s="41">
        <v>7.6499999999999999E-2</v>
      </c>
      <c r="CK11" s="41">
        <v>0.10321391784668155</v>
      </c>
      <c r="CL11" s="42">
        <v>0.10321391784668155</v>
      </c>
      <c r="CM11" s="41">
        <v>8.6171272606359484E-2</v>
      </c>
      <c r="CN11" s="42">
        <v>8.6171272606359484E-2</v>
      </c>
      <c r="CO11" s="41">
        <v>7.6499999999999999E-2</v>
      </c>
      <c r="CP11" s="41">
        <v>0.10263333219642545</v>
      </c>
      <c r="CQ11" s="42">
        <v>0.10263333219642545</v>
      </c>
      <c r="CR11" s="41">
        <v>8.5599948817433269E-2</v>
      </c>
      <c r="CS11" s="42">
        <v>8.5599948817433269E-2</v>
      </c>
      <c r="CT11" s="41">
        <v>7.6499999999999999E-2</v>
      </c>
      <c r="CU11" s="41">
        <v>0.10205306673630754</v>
      </c>
      <c r="CV11" s="42">
        <v>0.10205306673630754</v>
      </c>
      <c r="CW11" s="41">
        <v>8.5028930600103969E-2</v>
      </c>
      <c r="CX11" s="42">
        <v>8.5028930600103969E-2</v>
      </c>
      <c r="CY11" s="41">
        <v>7.6499999999999999E-2</v>
      </c>
      <c r="CZ11" s="41">
        <v>0.10147312096054772</v>
      </c>
      <c r="DA11" s="42">
        <v>0.10147312096054772</v>
      </c>
      <c r="DB11" s="41">
        <v>8.4458217472375585E-2</v>
      </c>
      <c r="DC11" s="42">
        <v>8.4458217472375585E-2</v>
      </c>
      <c r="DD11" s="41">
        <v>7.6499999999999999E-2</v>
      </c>
      <c r="DE11" s="41">
        <v>0.10089349436419881</v>
      </c>
      <c r="DF11" s="42">
        <v>0.10089349436419881</v>
      </c>
      <c r="DG11" s="41">
        <v>8.38878089530255E-2</v>
      </c>
      <c r="DH11" s="42">
        <v>8.38878089530255E-2</v>
      </c>
      <c r="DI11" s="41">
        <v>7.6499999999999999E-2</v>
      </c>
      <c r="DJ11" s="41">
        <v>0.10031418644314805</v>
      </c>
      <c r="DK11" s="42">
        <v>0.10031418644314805</v>
      </c>
      <c r="DL11" s="41">
        <v>8.3317704561600481E-2</v>
      </c>
      <c r="DM11" s="42">
        <v>8.3317704561600481E-2</v>
      </c>
      <c r="DN11" s="41">
        <v>7.6499999999999999E-2</v>
      </c>
      <c r="DO11" s="41">
        <v>9.9156524614635311E-2</v>
      </c>
      <c r="DP11" s="42">
        <v>9.9156524614635311E-2</v>
      </c>
      <c r="DQ11" s="41">
        <v>8.2178406244550528E-2</v>
      </c>
      <c r="DR11" s="42">
        <v>8.2178406244550528E-2</v>
      </c>
      <c r="DS11" s="41">
        <v>7.6499999999999999E-2</v>
      </c>
      <c r="DT11" s="41">
        <v>9.6845002972076433E-2</v>
      </c>
      <c r="DU11" s="42">
        <v>9.6845002972076433E-2</v>
      </c>
      <c r="DV11" s="41">
        <v>7.9903438090612289E-2</v>
      </c>
      <c r="DW11" s="42">
        <v>7.9903438090612289E-2</v>
      </c>
      <c r="DX11" s="41">
        <v>7.6499999999999999E-2</v>
      </c>
      <c r="DY11" s="41">
        <v>9.4538524059863072E-2</v>
      </c>
      <c r="DZ11" s="42">
        <v>9.4538524059863072E-2</v>
      </c>
      <c r="EA11" s="41">
        <v>7.7633282530067627E-2</v>
      </c>
      <c r="EB11" s="42">
        <v>7.7633282530067627E-2</v>
      </c>
      <c r="EC11" s="41">
        <v>7.6499999999999999E-2</v>
      </c>
      <c r="ED11" s="41">
        <v>0.1579163879894796</v>
      </c>
      <c r="EE11" s="42">
        <v>0.1579163879894796</v>
      </c>
      <c r="EF11" s="41">
        <v>0.12231018749488354</v>
      </c>
      <c r="EG11" s="42">
        <v>0.12231018749488354</v>
      </c>
      <c r="EH11" s="41">
        <v>7.6499999999999999E-2</v>
      </c>
      <c r="EI11" s="41">
        <v>0.15730415374640283</v>
      </c>
      <c r="EJ11" s="42">
        <v>0.15730415374640283</v>
      </c>
      <c r="EK11" s="41">
        <v>0.1217188866197334</v>
      </c>
      <c r="EL11" s="42">
        <v>0.1217188866197334</v>
      </c>
      <c r="EM11" s="41">
        <v>7.6499999999999999E-2</v>
      </c>
      <c r="EN11" s="41">
        <v>0.15669228996413631</v>
      </c>
      <c r="EO11" s="42">
        <v>0.15669228996413631</v>
      </c>
      <c r="EP11" s="41">
        <v>0.12112792288599517</v>
      </c>
      <c r="EQ11" s="42">
        <v>0.12112792288599517</v>
      </c>
      <c r="ER11" s="41">
        <v>7.6499999999999999E-2</v>
      </c>
      <c r="ES11" s="41">
        <v>0.15608079605008873</v>
      </c>
      <c r="ET11" s="42">
        <v>0.15608079605008873</v>
      </c>
      <c r="EU11" s="41">
        <v>0.1205372957594506</v>
      </c>
      <c r="EV11" s="42">
        <v>0.1205372957594506</v>
      </c>
      <c r="EW11" s="41">
        <v>7.6499999999999999E-2</v>
      </c>
      <c r="EX11" s="41">
        <v>0.15546967141273438</v>
      </c>
      <c r="EY11" s="42">
        <v>0.15546967141273438</v>
      </c>
      <c r="EZ11" s="41">
        <v>0.1199470047067912</v>
      </c>
      <c r="FA11" s="42">
        <v>0.1199470047067912</v>
      </c>
      <c r="FB11" s="41">
        <v>7.6499999999999999E-2</v>
      </c>
      <c r="FC11" s="41">
        <v>0.15485891546160935</v>
      </c>
      <c r="FD11" s="42">
        <v>0.15485891546160935</v>
      </c>
      <c r="FE11" s="41">
        <v>0.11935704919561463</v>
      </c>
      <c r="FF11" s="42">
        <v>0.11935704919561463</v>
      </c>
      <c r="FG11" s="41">
        <v>7.6499999999999999E-2</v>
      </c>
      <c r="FH11" s="41">
        <v>0.15424852760730956</v>
      </c>
      <c r="FI11" s="42">
        <v>0.15424852760730956</v>
      </c>
      <c r="FJ11" s="41">
        <v>0.11876742869442491</v>
      </c>
      <c r="FK11" s="42">
        <v>0.11876742869442491</v>
      </c>
      <c r="FL11" s="41">
        <v>7.6499999999999999E-2</v>
      </c>
      <c r="FM11" s="41">
        <v>0.15363850726148764</v>
      </c>
      <c r="FN11" s="42">
        <v>0.15363850726148764</v>
      </c>
      <c r="FO11" s="41">
        <v>0.11817814267262783</v>
      </c>
      <c r="FP11" s="42">
        <v>0.11817814267262783</v>
      </c>
      <c r="FQ11" s="41">
        <v>7.6499999999999999E-2</v>
      </c>
      <c r="FR11" s="41">
        <v>0.15302885383684983</v>
      </c>
      <c r="FS11" s="42">
        <v>0.15302885383684983</v>
      </c>
      <c r="FT11" s="41">
        <v>0.1175891906005293</v>
      </c>
      <c r="FU11" s="42">
        <v>0.1175891906005293</v>
      </c>
      <c r="FV11" s="41">
        <v>7.6499999999999999E-2</v>
      </c>
      <c r="FW11" s="41">
        <v>0.15181064540720501</v>
      </c>
      <c r="FX11" s="42">
        <v>0.15181064540720501</v>
      </c>
      <c r="FY11" s="41">
        <v>0.11641228619113808</v>
      </c>
      <c r="FZ11" s="42">
        <v>0.11641228619113808</v>
      </c>
      <c r="GA11" s="41">
        <v>7.6499999999999999E-2</v>
      </c>
      <c r="GB11" s="41">
        <v>0.1493786058775266</v>
      </c>
      <c r="GC11" s="42">
        <v>0.1493786058775266</v>
      </c>
      <c r="GD11" s="41">
        <v>0.11406246156155975</v>
      </c>
      <c r="GE11" s="42">
        <v>0.11406246156155975</v>
      </c>
      <c r="GF11" s="41">
        <v>7.6499999999999999E-2</v>
      </c>
      <c r="GG11" s="41">
        <v>0.14695237179888965</v>
      </c>
      <c r="GH11" s="42">
        <v>0.14695237179888965</v>
      </c>
      <c r="GI11" s="41">
        <v>0.11171792121912305</v>
      </c>
      <c r="GJ11" s="42">
        <v>0.11171792121912305</v>
      </c>
      <c r="GK11" s="41">
        <v>7.6499999999999999E-2</v>
      </c>
      <c r="GL11" s="41">
        <v>0.1579163879894796</v>
      </c>
      <c r="GM11" s="42">
        <v>0.1579163879894796</v>
      </c>
      <c r="GN11" s="41">
        <v>0.1199470047067912</v>
      </c>
      <c r="GO11" s="42">
        <v>0.1199470047067912</v>
      </c>
      <c r="GP11" s="41">
        <v>7.6499999999999999E-2</v>
      </c>
      <c r="GQ11" s="41">
        <v>0.1579163879894796</v>
      </c>
      <c r="GR11" s="42">
        <v>0.1579163879894796</v>
      </c>
      <c r="GS11" s="41">
        <v>0.1199470047067912</v>
      </c>
      <c r="GT11" s="42">
        <v>0.1199470047067912</v>
      </c>
      <c r="GU11" s="41">
        <v>7.6499999999999999E-2</v>
      </c>
      <c r="GV11" s="41">
        <v>0.1579163879894796</v>
      </c>
      <c r="GW11" s="42">
        <v>0.1579163879894796</v>
      </c>
      <c r="GX11" s="41">
        <v>0.1199470047067912</v>
      </c>
      <c r="GY11" s="42">
        <v>0.1199470047067912</v>
      </c>
      <c r="GZ11" s="41">
        <v>7.6499999999999999E-2</v>
      </c>
      <c r="HA11" s="41">
        <v>0.1579163879894796</v>
      </c>
      <c r="HB11" s="42">
        <v>0.1579163879894796</v>
      </c>
      <c r="HC11" s="41">
        <v>0.1199470047067912</v>
      </c>
      <c r="HD11" s="42">
        <v>0.1199470047067912</v>
      </c>
      <c r="HE11" s="41">
        <v>7.6499999999999999E-2</v>
      </c>
      <c r="HF11" s="41">
        <v>0.15546967141273438</v>
      </c>
      <c r="HG11" s="42">
        <v>0.15546967141273438</v>
      </c>
      <c r="HH11" s="41">
        <v>0.1199470047067912</v>
      </c>
      <c r="HI11" s="42">
        <v>0.1199470047067912</v>
      </c>
      <c r="HJ11" s="41">
        <v>7.6499999999999999E-2</v>
      </c>
      <c r="HK11" s="41">
        <v>0.1579163879894796</v>
      </c>
      <c r="HL11" s="42">
        <v>0.1579163879894796</v>
      </c>
      <c r="HM11" s="41">
        <v>0.1199470047067912</v>
      </c>
      <c r="HN11" s="42">
        <v>0.1199470047067912</v>
      </c>
      <c r="HO11">
        <v>7.6499999999999999E-2</v>
      </c>
      <c r="HP11">
        <v>0.1579163879894796</v>
      </c>
      <c r="HQ11">
        <v>0.1579163879894796</v>
      </c>
      <c r="HR11">
        <v>0.1199470047067912</v>
      </c>
      <c r="HS11">
        <v>0.1199470047067912</v>
      </c>
      <c r="HT11">
        <v>7.6499999999999999E-2</v>
      </c>
      <c r="HU11">
        <v>0.1579163879894796</v>
      </c>
      <c r="HV11">
        <v>0.1579163879894796</v>
      </c>
      <c r="HW11">
        <v>0.1199470047067912</v>
      </c>
      <c r="HX11">
        <v>0.1199470047067912</v>
      </c>
      <c r="HY11">
        <v>7.6499999999999999E-2</v>
      </c>
      <c r="HZ11">
        <v>0.1579163879894796</v>
      </c>
      <c r="IA11">
        <v>0.1579163879894796</v>
      </c>
      <c r="IB11">
        <v>0.1199470047067912</v>
      </c>
      <c r="IC11">
        <v>0.1199470047067912</v>
      </c>
      <c r="ID11">
        <v>7.6499999999999999E-2</v>
      </c>
      <c r="IE11">
        <v>0.1579163879894796</v>
      </c>
      <c r="IF11">
        <v>0.1579163879894796</v>
      </c>
      <c r="IG11">
        <v>0.1199470047067912</v>
      </c>
      <c r="IH11">
        <v>0.1199470047067912</v>
      </c>
      <c r="II11">
        <v>7.6499999999999999E-2</v>
      </c>
      <c r="IJ11">
        <v>0.1579163879894796</v>
      </c>
      <c r="IK11">
        <v>0.1579163879894796</v>
      </c>
      <c r="IL11">
        <v>0.1199470047067912</v>
      </c>
      <c r="IM11">
        <v>0.1199470047067912</v>
      </c>
      <c r="IN11">
        <v>7.6499999999999999E-2</v>
      </c>
      <c r="IO11" s="86">
        <v>0.1579163879894796</v>
      </c>
      <c r="IP11">
        <v>0.1579163879894796</v>
      </c>
      <c r="IQ11">
        <v>0.1199470047067912</v>
      </c>
      <c r="IR11">
        <v>0.1199470047067912</v>
      </c>
      <c r="IS11">
        <v>7.6499999999999999E-2</v>
      </c>
      <c r="IT11">
        <v>0.1579163879894796</v>
      </c>
      <c r="IU11">
        <v>0.1579163879894796</v>
      </c>
      <c r="IV11">
        <v>0.1199470047067912</v>
      </c>
      <c r="IW11">
        <v>0.1199470047067912</v>
      </c>
      <c r="IX11">
        <v>7.6499999999999999E-2</v>
      </c>
      <c r="IY11">
        <v>0.1579163879894796</v>
      </c>
      <c r="IZ11">
        <v>0.1579163879894796</v>
      </c>
      <c r="JA11">
        <v>0.1199470047067912</v>
      </c>
      <c r="JB11">
        <v>0.1199470047067912</v>
      </c>
      <c r="JC11">
        <v>7.6499999999999999E-2</v>
      </c>
      <c r="JD11">
        <v>0.1579163879894796</v>
      </c>
      <c r="JE11">
        <v>0.1579163879894796</v>
      </c>
      <c r="JF11">
        <v>0.1199470047067912</v>
      </c>
      <c r="JG11">
        <v>0.1199470047067912</v>
      </c>
      <c r="JH11">
        <v>7.6499999999999999E-2</v>
      </c>
      <c r="JI11">
        <v>0.1579163879894796</v>
      </c>
      <c r="JJ11">
        <v>0.1579163879894796</v>
      </c>
      <c r="JK11">
        <v>0.1199470047067912</v>
      </c>
      <c r="JL11">
        <v>0.1199470047067912</v>
      </c>
      <c r="JM11">
        <v>7.6499999999999999E-2</v>
      </c>
      <c r="JN11">
        <v>0.1579163879894796</v>
      </c>
      <c r="JO11">
        <v>0.1579163879894796</v>
      </c>
      <c r="JP11">
        <v>0.1199470047067912</v>
      </c>
      <c r="JQ11">
        <v>0.1199470047067912</v>
      </c>
      <c r="JR11">
        <v>7.6499999999999999E-2</v>
      </c>
      <c r="JS11">
        <v>0.1579163879894796</v>
      </c>
      <c r="JT11">
        <v>0.1579163879894796</v>
      </c>
      <c r="JU11">
        <v>0.1199470047067912</v>
      </c>
      <c r="JV11">
        <v>0.1199470047067912</v>
      </c>
      <c r="JW11">
        <v>7.6499999999999999E-2</v>
      </c>
      <c r="JX11">
        <v>0.1579163879894796</v>
      </c>
      <c r="JY11">
        <v>0.1579163879894796</v>
      </c>
      <c r="JZ11">
        <v>0.1199470047067912</v>
      </c>
      <c r="KA11">
        <v>0.1199470047067912</v>
      </c>
      <c r="KB11">
        <v>7.6499999999999999E-2</v>
      </c>
      <c r="KC11">
        <v>0.1579163879894796</v>
      </c>
      <c r="KD11">
        <v>0.1579163879894796</v>
      </c>
      <c r="KE11">
        <v>0.1199470047067912</v>
      </c>
      <c r="KF11">
        <v>0.1199470047067912</v>
      </c>
      <c r="KG11">
        <v>7.6499999999999999E-2</v>
      </c>
      <c r="KH11">
        <v>0.1579163879894796</v>
      </c>
      <c r="KI11">
        <v>0.1579163879894796</v>
      </c>
      <c r="KJ11">
        <v>0.1199470047067912</v>
      </c>
      <c r="KK11">
        <v>0.1199470047067912</v>
      </c>
      <c r="KL11">
        <v>7.6499999999999999E-2</v>
      </c>
      <c r="KM11">
        <v>0.1579163879894796</v>
      </c>
      <c r="KN11">
        <v>0.1579163879894796</v>
      </c>
      <c r="KO11">
        <v>0.1199470047067912</v>
      </c>
      <c r="KP11">
        <v>0.1199470047067912</v>
      </c>
      <c r="KQ11">
        <v>7.6499999999999999E-2</v>
      </c>
      <c r="KR11">
        <v>0.1579163879894796</v>
      </c>
      <c r="KS11">
        <v>0.1579163879894796</v>
      </c>
      <c r="KT11">
        <v>0.1199470047067912</v>
      </c>
      <c r="KU11">
        <v>0.1199470047067912</v>
      </c>
      <c r="KV11">
        <v>7.6499999999999999E-2</v>
      </c>
      <c r="KW11">
        <v>0.1579163879894796</v>
      </c>
      <c r="KX11">
        <v>0.1579163879894796</v>
      </c>
      <c r="KY11">
        <v>0.1199470047067912</v>
      </c>
      <c r="KZ11">
        <v>0.1199470047067912</v>
      </c>
      <c r="LA11">
        <v>7.6499999999999999E-2</v>
      </c>
      <c r="LB11">
        <v>0.1579163879894796</v>
      </c>
      <c r="LC11">
        <v>0.1579163879894796</v>
      </c>
      <c r="LD11">
        <v>0.1199470047067912</v>
      </c>
      <c r="LE11">
        <v>0.1199470047067912</v>
      </c>
      <c r="LF11">
        <v>7.6499999999999999E-2</v>
      </c>
      <c r="LG11">
        <v>0.1579163879894796</v>
      </c>
      <c r="LH11">
        <v>0.1579163879894796</v>
      </c>
      <c r="LI11">
        <v>0.1199470047067912</v>
      </c>
      <c r="LJ11">
        <v>0.1199470047067912</v>
      </c>
      <c r="LK11">
        <v>7.6499999999999999E-2</v>
      </c>
      <c r="LL11">
        <v>0.1579163879894796</v>
      </c>
      <c r="LM11">
        <v>0.1579163879894796</v>
      </c>
      <c r="LN11">
        <v>0.1199470047067912</v>
      </c>
      <c r="LO11">
        <v>0.1199470047067912</v>
      </c>
      <c r="LP11">
        <v>7.6499999999999999E-2</v>
      </c>
      <c r="LQ11">
        <v>0.1579163879894796</v>
      </c>
      <c r="LR11">
        <v>0.1579163879894796</v>
      </c>
      <c r="LS11">
        <v>0.1199470047067912</v>
      </c>
      <c r="LT11">
        <v>0.1199470047067912</v>
      </c>
      <c r="LU11">
        <v>7.6499999999999999E-2</v>
      </c>
      <c r="LV11">
        <v>0.1579163879894796</v>
      </c>
      <c r="LW11">
        <v>0.1579163879894796</v>
      </c>
      <c r="LX11">
        <v>0.1199470047067912</v>
      </c>
      <c r="LY11">
        <v>0.1199470047067912</v>
      </c>
      <c r="LZ11">
        <v>7.6499999999999999E-2</v>
      </c>
      <c r="MA11">
        <v>0.1579163879894796</v>
      </c>
      <c r="MB11">
        <v>0.1579163879894796</v>
      </c>
      <c r="MC11">
        <v>0.1199470047067912</v>
      </c>
      <c r="MD11">
        <v>0.1199470047067912</v>
      </c>
      <c r="ME11">
        <v>7.6499999999999999E-2</v>
      </c>
      <c r="MF11">
        <v>0.1579163879894796</v>
      </c>
      <c r="MG11">
        <v>0.1579163879894796</v>
      </c>
      <c r="MH11">
        <v>0.1199470047067912</v>
      </c>
      <c r="MI11">
        <v>0.1199470047067912</v>
      </c>
      <c r="MJ11">
        <v>7.6499999999999999E-2</v>
      </c>
      <c r="MK11">
        <v>0.1579163879894796</v>
      </c>
      <c r="ML11">
        <v>0.1579163879894796</v>
      </c>
      <c r="MM11">
        <v>0.1199470047067912</v>
      </c>
      <c r="MN11">
        <v>0.1199470047067912</v>
      </c>
      <c r="MO11">
        <v>7.6499999999999999E-2</v>
      </c>
      <c r="MP11">
        <v>0.1579163879894796</v>
      </c>
      <c r="MQ11">
        <v>0.1579163879894796</v>
      </c>
      <c r="MR11">
        <v>0.1199470047067912</v>
      </c>
      <c r="MS11">
        <v>0.1199470047067912</v>
      </c>
      <c r="MT11">
        <v>7.6499999999999999E-2</v>
      </c>
      <c r="MU11">
        <v>0.1579163879894796</v>
      </c>
      <c r="MV11">
        <v>0.1579163879894796</v>
      </c>
      <c r="MW11">
        <v>0.1199470047067912</v>
      </c>
      <c r="MX11">
        <v>0.1199470047067912</v>
      </c>
      <c r="MY11">
        <v>7.6499999999999999E-2</v>
      </c>
      <c r="MZ11">
        <v>0.1579163879894796</v>
      </c>
      <c r="NA11">
        <v>0.1579163879894796</v>
      </c>
      <c r="NB11">
        <v>0.1199470047067912</v>
      </c>
      <c r="NC11">
        <v>0.1199470047067912</v>
      </c>
      <c r="ND11">
        <v>7.6499999999999999E-2</v>
      </c>
      <c r="NE11">
        <v>0.1579163879894796</v>
      </c>
      <c r="NF11">
        <v>0.1579163879894796</v>
      </c>
      <c r="NG11">
        <v>0.1199470047067912</v>
      </c>
      <c r="NH11">
        <v>0.1199470047067912</v>
      </c>
      <c r="NI11">
        <v>7.6499999999999999E-2</v>
      </c>
      <c r="NJ11">
        <v>0.1579163879894796</v>
      </c>
      <c r="NK11">
        <v>0.1579163879894796</v>
      </c>
      <c r="NL11">
        <v>0.1199470047067912</v>
      </c>
      <c r="NM11">
        <v>0.1199470047067912</v>
      </c>
      <c r="NN11">
        <v>7.6499999999999999E-2</v>
      </c>
      <c r="NO11">
        <v>0.1579163879894796</v>
      </c>
      <c r="NP11">
        <v>0.1579163879894796</v>
      </c>
      <c r="NQ11">
        <v>0.1199470047067912</v>
      </c>
      <c r="NR11">
        <v>0.1199470047067912</v>
      </c>
      <c r="NS11">
        <v>7.6499999999999999E-2</v>
      </c>
      <c r="NT11">
        <v>0.1579163879894796</v>
      </c>
      <c r="NU11">
        <v>0.1579163879894796</v>
      </c>
      <c r="NV11">
        <v>0.1199470047067912</v>
      </c>
      <c r="NW11">
        <v>0.1199470047067912</v>
      </c>
      <c r="NX11">
        <v>7.6499999999999999E-2</v>
      </c>
      <c r="NY11">
        <v>0.1579163879894796</v>
      </c>
      <c r="NZ11">
        <v>0.1579163879894796</v>
      </c>
      <c r="OA11">
        <v>0.1199470047067912</v>
      </c>
      <c r="OB11">
        <v>0.1199470047067912</v>
      </c>
      <c r="OC11">
        <v>7.6499999999999999E-2</v>
      </c>
      <c r="OD11">
        <v>0.1579163879894796</v>
      </c>
      <c r="OE11">
        <v>0.1579163879894796</v>
      </c>
      <c r="OF11">
        <v>0.1199470047067912</v>
      </c>
      <c r="OG11">
        <v>0.1199470047067912</v>
      </c>
      <c r="OH11">
        <v>7.6499999999999999E-2</v>
      </c>
      <c r="OI11">
        <v>0.1579163879894796</v>
      </c>
      <c r="OJ11">
        <v>0.1579163879894796</v>
      </c>
      <c r="OK11">
        <v>0.1199470047067912</v>
      </c>
      <c r="OL11">
        <v>0.1199470047067912</v>
      </c>
      <c r="OM11">
        <v>7.6499999999999999E-2</v>
      </c>
      <c r="ON11">
        <v>0.1579163879894796</v>
      </c>
      <c r="OO11">
        <v>0.1579163879894796</v>
      </c>
      <c r="OP11">
        <v>0.1199470047067912</v>
      </c>
      <c r="OQ11">
        <v>0.1199470047067912</v>
      </c>
      <c r="OR11">
        <v>7.6499999999999999E-2</v>
      </c>
      <c r="OS11">
        <v>0.1579163879894796</v>
      </c>
      <c r="OT11">
        <v>0.1579163879894796</v>
      </c>
      <c r="OU11">
        <v>0.1199470047067912</v>
      </c>
      <c r="OV11">
        <v>0.1199470047067912</v>
      </c>
      <c r="OW11">
        <v>7.6499999999999999E-2</v>
      </c>
      <c r="OX11">
        <v>0.1579163879894796</v>
      </c>
      <c r="OY11">
        <v>0.1579163879894796</v>
      </c>
      <c r="OZ11">
        <v>0.1199470047067912</v>
      </c>
      <c r="PA11">
        <v>0.1199470047067912</v>
      </c>
      <c r="PB11">
        <v>7.6499999999999999E-2</v>
      </c>
      <c r="PC11">
        <v>0.1579163879894796</v>
      </c>
      <c r="PD11">
        <v>0.1579163879894796</v>
      </c>
      <c r="PE11">
        <v>0.1199470047067912</v>
      </c>
      <c r="PF11">
        <v>0.1199470047067912</v>
      </c>
      <c r="PG11">
        <v>7.6499999999999999E-2</v>
      </c>
      <c r="PH11">
        <v>0.1579163879894796</v>
      </c>
      <c r="PI11">
        <v>0.1579163879894796</v>
      </c>
      <c r="PJ11">
        <v>0.1199470047067912</v>
      </c>
      <c r="PK11">
        <v>0.1199470047067912</v>
      </c>
      <c r="PL11" s="41">
        <v>7.6499999999999999E-2</v>
      </c>
      <c r="PM11" s="41">
        <v>0.1579163879894796</v>
      </c>
      <c r="PN11" s="42">
        <v>0.1579163879894796</v>
      </c>
      <c r="PO11" s="41">
        <v>0.1199470047067912</v>
      </c>
      <c r="PP11" s="42">
        <v>0.1199470047067912</v>
      </c>
      <c r="PQ11">
        <v>7.6499999999999999E-2</v>
      </c>
      <c r="PR11">
        <v>0.1579163879894796</v>
      </c>
      <c r="PS11">
        <v>0.1579163879894796</v>
      </c>
      <c r="PT11">
        <v>0.1199470047067912</v>
      </c>
      <c r="PU11">
        <v>0.1199470047067912</v>
      </c>
      <c r="PV11">
        <v>7.6499999999999999E-2</v>
      </c>
      <c r="PW11">
        <v>0.1579163879894796</v>
      </c>
      <c r="PX11">
        <v>0.1579163879894796</v>
      </c>
      <c r="PY11">
        <v>0.1199470047067912</v>
      </c>
      <c r="PZ11">
        <v>0.1199470047067912</v>
      </c>
      <c r="QA11" s="41">
        <v>7.6499999999999999E-2</v>
      </c>
      <c r="QB11" s="41">
        <v>0.1579163879894796</v>
      </c>
      <c r="QC11" s="42">
        <v>0.1579163879894796</v>
      </c>
      <c r="QD11" s="41">
        <v>0.1199470047067912</v>
      </c>
      <c r="QE11" s="42">
        <v>0.1199470047067912</v>
      </c>
    </row>
    <row r="12" spans="1:666" x14ac:dyDescent="0.15">
      <c r="A12" s="41" t="s">
        <v>14</v>
      </c>
      <c r="B12" s="41">
        <f>FixedParams!B28</f>
        <v>4.5669605338391414E-2</v>
      </c>
      <c r="C12" s="41">
        <f>FixedParams!C28</f>
        <v>5.8274510167289462E-2</v>
      </c>
      <c r="D12" s="42">
        <f t="shared" si="116"/>
        <v>5.8274510167289462E-2</v>
      </c>
      <c r="E12" s="41">
        <f>FixedParams!D28</f>
        <v>5.5278965370562538E-2</v>
      </c>
      <c r="F12" s="42">
        <f t="shared" si="116"/>
        <v>5.5278965370562538E-2</v>
      </c>
      <c r="H12" s="41">
        <v>4.5669605338391414E-2</v>
      </c>
      <c r="I12" s="41">
        <v>5.8274510167289462E-2</v>
      </c>
      <c r="J12" s="42">
        <v>5.8274510167289462E-2</v>
      </c>
      <c r="K12" s="41">
        <v>5.7502250734074112E-2</v>
      </c>
      <c r="L12" s="42">
        <v>5.7502250734074112E-2</v>
      </c>
      <c r="M12" s="41">
        <v>4.5669605338391414E-2</v>
      </c>
      <c r="N12" s="41">
        <v>5.7717825522291655E-2</v>
      </c>
      <c r="O12" s="42">
        <v>5.7717825522291655E-2</v>
      </c>
      <c r="P12" s="41">
        <v>5.6945981539654467E-2</v>
      </c>
      <c r="Q12" s="42">
        <v>5.6945981539654467E-2</v>
      </c>
      <c r="R12" s="41">
        <v>4.5669605338391414E-2</v>
      </c>
      <c r="S12" s="41">
        <v>5.716144041595439E-2</v>
      </c>
      <c r="T12" s="42">
        <v>5.716144041595439E-2</v>
      </c>
      <c r="U12" s="41">
        <v>5.6390011228472758E-2</v>
      </c>
      <c r="V12" s="42">
        <v>5.6390011228472758E-2</v>
      </c>
      <c r="W12" s="41">
        <v>4.5669605338391414E-2</v>
      </c>
      <c r="X12" s="41">
        <v>5.6605354375716788E-2</v>
      </c>
      <c r="Y12" s="42">
        <v>5.6605354375716788E-2</v>
      </c>
      <c r="Z12" s="41">
        <v>5.5834339329024152E-2</v>
      </c>
      <c r="AA12" s="42">
        <v>5.5834339329024152E-2</v>
      </c>
      <c r="AB12" s="41">
        <v>4.5669605338391414E-2</v>
      </c>
      <c r="AC12" s="41">
        <v>5.6049566929779582E-2</v>
      </c>
      <c r="AD12" s="42">
        <v>5.6049566929779582E-2</v>
      </c>
      <c r="AE12" s="41">
        <v>5.5278965370562538E-2</v>
      </c>
      <c r="AF12" s="42">
        <v>5.5278965370562497E-2</v>
      </c>
      <c r="AG12" s="41">
        <v>4.5669605338391414E-2</v>
      </c>
      <c r="AH12" s="41">
        <v>5.5494077607102676E-2</v>
      </c>
      <c r="AI12" s="42">
        <v>5.5494077607102676E-2</v>
      </c>
      <c r="AJ12" s="41">
        <v>5.4723888883097871E-2</v>
      </c>
      <c r="AK12" s="42">
        <v>5.4723888883097871E-2</v>
      </c>
      <c r="AL12" s="41">
        <v>4.5669605338391414E-2</v>
      </c>
      <c r="AM12" s="41">
        <v>5.4938885937403814E-2</v>
      </c>
      <c r="AN12" s="42">
        <v>5.4938885937403814E-2</v>
      </c>
      <c r="AO12" s="41">
        <v>5.4169109397395054E-2</v>
      </c>
      <c r="AP12" s="42">
        <v>5.4169109397395054E-2</v>
      </c>
      <c r="AQ12" s="41">
        <v>4.5669605338391414E-2</v>
      </c>
      <c r="AR12" s="41">
        <v>5.4383991451155467E-2</v>
      </c>
      <c r="AS12" s="42">
        <v>5.4383991451155467E-2</v>
      </c>
      <c r="AT12" s="41">
        <v>5.3614626444972613E-2</v>
      </c>
      <c r="AU12" s="42">
        <v>5.3614626444972613E-2</v>
      </c>
      <c r="AV12" s="41">
        <v>4.5669605338391414E-2</v>
      </c>
      <c r="AW12" s="41">
        <v>5.382939367958417E-2</v>
      </c>
      <c r="AX12" s="42">
        <v>5.382939367958417E-2</v>
      </c>
      <c r="AY12" s="41">
        <v>5.3060439558098471E-2</v>
      </c>
      <c r="AZ12" s="42">
        <v>5.3060439558098471E-2</v>
      </c>
      <c r="BA12" s="41">
        <v>4.5669605338391414E-2</v>
      </c>
      <c r="BB12" s="41">
        <v>5.327509215466808E-2</v>
      </c>
      <c r="BC12" s="42">
        <v>5.327509215466808E-2</v>
      </c>
      <c r="BD12" s="41">
        <v>5.2506548269789732E-2</v>
      </c>
      <c r="BE12" s="42">
        <v>5.2506548269789732E-2</v>
      </c>
      <c r="BF12" s="41">
        <v>4.5669605338391414E-2</v>
      </c>
      <c r="BG12" s="41">
        <v>5.2721086409134532E-2</v>
      </c>
      <c r="BH12" s="42">
        <v>5.2721086409134532E-2</v>
      </c>
      <c r="BI12" s="41">
        <v>5.1952952113810902E-2</v>
      </c>
      <c r="BJ12" s="42">
        <v>5.1952952113810902E-2</v>
      </c>
      <c r="BK12" s="41">
        <v>4.5669605338391414E-2</v>
      </c>
      <c r="BL12" s="41">
        <v>5.050801190149401E-2</v>
      </c>
      <c r="BM12" s="42">
        <v>5.050801190149401E-2</v>
      </c>
      <c r="BN12" s="41">
        <v>4.9741509514498849E-2</v>
      </c>
      <c r="BO12" s="42">
        <v>4.9741509514498849E-2</v>
      </c>
      <c r="BP12" s="41">
        <v>4.5669605338391414E-2</v>
      </c>
      <c r="BQ12" s="41">
        <v>4.8299632675702142E-2</v>
      </c>
      <c r="BR12" s="42">
        <v>4.8299632675702142E-2</v>
      </c>
      <c r="BS12" s="41">
        <v>4.7534751926414653E-2</v>
      </c>
      <c r="BT12" s="42">
        <v>4.7534751926414653E-2</v>
      </c>
      <c r="BU12" s="41">
        <v>4.5669605338391414E-2</v>
      </c>
      <c r="BV12" s="41">
        <v>5.711633717760134E-2</v>
      </c>
      <c r="BW12" s="42">
        <v>5.711633717760134E-2</v>
      </c>
      <c r="BX12" s="41">
        <v>5.6730567517574437E-2</v>
      </c>
      <c r="BY12" s="42">
        <v>5.6730567517574437E-2</v>
      </c>
      <c r="BZ12" s="41">
        <v>4.5669605338391414E-2</v>
      </c>
      <c r="CA12" s="41">
        <v>5.6560275367451895E-2</v>
      </c>
      <c r="CB12" s="42">
        <v>5.6560275367451895E-2</v>
      </c>
      <c r="CC12" s="41">
        <v>5.6174712864688559E-2</v>
      </c>
      <c r="CD12" s="42">
        <v>5.6174712864688559E-2</v>
      </c>
      <c r="CE12" s="41">
        <v>4.5669605338391414E-2</v>
      </c>
      <c r="CF12" s="41">
        <v>5.6004512113378979E-2</v>
      </c>
      <c r="CG12" s="42">
        <v>5.6004512113378979E-2</v>
      </c>
      <c r="CH12" s="41">
        <v>5.5619156441082396E-2</v>
      </c>
      <c r="CI12" s="42">
        <v>5.5619156441082396E-2</v>
      </c>
      <c r="CJ12" s="41">
        <v>4.5669605338391414E-2</v>
      </c>
      <c r="CK12" s="41">
        <v>5.5449046944403557E-2</v>
      </c>
      <c r="CL12" s="42">
        <v>5.5449046944403557E-2</v>
      </c>
      <c r="CM12" s="41">
        <v>5.5063897776302939E-2</v>
      </c>
      <c r="CN12" s="42">
        <v>5.5063897776302939E-2</v>
      </c>
      <c r="CO12" s="41">
        <v>4.5669605338391414E-2</v>
      </c>
      <c r="CP12" s="41">
        <v>5.4893879390304656E-2</v>
      </c>
      <c r="CQ12" s="42">
        <v>5.4893879390304656E-2</v>
      </c>
      <c r="CR12" s="41">
        <v>5.4508936400653241E-2</v>
      </c>
      <c r="CS12" s="42">
        <v>5.4508936400653241E-2</v>
      </c>
      <c r="CT12" s="41">
        <v>4.5669605338391414E-2</v>
      </c>
      <c r="CU12" s="41">
        <v>5.4339008981616033E-2</v>
      </c>
      <c r="CV12" s="42">
        <v>5.4339008981616033E-2</v>
      </c>
      <c r="CW12" s="41">
        <v>5.3954271845190416E-2</v>
      </c>
      <c r="CX12" s="42">
        <v>5.3954271845190416E-2</v>
      </c>
      <c r="CY12" s="41">
        <v>4.5669605338391414E-2</v>
      </c>
      <c r="CZ12" s="41">
        <v>5.3784435249626172E-2</v>
      </c>
      <c r="DA12" s="42">
        <v>5.3784435249626172E-2</v>
      </c>
      <c r="DB12" s="41">
        <v>5.3399903641722535E-2</v>
      </c>
      <c r="DC12" s="42">
        <v>5.3399903641722535E-2</v>
      </c>
      <c r="DD12" s="41">
        <v>4.5669605338391414E-2</v>
      </c>
      <c r="DE12" s="41">
        <v>5.3230157726372518E-2</v>
      </c>
      <c r="DF12" s="42">
        <v>5.3230157726372518E-2</v>
      </c>
      <c r="DG12" s="41">
        <v>5.2845831322809067E-2</v>
      </c>
      <c r="DH12" s="42">
        <v>5.2845831322809067E-2</v>
      </c>
      <c r="DI12" s="41">
        <v>4.5669605338391414E-2</v>
      </c>
      <c r="DJ12" s="41">
        <v>5.2676175944643688E-2</v>
      </c>
      <c r="DK12" s="42">
        <v>5.2676175944643688E-2</v>
      </c>
      <c r="DL12" s="41">
        <v>5.229205442175644E-2</v>
      </c>
      <c r="DM12" s="42">
        <v>5.229205442175644E-2</v>
      </c>
      <c r="DN12" s="41">
        <v>4.5669605338391414E-2</v>
      </c>
      <c r="DO12" s="41">
        <v>5.1569097740647996E-2</v>
      </c>
      <c r="DP12" s="42">
        <v>5.1569097740647996E-2</v>
      </c>
      <c r="DQ12" s="41">
        <v>5.1185385010189099E-2</v>
      </c>
      <c r="DR12" s="42">
        <v>5.1185385010189099E-2</v>
      </c>
      <c r="DS12" s="41">
        <v>4.5669605338391414E-2</v>
      </c>
      <c r="DT12" s="41">
        <v>4.93584697563485E-2</v>
      </c>
      <c r="DU12" s="42">
        <v>4.93584697563485E-2</v>
      </c>
      <c r="DV12" s="41">
        <v>4.8975570749449693E-2</v>
      </c>
      <c r="DW12" s="42">
        <v>4.8975570749449693E-2</v>
      </c>
      <c r="DX12" s="41">
        <v>4.5669605338391414E-2</v>
      </c>
      <c r="DY12" s="41">
        <v>4.7152521656461666E-2</v>
      </c>
      <c r="DZ12" s="42">
        <v>4.7152521656461666E-2</v>
      </c>
      <c r="EA12" s="41">
        <v>4.6770431251956346E-2</v>
      </c>
      <c r="EB12" s="42">
        <v>4.6770431251956346E-2</v>
      </c>
      <c r="EC12" s="41">
        <v>4.5669605338391414E-2</v>
      </c>
      <c r="ED12" s="41">
        <v>5.8274510167289462E-2</v>
      </c>
      <c r="EE12" s="42">
        <v>5.8274510167289462E-2</v>
      </c>
      <c r="EF12" s="41">
        <v>5.7502250734074112E-2</v>
      </c>
      <c r="EG12" s="42">
        <v>5.7502250734074112E-2</v>
      </c>
      <c r="EH12" s="41">
        <v>4.5669605338391414E-2</v>
      </c>
      <c r="EI12" s="41">
        <v>5.7717825522291655E-2</v>
      </c>
      <c r="EJ12" s="42">
        <v>5.7717825522291655E-2</v>
      </c>
      <c r="EK12" s="41">
        <v>5.6945981539654467E-2</v>
      </c>
      <c r="EL12" s="42">
        <v>5.6945981539654467E-2</v>
      </c>
      <c r="EM12" s="41">
        <v>4.5669605338391414E-2</v>
      </c>
      <c r="EN12" s="41">
        <v>5.716144041595439E-2</v>
      </c>
      <c r="EO12" s="42">
        <v>5.716144041595439E-2</v>
      </c>
      <c r="EP12" s="41">
        <v>5.6390011228472758E-2</v>
      </c>
      <c r="EQ12" s="42">
        <v>5.6390011228472758E-2</v>
      </c>
      <c r="ER12" s="41">
        <v>4.5669605338391414E-2</v>
      </c>
      <c r="ES12" s="41">
        <v>5.6605354375716788E-2</v>
      </c>
      <c r="ET12" s="42">
        <v>5.6605354375716788E-2</v>
      </c>
      <c r="EU12" s="41">
        <v>5.5834339329024152E-2</v>
      </c>
      <c r="EV12" s="42">
        <v>5.5834339329024152E-2</v>
      </c>
      <c r="EW12" s="41">
        <v>4.5669605338391414E-2</v>
      </c>
      <c r="EX12" s="41">
        <v>5.6049566929779582E-2</v>
      </c>
      <c r="EY12" s="42">
        <v>5.6049566929779582E-2</v>
      </c>
      <c r="EZ12" s="41">
        <v>5.5278965370562538E-2</v>
      </c>
      <c r="FA12" s="42">
        <v>5.5278965370562538E-2</v>
      </c>
      <c r="FB12" s="41">
        <v>4.5669605338391414E-2</v>
      </c>
      <c r="FC12" s="41">
        <v>5.5494077607102676E-2</v>
      </c>
      <c r="FD12" s="42">
        <v>5.5494077607102676E-2</v>
      </c>
      <c r="FE12" s="41">
        <v>5.4723888883097871E-2</v>
      </c>
      <c r="FF12" s="42">
        <v>5.4723888883097871E-2</v>
      </c>
      <c r="FG12" s="41">
        <v>4.5669605338391414E-2</v>
      </c>
      <c r="FH12" s="41">
        <v>5.4938885937403814E-2</v>
      </c>
      <c r="FI12" s="42">
        <v>5.4938885937403814E-2</v>
      </c>
      <c r="FJ12" s="41">
        <v>5.4169109397395054E-2</v>
      </c>
      <c r="FK12" s="42">
        <v>5.4169109397395054E-2</v>
      </c>
      <c r="FL12" s="41">
        <v>4.5669605338391414E-2</v>
      </c>
      <c r="FM12" s="41">
        <v>5.4383991451155467E-2</v>
      </c>
      <c r="FN12" s="42">
        <v>5.4383991451155467E-2</v>
      </c>
      <c r="FO12" s="41">
        <v>5.3614626444972613E-2</v>
      </c>
      <c r="FP12" s="42">
        <v>5.3614626444972613E-2</v>
      </c>
      <c r="FQ12" s="41">
        <v>4.5669605338391414E-2</v>
      </c>
      <c r="FR12" s="41">
        <v>5.382939367958417E-2</v>
      </c>
      <c r="FS12" s="42">
        <v>5.382939367958417E-2</v>
      </c>
      <c r="FT12" s="41">
        <v>5.3060439558098471E-2</v>
      </c>
      <c r="FU12" s="42">
        <v>5.3060439558098471E-2</v>
      </c>
      <c r="FV12" s="41">
        <v>4.5669605338391414E-2</v>
      </c>
      <c r="FW12" s="41">
        <v>5.2721086409134532E-2</v>
      </c>
      <c r="FX12" s="42">
        <v>5.2721086409134532E-2</v>
      </c>
      <c r="FY12" s="41">
        <v>5.1952952113810902E-2</v>
      </c>
      <c r="FZ12" s="42">
        <v>5.1952952113810902E-2</v>
      </c>
      <c r="GA12" s="41">
        <v>4.5669605338391414E-2</v>
      </c>
      <c r="GB12" s="41">
        <v>5.050801190149401E-2</v>
      </c>
      <c r="GC12" s="42">
        <v>5.050801190149401E-2</v>
      </c>
      <c r="GD12" s="41">
        <v>4.9741509514498849E-2</v>
      </c>
      <c r="GE12" s="42">
        <v>4.9741509514498849E-2</v>
      </c>
      <c r="GF12" s="41">
        <v>4.5669605338391414E-2</v>
      </c>
      <c r="GG12" s="41">
        <v>4.8299632675702142E-2</v>
      </c>
      <c r="GH12" s="42">
        <v>4.8299632675702142E-2</v>
      </c>
      <c r="GI12" s="41">
        <v>4.7534751926414653E-2</v>
      </c>
      <c r="GJ12" s="42">
        <v>4.7534751926414653E-2</v>
      </c>
      <c r="GK12" s="41">
        <v>4.5669605338391414E-2</v>
      </c>
      <c r="GL12" s="41">
        <v>5.8274510167289462E-2</v>
      </c>
      <c r="GM12" s="42">
        <v>5.8274510167289462E-2</v>
      </c>
      <c r="GN12" s="41">
        <v>5.5278965370562538E-2</v>
      </c>
      <c r="GO12" s="42">
        <v>5.5278965370562538E-2</v>
      </c>
      <c r="GP12" s="41">
        <v>4.5669605338391414E-2</v>
      </c>
      <c r="GQ12" s="41">
        <v>5.8274510167289462E-2</v>
      </c>
      <c r="GR12" s="42">
        <v>5.8274510167289462E-2</v>
      </c>
      <c r="GS12" s="41">
        <v>5.5278965370562538E-2</v>
      </c>
      <c r="GT12" s="42">
        <v>5.5278965370562538E-2</v>
      </c>
      <c r="GU12" s="41">
        <v>4.5669605338391414E-2</v>
      </c>
      <c r="GV12" s="41">
        <v>5.8274510167289462E-2</v>
      </c>
      <c r="GW12" s="42">
        <v>5.8274510167289462E-2</v>
      </c>
      <c r="GX12" s="41">
        <v>5.5278965370562538E-2</v>
      </c>
      <c r="GY12" s="42">
        <v>5.5278965370562538E-2</v>
      </c>
      <c r="GZ12" s="41">
        <v>4.5669605338391414E-2</v>
      </c>
      <c r="HA12" s="41">
        <v>5.8274510167289462E-2</v>
      </c>
      <c r="HB12" s="42">
        <v>5.8274510167289462E-2</v>
      </c>
      <c r="HC12" s="41">
        <v>5.5278965370562538E-2</v>
      </c>
      <c r="HD12" s="42">
        <v>5.5278965370562538E-2</v>
      </c>
      <c r="HE12" s="41">
        <v>4.5669605338391414E-2</v>
      </c>
      <c r="HF12" s="41">
        <v>5.6049566929779582E-2</v>
      </c>
      <c r="HG12" s="42">
        <v>5.6049566929779582E-2</v>
      </c>
      <c r="HH12" s="41">
        <v>5.5278965370562538E-2</v>
      </c>
      <c r="HI12" s="42">
        <v>5.5278965370562538E-2</v>
      </c>
      <c r="HJ12" s="41">
        <v>4.5669605338391414E-2</v>
      </c>
      <c r="HK12" s="41">
        <v>5.8274510167289462E-2</v>
      </c>
      <c r="HL12" s="42">
        <v>5.8274510167289462E-2</v>
      </c>
      <c r="HM12" s="41">
        <v>5.5278965370562538E-2</v>
      </c>
      <c r="HN12" s="42">
        <v>5.5278965370562538E-2</v>
      </c>
      <c r="HO12">
        <v>4.5669605338391414E-2</v>
      </c>
      <c r="HP12">
        <v>5.8274510167289462E-2</v>
      </c>
      <c r="HQ12">
        <v>5.8274510167289462E-2</v>
      </c>
      <c r="HR12">
        <v>5.5278965370562538E-2</v>
      </c>
      <c r="HS12">
        <v>5.5278965370562538E-2</v>
      </c>
      <c r="HT12">
        <v>4.5669605338391414E-2</v>
      </c>
      <c r="HU12">
        <v>5.8274510167289462E-2</v>
      </c>
      <c r="HV12">
        <v>5.8274510167289462E-2</v>
      </c>
      <c r="HW12">
        <v>5.5278965370562538E-2</v>
      </c>
      <c r="HX12">
        <v>5.5278965370562538E-2</v>
      </c>
      <c r="HY12">
        <v>4.5669605338391414E-2</v>
      </c>
      <c r="HZ12">
        <v>5.8274510167289462E-2</v>
      </c>
      <c r="IA12">
        <v>5.8274510167289462E-2</v>
      </c>
      <c r="IB12">
        <v>5.5278965370562538E-2</v>
      </c>
      <c r="IC12">
        <v>5.5278965370562538E-2</v>
      </c>
      <c r="ID12">
        <v>4.5669605338391414E-2</v>
      </c>
      <c r="IE12">
        <v>5.8274510167289462E-2</v>
      </c>
      <c r="IF12">
        <v>5.8274510167289462E-2</v>
      </c>
      <c r="IG12">
        <v>5.5278965370562538E-2</v>
      </c>
      <c r="IH12">
        <v>5.5278965370562538E-2</v>
      </c>
      <c r="II12">
        <v>4.5669605338391414E-2</v>
      </c>
      <c r="IJ12">
        <v>5.8274510167289462E-2</v>
      </c>
      <c r="IK12">
        <v>5.8274510167289462E-2</v>
      </c>
      <c r="IL12">
        <v>5.5278965370562538E-2</v>
      </c>
      <c r="IM12">
        <v>5.5278965370562538E-2</v>
      </c>
      <c r="IN12">
        <v>4.5669605338391414E-2</v>
      </c>
      <c r="IO12" s="86">
        <v>5.8274510167289462E-2</v>
      </c>
      <c r="IP12">
        <v>5.8274510167289462E-2</v>
      </c>
      <c r="IQ12">
        <v>5.5278965370562538E-2</v>
      </c>
      <c r="IR12">
        <v>5.5278965370562538E-2</v>
      </c>
      <c r="IS12">
        <v>4.5669605338391414E-2</v>
      </c>
      <c r="IT12">
        <v>5.8274510167289462E-2</v>
      </c>
      <c r="IU12">
        <v>5.8274510167289462E-2</v>
      </c>
      <c r="IV12">
        <v>5.5278965370562538E-2</v>
      </c>
      <c r="IW12">
        <v>5.5278965370562538E-2</v>
      </c>
      <c r="IX12">
        <v>4.5669605338391414E-2</v>
      </c>
      <c r="IY12">
        <v>5.8274510167289462E-2</v>
      </c>
      <c r="IZ12">
        <v>5.8274510167289462E-2</v>
      </c>
      <c r="JA12">
        <v>5.5278965370562538E-2</v>
      </c>
      <c r="JB12">
        <v>5.5278965370562538E-2</v>
      </c>
      <c r="JC12">
        <v>4.5669605338391414E-2</v>
      </c>
      <c r="JD12">
        <v>5.8274510167289462E-2</v>
      </c>
      <c r="JE12">
        <v>5.8274510167289462E-2</v>
      </c>
      <c r="JF12">
        <v>5.5278965370562538E-2</v>
      </c>
      <c r="JG12">
        <v>5.5278965370562538E-2</v>
      </c>
      <c r="JH12">
        <v>4.5669605338391414E-2</v>
      </c>
      <c r="JI12">
        <v>5.8274510167289462E-2</v>
      </c>
      <c r="JJ12">
        <v>5.8274510167289462E-2</v>
      </c>
      <c r="JK12">
        <v>5.5278965370562538E-2</v>
      </c>
      <c r="JL12">
        <v>5.5278965370562538E-2</v>
      </c>
      <c r="JM12">
        <v>4.5669605338391414E-2</v>
      </c>
      <c r="JN12">
        <v>5.8274510167289462E-2</v>
      </c>
      <c r="JO12">
        <v>5.8274510167289462E-2</v>
      </c>
      <c r="JP12">
        <v>5.5278965370562538E-2</v>
      </c>
      <c r="JQ12">
        <v>5.5278965370562538E-2</v>
      </c>
      <c r="JR12">
        <v>4.5669605338391414E-2</v>
      </c>
      <c r="JS12">
        <v>5.8274510167289462E-2</v>
      </c>
      <c r="JT12">
        <v>5.8274510167289462E-2</v>
      </c>
      <c r="JU12">
        <v>5.5278965370562538E-2</v>
      </c>
      <c r="JV12">
        <v>5.5278965370562538E-2</v>
      </c>
      <c r="JW12">
        <v>4.5669605338391414E-2</v>
      </c>
      <c r="JX12">
        <v>5.8274510167289462E-2</v>
      </c>
      <c r="JY12">
        <v>5.8274510167289462E-2</v>
      </c>
      <c r="JZ12">
        <v>5.5278965370562538E-2</v>
      </c>
      <c r="KA12">
        <v>5.5278965370562538E-2</v>
      </c>
      <c r="KB12">
        <v>4.5669605338391414E-2</v>
      </c>
      <c r="KC12">
        <v>5.8274510167289462E-2</v>
      </c>
      <c r="KD12">
        <v>5.8274510167289462E-2</v>
      </c>
      <c r="KE12">
        <v>5.5278965370562538E-2</v>
      </c>
      <c r="KF12">
        <v>5.5278965370562538E-2</v>
      </c>
      <c r="KG12">
        <v>4.5669605338391414E-2</v>
      </c>
      <c r="KH12">
        <v>5.8274510167289462E-2</v>
      </c>
      <c r="KI12">
        <v>5.8274510167289462E-2</v>
      </c>
      <c r="KJ12">
        <v>5.5278965370562538E-2</v>
      </c>
      <c r="KK12">
        <v>5.5278965370562538E-2</v>
      </c>
      <c r="KL12">
        <v>4.5669605338391414E-2</v>
      </c>
      <c r="KM12">
        <v>5.8274510167289462E-2</v>
      </c>
      <c r="KN12">
        <v>5.8274510167289462E-2</v>
      </c>
      <c r="KO12">
        <v>5.5278965370562538E-2</v>
      </c>
      <c r="KP12">
        <v>5.5278965370562538E-2</v>
      </c>
      <c r="KQ12">
        <v>4.5669605338391414E-2</v>
      </c>
      <c r="KR12">
        <v>5.8274510167289462E-2</v>
      </c>
      <c r="KS12">
        <v>5.8274510167289462E-2</v>
      </c>
      <c r="KT12">
        <v>5.5278965370562538E-2</v>
      </c>
      <c r="KU12">
        <v>5.5278965370562538E-2</v>
      </c>
      <c r="KV12">
        <v>4.5669605338391414E-2</v>
      </c>
      <c r="KW12">
        <v>5.8274510167289462E-2</v>
      </c>
      <c r="KX12">
        <v>5.8274510167289462E-2</v>
      </c>
      <c r="KY12">
        <v>5.5278965370562538E-2</v>
      </c>
      <c r="KZ12">
        <v>5.5278965370562538E-2</v>
      </c>
      <c r="LA12">
        <v>4.5669605338391414E-2</v>
      </c>
      <c r="LB12">
        <v>5.8274510167289462E-2</v>
      </c>
      <c r="LC12">
        <v>5.8274510167289462E-2</v>
      </c>
      <c r="LD12">
        <v>5.5278965370562538E-2</v>
      </c>
      <c r="LE12">
        <v>5.5278965370562538E-2</v>
      </c>
      <c r="LF12">
        <v>4.5669605338391414E-2</v>
      </c>
      <c r="LG12">
        <v>5.8274510167289462E-2</v>
      </c>
      <c r="LH12">
        <v>5.8274510167289462E-2</v>
      </c>
      <c r="LI12">
        <v>5.5278965370562538E-2</v>
      </c>
      <c r="LJ12">
        <v>5.5278965370562538E-2</v>
      </c>
      <c r="LK12">
        <v>4.5669605338391414E-2</v>
      </c>
      <c r="LL12">
        <v>5.8274510167289462E-2</v>
      </c>
      <c r="LM12">
        <v>5.8274510167289462E-2</v>
      </c>
      <c r="LN12">
        <v>5.5278965370562538E-2</v>
      </c>
      <c r="LO12">
        <v>5.5278965370562538E-2</v>
      </c>
      <c r="LP12">
        <v>4.5669605338391414E-2</v>
      </c>
      <c r="LQ12">
        <v>5.8274510167289462E-2</v>
      </c>
      <c r="LR12">
        <v>5.8274510167289462E-2</v>
      </c>
      <c r="LS12">
        <v>5.5278965370562538E-2</v>
      </c>
      <c r="LT12">
        <v>5.5278965370562538E-2</v>
      </c>
      <c r="LU12">
        <v>4.5669605338391414E-2</v>
      </c>
      <c r="LV12">
        <v>5.8274510167289462E-2</v>
      </c>
      <c r="LW12">
        <v>5.8274510167289462E-2</v>
      </c>
      <c r="LX12">
        <v>5.5278965370562538E-2</v>
      </c>
      <c r="LY12">
        <v>5.5278965370562538E-2</v>
      </c>
      <c r="LZ12">
        <v>4.5669605338391414E-2</v>
      </c>
      <c r="MA12">
        <v>5.8274510167289462E-2</v>
      </c>
      <c r="MB12">
        <v>5.8274510167289462E-2</v>
      </c>
      <c r="MC12">
        <v>5.5278965370562538E-2</v>
      </c>
      <c r="MD12">
        <v>5.5278965370562538E-2</v>
      </c>
      <c r="ME12">
        <v>4.5669605338391414E-2</v>
      </c>
      <c r="MF12">
        <v>5.8274510167289462E-2</v>
      </c>
      <c r="MG12">
        <v>5.8274510167289462E-2</v>
      </c>
      <c r="MH12">
        <v>5.5278965370562538E-2</v>
      </c>
      <c r="MI12">
        <v>5.5278965370562538E-2</v>
      </c>
      <c r="MJ12">
        <v>4.5669605338391414E-2</v>
      </c>
      <c r="MK12">
        <v>5.8274510167289462E-2</v>
      </c>
      <c r="ML12">
        <v>5.8274510167289462E-2</v>
      </c>
      <c r="MM12">
        <v>5.5278965370562538E-2</v>
      </c>
      <c r="MN12">
        <v>5.5278965370562538E-2</v>
      </c>
      <c r="MO12">
        <v>4.5669605338391414E-2</v>
      </c>
      <c r="MP12">
        <v>5.8274510167289462E-2</v>
      </c>
      <c r="MQ12">
        <v>5.8274510167289462E-2</v>
      </c>
      <c r="MR12">
        <v>5.5278965370562538E-2</v>
      </c>
      <c r="MS12">
        <v>5.5278965370562538E-2</v>
      </c>
      <c r="MT12">
        <v>4.5669605338391414E-2</v>
      </c>
      <c r="MU12">
        <v>5.8274510167289462E-2</v>
      </c>
      <c r="MV12">
        <v>5.8274510167289462E-2</v>
      </c>
      <c r="MW12">
        <v>5.5278965370562538E-2</v>
      </c>
      <c r="MX12">
        <v>5.5278965370562538E-2</v>
      </c>
      <c r="MY12">
        <v>4.5669605338391414E-2</v>
      </c>
      <c r="MZ12">
        <v>5.8274510167289462E-2</v>
      </c>
      <c r="NA12">
        <v>5.8274510167289462E-2</v>
      </c>
      <c r="NB12">
        <v>5.5278965370562538E-2</v>
      </c>
      <c r="NC12">
        <v>5.5278965370562538E-2</v>
      </c>
      <c r="ND12">
        <v>4.5669605338391414E-2</v>
      </c>
      <c r="NE12">
        <v>5.8274510167289462E-2</v>
      </c>
      <c r="NF12">
        <v>5.8274510167289462E-2</v>
      </c>
      <c r="NG12">
        <v>5.5278965370562538E-2</v>
      </c>
      <c r="NH12">
        <v>5.5278965370562538E-2</v>
      </c>
      <c r="NI12">
        <v>4.5669605338391414E-2</v>
      </c>
      <c r="NJ12">
        <v>5.8274510167289462E-2</v>
      </c>
      <c r="NK12">
        <v>5.8274510167289462E-2</v>
      </c>
      <c r="NL12">
        <v>5.5278965370562538E-2</v>
      </c>
      <c r="NM12">
        <v>5.5278965370562538E-2</v>
      </c>
      <c r="NN12">
        <v>4.5669605338391414E-2</v>
      </c>
      <c r="NO12">
        <v>5.8274510167289462E-2</v>
      </c>
      <c r="NP12">
        <v>5.8274510167289462E-2</v>
      </c>
      <c r="NQ12">
        <v>5.5278965370562538E-2</v>
      </c>
      <c r="NR12">
        <v>5.5278965370562538E-2</v>
      </c>
      <c r="NS12">
        <v>4.5669605338391414E-2</v>
      </c>
      <c r="NT12">
        <v>5.8274510167289462E-2</v>
      </c>
      <c r="NU12">
        <v>5.8274510167289462E-2</v>
      </c>
      <c r="NV12">
        <v>5.5278965370562538E-2</v>
      </c>
      <c r="NW12">
        <v>5.5278965370562538E-2</v>
      </c>
      <c r="NX12">
        <v>4.5669605338391414E-2</v>
      </c>
      <c r="NY12">
        <v>5.8274510167289462E-2</v>
      </c>
      <c r="NZ12">
        <v>5.8274510167289462E-2</v>
      </c>
      <c r="OA12">
        <v>5.5278965370562538E-2</v>
      </c>
      <c r="OB12">
        <v>5.5278965370562538E-2</v>
      </c>
      <c r="OC12">
        <v>4.5669605338391414E-2</v>
      </c>
      <c r="OD12">
        <v>5.8274510167289462E-2</v>
      </c>
      <c r="OE12">
        <v>5.8274510167289462E-2</v>
      </c>
      <c r="OF12">
        <v>5.5278965370562538E-2</v>
      </c>
      <c r="OG12">
        <v>5.5278965370562538E-2</v>
      </c>
      <c r="OH12">
        <v>4.5669605338391414E-2</v>
      </c>
      <c r="OI12">
        <v>5.8274510167289462E-2</v>
      </c>
      <c r="OJ12">
        <v>5.8274510167289462E-2</v>
      </c>
      <c r="OK12">
        <v>5.5278965370562538E-2</v>
      </c>
      <c r="OL12">
        <v>5.5278965370562538E-2</v>
      </c>
      <c r="OM12">
        <v>4.5669605338391414E-2</v>
      </c>
      <c r="ON12">
        <v>5.8274510167289462E-2</v>
      </c>
      <c r="OO12">
        <v>5.8274510167289462E-2</v>
      </c>
      <c r="OP12">
        <v>5.5278965370562538E-2</v>
      </c>
      <c r="OQ12">
        <v>5.5278965370562538E-2</v>
      </c>
      <c r="OR12">
        <v>4.5669605338391414E-2</v>
      </c>
      <c r="OS12">
        <v>5.8274510167289462E-2</v>
      </c>
      <c r="OT12">
        <v>5.8274510167289462E-2</v>
      </c>
      <c r="OU12">
        <v>5.5278965370562538E-2</v>
      </c>
      <c r="OV12">
        <v>5.5278965370562538E-2</v>
      </c>
      <c r="OW12">
        <v>4.5669605338391414E-2</v>
      </c>
      <c r="OX12">
        <v>5.8274510167289462E-2</v>
      </c>
      <c r="OY12">
        <v>5.8274510167289462E-2</v>
      </c>
      <c r="OZ12">
        <v>5.5278965370562538E-2</v>
      </c>
      <c r="PA12">
        <v>5.5278965370562538E-2</v>
      </c>
      <c r="PB12">
        <v>4.5669605338391414E-2</v>
      </c>
      <c r="PC12">
        <v>5.8274510167289462E-2</v>
      </c>
      <c r="PD12">
        <v>5.8274510167289462E-2</v>
      </c>
      <c r="PE12">
        <v>5.5278965370562538E-2</v>
      </c>
      <c r="PF12">
        <v>5.5278965370562538E-2</v>
      </c>
      <c r="PG12">
        <v>4.5669605338391414E-2</v>
      </c>
      <c r="PH12">
        <v>5.8274510167289462E-2</v>
      </c>
      <c r="PI12">
        <v>5.8274510167289462E-2</v>
      </c>
      <c r="PJ12">
        <v>5.5278965370562538E-2</v>
      </c>
      <c r="PK12">
        <v>5.5278965370562538E-2</v>
      </c>
      <c r="PL12" s="41">
        <v>4.5669605338391414E-2</v>
      </c>
      <c r="PM12" s="41">
        <v>5.8274510167289462E-2</v>
      </c>
      <c r="PN12" s="42">
        <v>5.8274510167289462E-2</v>
      </c>
      <c r="PO12" s="41">
        <v>5.5278965370562538E-2</v>
      </c>
      <c r="PP12" s="42">
        <v>5.5278965370562538E-2</v>
      </c>
      <c r="PQ12">
        <v>4.5669605338391414E-2</v>
      </c>
      <c r="PR12">
        <v>5.8274510167289462E-2</v>
      </c>
      <c r="PS12">
        <v>5.8274510167289462E-2</v>
      </c>
      <c r="PT12">
        <v>5.5278965370562538E-2</v>
      </c>
      <c r="PU12">
        <v>5.5278965370562538E-2</v>
      </c>
      <c r="PV12">
        <v>4.5669605338391414E-2</v>
      </c>
      <c r="PW12">
        <v>5.8274510167289462E-2</v>
      </c>
      <c r="PX12">
        <v>5.8274510167289462E-2</v>
      </c>
      <c r="PY12">
        <v>5.5278965370562538E-2</v>
      </c>
      <c r="PZ12">
        <v>5.5278965370562538E-2</v>
      </c>
      <c r="QA12" s="41">
        <v>4.5669605338391414E-2</v>
      </c>
      <c r="QB12" s="41">
        <v>5.8274510167289462E-2</v>
      </c>
      <c r="QC12" s="42">
        <v>5.8274510167289462E-2</v>
      </c>
      <c r="QD12" s="41">
        <v>5.5278965370562538E-2</v>
      </c>
      <c r="QE12" s="42">
        <v>5.5278965370562538E-2</v>
      </c>
    </row>
    <row r="13" spans="1:666" x14ac:dyDescent="0.15">
      <c r="A13" t="s">
        <v>33</v>
      </c>
      <c r="B13">
        <f>FixedParams!B45</f>
        <v>0.33333332999999998</v>
      </c>
      <c r="C13">
        <f>B13</f>
        <v>0.33333332999999998</v>
      </c>
      <c r="D13">
        <f t="shared" si="116"/>
        <v>0.33333332999999998</v>
      </c>
      <c r="E13">
        <f>C13</f>
        <v>0.33333332999999998</v>
      </c>
      <c r="F13">
        <f t="shared" si="116"/>
        <v>0.33333332999999998</v>
      </c>
      <c r="H13">
        <v>0.33333332999999998</v>
      </c>
      <c r="I13">
        <v>0.33333332999999998</v>
      </c>
      <c r="J13">
        <v>0.33333332999999998</v>
      </c>
      <c r="K13">
        <v>0.33333332999999998</v>
      </c>
      <c r="L13">
        <v>0.33333332999999998</v>
      </c>
      <c r="M13">
        <v>0.33333332999999998</v>
      </c>
      <c r="N13">
        <v>0.33333332999999998</v>
      </c>
      <c r="O13">
        <v>0.33333332999999998</v>
      </c>
      <c r="P13">
        <v>0.33333332999999998</v>
      </c>
      <c r="Q13">
        <v>0.33333332999999998</v>
      </c>
      <c r="R13">
        <v>0.33333332999999998</v>
      </c>
      <c r="S13">
        <v>0.33333332999999998</v>
      </c>
      <c r="T13">
        <v>0.33333332999999998</v>
      </c>
      <c r="U13">
        <v>0.33333332999999998</v>
      </c>
      <c r="V13">
        <v>0.33333332999999998</v>
      </c>
      <c r="W13">
        <v>0.33333332999999998</v>
      </c>
      <c r="X13">
        <v>0.33333332999999998</v>
      </c>
      <c r="Y13">
        <v>0.33333332999999998</v>
      </c>
      <c r="Z13">
        <v>0.33333332999999998</v>
      </c>
      <c r="AA13">
        <v>0.33333332999999998</v>
      </c>
      <c r="AB13">
        <v>0.33333332999999998</v>
      </c>
      <c r="AC13">
        <v>0.33333332999999998</v>
      </c>
      <c r="AD13">
        <v>0.33333332999999998</v>
      </c>
      <c r="AE13">
        <v>0.33333332999999998</v>
      </c>
      <c r="AF13">
        <v>0.33333332999999998</v>
      </c>
      <c r="AG13">
        <v>0.33333332999999998</v>
      </c>
      <c r="AH13">
        <v>0.33333332999999998</v>
      </c>
      <c r="AI13">
        <v>0.33333332999999998</v>
      </c>
      <c r="AJ13">
        <v>0.33333332999999998</v>
      </c>
      <c r="AK13">
        <v>0.33333332999999998</v>
      </c>
      <c r="AL13">
        <v>0.33333332999999998</v>
      </c>
      <c r="AM13">
        <v>0.33333332999999998</v>
      </c>
      <c r="AN13">
        <v>0.33333332999999998</v>
      </c>
      <c r="AO13">
        <v>0.33333332999999998</v>
      </c>
      <c r="AP13">
        <v>0.33333332999999998</v>
      </c>
      <c r="AQ13">
        <v>0.33333332999999998</v>
      </c>
      <c r="AR13">
        <v>0.33333332999999998</v>
      </c>
      <c r="AS13">
        <v>0.33333332999999998</v>
      </c>
      <c r="AT13">
        <v>0.33333332999999998</v>
      </c>
      <c r="AU13">
        <v>0.33333332999999998</v>
      </c>
      <c r="AV13">
        <v>0.33333332999999998</v>
      </c>
      <c r="AW13">
        <v>0.33333332999999998</v>
      </c>
      <c r="AX13">
        <v>0.33333332999999998</v>
      </c>
      <c r="AY13">
        <v>0.33333332999999998</v>
      </c>
      <c r="AZ13">
        <v>0.33333332999999998</v>
      </c>
      <c r="BA13">
        <v>0.33333332999999998</v>
      </c>
      <c r="BB13">
        <v>0.33333332999999998</v>
      </c>
      <c r="BC13">
        <v>0.33333332999999998</v>
      </c>
      <c r="BD13">
        <v>0.33333332999999998</v>
      </c>
      <c r="BE13">
        <v>0.33333332999999998</v>
      </c>
      <c r="BF13">
        <v>0.33333332999999998</v>
      </c>
      <c r="BG13">
        <v>0.33333332999999998</v>
      </c>
      <c r="BH13">
        <v>0.33333332999999998</v>
      </c>
      <c r="BI13">
        <v>0.33333332999999998</v>
      </c>
      <c r="BJ13">
        <v>0.33333332999999998</v>
      </c>
      <c r="BK13">
        <v>0.33333332999999998</v>
      </c>
      <c r="BL13">
        <v>0.33333332999999998</v>
      </c>
      <c r="BM13">
        <v>0.33333332999999998</v>
      </c>
      <c r="BN13">
        <v>0.33333332999999998</v>
      </c>
      <c r="BO13">
        <v>0.33333332999999998</v>
      </c>
      <c r="BP13">
        <v>0.33333332999999998</v>
      </c>
      <c r="BQ13">
        <v>0.33333332999999998</v>
      </c>
      <c r="BR13">
        <v>0.33333332999999998</v>
      </c>
      <c r="BS13">
        <v>0.33333332999999998</v>
      </c>
      <c r="BT13">
        <v>0.33333332999999998</v>
      </c>
      <c r="BU13">
        <v>0.33333332999999998</v>
      </c>
      <c r="BV13">
        <v>0.33333332999999998</v>
      </c>
      <c r="BW13">
        <v>0.33333332999999998</v>
      </c>
      <c r="BX13">
        <v>0.33333332999999998</v>
      </c>
      <c r="BY13">
        <v>0.33333332999999998</v>
      </c>
      <c r="BZ13">
        <v>0.33333332999999998</v>
      </c>
      <c r="CA13">
        <v>0.33333332999999998</v>
      </c>
      <c r="CB13">
        <v>0.33333332999999998</v>
      </c>
      <c r="CC13">
        <v>0.33333332999999998</v>
      </c>
      <c r="CD13">
        <v>0.33333332999999998</v>
      </c>
      <c r="CE13">
        <v>0.33333332999999998</v>
      </c>
      <c r="CF13">
        <v>0.33333332999999998</v>
      </c>
      <c r="CG13">
        <v>0.33333332999999998</v>
      </c>
      <c r="CH13">
        <v>0.33333332999999998</v>
      </c>
      <c r="CI13">
        <v>0.33333332999999998</v>
      </c>
      <c r="CJ13">
        <v>0.33333332999999998</v>
      </c>
      <c r="CK13">
        <v>0.33333332999999998</v>
      </c>
      <c r="CL13">
        <v>0.33333332999999998</v>
      </c>
      <c r="CM13">
        <v>0.33333332999999998</v>
      </c>
      <c r="CN13">
        <v>0.33333332999999998</v>
      </c>
      <c r="CO13">
        <v>0.33333332999999998</v>
      </c>
      <c r="CP13">
        <v>0.33333332999999998</v>
      </c>
      <c r="CQ13">
        <v>0.33333332999999998</v>
      </c>
      <c r="CR13">
        <v>0.33333332999999998</v>
      </c>
      <c r="CS13">
        <v>0.33333332999999998</v>
      </c>
      <c r="CT13">
        <v>0.33333332999999998</v>
      </c>
      <c r="CU13">
        <v>0.33333332999999998</v>
      </c>
      <c r="CV13">
        <v>0.33333332999999998</v>
      </c>
      <c r="CW13">
        <v>0.33333332999999998</v>
      </c>
      <c r="CX13">
        <v>0.33333332999999998</v>
      </c>
      <c r="CY13">
        <v>0.33333332999999998</v>
      </c>
      <c r="CZ13">
        <v>0.33333332999999998</v>
      </c>
      <c r="DA13">
        <v>0.33333332999999998</v>
      </c>
      <c r="DB13">
        <v>0.33333332999999998</v>
      </c>
      <c r="DC13">
        <v>0.33333332999999998</v>
      </c>
      <c r="DD13">
        <v>0.33333332999999998</v>
      </c>
      <c r="DE13">
        <v>0.33333332999999998</v>
      </c>
      <c r="DF13">
        <v>0.33333332999999998</v>
      </c>
      <c r="DG13">
        <v>0.33333332999999998</v>
      </c>
      <c r="DH13">
        <v>0.33333332999999998</v>
      </c>
      <c r="DI13">
        <v>0.33333332999999998</v>
      </c>
      <c r="DJ13">
        <v>0.33333332999999998</v>
      </c>
      <c r="DK13">
        <v>0.33333332999999998</v>
      </c>
      <c r="DL13">
        <v>0.33333332999999998</v>
      </c>
      <c r="DM13">
        <v>0.33333332999999998</v>
      </c>
      <c r="DN13">
        <v>0.33333332999999998</v>
      </c>
      <c r="DO13">
        <v>0.33333332999999998</v>
      </c>
      <c r="DP13">
        <v>0.33333332999999998</v>
      </c>
      <c r="DQ13">
        <v>0.33333332999999998</v>
      </c>
      <c r="DR13">
        <v>0.33333332999999998</v>
      </c>
      <c r="DS13">
        <v>0.33333332999999998</v>
      </c>
      <c r="DT13">
        <v>0.33333332999999998</v>
      </c>
      <c r="DU13">
        <v>0.33333332999999998</v>
      </c>
      <c r="DV13">
        <v>0.33333332999999998</v>
      </c>
      <c r="DW13">
        <v>0.33333332999999998</v>
      </c>
      <c r="DX13">
        <v>0.33333332999999998</v>
      </c>
      <c r="DY13">
        <v>0.33333332999999998</v>
      </c>
      <c r="DZ13">
        <v>0.33333332999999998</v>
      </c>
      <c r="EA13">
        <v>0.33333332999999998</v>
      </c>
      <c r="EB13">
        <v>0.33333332999999998</v>
      </c>
      <c r="EC13">
        <v>0.33333332999999998</v>
      </c>
      <c r="ED13">
        <v>0.33333332999999998</v>
      </c>
      <c r="EE13">
        <v>0.33333332999999998</v>
      </c>
      <c r="EF13">
        <v>0.33333332999999998</v>
      </c>
      <c r="EG13">
        <v>0.33333332999999998</v>
      </c>
      <c r="EH13">
        <v>0.33333332999999998</v>
      </c>
      <c r="EI13">
        <v>0.33333332999999998</v>
      </c>
      <c r="EJ13">
        <v>0.33333332999999998</v>
      </c>
      <c r="EK13">
        <v>0.33333332999999998</v>
      </c>
      <c r="EL13">
        <v>0.33333332999999998</v>
      </c>
      <c r="EM13">
        <v>0.33333332999999998</v>
      </c>
      <c r="EN13">
        <v>0.33333332999999998</v>
      </c>
      <c r="EO13">
        <v>0.33333332999999998</v>
      </c>
      <c r="EP13">
        <v>0.33333332999999998</v>
      </c>
      <c r="EQ13">
        <v>0.33333332999999998</v>
      </c>
      <c r="ER13">
        <v>0.33333332999999998</v>
      </c>
      <c r="ES13">
        <v>0.33333332999999998</v>
      </c>
      <c r="ET13">
        <v>0.33333332999999998</v>
      </c>
      <c r="EU13">
        <v>0.33333332999999998</v>
      </c>
      <c r="EV13">
        <v>0.33333332999999998</v>
      </c>
      <c r="EW13">
        <v>0.33333332999999998</v>
      </c>
      <c r="EX13">
        <v>0.33333332999999998</v>
      </c>
      <c r="EY13">
        <v>0.33333332999999998</v>
      </c>
      <c r="EZ13">
        <v>0.33333332999999998</v>
      </c>
      <c r="FA13">
        <v>0.33333332999999998</v>
      </c>
      <c r="FB13">
        <v>0.33333332999999998</v>
      </c>
      <c r="FC13">
        <v>0.33333332999999998</v>
      </c>
      <c r="FD13">
        <v>0.33333332999999998</v>
      </c>
      <c r="FE13">
        <v>0.33333332999999998</v>
      </c>
      <c r="FF13">
        <v>0.33333332999999998</v>
      </c>
      <c r="FG13">
        <v>0.33333332999999998</v>
      </c>
      <c r="FH13">
        <v>0.33333332999999998</v>
      </c>
      <c r="FI13">
        <v>0.33333332999999998</v>
      </c>
      <c r="FJ13">
        <v>0.33333332999999998</v>
      </c>
      <c r="FK13">
        <v>0.33333332999999998</v>
      </c>
      <c r="FL13">
        <v>0.33333332999999998</v>
      </c>
      <c r="FM13">
        <v>0.33333332999999998</v>
      </c>
      <c r="FN13">
        <v>0.33333332999999998</v>
      </c>
      <c r="FO13">
        <v>0.33333332999999998</v>
      </c>
      <c r="FP13">
        <v>0.33333332999999998</v>
      </c>
      <c r="FQ13">
        <v>0.33333332999999998</v>
      </c>
      <c r="FR13">
        <v>0.33333332999999998</v>
      </c>
      <c r="FS13">
        <v>0.33333332999999998</v>
      </c>
      <c r="FT13">
        <v>0.33333332999999998</v>
      </c>
      <c r="FU13">
        <v>0.33333332999999998</v>
      </c>
      <c r="FV13">
        <v>0.33333332999999998</v>
      </c>
      <c r="FW13">
        <v>0.33333332999999998</v>
      </c>
      <c r="FX13">
        <v>0.33333332999999998</v>
      </c>
      <c r="FY13">
        <v>0.33333332999999998</v>
      </c>
      <c r="FZ13">
        <v>0.33333332999999998</v>
      </c>
      <c r="GA13">
        <v>0.33333332999999998</v>
      </c>
      <c r="GB13">
        <v>0.33333332999999998</v>
      </c>
      <c r="GC13">
        <v>0.33333332999999998</v>
      </c>
      <c r="GD13">
        <v>0.33333332999999998</v>
      </c>
      <c r="GE13">
        <v>0.33333332999999998</v>
      </c>
      <c r="GF13">
        <v>0.33333332999999998</v>
      </c>
      <c r="GG13">
        <v>0.33333332999999998</v>
      </c>
      <c r="GH13">
        <v>0.33333332999999998</v>
      </c>
      <c r="GI13">
        <v>0.33333332999999998</v>
      </c>
      <c r="GJ13">
        <v>0.33333332999999998</v>
      </c>
      <c r="GK13">
        <v>0.33333332999999998</v>
      </c>
      <c r="GL13">
        <v>0.33333332999999998</v>
      </c>
      <c r="GM13">
        <v>0.33333332999999998</v>
      </c>
      <c r="GN13">
        <v>0.33333332999999998</v>
      </c>
      <c r="GO13">
        <v>0.33333332999999998</v>
      </c>
      <c r="GP13">
        <v>0.33333332999999998</v>
      </c>
      <c r="GQ13">
        <v>0.33333332999999998</v>
      </c>
      <c r="GR13">
        <v>0.33333332999999998</v>
      </c>
      <c r="GS13">
        <v>0.33333332999999998</v>
      </c>
      <c r="GT13">
        <v>0.33333332999999998</v>
      </c>
      <c r="GU13">
        <v>0.33333332999999998</v>
      </c>
      <c r="GV13">
        <v>0.33333332999999998</v>
      </c>
      <c r="GW13">
        <v>0.33333332999999998</v>
      </c>
      <c r="GX13">
        <v>0.33333332999999998</v>
      </c>
      <c r="GY13">
        <v>0.33333332999999998</v>
      </c>
      <c r="GZ13">
        <v>0.33333332999999998</v>
      </c>
      <c r="HA13">
        <v>0.33333332999999998</v>
      </c>
      <c r="HB13">
        <v>0.33333332999999998</v>
      </c>
      <c r="HC13">
        <v>0.33333332999999998</v>
      </c>
      <c r="HD13">
        <v>0.33333332999999998</v>
      </c>
      <c r="HE13">
        <v>0.33333332999999998</v>
      </c>
      <c r="HF13">
        <v>0.33333332999999998</v>
      </c>
      <c r="HG13">
        <v>0.33333332999999998</v>
      </c>
      <c r="HH13">
        <v>0.33333332999999998</v>
      </c>
      <c r="HI13">
        <v>0.33333332999999998</v>
      </c>
      <c r="HJ13">
        <v>0.2</v>
      </c>
      <c r="HK13">
        <v>0.2</v>
      </c>
      <c r="HL13">
        <v>0.2</v>
      </c>
      <c r="HM13">
        <v>0.2</v>
      </c>
      <c r="HN13">
        <v>0.2</v>
      </c>
      <c r="HO13">
        <v>0.26</v>
      </c>
      <c r="HP13">
        <v>0.26</v>
      </c>
      <c r="HQ13">
        <v>0.26</v>
      </c>
      <c r="HR13">
        <v>0.26</v>
      </c>
      <c r="HS13">
        <v>0.26</v>
      </c>
      <c r="HT13">
        <v>0.32</v>
      </c>
      <c r="HU13">
        <v>0.32</v>
      </c>
      <c r="HV13">
        <v>0.32</v>
      </c>
      <c r="HW13">
        <v>0.32</v>
      </c>
      <c r="HX13">
        <v>0.32</v>
      </c>
      <c r="HY13">
        <v>0.4</v>
      </c>
      <c r="HZ13">
        <v>0.4</v>
      </c>
      <c r="IA13">
        <v>0.4</v>
      </c>
      <c r="IB13">
        <v>0.4</v>
      </c>
      <c r="IC13">
        <v>0.4</v>
      </c>
      <c r="ID13">
        <v>0.33333332999999998</v>
      </c>
      <c r="IE13">
        <v>0.33333332999999998</v>
      </c>
      <c r="IF13">
        <v>0.33333332999999998</v>
      </c>
      <c r="IG13">
        <v>0.33333332999999998</v>
      </c>
      <c r="IH13">
        <v>0.33333332999999998</v>
      </c>
      <c r="II13">
        <v>0.33333332999999998</v>
      </c>
      <c r="IJ13">
        <v>0.33333332999999998</v>
      </c>
      <c r="IK13">
        <v>0.33333332999999998</v>
      </c>
      <c r="IL13">
        <v>0.33333332999999998</v>
      </c>
      <c r="IM13">
        <v>0.33333332999999998</v>
      </c>
      <c r="IN13">
        <v>0.33333332999999998</v>
      </c>
      <c r="IO13" s="86">
        <v>0.33333332999999998</v>
      </c>
      <c r="IP13">
        <v>0.33333332999999998</v>
      </c>
      <c r="IQ13">
        <v>0.33333332999999998</v>
      </c>
      <c r="IR13">
        <v>0.33333332999999998</v>
      </c>
      <c r="IS13">
        <v>0.33333332999999998</v>
      </c>
      <c r="IT13">
        <v>0.33333332999999998</v>
      </c>
      <c r="IU13">
        <v>0.33333332999999998</v>
      </c>
      <c r="IV13">
        <v>0.33333332999999998</v>
      </c>
      <c r="IW13">
        <v>0.33333332999999998</v>
      </c>
      <c r="IX13">
        <v>0.33333332999999998</v>
      </c>
      <c r="IY13">
        <v>0.33333332999999998</v>
      </c>
      <c r="IZ13">
        <v>0.33333332999999998</v>
      </c>
      <c r="JA13">
        <v>0.33333332999999998</v>
      </c>
      <c r="JB13">
        <v>0.33333332999999998</v>
      </c>
      <c r="JC13">
        <v>0.33333332999999998</v>
      </c>
      <c r="JD13">
        <v>0.33333332999999998</v>
      </c>
      <c r="JE13">
        <v>0.33333332999999998</v>
      </c>
      <c r="JF13">
        <v>0.33333332999999998</v>
      </c>
      <c r="JG13">
        <v>0.33333332999999998</v>
      </c>
      <c r="JH13">
        <v>0.33333332999999998</v>
      </c>
      <c r="JI13">
        <v>0.33333332999999998</v>
      </c>
      <c r="JJ13">
        <v>0.33333332999999998</v>
      </c>
      <c r="JK13">
        <v>0.33333332999999998</v>
      </c>
      <c r="JL13">
        <v>0.33333332999999998</v>
      </c>
      <c r="JM13">
        <v>0.18</v>
      </c>
      <c r="JN13">
        <v>0.18</v>
      </c>
      <c r="JO13">
        <v>0.18</v>
      </c>
      <c r="JP13">
        <v>0.18</v>
      </c>
      <c r="JQ13">
        <v>0.18</v>
      </c>
      <c r="JR13">
        <v>0.24</v>
      </c>
      <c r="JS13">
        <v>0.24</v>
      </c>
      <c r="JT13">
        <v>0.24</v>
      </c>
      <c r="JU13">
        <v>0.24</v>
      </c>
      <c r="JV13">
        <v>0.24</v>
      </c>
      <c r="JW13">
        <v>0.3</v>
      </c>
      <c r="JX13">
        <v>0.3</v>
      </c>
      <c r="JY13">
        <v>0.3</v>
      </c>
      <c r="JZ13">
        <v>0.3</v>
      </c>
      <c r="KA13">
        <v>0.3</v>
      </c>
      <c r="KB13">
        <v>0.36</v>
      </c>
      <c r="KC13">
        <v>0.36</v>
      </c>
      <c r="KD13">
        <v>0.36</v>
      </c>
      <c r="KE13">
        <v>0.36</v>
      </c>
      <c r="KF13">
        <v>0.36</v>
      </c>
      <c r="KG13">
        <v>0.42</v>
      </c>
      <c r="KH13">
        <v>0.42</v>
      </c>
      <c r="KI13">
        <v>0.42</v>
      </c>
      <c r="KJ13">
        <v>0.42</v>
      </c>
      <c r="KK13">
        <v>0.42</v>
      </c>
      <c r="KL13">
        <v>0.33333332999999998</v>
      </c>
      <c r="KM13">
        <v>0.33333332999999998</v>
      </c>
      <c r="KN13">
        <v>0.33333332999999998</v>
      </c>
      <c r="KO13">
        <v>0.33333332999999998</v>
      </c>
      <c r="KP13">
        <v>0.33333332999999998</v>
      </c>
      <c r="KQ13">
        <v>0.33333332999999998</v>
      </c>
      <c r="KR13">
        <v>0.33333332999999998</v>
      </c>
      <c r="KS13">
        <v>0.33333332999999998</v>
      </c>
      <c r="KT13">
        <v>0.33333332999999998</v>
      </c>
      <c r="KU13">
        <v>0.33333332999999998</v>
      </c>
      <c r="KV13">
        <v>0.33333332999999998</v>
      </c>
      <c r="KW13">
        <v>0.33333332999999998</v>
      </c>
      <c r="KX13">
        <v>0.33333332999999998</v>
      </c>
      <c r="KY13">
        <v>0.33333332999999998</v>
      </c>
      <c r="KZ13">
        <v>0.33333332999999998</v>
      </c>
      <c r="LA13">
        <v>0.33333332999999998</v>
      </c>
      <c r="LB13">
        <v>0.33333332999999998</v>
      </c>
      <c r="LC13">
        <v>0.33333332999999998</v>
      </c>
      <c r="LD13">
        <v>0.33333332999999998</v>
      </c>
      <c r="LE13">
        <v>0.33333332999999998</v>
      </c>
      <c r="LF13">
        <v>0.33333332999999998</v>
      </c>
      <c r="LG13">
        <v>0.33333332999999998</v>
      </c>
      <c r="LH13">
        <v>0.33333332999999998</v>
      </c>
      <c r="LI13">
        <v>0.33333332999999998</v>
      </c>
      <c r="LJ13">
        <v>0.33333332999999998</v>
      </c>
      <c r="LK13">
        <v>0.33333332999999998</v>
      </c>
      <c r="LL13">
        <v>0.33333332999999998</v>
      </c>
      <c r="LM13">
        <v>0.33333332999999998</v>
      </c>
      <c r="LN13">
        <v>0.33333332999999998</v>
      </c>
      <c r="LO13">
        <v>0.33333332999999998</v>
      </c>
      <c r="LP13">
        <v>0.33333332999999998</v>
      </c>
      <c r="LQ13">
        <v>0.33333332999999998</v>
      </c>
      <c r="LR13">
        <v>0.33333332999999998</v>
      </c>
      <c r="LS13">
        <v>0.33333332999999998</v>
      </c>
      <c r="LT13">
        <v>0.33333332999999998</v>
      </c>
      <c r="LU13">
        <v>0.33333332999999998</v>
      </c>
      <c r="LV13">
        <v>0.33333332999999998</v>
      </c>
      <c r="LW13">
        <v>0.33333332999999998</v>
      </c>
      <c r="LX13">
        <v>0.33333332999999998</v>
      </c>
      <c r="LY13">
        <v>0.33333332999999998</v>
      </c>
      <c r="LZ13">
        <v>0.33333332999999998</v>
      </c>
      <c r="MA13">
        <v>0.33333332999999998</v>
      </c>
      <c r="MB13">
        <v>0.33333332999999998</v>
      </c>
      <c r="MC13">
        <v>0.33333332999999998</v>
      </c>
      <c r="MD13">
        <v>0.33333332999999998</v>
      </c>
      <c r="ME13">
        <v>0.12</v>
      </c>
      <c r="MF13">
        <v>0.12</v>
      </c>
      <c r="MG13">
        <v>0.12</v>
      </c>
      <c r="MH13">
        <v>0.12</v>
      </c>
      <c r="MI13">
        <v>0.12</v>
      </c>
      <c r="MJ13">
        <v>0.48</v>
      </c>
      <c r="MK13">
        <v>0.48</v>
      </c>
      <c r="ML13">
        <v>0.48</v>
      </c>
      <c r="MM13">
        <v>0.48</v>
      </c>
      <c r="MN13">
        <v>0.48</v>
      </c>
      <c r="MO13">
        <v>0.33333333333330001</v>
      </c>
      <c r="MP13">
        <v>0.33333333333330001</v>
      </c>
      <c r="MQ13">
        <v>0.33333333333330001</v>
      </c>
      <c r="MR13">
        <v>0.33333333333330001</v>
      </c>
      <c r="MS13">
        <v>0.33333333333330001</v>
      </c>
      <c r="MT13">
        <v>0.33333333333330001</v>
      </c>
      <c r="MU13">
        <v>0.33333333333330001</v>
      </c>
      <c r="MV13">
        <v>0.33333333333330001</v>
      </c>
      <c r="MW13">
        <v>0.33333333333330001</v>
      </c>
      <c r="MX13">
        <v>0.33333333333330001</v>
      </c>
      <c r="MY13">
        <v>0.33333333333330001</v>
      </c>
      <c r="MZ13">
        <v>0.33333333333330001</v>
      </c>
      <c r="NA13">
        <v>0.33333333333330001</v>
      </c>
      <c r="NB13">
        <v>0.33333333333330001</v>
      </c>
      <c r="NC13">
        <v>0.33333333333330001</v>
      </c>
      <c r="ND13">
        <v>0.33333333333330001</v>
      </c>
      <c r="NE13">
        <v>0.33333333333330001</v>
      </c>
      <c r="NF13">
        <v>0.33333333333330001</v>
      </c>
      <c r="NG13">
        <v>0.33333333333330001</v>
      </c>
      <c r="NH13">
        <v>0.33333333333330001</v>
      </c>
      <c r="NI13">
        <v>0.33333333333330001</v>
      </c>
      <c r="NJ13">
        <v>0.33333333333330001</v>
      </c>
      <c r="NK13">
        <v>0.33333333333330001</v>
      </c>
      <c r="NL13">
        <v>0.33333333333330001</v>
      </c>
      <c r="NM13">
        <v>0.33333333333330001</v>
      </c>
      <c r="NN13">
        <v>0.33333333333330001</v>
      </c>
      <c r="NO13">
        <v>0.33333333333330001</v>
      </c>
      <c r="NP13">
        <v>0.33333333333330001</v>
      </c>
      <c r="NQ13">
        <v>0.33333333333330001</v>
      </c>
      <c r="NR13">
        <v>0.33333333333330001</v>
      </c>
      <c r="NS13">
        <v>0.33333333333330001</v>
      </c>
      <c r="NT13">
        <v>0.33333333333330001</v>
      </c>
      <c r="NU13">
        <v>0.33333333333330001</v>
      </c>
      <c r="NV13">
        <v>0.33333333333330001</v>
      </c>
      <c r="NW13">
        <v>0.33333333333330001</v>
      </c>
      <c r="NX13">
        <v>0.33333333333330001</v>
      </c>
      <c r="NY13">
        <v>0.33333333333330001</v>
      </c>
      <c r="NZ13">
        <v>0.33333333333330001</v>
      </c>
      <c r="OA13">
        <v>0.33333333333330001</v>
      </c>
      <c r="OB13">
        <v>0.33333333333330001</v>
      </c>
      <c r="OC13">
        <v>0.33333333333330001</v>
      </c>
      <c r="OD13">
        <v>0.33333333333330001</v>
      </c>
      <c r="OE13">
        <v>0.33333333333330001</v>
      </c>
      <c r="OF13">
        <v>0.33333333333330001</v>
      </c>
      <c r="OG13">
        <v>0.33333333333330001</v>
      </c>
      <c r="OH13">
        <v>0.33333333333330001</v>
      </c>
      <c r="OI13">
        <v>0.33333333333330001</v>
      </c>
      <c r="OJ13">
        <v>0.33333333333330001</v>
      </c>
      <c r="OK13">
        <v>0.33333333333330001</v>
      </c>
      <c r="OL13">
        <v>0.33333333333330001</v>
      </c>
      <c r="OM13">
        <v>0.33333333333330001</v>
      </c>
      <c r="ON13">
        <v>0.33333333333330001</v>
      </c>
      <c r="OO13">
        <v>0.33333333333330001</v>
      </c>
      <c r="OP13">
        <v>0.33333333333330001</v>
      </c>
      <c r="OQ13">
        <v>0.33333333333330001</v>
      </c>
      <c r="OR13">
        <v>0.33333333333330001</v>
      </c>
      <c r="OS13">
        <v>0.33333333333330001</v>
      </c>
      <c r="OT13">
        <v>0.33333333333330001</v>
      </c>
      <c r="OU13">
        <v>0.33333333333330001</v>
      </c>
      <c r="OV13">
        <v>0.33333333333330001</v>
      </c>
      <c r="OW13">
        <v>0.33333333333330001</v>
      </c>
      <c r="OX13">
        <v>0.33333333333330001</v>
      </c>
      <c r="OY13">
        <v>0.33333333333330001</v>
      </c>
      <c r="OZ13">
        <v>0.33333333333330001</v>
      </c>
      <c r="PA13">
        <v>0.33333333333330001</v>
      </c>
      <c r="PB13">
        <v>0.33333333333330001</v>
      </c>
      <c r="PC13">
        <v>0.33333333333330001</v>
      </c>
      <c r="PD13">
        <v>0.33333333333330001</v>
      </c>
      <c r="PE13">
        <v>0.33333333333330001</v>
      </c>
      <c r="PF13">
        <v>0.33333333333330001</v>
      </c>
      <c r="PG13">
        <v>0.33333333333330001</v>
      </c>
      <c r="PH13">
        <v>0.33333333333330001</v>
      </c>
      <c r="PI13">
        <v>0.33333333333330001</v>
      </c>
      <c r="PJ13">
        <v>0.33333333333330001</v>
      </c>
      <c r="PK13">
        <v>0.33333333333330001</v>
      </c>
      <c r="PL13">
        <v>0.21</v>
      </c>
      <c r="PM13">
        <v>0.21</v>
      </c>
      <c r="PN13">
        <v>0.21</v>
      </c>
      <c r="PO13">
        <v>0.21</v>
      </c>
      <c r="PP13">
        <v>0.21</v>
      </c>
      <c r="PQ13">
        <v>0.09</v>
      </c>
      <c r="PR13">
        <v>0.09</v>
      </c>
      <c r="PS13">
        <v>0.09</v>
      </c>
      <c r="PT13">
        <v>0.09</v>
      </c>
      <c r="PU13">
        <v>0.09</v>
      </c>
      <c r="PV13">
        <v>0.45666659999999998</v>
      </c>
      <c r="PW13">
        <v>0.45666659999999998</v>
      </c>
      <c r="PX13">
        <v>0.45666659999999998</v>
      </c>
      <c r="PY13">
        <v>0.45666659999999998</v>
      </c>
      <c r="PZ13">
        <v>0.45666659999999998</v>
      </c>
      <c r="QA13">
        <v>0.57666660000000003</v>
      </c>
      <c r="QB13">
        <v>0.57666660000000003</v>
      </c>
      <c r="QC13">
        <v>0.57666660000000003</v>
      </c>
      <c r="QD13">
        <v>0.57666660000000003</v>
      </c>
      <c r="QE13">
        <v>0.57666660000000003</v>
      </c>
    </row>
    <row r="14" spans="1:666" x14ac:dyDescent="0.15">
      <c r="A14" t="s">
        <v>127</v>
      </c>
      <c r="B14" s="24">
        <f>Sectors!B10</f>
        <v>1.5</v>
      </c>
      <c r="C14">
        <f>B14</f>
        <v>1.5</v>
      </c>
      <c r="D14">
        <f t="shared" si="116"/>
        <v>1.5</v>
      </c>
      <c r="E14">
        <f>C14</f>
        <v>1.5</v>
      </c>
      <c r="F14">
        <f t="shared" si="116"/>
        <v>1.5</v>
      </c>
      <c r="H14" s="24">
        <v>1.5</v>
      </c>
      <c r="I14">
        <v>1.5</v>
      </c>
      <c r="J14">
        <v>1.5</v>
      </c>
      <c r="K14">
        <v>1.5</v>
      </c>
      <c r="L14">
        <v>1.5</v>
      </c>
      <c r="M14" s="24">
        <v>1.5</v>
      </c>
      <c r="N14">
        <v>1.5</v>
      </c>
      <c r="O14">
        <v>1.5</v>
      </c>
      <c r="P14">
        <v>1.5</v>
      </c>
      <c r="Q14">
        <v>1.5</v>
      </c>
      <c r="R14" s="24">
        <v>1.5</v>
      </c>
      <c r="S14">
        <v>1.5</v>
      </c>
      <c r="T14">
        <v>1.5</v>
      </c>
      <c r="U14">
        <v>1.5</v>
      </c>
      <c r="V14">
        <v>1.5</v>
      </c>
      <c r="W14" s="24">
        <v>1.5</v>
      </c>
      <c r="X14">
        <v>1.5</v>
      </c>
      <c r="Y14">
        <v>1.5</v>
      </c>
      <c r="Z14">
        <v>1.5</v>
      </c>
      <c r="AA14">
        <v>1.5</v>
      </c>
      <c r="AB14" s="24">
        <v>1.5</v>
      </c>
      <c r="AC14">
        <v>1.5</v>
      </c>
      <c r="AD14">
        <v>1.5</v>
      </c>
      <c r="AE14">
        <v>1.5</v>
      </c>
      <c r="AF14">
        <v>1.5</v>
      </c>
      <c r="AG14" s="24">
        <v>1.5</v>
      </c>
      <c r="AH14">
        <v>1.5</v>
      </c>
      <c r="AI14">
        <v>1.5</v>
      </c>
      <c r="AJ14">
        <v>1.5</v>
      </c>
      <c r="AK14">
        <v>1.5</v>
      </c>
      <c r="AL14" s="24">
        <v>1.5</v>
      </c>
      <c r="AM14">
        <v>1.5</v>
      </c>
      <c r="AN14">
        <v>1.5</v>
      </c>
      <c r="AO14">
        <v>1.5</v>
      </c>
      <c r="AP14">
        <v>1.5</v>
      </c>
      <c r="AQ14" s="24">
        <v>1.5</v>
      </c>
      <c r="AR14">
        <v>1.5</v>
      </c>
      <c r="AS14">
        <v>1.5</v>
      </c>
      <c r="AT14">
        <v>1.5</v>
      </c>
      <c r="AU14">
        <v>1.5</v>
      </c>
      <c r="AV14" s="24">
        <v>1.5</v>
      </c>
      <c r="AW14">
        <v>1.5</v>
      </c>
      <c r="AX14">
        <v>1.5</v>
      </c>
      <c r="AY14">
        <v>1.5</v>
      </c>
      <c r="AZ14">
        <v>1.5</v>
      </c>
      <c r="BA14" s="24">
        <v>1.5</v>
      </c>
      <c r="BB14">
        <v>1.5</v>
      </c>
      <c r="BC14">
        <v>1.5</v>
      </c>
      <c r="BD14">
        <v>1.5</v>
      </c>
      <c r="BE14">
        <v>1.5</v>
      </c>
      <c r="BF14" s="24">
        <v>1.5</v>
      </c>
      <c r="BG14">
        <v>1.5</v>
      </c>
      <c r="BH14">
        <v>1.5</v>
      </c>
      <c r="BI14">
        <v>1.5</v>
      </c>
      <c r="BJ14">
        <v>1.5</v>
      </c>
      <c r="BK14" s="24">
        <v>1.5</v>
      </c>
      <c r="BL14">
        <v>1.5</v>
      </c>
      <c r="BM14">
        <v>1.5</v>
      </c>
      <c r="BN14">
        <v>1.5</v>
      </c>
      <c r="BO14">
        <v>1.5</v>
      </c>
      <c r="BP14" s="24">
        <v>1.5</v>
      </c>
      <c r="BQ14">
        <v>1.5</v>
      </c>
      <c r="BR14">
        <v>1.5</v>
      </c>
      <c r="BS14">
        <v>1.5</v>
      </c>
      <c r="BT14">
        <v>1.5</v>
      </c>
      <c r="BU14" s="24">
        <v>1.5</v>
      </c>
      <c r="BV14">
        <v>1.5</v>
      </c>
      <c r="BW14">
        <v>1.5</v>
      </c>
      <c r="BX14">
        <v>1.5</v>
      </c>
      <c r="BY14">
        <v>1.5</v>
      </c>
      <c r="BZ14" s="24">
        <v>1.5</v>
      </c>
      <c r="CA14">
        <v>1.5</v>
      </c>
      <c r="CB14">
        <v>1.5</v>
      </c>
      <c r="CC14">
        <v>1.5</v>
      </c>
      <c r="CD14">
        <v>1.5</v>
      </c>
      <c r="CE14" s="24">
        <v>1.5</v>
      </c>
      <c r="CF14">
        <v>1.5</v>
      </c>
      <c r="CG14">
        <v>1.5</v>
      </c>
      <c r="CH14">
        <v>1.5</v>
      </c>
      <c r="CI14">
        <v>1.5</v>
      </c>
      <c r="CJ14" s="24">
        <v>1.5</v>
      </c>
      <c r="CK14">
        <v>1.5</v>
      </c>
      <c r="CL14">
        <v>1.5</v>
      </c>
      <c r="CM14">
        <v>1.5</v>
      </c>
      <c r="CN14">
        <v>1.5</v>
      </c>
      <c r="CO14" s="24">
        <v>1.5</v>
      </c>
      <c r="CP14">
        <v>1.5</v>
      </c>
      <c r="CQ14">
        <v>1.5</v>
      </c>
      <c r="CR14">
        <v>1.5</v>
      </c>
      <c r="CS14">
        <v>1.5</v>
      </c>
      <c r="CT14" s="24">
        <v>1.5</v>
      </c>
      <c r="CU14">
        <v>1.5</v>
      </c>
      <c r="CV14">
        <v>1.5</v>
      </c>
      <c r="CW14">
        <v>1.5</v>
      </c>
      <c r="CX14">
        <v>1.5</v>
      </c>
      <c r="CY14" s="24">
        <v>1.5</v>
      </c>
      <c r="CZ14">
        <v>1.5</v>
      </c>
      <c r="DA14">
        <v>1.5</v>
      </c>
      <c r="DB14">
        <v>1.5</v>
      </c>
      <c r="DC14">
        <v>1.5</v>
      </c>
      <c r="DD14" s="24">
        <v>1.5</v>
      </c>
      <c r="DE14">
        <v>1.5</v>
      </c>
      <c r="DF14">
        <v>1.5</v>
      </c>
      <c r="DG14">
        <v>1.5</v>
      </c>
      <c r="DH14">
        <v>1.5</v>
      </c>
      <c r="DI14" s="24">
        <v>1.5</v>
      </c>
      <c r="DJ14">
        <v>1.5</v>
      </c>
      <c r="DK14">
        <v>1.5</v>
      </c>
      <c r="DL14">
        <v>1.5</v>
      </c>
      <c r="DM14">
        <v>1.5</v>
      </c>
      <c r="DN14" s="24">
        <v>1.5</v>
      </c>
      <c r="DO14">
        <v>1.5</v>
      </c>
      <c r="DP14">
        <v>1.5</v>
      </c>
      <c r="DQ14">
        <v>1.5</v>
      </c>
      <c r="DR14">
        <v>1.5</v>
      </c>
      <c r="DS14" s="24">
        <v>1.5</v>
      </c>
      <c r="DT14">
        <v>1.5</v>
      </c>
      <c r="DU14">
        <v>1.5</v>
      </c>
      <c r="DV14">
        <v>1.5</v>
      </c>
      <c r="DW14">
        <v>1.5</v>
      </c>
      <c r="DX14" s="24">
        <v>1.5</v>
      </c>
      <c r="DY14">
        <v>1.5</v>
      </c>
      <c r="DZ14">
        <v>1.5</v>
      </c>
      <c r="EA14">
        <v>1.5</v>
      </c>
      <c r="EB14">
        <v>1.5</v>
      </c>
      <c r="EC14" s="24">
        <v>1.5</v>
      </c>
      <c r="ED14">
        <v>1.5</v>
      </c>
      <c r="EE14">
        <v>1.5</v>
      </c>
      <c r="EF14">
        <v>1.5</v>
      </c>
      <c r="EG14">
        <v>1.5</v>
      </c>
      <c r="EH14" s="24">
        <v>1.5</v>
      </c>
      <c r="EI14">
        <v>1.5</v>
      </c>
      <c r="EJ14">
        <v>1.5</v>
      </c>
      <c r="EK14">
        <v>1.5</v>
      </c>
      <c r="EL14">
        <v>1.5</v>
      </c>
      <c r="EM14" s="24">
        <v>1.5</v>
      </c>
      <c r="EN14">
        <v>1.5</v>
      </c>
      <c r="EO14">
        <v>1.5</v>
      </c>
      <c r="EP14">
        <v>1.5</v>
      </c>
      <c r="EQ14">
        <v>1.5</v>
      </c>
      <c r="ER14" s="24">
        <v>1.5</v>
      </c>
      <c r="ES14">
        <v>1.5</v>
      </c>
      <c r="ET14">
        <v>1.5</v>
      </c>
      <c r="EU14">
        <v>1.5</v>
      </c>
      <c r="EV14">
        <v>1.5</v>
      </c>
      <c r="EW14" s="24">
        <v>1.5</v>
      </c>
      <c r="EX14">
        <v>1.5</v>
      </c>
      <c r="EY14">
        <v>1.5</v>
      </c>
      <c r="EZ14">
        <v>1.5</v>
      </c>
      <c r="FA14">
        <v>1.5</v>
      </c>
      <c r="FB14" s="24">
        <v>1.5</v>
      </c>
      <c r="FC14">
        <v>1.5</v>
      </c>
      <c r="FD14">
        <v>1.5</v>
      </c>
      <c r="FE14">
        <v>1.5</v>
      </c>
      <c r="FF14">
        <v>1.5</v>
      </c>
      <c r="FG14" s="24">
        <v>1.5</v>
      </c>
      <c r="FH14">
        <v>1.5</v>
      </c>
      <c r="FI14">
        <v>1.5</v>
      </c>
      <c r="FJ14">
        <v>1.5</v>
      </c>
      <c r="FK14">
        <v>1.5</v>
      </c>
      <c r="FL14" s="24">
        <v>1.5</v>
      </c>
      <c r="FM14">
        <v>1.5</v>
      </c>
      <c r="FN14">
        <v>1.5</v>
      </c>
      <c r="FO14">
        <v>1.5</v>
      </c>
      <c r="FP14">
        <v>1.5</v>
      </c>
      <c r="FQ14" s="24">
        <v>1.5</v>
      </c>
      <c r="FR14">
        <v>1.5</v>
      </c>
      <c r="FS14">
        <v>1.5</v>
      </c>
      <c r="FT14">
        <v>1.5</v>
      </c>
      <c r="FU14">
        <v>1.5</v>
      </c>
      <c r="FV14" s="24">
        <v>1.5</v>
      </c>
      <c r="FW14">
        <v>1.5</v>
      </c>
      <c r="FX14">
        <v>1.5</v>
      </c>
      <c r="FY14">
        <v>1.5</v>
      </c>
      <c r="FZ14">
        <v>1.5</v>
      </c>
      <c r="GA14" s="24">
        <v>1.5</v>
      </c>
      <c r="GB14">
        <v>1.5</v>
      </c>
      <c r="GC14">
        <v>1.5</v>
      </c>
      <c r="GD14">
        <v>1.5</v>
      </c>
      <c r="GE14">
        <v>1.5</v>
      </c>
      <c r="GF14" s="24">
        <v>1.5</v>
      </c>
      <c r="GG14">
        <v>1.5</v>
      </c>
      <c r="GH14">
        <v>1.5</v>
      </c>
      <c r="GI14">
        <v>1.5</v>
      </c>
      <c r="GJ14">
        <v>1.5</v>
      </c>
      <c r="GK14" s="24">
        <v>1.5</v>
      </c>
      <c r="GL14">
        <v>1.5</v>
      </c>
      <c r="GM14">
        <v>1.5</v>
      </c>
      <c r="GN14">
        <v>1.5</v>
      </c>
      <c r="GO14">
        <v>1.5</v>
      </c>
      <c r="GP14" s="24">
        <v>1.5</v>
      </c>
      <c r="GQ14">
        <v>1.5</v>
      </c>
      <c r="GR14">
        <v>1.5</v>
      </c>
      <c r="GS14">
        <v>1.5</v>
      </c>
      <c r="GT14">
        <v>1.5</v>
      </c>
      <c r="GU14" s="24">
        <v>1.5</v>
      </c>
      <c r="GV14">
        <v>1.5</v>
      </c>
      <c r="GW14">
        <v>1.5</v>
      </c>
      <c r="GX14">
        <v>1.5</v>
      </c>
      <c r="GY14">
        <v>1.5</v>
      </c>
      <c r="GZ14" s="24">
        <v>1.5</v>
      </c>
      <c r="HA14">
        <v>1.5</v>
      </c>
      <c r="HB14">
        <v>1.5</v>
      </c>
      <c r="HC14">
        <v>1.5</v>
      </c>
      <c r="HD14">
        <v>1.5</v>
      </c>
      <c r="HE14" s="24">
        <v>1.5</v>
      </c>
      <c r="HF14">
        <v>1.5</v>
      </c>
      <c r="HG14">
        <v>1.5</v>
      </c>
      <c r="HH14">
        <v>1.5</v>
      </c>
      <c r="HI14">
        <v>1.5</v>
      </c>
      <c r="HJ14" s="24">
        <v>1.5</v>
      </c>
      <c r="HK14">
        <v>1.5</v>
      </c>
      <c r="HL14">
        <v>1.5</v>
      </c>
      <c r="HM14">
        <v>1.5</v>
      </c>
      <c r="HN14">
        <v>1.5</v>
      </c>
      <c r="HO14">
        <v>1.5</v>
      </c>
      <c r="HP14">
        <v>1.5</v>
      </c>
      <c r="HQ14">
        <v>1.5</v>
      </c>
      <c r="HR14">
        <v>1.5</v>
      </c>
      <c r="HS14">
        <v>1.5</v>
      </c>
      <c r="HT14">
        <v>1.5</v>
      </c>
      <c r="HU14">
        <v>1.5</v>
      </c>
      <c r="HV14">
        <v>1.5</v>
      </c>
      <c r="HW14">
        <v>1.5</v>
      </c>
      <c r="HX14">
        <v>1.5</v>
      </c>
      <c r="HY14">
        <v>1.5</v>
      </c>
      <c r="HZ14">
        <v>1.5</v>
      </c>
      <c r="IA14">
        <v>1.5</v>
      </c>
      <c r="IB14">
        <v>1.5</v>
      </c>
      <c r="IC14">
        <v>1.5</v>
      </c>
      <c r="ID14">
        <v>1.55</v>
      </c>
      <c r="IE14">
        <v>1.55</v>
      </c>
      <c r="IF14">
        <v>1.55</v>
      </c>
      <c r="IG14">
        <v>1.55</v>
      </c>
      <c r="IH14">
        <v>1.55</v>
      </c>
      <c r="II14">
        <v>1.6</v>
      </c>
      <c r="IJ14">
        <v>1.6</v>
      </c>
      <c r="IK14">
        <v>1.6</v>
      </c>
      <c r="IL14">
        <v>1.6</v>
      </c>
      <c r="IM14">
        <v>1.6</v>
      </c>
      <c r="IN14">
        <v>1.65</v>
      </c>
      <c r="IO14" s="86">
        <v>1.65</v>
      </c>
      <c r="IP14">
        <v>1.65</v>
      </c>
      <c r="IQ14">
        <v>1.65</v>
      </c>
      <c r="IR14">
        <v>1.65</v>
      </c>
      <c r="IS14">
        <v>1.7</v>
      </c>
      <c r="IT14">
        <v>1.7</v>
      </c>
      <c r="IU14">
        <v>1.7</v>
      </c>
      <c r="IV14">
        <v>1.7</v>
      </c>
      <c r="IW14">
        <v>1.7</v>
      </c>
      <c r="IX14">
        <v>1.45</v>
      </c>
      <c r="IY14">
        <v>1.45</v>
      </c>
      <c r="IZ14">
        <v>1.45</v>
      </c>
      <c r="JA14">
        <v>1.45</v>
      </c>
      <c r="JB14">
        <v>1.45</v>
      </c>
      <c r="JC14">
        <v>1.4</v>
      </c>
      <c r="JD14">
        <v>1.4</v>
      </c>
      <c r="JE14">
        <v>1.4</v>
      </c>
      <c r="JF14">
        <v>1.4</v>
      </c>
      <c r="JG14">
        <v>1.4</v>
      </c>
      <c r="JH14">
        <v>1.3</v>
      </c>
      <c r="JI14">
        <v>1.3</v>
      </c>
      <c r="JJ14">
        <v>1.3</v>
      </c>
      <c r="JK14">
        <v>1.3</v>
      </c>
      <c r="JL14">
        <v>1.3</v>
      </c>
      <c r="JM14">
        <v>1.5</v>
      </c>
      <c r="JN14">
        <v>1.5</v>
      </c>
      <c r="JO14">
        <v>1.5</v>
      </c>
      <c r="JP14">
        <v>1.5</v>
      </c>
      <c r="JQ14">
        <v>1.5</v>
      </c>
      <c r="JR14">
        <v>1.5</v>
      </c>
      <c r="JS14">
        <v>1.5</v>
      </c>
      <c r="JT14">
        <v>1.5</v>
      </c>
      <c r="JU14">
        <v>1.5</v>
      </c>
      <c r="JV14">
        <v>1.5</v>
      </c>
      <c r="JW14">
        <v>1.5</v>
      </c>
      <c r="JX14">
        <v>1.5</v>
      </c>
      <c r="JY14">
        <v>1.5</v>
      </c>
      <c r="JZ14">
        <v>1.5</v>
      </c>
      <c r="KA14">
        <v>1.5</v>
      </c>
      <c r="KB14">
        <v>1.5</v>
      </c>
      <c r="KC14">
        <v>1.5</v>
      </c>
      <c r="KD14">
        <v>1.5</v>
      </c>
      <c r="KE14">
        <v>1.5</v>
      </c>
      <c r="KF14">
        <v>1.5</v>
      </c>
      <c r="KG14">
        <v>1.5</v>
      </c>
      <c r="KH14">
        <v>1.5</v>
      </c>
      <c r="KI14">
        <v>1.5</v>
      </c>
      <c r="KJ14">
        <v>1.5</v>
      </c>
      <c r="KK14">
        <v>1.5</v>
      </c>
      <c r="KL14">
        <v>1.5</v>
      </c>
      <c r="KM14">
        <v>1.5</v>
      </c>
      <c r="KN14">
        <v>1.5</v>
      </c>
      <c r="KO14">
        <v>1.5</v>
      </c>
      <c r="KP14">
        <v>1.5</v>
      </c>
      <c r="KQ14">
        <v>1.5</v>
      </c>
      <c r="KR14">
        <v>1.5</v>
      </c>
      <c r="KS14">
        <v>1.5</v>
      </c>
      <c r="KT14">
        <v>1.5</v>
      </c>
      <c r="KU14">
        <v>1.5</v>
      </c>
      <c r="KV14">
        <v>1.5</v>
      </c>
      <c r="KW14">
        <v>1.5</v>
      </c>
      <c r="KX14">
        <v>1.5</v>
      </c>
      <c r="KY14">
        <v>1.5</v>
      </c>
      <c r="KZ14">
        <v>1.5</v>
      </c>
      <c r="LA14">
        <v>1.5</v>
      </c>
      <c r="LB14">
        <v>1.5</v>
      </c>
      <c r="LC14">
        <v>1.5</v>
      </c>
      <c r="LD14">
        <v>1.5</v>
      </c>
      <c r="LE14">
        <v>1.5</v>
      </c>
      <c r="LF14">
        <v>1.5</v>
      </c>
      <c r="LG14">
        <v>1.5</v>
      </c>
      <c r="LH14">
        <v>1.5</v>
      </c>
      <c r="LI14">
        <v>1.5</v>
      </c>
      <c r="LJ14">
        <v>1.5</v>
      </c>
      <c r="LK14">
        <v>1.5</v>
      </c>
      <c r="LL14">
        <v>1.5</v>
      </c>
      <c r="LM14">
        <v>1.5</v>
      </c>
      <c r="LN14">
        <v>1.5</v>
      </c>
      <c r="LO14">
        <v>1.5</v>
      </c>
      <c r="LP14">
        <v>1.5</v>
      </c>
      <c r="LQ14">
        <v>1.5</v>
      </c>
      <c r="LR14">
        <v>1.5</v>
      </c>
      <c r="LS14">
        <v>1.5</v>
      </c>
      <c r="LT14">
        <v>1.5</v>
      </c>
      <c r="LU14">
        <v>1.5</v>
      </c>
      <c r="LV14">
        <v>1.5</v>
      </c>
      <c r="LW14">
        <v>1.5</v>
      </c>
      <c r="LX14">
        <v>1.5</v>
      </c>
      <c r="LY14">
        <v>1.5</v>
      </c>
      <c r="LZ14">
        <v>1.5</v>
      </c>
      <c r="MA14">
        <v>1.5</v>
      </c>
      <c r="MB14">
        <v>1.5</v>
      </c>
      <c r="MC14">
        <v>1.5</v>
      </c>
      <c r="MD14">
        <v>1.5</v>
      </c>
      <c r="ME14">
        <v>1.5</v>
      </c>
      <c r="MF14">
        <v>1.5</v>
      </c>
      <c r="MG14">
        <v>1.5</v>
      </c>
      <c r="MH14">
        <v>1.5</v>
      </c>
      <c r="MI14">
        <v>1.5</v>
      </c>
      <c r="MJ14">
        <v>1.5</v>
      </c>
      <c r="MK14">
        <v>1.5</v>
      </c>
      <c r="ML14">
        <v>1.5</v>
      </c>
      <c r="MM14">
        <v>1.5</v>
      </c>
      <c r="MN14">
        <v>1.5</v>
      </c>
      <c r="MO14">
        <v>1.2</v>
      </c>
      <c r="MP14">
        <v>1.2</v>
      </c>
      <c r="MQ14">
        <v>1.2</v>
      </c>
      <c r="MR14">
        <v>1.2</v>
      </c>
      <c r="MS14">
        <v>1.2</v>
      </c>
      <c r="MT14">
        <v>1.1000000000000001</v>
      </c>
      <c r="MU14">
        <v>1.1000000000000001</v>
      </c>
      <c r="MV14">
        <v>1.1000000000000001</v>
      </c>
      <c r="MW14">
        <v>1.1000000000000001</v>
      </c>
      <c r="MX14">
        <v>1.1000000000000001</v>
      </c>
      <c r="MY14">
        <v>1.0001</v>
      </c>
      <c r="MZ14">
        <v>1.0001</v>
      </c>
      <c r="NA14">
        <v>1.0001</v>
      </c>
      <c r="NB14">
        <v>1.0001</v>
      </c>
      <c r="NC14">
        <v>1.0001</v>
      </c>
      <c r="ND14">
        <v>1.8</v>
      </c>
      <c r="NE14">
        <v>1.8</v>
      </c>
      <c r="NF14">
        <v>1.8</v>
      </c>
      <c r="NG14">
        <v>1.8</v>
      </c>
      <c r="NH14">
        <v>1.8</v>
      </c>
      <c r="NI14">
        <v>1.9</v>
      </c>
      <c r="NJ14">
        <v>1.9</v>
      </c>
      <c r="NK14">
        <v>1.9</v>
      </c>
      <c r="NL14">
        <v>1.9</v>
      </c>
      <c r="NM14">
        <v>1.9</v>
      </c>
      <c r="NN14">
        <v>2</v>
      </c>
      <c r="NO14">
        <v>2</v>
      </c>
      <c r="NP14">
        <v>2</v>
      </c>
      <c r="NQ14">
        <v>2</v>
      </c>
      <c r="NR14">
        <v>2</v>
      </c>
      <c r="NS14">
        <v>1.5</v>
      </c>
      <c r="NT14">
        <v>1.5</v>
      </c>
      <c r="NU14">
        <v>1.5</v>
      </c>
      <c r="NV14">
        <v>1.5</v>
      </c>
      <c r="NW14">
        <v>1.5</v>
      </c>
      <c r="NX14">
        <v>1.5</v>
      </c>
      <c r="NY14">
        <v>1.5</v>
      </c>
      <c r="NZ14">
        <v>1.5</v>
      </c>
      <c r="OA14">
        <v>1.5</v>
      </c>
      <c r="OB14">
        <v>1.5</v>
      </c>
      <c r="OC14">
        <v>1.5</v>
      </c>
      <c r="OD14">
        <v>1.5</v>
      </c>
      <c r="OE14">
        <v>1.5</v>
      </c>
      <c r="OF14">
        <v>1.5</v>
      </c>
      <c r="OG14">
        <v>1.5</v>
      </c>
      <c r="OH14">
        <v>1.25</v>
      </c>
      <c r="OI14">
        <v>1.25</v>
      </c>
      <c r="OJ14">
        <v>1.25</v>
      </c>
      <c r="OK14">
        <v>1.25</v>
      </c>
      <c r="OL14">
        <v>1.25</v>
      </c>
      <c r="OM14">
        <v>1.75</v>
      </c>
      <c r="ON14">
        <v>1.75</v>
      </c>
      <c r="OO14">
        <v>1.75</v>
      </c>
      <c r="OP14">
        <v>1.75</v>
      </c>
      <c r="OQ14">
        <v>1.75</v>
      </c>
      <c r="OR14">
        <v>1.5</v>
      </c>
      <c r="OS14">
        <v>1.5</v>
      </c>
      <c r="OT14">
        <v>1.5</v>
      </c>
      <c r="OU14">
        <v>1.5</v>
      </c>
      <c r="OV14">
        <v>1.5</v>
      </c>
      <c r="OW14">
        <v>1.5</v>
      </c>
      <c r="OX14">
        <v>1.5</v>
      </c>
      <c r="OY14">
        <v>1.5</v>
      </c>
      <c r="OZ14">
        <v>1.5</v>
      </c>
      <c r="PA14">
        <v>1.5</v>
      </c>
      <c r="PB14">
        <v>1.5</v>
      </c>
      <c r="PC14">
        <v>1.5</v>
      </c>
      <c r="PD14">
        <v>1.5</v>
      </c>
      <c r="PE14">
        <v>1.5</v>
      </c>
      <c r="PF14">
        <v>1.5</v>
      </c>
      <c r="PG14">
        <v>1.5</v>
      </c>
      <c r="PH14">
        <v>1.5</v>
      </c>
      <c r="PI14">
        <v>1.5</v>
      </c>
      <c r="PJ14">
        <v>1.5</v>
      </c>
      <c r="PK14">
        <v>1.5</v>
      </c>
      <c r="PL14" s="24">
        <v>1.5</v>
      </c>
      <c r="PM14">
        <v>1.5</v>
      </c>
      <c r="PN14">
        <v>1.5</v>
      </c>
      <c r="PO14">
        <v>1.5</v>
      </c>
      <c r="PP14">
        <v>1.5</v>
      </c>
      <c r="PQ14">
        <v>1.5</v>
      </c>
      <c r="PR14">
        <v>1.5</v>
      </c>
      <c r="PS14">
        <v>1.5</v>
      </c>
      <c r="PT14">
        <v>1.5</v>
      </c>
      <c r="PU14">
        <v>1.5</v>
      </c>
      <c r="PV14">
        <v>1.5</v>
      </c>
      <c r="PW14">
        <v>1.5</v>
      </c>
      <c r="PX14">
        <v>1.5</v>
      </c>
      <c r="PY14">
        <v>1.5</v>
      </c>
      <c r="PZ14">
        <v>1.5</v>
      </c>
      <c r="QA14" s="24">
        <v>1.5</v>
      </c>
      <c r="QB14">
        <v>1.5</v>
      </c>
      <c r="QC14">
        <v>1.5</v>
      </c>
      <c r="QD14">
        <v>1.5</v>
      </c>
      <c r="QE14">
        <v>1.5</v>
      </c>
    </row>
    <row r="15" spans="1:666" x14ac:dyDescent="0.15">
      <c r="A15" t="s">
        <v>36</v>
      </c>
      <c r="B15" s="23">
        <f>FixedParams!B47</f>
        <v>0.999</v>
      </c>
      <c r="C15" s="23">
        <f>B15</f>
        <v>0.999</v>
      </c>
      <c r="D15" s="23">
        <f t="shared" si="116"/>
        <v>0.999</v>
      </c>
      <c r="E15" s="23">
        <f>C15</f>
        <v>0.999</v>
      </c>
      <c r="F15" s="23">
        <f t="shared" si="116"/>
        <v>0.999</v>
      </c>
      <c r="H15" s="23">
        <v>0.999</v>
      </c>
      <c r="I15" s="23">
        <v>0.999</v>
      </c>
      <c r="J15" s="23">
        <v>0.999</v>
      </c>
      <c r="K15" s="23">
        <v>0.999</v>
      </c>
      <c r="L15" s="23">
        <v>0.999</v>
      </c>
      <c r="M15" s="23">
        <v>0.999</v>
      </c>
      <c r="N15" s="23">
        <v>0.999</v>
      </c>
      <c r="O15" s="23">
        <v>0.999</v>
      </c>
      <c r="P15" s="23">
        <v>0.999</v>
      </c>
      <c r="Q15" s="23">
        <v>0.999</v>
      </c>
      <c r="R15" s="23">
        <v>0.999</v>
      </c>
      <c r="S15" s="23">
        <v>0.999</v>
      </c>
      <c r="T15" s="23">
        <v>0.999</v>
      </c>
      <c r="U15" s="23">
        <v>0.999</v>
      </c>
      <c r="V15" s="23">
        <v>0.999</v>
      </c>
      <c r="W15" s="23">
        <v>0.999</v>
      </c>
      <c r="X15" s="23">
        <v>0.999</v>
      </c>
      <c r="Y15" s="23">
        <v>0.999</v>
      </c>
      <c r="Z15" s="23">
        <v>0.999</v>
      </c>
      <c r="AA15" s="23">
        <v>0.999</v>
      </c>
      <c r="AB15" s="23">
        <v>0.999</v>
      </c>
      <c r="AC15" s="23">
        <v>0.999</v>
      </c>
      <c r="AD15" s="23">
        <v>0.999</v>
      </c>
      <c r="AE15" s="23">
        <v>0.999</v>
      </c>
      <c r="AF15" s="23">
        <v>0.999</v>
      </c>
      <c r="AG15" s="23">
        <v>0.999</v>
      </c>
      <c r="AH15" s="23">
        <v>0.999</v>
      </c>
      <c r="AI15" s="23">
        <v>0.999</v>
      </c>
      <c r="AJ15" s="23">
        <v>0.999</v>
      </c>
      <c r="AK15" s="23">
        <v>0.999</v>
      </c>
      <c r="AL15" s="23">
        <v>0.999</v>
      </c>
      <c r="AM15" s="23">
        <v>0.999</v>
      </c>
      <c r="AN15" s="23">
        <v>0.999</v>
      </c>
      <c r="AO15" s="23">
        <v>0.999</v>
      </c>
      <c r="AP15" s="23">
        <v>0.999</v>
      </c>
      <c r="AQ15" s="23">
        <v>0.999</v>
      </c>
      <c r="AR15" s="23">
        <v>0.999</v>
      </c>
      <c r="AS15" s="23">
        <v>0.999</v>
      </c>
      <c r="AT15" s="23">
        <v>0.999</v>
      </c>
      <c r="AU15" s="23">
        <v>0.999</v>
      </c>
      <c r="AV15" s="23">
        <v>0.999</v>
      </c>
      <c r="AW15" s="23">
        <v>0.999</v>
      </c>
      <c r="AX15" s="23">
        <v>0.999</v>
      </c>
      <c r="AY15" s="23">
        <v>0.999</v>
      </c>
      <c r="AZ15" s="23">
        <v>0.999</v>
      </c>
      <c r="BA15" s="23">
        <v>0.999</v>
      </c>
      <c r="BB15" s="23">
        <v>0.999</v>
      </c>
      <c r="BC15" s="23">
        <v>0.999</v>
      </c>
      <c r="BD15" s="23">
        <v>0.999</v>
      </c>
      <c r="BE15" s="23">
        <v>0.999</v>
      </c>
      <c r="BF15" s="23">
        <v>0.999</v>
      </c>
      <c r="BG15" s="23">
        <v>0.999</v>
      </c>
      <c r="BH15" s="23">
        <v>0.999</v>
      </c>
      <c r="BI15" s="23">
        <v>0.999</v>
      </c>
      <c r="BJ15" s="23">
        <v>0.999</v>
      </c>
      <c r="BK15" s="23">
        <v>0.999</v>
      </c>
      <c r="BL15" s="23">
        <v>0.999</v>
      </c>
      <c r="BM15" s="23">
        <v>0.999</v>
      </c>
      <c r="BN15" s="23">
        <v>0.999</v>
      </c>
      <c r="BO15" s="23">
        <v>0.999</v>
      </c>
      <c r="BP15" s="23">
        <v>0.999</v>
      </c>
      <c r="BQ15" s="23">
        <v>0.999</v>
      </c>
      <c r="BR15" s="23">
        <v>0.999</v>
      </c>
      <c r="BS15" s="23">
        <v>0.999</v>
      </c>
      <c r="BT15" s="23">
        <v>0.999</v>
      </c>
      <c r="BU15" s="23">
        <v>0.999</v>
      </c>
      <c r="BV15" s="23">
        <v>0.999</v>
      </c>
      <c r="BW15" s="23">
        <v>0.999</v>
      </c>
      <c r="BX15" s="23">
        <v>0.999</v>
      </c>
      <c r="BY15" s="23">
        <v>0.999</v>
      </c>
      <c r="BZ15" s="23">
        <v>0.999</v>
      </c>
      <c r="CA15" s="23">
        <v>0.999</v>
      </c>
      <c r="CB15" s="23">
        <v>0.999</v>
      </c>
      <c r="CC15" s="23">
        <v>0.999</v>
      </c>
      <c r="CD15" s="23">
        <v>0.999</v>
      </c>
      <c r="CE15" s="23">
        <v>0.999</v>
      </c>
      <c r="CF15" s="23">
        <v>0.999</v>
      </c>
      <c r="CG15" s="23">
        <v>0.999</v>
      </c>
      <c r="CH15" s="23">
        <v>0.999</v>
      </c>
      <c r="CI15" s="23">
        <v>0.999</v>
      </c>
      <c r="CJ15" s="23">
        <v>0.999</v>
      </c>
      <c r="CK15" s="23">
        <v>0.999</v>
      </c>
      <c r="CL15" s="23">
        <v>0.999</v>
      </c>
      <c r="CM15" s="23">
        <v>0.999</v>
      </c>
      <c r="CN15" s="23">
        <v>0.999</v>
      </c>
      <c r="CO15" s="23">
        <v>0.999</v>
      </c>
      <c r="CP15" s="23">
        <v>0.999</v>
      </c>
      <c r="CQ15" s="23">
        <v>0.999</v>
      </c>
      <c r="CR15" s="23">
        <v>0.999</v>
      </c>
      <c r="CS15" s="23">
        <v>0.999</v>
      </c>
      <c r="CT15" s="23">
        <v>0.999</v>
      </c>
      <c r="CU15" s="23">
        <v>0.999</v>
      </c>
      <c r="CV15" s="23">
        <v>0.999</v>
      </c>
      <c r="CW15" s="23">
        <v>0.999</v>
      </c>
      <c r="CX15" s="23">
        <v>0.999</v>
      </c>
      <c r="CY15" s="23">
        <v>0.999</v>
      </c>
      <c r="CZ15" s="23">
        <v>0.999</v>
      </c>
      <c r="DA15" s="23">
        <v>0.999</v>
      </c>
      <c r="DB15" s="23">
        <v>0.999</v>
      </c>
      <c r="DC15" s="23">
        <v>0.999</v>
      </c>
      <c r="DD15" s="23">
        <v>0.999</v>
      </c>
      <c r="DE15" s="23">
        <v>0.999</v>
      </c>
      <c r="DF15" s="23">
        <v>0.999</v>
      </c>
      <c r="DG15" s="23">
        <v>0.999</v>
      </c>
      <c r="DH15" s="23">
        <v>0.999</v>
      </c>
      <c r="DI15" s="23">
        <v>0.999</v>
      </c>
      <c r="DJ15" s="23">
        <v>0.999</v>
      </c>
      <c r="DK15" s="23">
        <v>0.999</v>
      </c>
      <c r="DL15" s="23">
        <v>0.999</v>
      </c>
      <c r="DM15" s="23">
        <v>0.999</v>
      </c>
      <c r="DN15" s="23">
        <v>0.999</v>
      </c>
      <c r="DO15" s="23">
        <v>0.999</v>
      </c>
      <c r="DP15" s="23">
        <v>0.999</v>
      </c>
      <c r="DQ15" s="23">
        <v>0.999</v>
      </c>
      <c r="DR15" s="23">
        <v>0.999</v>
      </c>
      <c r="DS15" s="23">
        <v>0.999</v>
      </c>
      <c r="DT15" s="23">
        <v>0.999</v>
      </c>
      <c r="DU15" s="23">
        <v>0.999</v>
      </c>
      <c r="DV15" s="23">
        <v>0.999</v>
      </c>
      <c r="DW15" s="23">
        <v>0.999</v>
      </c>
      <c r="DX15" s="23">
        <v>0.999</v>
      </c>
      <c r="DY15" s="23">
        <v>0.999</v>
      </c>
      <c r="DZ15" s="23">
        <v>0.999</v>
      </c>
      <c r="EA15" s="23">
        <v>0.999</v>
      </c>
      <c r="EB15" s="23">
        <v>0.999</v>
      </c>
      <c r="EC15" s="23">
        <v>0.999</v>
      </c>
      <c r="ED15" s="23">
        <v>0.999</v>
      </c>
      <c r="EE15" s="23">
        <v>0.999</v>
      </c>
      <c r="EF15" s="23">
        <v>0.999</v>
      </c>
      <c r="EG15" s="23">
        <v>0.999</v>
      </c>
      <c r="EH15" s="23">
        <v>0.999</v>
      </c>
      <c r="EI15" s="23">
        <v>0.999</v>
      </c>
      <c r="EJ15" s="23">
        <v>0.999</v>
      </c>
      <c r="EK15" s="23">
        <v>0.999</v>
      </c>
      <c r="EL15" s="23">
        <v>0.999</v>
      </c>
      <c r="EM15" s="23">
        <v>0.999</v>
      </c>
      <c r="EN15" s="23">
        <v>0.999</v>
      </c>
      <c r="EO15" s="23">
        <v>0.999</v>
      </c>
      <c r="EP15" s="23">
        <v>0.999</v>
      </c>
      <c r="EQ15" s="23">
        <v>0.999</v>
      </c>
      <c r="ER15" s="23">
        <v>0.999</v>
      </c>
      <c r="ES15" s="23">
        <v>0.999</v>
      </c>
      <c r="ET15" s="23">
        <v>0.999</v>
      </c>
      <c r="EU15" s="23">
        <v>0.999</v>
      </c>
      <c r="EV15" s="23">
        <v>0.999</v>
      </c>
      <c r="EW15" s="23">
        <v>0.999</v>
      </c>
      <c r="EX15" s="23">
        <v>0.999</v>
      </c>
      <c r="EY15" s="23">
        <v>0.999</v>
      </c>
      <c r="EZ15" s="23">
        <v>0.999</v>
      </c>
      <c r="FA15" s="23">
        <v>0.999</v>
      </c>
      <c r="FB15" s="23">
        <v>0.999</v>
      </c>
      <c r="FC15" s="23">
        <v>0.999</v>
      </c>
      <c r="FD15" s="23">
        <v>0.999</v>
      </c>
      <c r="FE15" s="23">
        <v>0.999</v>
      </c>
      <c r="FF15" s="23">
        <v>0.999</v>
      </c>
      <c r="FG15" s="23">
        <v>0.999</v>
      </c>
      <c r="FH15" s="23">
        <v>0.999</v>
      </c>
      <c r="FI15" s="23">
        <v>0.999</v>
      </c>
      <c r="FJ15" s="23">
        <v>0.999</v>
      </c>
      <c r="FK15" s="23">
        <v>0.999</v>
      </c>
      <c r="FL15" s="23">
        <v>0.999</v>
      </c>
      <c r="FM15" s="23">
        <v>0.999</v>
      </c>
      <c r="FN15" s="23">
        <v>0.999</v>
      </c>
      <c r="FO15" s="23">
        <v>0.999</v>
      </c>
      <c r="FP15" s="23">
        <v>0.999</v>
      </c>
      <c r="FQ15" s="23">
        <v>0.999</v>
      </c>
      <c r="FR15" s="23">
        <v>0.999</v>
      </c>
      <c r="FS15" s="23">
        <v>0.999</v>
      </c>
      <c r="FT15" s="23">
        <v>0.999</v>
      </c>
      <c r="FU15" s="23">
        <v>0.999</v>
      </c>
      <c r="FV15" s="23">
        <v>0.999</v>
      </c>
      <c r="FW15" s="23">
        <v>0.999</v>
      </c>
      <c r="FX15" s="23">
        <v>0.999</v>
      </c>
      <c r="FY15" s="23">
        <v>0.999</v>
      </c>
      <c r="FZ15" s="23">
        <v>0.999</v>
      </c>
      <c r="GA15" s="23">
        <v>0.999</v>
      </c>
      <c r="GB15" s="23">
        <v>0.999</v>
      </c>
      <c r="GC15" s="23">
        <v>0.999</v>
      </c>
      <c r="GD15" s="23">
        <v>0.999</v>
      </c>
      <c r="GE15" s="23">
        <v>0.999</v>
      </c>
      <c r="GF15" s="23">
        <v>0.999</v>
      </c>
      <c r="GG15" s="23">
        <v>0.999</v>
      </c>
      <c r="GH15" s="23">
        <v>0.999</v>
      </c>
      <c r="GI15" s="23">
        <v>0.999</v>
      </c>
      <c r="GJ15" s="23">
        <v>0.999</v>
      </c>
      <c r="GK15" s="23">
        <v>0.999</v>
      </c>
      <c r="GL15" s="23">
        <v>0.999</v>
      </c>
      <c r="GM15" s="23">
        <v>0.999</v>
      </c>
      <c r="GN15" s="23">
        <v>0.999</v>
      </c>
      <c r="GO15" s="23">
        <v>0.999</v>
      </c>
      <c r="GP15" s="23">
        <v>0.999</v>
      </c>
      <c r="GQ15" s="23">
        <v>0.999</v>
      </c>
      <c r="GR15" s="23">
        <v>0.999</v>
      </c>
      <c r="GS15" s="23">
        <v>0.999</v>
      </c>
      <c r="GT15" s="23">
        <v>0.999</v>
      </c>
      <c r="GU15" s="23">
        <v>0.02</v>
      </c>
      <c r="GV15" s="23">
        <v>0.02</v>
      </c>
      <c r="GW15" s="23">
        <v>0.02</v>
      </c>
      <c r="GX15" s="23">
        <v>0.02</v>
      </c>
      <c r="GY15" s="23">
        <v>0.02</v>
      </c>
      <c r="GZ15" s="23">
        <v>0.02</v>
      </c>
      <c r="HA15" s="23">
        <v>0.02</v>
      </c>
      <c r="HB15" s="23">
        <v>0.02</v>
      </c>
      <c r="HC15" s="23">
        <v>0.02</v>
      </c>
      <c r="HD15" s="23">
        <v>0.02</v>
      </c>
      <c r="HE15" s="23">
        <v>0.02</v>
      </c>
      <c r="HF15" s="23">
        <v>0.02</v>
      </c>
      <c r="HG15" s="23">
        <v>0.02</v>
      </c>
      <c r="HH15" s="23">
        <v>0.02</v>
      </c>
      <c r="HI15" s="23">
        <v>0.02</v>
      </c>
      <c r="HJ15" s="23">
        <v>0.999</v>
      </c>
      <c r="HK15" s="23">
        <v>0.999</v>
      </c>
      <c r="HL15" s="23">
        <v>0.999</v>
      </c>
      <c r="HM15" s="23">
        <v>0.999</v>
      </c>
      <c r="HN15" s="23">
        <v>0.999</v>
      </c>
      <c r="HO15">
        <v>0.999</v>
      </c>
      <c r="HP15">
        <v>0.999</v>
      </c>
      <c r="HQ15">
        <v>0.999</v>
      </c>
      <c r="HR15">
        <v>0.999</v>
      </c>
      <c r="HS15">
        <v>0.999</v>
      </c>
      <c r="HT15">
        <v>0.999</v>
      </c>
      <c r="HU15">
        <v>0.999</v>
      </c>
      <c r="HV15">
        <v>0.999</v>
      </c>
      <c r="HW15">
        <v>0.999</v>
      </c>
      <c r="HX15">
        <v>0.999</v>
      </c>
      <c r="HY15">
        <v>0.999</v>
      </c>
      <c r="HZ15">
        <v>0.999</v>
      </c>
      <c r="IA15">
        <v>0.999</v>
      </c>
      <c r="IB15">
        <v>0.999</v>
      </c>
      <c r="IC15">
        <v>0.999</v>
      </c>
      <c r="ID15">
        <v>0.999</v>
      </c>
      <c r="IE15">
        <v>0.999</v>
      </c>
      <c r="IF15">
        <v>0.999</v>
      </c>
      <c r="IG15">
        <v>0.999</v>
      </c>
      <c r="IH15">
        <v>0.999</v>
      </c>
      <c r="II15">
        <v>0.999</v>
      </c>
      <c r="IJ15">
        <v>0.999</v>
      </c>
      <c r="IK15">
        <v>0.999</v>
      </c>
      <c r="IL15">
        <v>0.999</v>
      </c>
      <c r="IM15">
        <v>0.999</v>
      </c>
      <c r="IN15">
        <v>0.999</v>
      </c>
      <c r="IO15" s="86">
        <v>0.999</v>
      </c>
      <c r="IP15">
        <v>0.999</v>
      </c>
      <c r="IQ15">
        <v>0.999</v>
      </c>
      <c r="IR15">
        <v>0.999</v>
      </c>
      <c r="IS15">
        <v>0.999</v>
      </c>
      <c r="IT15">
        <v>0.999</v>
      </c>
      <c r="IU15">
        <v>0.999</v>
      </c>
      <c r="IV15">
        <v>0.999</v>
      </c>
      <c r="IW15">
        <v>0.999</v>
      </c>
      <c r="IX15">
        <v>0.999</v>
      </c>
      <c r="IY15">
        <v>0.999</v>
      </c>
      <c r="IZ15">
        <v>0.999</v>
      </c>
      <c r="JA15">
        <v>0.999</v>
      </c>
      <c r="JB15">
        <v>0.999</v>
      </c>
      <c r="JC15">
        <v>0.999</v>
      </c>
      <c r="JD15">
        <v>0.999</v>
      </c>
      <c r="JE15">
        <v>0.999</v>
      </c>
      <c r="JF15">
        <v>0.999</v>
      </c>
      <c r="JG15">
        <v>0.999</v>
      </c>
      <c r="JH15">
        <v>0.999</v>
      </c>
      <c r="JI15">
        <v>0.999</v>
      </c>
      <c r="JJ15">
        <v>0.999</v>
      </c>
      <c r="JK15">
        <v>0.999</v>
      </c>
      <c r="JL15">
        <v>0.999</v>
      </c>
      <c r="JM15">
        <v>0.999</v>
      </c>
      <c r="JN15">
        <v>0.999</v>
      </c>
      <c r="JO15">
        <v>0.999</v>
      </c>
      <c r="JP15">
        <v>0.999</v>
      </c>
      <c r="JQ15">
        <v>0.999</v>
      </c>
      <c r="JR15">
        <v>0.999</v>
      </c>
      <c r="JS15">
        <v>0.999</v>
      </c>
      <c r="JT15">
        <v>0.999</v>
      </c>
      <c r="JU15">
        <v>0.999</v>
      </c>
      <c r="JV15">
        <v>0.999</v>
      </c>
      <c r="JW15">
        <v>0.999</v>
      </c>
      <c r="JX15">
        <v>0.999</v>
      </c>
      <c r="JY15">
        <v>0.999</v>
      </c>
      <c r="JZ15">
        <v>0.999</v>
      </c>
      <c r="KA15">
        <v>0.999</v>
      </c>
      <c r="KB15">
        <v>0.999</v>
      </c>
      <c r="KC15">
        <v>0.999</v>
      </c>
      <c r="KD15">
        <v>0.999</v>
      </c>
      <c r="KE15">
        <v>0.999</v>
      </c>
      <c r="KF15">
        <v>0.999</v>
      </c>
      <c r="KG15">
        <v>0.999</v>
      </c>
      <c r="KH15">
        <v>0.999</v>
      </c>
      <c r="KI15">
        <v>0.999</v>
      </c>
      <c r="KJ15">
        <v>0.999</v>
      </c>
      <c r="KK15">
        <v>0.999</v>
      </c>
      <c r="KL15">
        <v>0.999</v>
      </c>
      <c r="KM15">
        <v>0.999</v>
      </c>
      <c r="KN15">
        <v>0.999</v>
      </c>
      <c r="KO15">
        <v>0.999</v>
      </c>
      <c r="KP15">
        <v>0.999</v>
      </c>
      <c r="KQ15">
        <v>0.999</v>
      </c>
      <c r="KR15">
        <v>0.999</v>
      </c>
      <c r="KS15">
        <v>0.999</v>
      </c>
      <c r="KT15">
        <v>0.999</v>
      </c>
      <c r="KU15">
        <v>0.999</v>
      </c>
      <c r="KV15">
        <v>0.999</v>
      </c>
      <c r="KW15">
        <v>0.999</v>
      </c>
      <c r="KX15">
        <v>0.999</v>
      </c>
      <c r="KY15">
        <v>0.999</v>
      </c>
      <c r="KZ15">
        <v>0.999</v>
      </c>
      <c r="LA15">
        <v>0.999</v>
      </c>
      <c r="LB15">
        <v>0.999</v>
      </c>
      <c r="LC15">
        <v>0.999</v>
      </c>
      <c r="LD15">
        <v>0.999</v>
      </c>
      <c r="LE15">
        <v>0.999</v>
      </c>
      <c r="LF15">
        <v>0.999</v>
      </c>
      <c r="LG15">
        <v>0.999</v>
      </c>
      <c r="LH15">
        <v>0.999</v>
      </c>
      <c r="LI15">
        <v>0.999</v>
      </c>
      <c r="LJ15">
        <v>0.999</v>
      </c>
      <c r="LK15">
        <v>0.999</v>
      </c>
      <c r="LL15">
        <v>0.999</v>
      </c>
      <c r="LM15">
        <v>0.999</v>
      </c>
      <c r="LN15">
        <v>0.999</v>
      </c>
      <c r="LO15">
        <v>0.999</v>
      </c>
      <c r="LP15">
        <v>0.999</v>
      </c>
      <c r="LQ15">
        <v>0.999</v>
      </c>
      <c r="LR15">
        <v>0.999</v>
      </c>
      <c r="LS15">
        <v>0.999</v>
      </c>
      <c r="LT15">
        <v>0.999</v>
      </c>
      <c r="LU15">
        <v>0.999</v>
      </c>
      <c r="LV15">
        <v>0.999</v>
      </c>
      <c r="LW15">
        <v>0.999</v>
      </c>
      <c r="LX15">
        <v>0.999</v>
      </c>
      <c r="LY15">
        <v>0.999</v>
      </c>
      <c r="LZ15">
        <v>0.999</v>
      </c>
      <c r="MA15">
        <v>0.999</v>
      </c>
      <c r="MB15">
        <v>0.999</v>
      </c>
      <c r="MC15">
        <v>0.999</v>
      </c>
      <c r="MD15">
        <v>0.999</v>
      </c>
      <c r="ME15">
        <v>0.999</v>
      </c>
      <c r="MF15">
        <v>0.999</v>
      </c>
      <c r="MG15">
        <v>0.999</v>
      </c>
      <c r="MH15">
        <v>0.999</v>
      </c>
      <c r="MI15">
        <v>0.999</v>
      </c>
      <c r="MJ15">
        <v>0.999</v>
      </c>
      <c r="MK15">
        <v>0.999</v>
      </c>
      <c r="ML15">
        <v>0.999</v>
      </c>
      <c r="MM15">
        <v>0.999</v>
      </c>
      <c r="MN15">
        <v>0.999</v>
      </c>
      <c r="MO15">
        <v>0.999</v>
      </c>
      <c r="MP15">
        <v>0.999</v>
      </c>
      <c r="MQ15">
        <v>0.999</v>
      </c>
      <c r="MR15">
        <v>0.999</v>
      </c>
      <c r="MS15">
        <v>0.999</v>
      </c>
      <c r="MT15">
        <v>0.999</v>
      </c>
      <c r="MU15">
        <v>0.999</v>
      </c>
      <c r="MV15">
        <v>0.999</v>
      </c>
      <c r="MW15">
        <v>0.999</v>
      </c>
      <c r="MX15">
        <v>0.999</v>
      </c>
      <c r="MY15">
        <v>0.999</v>
      </c>
      <c r="MZ15">
        <v>0.999</v>
      </c>
      <c r="NA15">
        <v>0.999</v>
      </c>
      <c r="NB15">
        <v>0.999</v>
      </c>
      <c r="NC15">
        <v>0.999</v>
      </c>
      <c r="ND15">
        <v>0.999</v>
      </c>
      <c r="NE15">
        <v>0.999</v>
      </c>
      <c r="NF15">
        <v>0.999</v>
      </c>
      <c r="NG15">
        <v>0.999</v>
      </c>
      <c r="NH15">
        <v>0.999</v>
      </c>
      <c r="NI15">
        <v>0.999</v>
      </c>
      <c r="NJ15">
        <v>0.999</v>
      </c>
      <c r="NK15">
        <v>0.999</v>
      </c>
      <c r="NL15">
        <v>0.999</v>
      </c>
      <c r="NM15">
        <v>0.999</v>
      </c>
      <c r="NN15">
        <v>0.999</v>
      </c>
      <c r="NO15">
        <v>0.999</v>
      </c>
      <c r="NP15">
        <v>0.999</v>
      </c>
      <c r="NQ15">
        <v>0.999</v>
      </c>
      <c r="NR15">
        <v>0.999</v>
      </c>
      <c r="NS15">
        <v>0.999</v>
      </c>
      <c r="NT15">
        <v>0.999</v>
      </c>
      <c r="NU15">
        <v>0.999</v>
      </c>
      <c r="NV15">
        <v>0.999</v>
      </c>
      <c r="NW15">
        <v>0.999</v>
      </c>
      <c r="NX15">
        <v>0.999</v>
      </c>
      <c r="NY15">
        <v>0.999</v>
      </c>
      <c r="NZ15">
        <v>0.999</v>
      </c>
      <c r="OA15">
        <v>0.999</v>
      </c>
      <c r="OB15">
        <v>0.999</v>
      </c>
      <c r="OC15">
        <v>0.999</v>
      </c>
      <c r="OD15">
        <v>0.999</v>
      </c>
      <c r="OE15">
        <v>0.999</v>
      </c>
      <c r="OF15">
        <v>0.999</v>
      </c>
      <c r="OG15">
        <v>0.999</v>
      </c>
      <c r="OH15">
        <v>0.999</v>
      </c>
      <c r="OI15">
        <v>0.999</v>
      </c>
      <c r="OJ15">
        <v>0.999</v>
      </c>
      <c r="OK15">
        <v>0.999</v>
      </c>
      <c r="OL15">
        <v>0.999</v>
      </c>
      <c r="OM15">
        <v>0.999</v>
      </c>
      <c r="ON15">
        <v>0.999</v>
      </c>
      <c r="OO15">
        <v>0.999</v>
      </c>
      <c r="OP15">
        <v>0.999</v>
      </c>
      <c r="OQ15">
        <v>0.999</v>
      </c>
      <c r="OR15">
        <v>0.999</v>
      </c>
      <c r="OS15">
        <v>0.999</v>
      </c>
      <c r="OT15">
        <v>0.999</v>
      </c>
      <c r="OU15">
        <v>0.999</v>
      </c>
      <c r="OV15">
        <v>0.999</v>
      </c>
      <c r="OW15">
        <v>0.999</v>
      </c>
      <c r="OX15">
        <v>0.999</v>
      </c>
      <c r="OY15">
        <v>0.999</v>
      </c>
      <c r="OZ15">
        <v>0.999</v>
      </c>
      <c r="PA15">
        <v>0.999</v>
      </c>
      <c r="PB15">
        <v>0.999</v>
      </c>
      <c r="PC15">
        <v>0.999</v>
      </c>
      <c r="PD15">
        <v>0.999</v>
      </c>
      <c r="PE15">
        <v>0.999</v>
      </c>
      <c r="PF15">
        <v>0.999</v>
      </c>
      <c r="PG15">
        <v>0.999</v>
      </c>
      <c r="PH15">
        <v>0.999</v>
      </c>
      <c r="PI15">
        <v>0.999</v>
      </c>
      <c r="PJ15">
        <v>0.999</v>
      </c>
      <c r="PK15">
        <v>0.999</v>
      </c>
      <c r="PL15" s="23">
        <v>0.999</v>
      </c>
      <c r="PM15" s="23">
        <v>0.999</v>
      </c>
      <c r="PN15" s="23">
        <v>0.999</v>
      </c>
      <c r="PO15" s="23">
        <v>0.999</v>
      </c>
      <c r="PP15" s="23">
        <v>0.999</v>
      </c>
      <c r="PQ15">
        <v>0.999</v>
      </c>
      <c r="PR15">
        <v>0.999</v>
      </c>
      <c r="PS15">
        <v>0.999</v>
      </c>
      <c r="PT15">
        <v>0.999</v>
      </c>
      <c r="PU15">
        <v>0.999</v>
      </c>
      <c r="PV15">
        <v>0.999</v>
      </c>
      <c r="PW15">
        <v>0.999</v>
      </c>
      <c r="PX15">
        <v>0.999</v>
      </c>
      <c r="PY15">
        <v>0.999</v>
      </c>
      <c r="PZ15">
        <v>0.999</v>
      </c>
      <c r="QA15" s="23">
        <v>0.999</v>
      </c>
      <c r="QB15" s="23">
        <v>0.999</v>
      </c>
      <c r="QC15" s="23">
        <v>0.999</v>
      </c>
      <c r="QD15" s="23">
        <v>0.999</v>
      </c>
      <c r="QE15" s="23">
        <v>0.999</v>
      </c>
    </row>
    <row r="16" spans="1:666" x14ac:dyDescent="0.15">
      <c r="A16" s="23" t="s">
        <v>99</v>
      </c>
      <c r="B16" s="24">
        <f>FixedParams!B48</f>
        <v>0.5</v>
      </c>
      <c r="C16" s="24">
        <f>B16</f>
        <v>0.5</v>
      </c>
      <c r="D16" s="24">
        <f>FixedParams!B49</f>
        <v>5.0000000000000001E-3</v>
      </c>
      <c r="E16" s="24">
        <f>C16</f>
        <v>0.5</v>
      </c>
      <c r="F16" s="24">
        <f>FixedParams!D49</f>
        <v>0</v>
      </c>
      <c r="G16" s="23"/>
      <c r="H16" s="23">
        <v>0.5</v>
      </c>
      <c r="I16" s="23">
        <v>0.5</v>
      </c>
      <c r="J16" s="23">
        <v>5.0000000000000001E-3</v>
      </c>
      <c r="K16" s="23">
        <v>0.5</v>
      </c>
      <c r="L16" s="23">
        <v>0</v>
      </c>
      <c r="M16" s="23">
        <v>0.5</v>
      </c>
      <c r="N16" s="23">
        <v>0.5</v>
      </c>
      <c r="O16" s="23">
        <v>5.0000000000000001E-3</v>
      </c>
      <c r="P16" s="23">
        <v>0.5</v>
      </c>
      <c r="Q16" s="23">
        <v>0</v>
      </c>
      <c r="R16" s="23">
        <v>0.5</v>
      </c>
      <c r="S16" s="23">
        <v>0.5</v>
      </c>
      <c r="T16" s="23">
        <v>5.0000000000000001E-3</v>
      </c>
      <c r="U16" s="23">
        <v>0.5</v>
      </c>
      <c r="V16" s="23">
        <v>0</v>
      </c>
      <c r="W16" s="23">
        <v>0.5</v>
      </c>
      <c r="X16" s="23">
        <v>0.5</v>
      </c>
      <c r="Y16" s="23">
        <v>5.0000000000000001E-3</v>
      </c>
      <c r="Z16" s="23">
        <v>0.5</v>
      </c>
      <c r="AA16" s="23">
        <v>0</v>
      </c>
      <c r="AB16" s="23">
        <v>0.5</v>
      </c>
      <c r="AC16" s="23">
        <v>0.5</v>
      </c>
      <c r="AD16" s="23">
        <v>5.0000000000000001E-3</v>
      </c>
      <c r="AE16" s="23">
        <v>0.5</v>
      </c>
      <c r="AF16" s="23">
        <v>0</v>
      </c>
      <c r="AG16" s="23">
        <v>0.5</v>
      </c>
      <c r="AH16" s="23">
        <v>0.5</v>
      </c>
      <c r="AI16" s="23">
        <v>5.0000000000000001E-3</v>
      </c>
      <c r="AJ16" s="23">
        <v>0.5</v>
      </c>
      <c r="AK16" s="23">
        <v>0</v>
      </c>
      <c r="AL16" s="23">
        <v>0.5</v>
      </c>
      <c r="AM16" s="23">
        <v>0.5</v>
      </c>
      <c r="AN16" s="23">
        <v>5.0000000000000001E-3</v>
      </c>
      <c r="AO16" s="23">
        <v>0.5</v>
      </c>
      <c r="AP16" s="23">
        <v>0</v>
      </c>
      <c r="AQ16" s="23">
        <v>0.5</v>
      </c>
      <c r="AR16" s="23">
        <v>0.5</v>
      </c>
      <c r="AS16" s="23">
        <v>5.0000000000000001E-3</v>
      </c>
      <c r="AT16" s="23">
        <v>0.5</v>
      </c>
      <c r="AU16" s="23">
        <v>0</v>
      </c>
      <c r="AV16" s="23">
        <v>0.5</v>
      </c>
      <c r="AW16" s="23">
        <v>0.5</v>
      </c>
      <c r="AX16" s="23">
        <v>5.0000000000000001E-3</v>
      </c>
      <c r="AY16" s="23">
        <v>0.5</v>
      </c>
      <c r="AZ16" s="23">
        <v>0</v>
      </c>
      <c r="BA16" s="23">
        <v>0.5</v>
      </c>
      <c r="BB16" s="23">
        <v>0.5</v>
      </c>
      <c r="BC16" s="23">
        <v>5.0000000000000001E-3</v>
      </c>
      <c r="BD16" s="23">
        <v>0.5</v>
      </c>
      <c r="BE16" s="23">
        <v>0</v>
      </c>
      <c r="BF16" s="23">
        <v>0.5</v>
      </c>
      <c r="BG16" s="23">
        <v>0.5</v>
      </c>
      <c r="BH16" s="23">
        <v>5.0000000000000001E-3</v>
      </c>
      <c r="BI16" s="23">
        <v>0.5</v>
      </c>
      <c r="BJ16" s="23">
        <v>0</v>
      </c>
      <c r="BK16" s="23">
        <v>0.5</v>
      </c>
      <c r="BL16" s="23">
        <v>0.5</v>
      </c>
      <c r="BM16" s="23">
        <v>5.0000000000000001E-3</v>
      </c>
      <c r="BN16" s="23">
        <v>0.5</v>
      </c>
      <c r="BO16" s="23">
        <v>0</v>
      </c>
      <c r="BP16" s="23">
        <v>0.5</v>
      </c>
      <c r="BQ16" s="23">
        <v>0.5</v>
      </c>
      <c r="BR16" s="23">
        <v>5.0000000000000001E-3</v>
      </c>
      <c r="BS16" s="23">
        <v>0.5</v>
      </c>
      <c r="BT16" s="23">
        <v>0</v>
      </c>
      <c r="BU16" s="23">
        <v>0.5</v>
      </c>
      <c r="BV16" s="23">
        <v>0.5</v>
      </c>
      <c r="BW16" s="23">
        <v>5.0000000000000001E-3</v>
      </c>
      <c r="BX16" s="23">
        <v>0.5</v>
      </c>
      <c r="BY16" s="23">
        <v>0</v>
      </c>
      <c r="BZ16" s="23">
        <v>0.5</v>
      </c>
      <c r="CA16" s="23">
        <v>0.5</v>
      </c>
      <c r="CB16" s="23">
        <v>5.0000000000000001E-3</v>
      </c>
      <c r="CC16" s="23">
        <v>0.5</v>
      </c>
      <c r="CD16" s="23">
        <v>0</v>
      </c>
      <c r="CE16" s="23">
        <v>0.5</v>
      </c>
      <c r="CF16" s="23">
        <v>0.5</v>
      </c>
      <c r="CG16" s="23">
        <v>5.0000000000000001E-3</v>
      </c>
      <c r="CH16" s="23">
        <v>0.5</v>
      </c>
      <c r="CI16" s="23">
        <v>0</v>
      </c>
      <c r="CJ16" s="23">
        <v>0.5</v>
      </c>
      <c r="CK16" s="23">
        <v>0.5</v>
      </c>
      <c r="CL16" s="23">
        <v>5.0000000000000001E-3</v>
      </c>
      <c r="CM16" s="23">
        <v>0.5</v>
      </c>
      <c r="CN16" s="23">
        <v>0</v>
      </c>
      <c r="CO16" s="23">
        <v>0.5</v>
      </c>
      <c r="CP16" s="23">
        <v>0.5</v>
      </c>
      <c r="CQ16" s="23">
        <v>5.0000000000000001E-3</v>
      </c>
      <c r="CR16" s="23">
        <v>0.5</v>
      </c>
      <c r="CS16" s="23">
        <v>0</v>
      </c>
      <c r="CT16" s="23">
        <v>0.5</v>
      </c>
      <c r="CU16" s="23">
        <v>0.5</v>
      </c>
      <c r="CV16" s="23">
        <v>5.0000000000000001E-3</v>
      </c>
      <c r="CW16" s="23">
        <v>0.5</v>
      </c>
      <c r="CX16" s="23">
        <v>0</v>
      </c>
      <c r="CY16" s="23">
        <v>0.5</v>
      </c>
      <c r="CZ16" s="23">
        <v>0.5</v>
      </c>
      <c r="DA16" s="23">
        <v>5.0000000000000001E-3</v>
      </c>
      <c r="DB16" s="23">
        <v>0.5</v>
      </c>
      <c r="DC16" s="23">
        <v>0</v>
      </c>
      <c r="DD16" s="23">
        <v>0.5</v>
      </c>
      <c r="DE16" s="23">
        <v>0.5</v>
      </c>
      <c r="DF16" s="23">
        <v>5.0000000000000001E-3</v>
      </c>
      <c r="DG16" s="23">
        <v>0.5</v>
      </c>
      <c r="DH16" s="23">
        <v>0</v>
      </c>
      <c r="DI16" s="23">
        <v>0.5</v>
      </c>
      <c r="DJ16" s="23">
        <v>0.5</v>
      </c>
      <c r="DK16" s="23">
        <v>5.0000000000000001E-3</v>
      </c>
      <c r="DL16" s="23">
        <v>0.5</v>
      </c>
      <c r="DM16" s="23">
        <v>0</v>
      </c>
      <c r="DN16" s="23">
        <v>0.5</v>
      </c>
      <c r="DO16" s="23">
        <v>0.5</v>
      </c>
      <c r="DP16" s="23">
        <v>5.0000000000000001E-3</v>
      </c>
      <c r="DQ16" s="23">
        <v>0.5</v>
      </c>
      <c r="DR16" s="23">
        <v>0</v>
      </c>
      <c r="DS16" s="23">
        <v>0.5</v>
      </c>
      <c r="DT16" s="23">
        <v>0.5</v>
      </c>
      <c r="DU16" s="23">
        <v>5.0000000000000001E-3</v>
      </c>
      <c r="DV16" s="23">
        <v>0.5</v>
      </c>
      <c r="DW16" s="23">
        <v>0</v>
      </c>
      <c r="DX16" s="23">
        <v>0.5</v>
      </c>
      <c r="DY16" s="23">
        <v>0.5</v>
      </c>
      <c r="DZ16" s="23">
        <v>5.0000000000000001E-3</v>
      </c>
      <c r="EA16" s="23">
        <v>0.5</v>
      </c>
      <c r="EB16" s="23">
        <v>0</v>
      </c>
      <c r="EC16" s="23">
        <v>0.5</v>
      </c>
      <c r="ED16" s="23">
        <v>0.5</v>
      </c>
      <c r="EE16" s="23">
        <v>5.0000000000000001E-3</v>
      </c>
      <c r="EF16" s="23">
        <v>0.5</v>
      </c>
      <c r="EG16" s="23">
        <v>0</v>
      </c>
      <c r="EH16" s="23">
        <v>0.5</v>
      </c>
      <c r="EI16" s="23">
        <v>0.5</v>
      </c>
      <c r="EJ16" s="23">
        <v>5.0000000000000001E-3</v>
      </c>
      <c r="EK16" s="23">
        <v>0.5</v>
      </c>
      <c r="EL16" s="23">
        <v>0</v>
      </c>
      <c r="EM16" s="23">
        <v>0.5</v>
      </c>
      <c r="EN16" s="23">
        <v>0.5</v>
      </c>
      <c r="EO16" s="23">
        <v>5.0000000000000001E-3</v>
      </c>
      <c r="EP16" s="23">
        <v>0.5</v>
      </c>
      <c r="EQ16" s="23">
        <v>0</v>
      </c>
      <c r="ER16" s="23">
        <v>0.5</v>
      </c>
      <c r="ES16" s="23">
        <v>0.5</v>
      </c>
      <c r="ET16" s="23">
        <v>5.0000000000000001E-3</v>
      </c>
      <c r="EU16" s="23">
        <v>0.5</v>
      </c>
      <c r="EV16" s="23">
        <v>0</v>
      </c>
      <c r="EW16" s="23">
        <v>0.5</v>
      </c>
      <c r="EX16" s="23">
        <v>0.5</v>
      </c>
      <c r="EY16" s="23">
        <v>5.0000000000000001E-3</v>
      </c>
      <c r="EZ16" s="23">
        <v>0.5</v>
      </c>
      <c r="FA16" s="23">
        <v>0</v>
      </c>
      <c r="FB16" s="23">
        <v>0.5</v>
      </c>
      <c r="FC16" s="23">
        <v>0.5</v>
      </c>
      <c r="FD16" s="23">
        <v>5.0000000000000001E-3</v>
      </c>
      <c r="FE16" s="23">
        <v>0.5</v>
      </c>
      <c r="FF16" s="23">
        <v>0</v>
      </c>
      <c r="FG16" s="23">
        <v>0.5</v>
      </c>
      <c r="FH16" s="23">
        <v>0.5</v>
      </c>
      <c r="FI16" s="23">
        <v>5.0000000000000001E-3</v>
      </c>
      <c r="FJ16" s="23">
        <v>0.5</v>
      </c>
      <c r="FK16" s="23">
        <v>0</v>
      </c>
      <c r="FL16" s="23">
        <v>0.5</v>
      </c>
      <c r="FM16" s="23">
        <v>0.5</v>
      </c>
      <c r="FN16" s="23">
        <v>5.0000000000000001E-3</v>
      </c>
      <c r="FO16" s="23">
        <v>0.5</v>
      </c>
      <c r="FP16" s="23">
        <v>0</v>
      </c>
      <c r="FQ16" s="23">
        <v>0.5</v>
      </c>
      <c r="FR16" s="23">
        <v>0.5</v>
      </c>
      <c r="FS16" s="23">
        <v>5.0000000000000001E-3</v>
      </c>
      <c r="FT16" s="23">
        <v>0.5</v>
      </c>
      <c r="FU16" s="23">
        <v>0</v>
      </c>
      <c r="FV16" s="23">
        <v>0.5</v>
      </c>
      <c r="FW16" s="23">
        <v>0.5</v>
      </c>
      <c r="FX16" s="23">
        <v>5.0000000000000001E-3</v>
      </c>
      <c r="FY16" s="23">
        <v>0.5</v>
      </c>
      <c r="FZ16" s="23">
        <v>0</v>
      </c>
      <c r="GA16" s="23">
        <v>0.5</v>
      </c>
      <c r="GB16" s="23">
        <v>0.5</v>
      </c>
      <c r="GC16" s="23">
        <v>5.0000000000000001E-3</v>
      </c>
      <c r="GD16" s="23">
        <v>0.5</v>
      </c>
      <c r="GE16" s="23">
        <v>0</v>
      </c>
      <c r="GF16" s="23">
        <v>0.5</v>
      </c>
      <c r="GG16" s="23">
        <v>0.5</v>
      </c>
      <c r="GH16" s="23">
        <v>5.0000000000000001E-3</v>
      </c>
      <c r="GI16" s="23">
        <v>0.5</v>
      </c>
      <c r="GJ16" s="23">
        <v>0</v>
      </c>
      <c r="GK16" s="23">
        <v>0.5</v>
      </c>
      <c r="GL16" s="23">
        <v>0.5</v>
      </c>
      <c r="GM16" s="23">
        <v>5.0000000000000001E-3</v>
      </c>
      <c r="GN16" s="23">
        <v>0.5</v>
      </c>
      <c r="GO16" s="23">
        <v>0</v>
      </c>
      <c r="GP16" s="23">
        <v>0.5</v>
      </c>
      <c r="GQ16" s="23">
        <v>0.5</v>
      </c>
      <c r="GR16" s="23">
        <v>5.0000000000000001E-3</v>
      </c>
      <c r="GS16" s="23">
        <v>0.5</v>
      </c>
      <c r="GT16" s="23">
        <v>0</v>
      </c>
      <c r="GU16" s="23">
        <v>0.5</v>
      </c>
      <c r="GV16" s="23">
        <v>0.5</v>
      </c>
      <c r="GW16" s="23">
        <v>5.0000000000000001E-3</v>
      </c>
      <c r="GX16" s="23">
        <v>0.5</v>
      </c>
      <c r="GY16" s="23">
        <v>0</v>
      </c>
      <c r="GZ16" s="23">
        <v>0.5</v>
      </c>
      <c r="HA16" s="23">
        <v>0.5</v>
      </c>
      <c r="HB16" s="23">
        <v>5.0000000000000001E-3</v>
      </c>
      <c r="HC16" s="23">
        <v>0.5</v>
      </c>
      <c r="HD16" s="23">
        <v>0</v>
      </c>
      <c r="HE16" s="23">
        <v>0.5</v>
      </c>
      <c r="HF16" s="23">
        <v>0.5</v>
      </c>
      <c r="HG16" s="23">
        <v>5.0000000000000001E-3</v>
      </c>
      <c r="HH16" s="23">
        <v>0.5</v>
      </c>
      <c r="HI16" s="23">
        <v>0</v>
      </c>
      <c r="HJ16" s="23">
        <v>0.5</v>
      </c>
      <c r="HK16" s="23">
        <v>0.5</v>
      </c>
      <c r="HL16" s="23">
        <v>5.0000000000000001E-3</v>
      </c>
      <c r="HM16" s="23">
        <v>0.5</v>
      </c>
      <c r="HN16" s="23">
        <v>0</v>
      </c>
      <c r="HO16">
        <v>0.5</v>
      </c>
      <c r="HP16">
        <v>0.5</v>
      </c>
      <c r="HQ16">
        <v>5.0000000000000001E-3</v>
      </c>
      <c r="HR16">
        <v>0.5</v>
      </c>
      <c r="HS16">
        <v>0</v>
      </c>
      <c r="HT16">
        <v>0.5</v>
      </c>
      <c r="HU16">
        <v>0.5</v>
      </c>
      <c r="HV16">
        <v>5.0000000000000001E-3</v>
      </c>
      <c r="HW16">
        <v>0.5</v>
      </c>
      <c r="HX16">
        <v>0</v>
      </c>
      <c r="HY16">
        <v>0.5</v>
      </c>
      <c r="HZ16">
        <v>0.5</v>
      </c>
      <c r="IA16">
        <v>5.0000000000000001E-3</v>
      </c>
      <c r="IB16">
        <v>0.5</v>
      </c>
      <c r="IC16">
        <v>0</v>
      </c>
      <c r="ID16">
        <v>0.5</v>
      </c>
      <c r="IE16">
        <v>0.5</v>
      </c>
      <c r="IF16">
        <v>5.0000000000000001E-3</v>
      </c>
      <c r="IG16">
        <v>0.5</v>
      </c>
      <c r="IH16">
        <v>0</v>
      </c>
      <c r="II16">
        <v>0.5</v>
      </c>
      <c r="IJ16">
        <v>0.5</v>
      </c>
      <c r="IK16">
        <v>5.0000000000000001E-3</v>
      </c>
      <c r="IL16">
        <v>0.5</v>
      </c>
      <c r="IM16">
        <v>0</v>
      </c>
      <c r="IN16">
        <v>0.5</v>
      </c>
      <c r="IO16" s="86">
        <v>0.5</v>
      </c>
      <c r="IP16">
        <v>5.0000000000000001E-3</v>
      </c>
      <c r="IQ16">
        <v>0.5</v>
      </c>
      <c r="IR16">
        <v>0</v>
      </c>
      <c r="IS16">
        <v>0.5</v>
      </c>
      <c r="IT16">
        <v>0.5</v>
      </c>
      <c r="IU16">
        <v>5.0000000000000001E-3</v>
      </c>
      <c r="IV16">
        <v>0.5</v>
      </c>
      <c r="IW16">
        <v>0</v>
      </c>
      <c r="IX16">
        <v>0.5</v>
      </c>
      <c r="IY16">
        <v>0.5</v>
      </c>
      <c r="IZ16">
        <v>5.0000000000000001E-3</v>
      </c>
      <c r="JA16">
        <v>0.5</v>
      </c>
      <c r="JB16">
        <v>0</v>
      </c>
      <c r="JC16">
        <v>0.5</v>
      </c>
      <c r="JD16">
        <v>0.5</v>
      </c>
      <c r="JE16">
        <v>5.0000000000000001E-3</v>
      </c>
      <c r="JF16">
        <v>0.5</v>
      </c>
      <c r="JG16">
        <v>0</v>
      </c>
      <c r="JH16">
        <v>0.5</v>
      </c>
      <c r="JI16">
        <v>0.5</v>
      </c>
      <c r="JJ16">
        <v>5.0000000000000001E-3</v>
      </c>
      <c r="JK16">
        <v>0.5</v>
      </c>
      <c r="JL16">
        <v>0</v>
      </c>
      <c r="JM16">
        <v>0.5</v>
      </c>
      <c r="JN16">
        <v>0.5</v>
      </c>
      <c r="JO16">
        <v>5.0000000000000001E-3</v>
      </c>
      <c r="JP16">
        <v>0.5</v>
      </c>
      <c r="JQ16">
        <v>0</v>
      </c>
      <c r="JR16">
        <v>0.5</v>
      </c>
      <c r="JS16">
        <v>0.5</v>
      </c>
      <c r="JT16">
        <v>5.0000000000000001E-3</v>
      </c>
      <c r="JU16">
        <v>0.5</v>
      </c>
      <c r="JV16">
        <v>0</v>
      </c>
      <c r="JW16">
        <v>0.5</v>
      </c>
      <c r="JX16">
        <v>0.5</v>
      </c>
      <c r="JY16">
        <v>5.0000000000000001E-3</v>
      </c>
      <c r="JZ16">
        <v>0.5</v>
      </c>
      <c r="KA16">
        <v>0</v>
      </c>
      <c r="KB16">
        <v>0.5</v>
      </c>
      <c r="KC16">
        <v>0.5</v>
      </c>
      <c r="KD16">
        <v>5.0000000000000001E-3</v>
      </c>
      <c r="KE16">
        <v>0.5</v>
      </c>
      <c r="KF16">
        <v>0</v>
      </c>
      <c r="KG16">
        <v>0.5</v>
      </c>
      <c r="KH16">
        <v>0.5</v>
      </c>
      <c r="KI16">
        <v>5.0000000000000001E-3</v>
      </c>
      <c r="KJ16">
        <v>0.5</v>
      </c>
      <c r="KK16">
        <v>0</v>
      </c>
      <c r="KL16">
        <v>0.3</v>
      </c>
      <c r="KM16">
        <v>0.3</v>
      </c>
      <c r="KN16">
        <v>5.0000000000000001E-3</v>
      </c>
      <c r="KO16">
        <v>0.3</v>
      </c>
      <c r="KP16">
        <v>0</v>
      </c>
      <c r="KQ16">
        <v>0.3</v>
      </c>
      <c r="KR16">
        <v>0.3</v>
      </c>
      <c r="KS16">
        <v>5.0000000000000001E-3</v>
      </c>
      <c r="KT16">
        <v>0.3</v>
      </c>
      <c r="KU16">
        <v>0</v>
      </c>
      <c r="KV16">
        <v>0.4</v>
      </c>
      <c r="KW16">
        <v>0.4</v>
      </c>
      <c r="KX16">
        <v>5.0000000000000001E-3</v>
      </c>
      <c r="KY16">
        <v>0.4</v>
      </c>
      <c r="KZ16">
        <v>0</v>
      </c>
      <c r="LA16">
        <v>0.6</v>
      </c>
      <c r="LB16">
        <v>0.6</v>
      </c>
      <c r="LC16">
        <v>5.0000000000000001E-3</v>
      </c>
      <c r="LD16">
        <v>0.6</v>
      </c>
      <c r="LE16">
        <v>0</v>
      </c>
      <c r="LF16">
        <v>0.7</v>
      </c>
      <c r="LG16">
        <v>0.7</v>
      </c>
      <c r="LH16">
        <v>5.0000000000000001E-3</v>
      </c>
      <c r="LI16">
        <v>0.7</v>
      </c>
      <c r="LJ16">
        <v>0</v>
      </c>
      <c r="LK16">
        <v>0.25</v>
      </c>
      <c r="LL16">
        <v>0.25</v>
      </c>
      <c r="LM16">
        <v>5.0000000000000001E-3</v>
      </c>
      <c r="LN16">
        <v>0.25</v>
      </c>
      <c r="LO16">
        <v>0</v>
      </c>
      <c r="LP16">
        <v>0.5</v>
      </c>
      <c r="LQ16">
        <v>0.5</v>
      </c>
      <c r="LR16">
        <v>5.0000000000000001E-3</v>
      </c>
      <c r="LS16">
        <v>0.5</v>
      </c>
      <c r="LT16">
        <v>0</v>
      </c>
      <c r="LU16">
        <v>0.5</v>
      </c>
      <c r="LV16">
        <v>0.5</v>
      </c>
      <c r="LW16">
        <v>5.0000000000000001E-3</v>
      </c>
      <c r="LX16">
        <v>0.5</v>
      </c>
      <c r="LY16">
        <v>0</v>
      </c>
      <c r="LZ16">
        <v>0.5</v>
      </c>
      <c r="MA16">
        <v>0.5</v>
      </c>
      <c r="MB16">
        <v>5.0000000000000001E-3</v>
      </c>
      <c r="MC16">
        <v>0.5</v>
      </c>
      <c r="MD16">
        <v>0</v>
      </c>
      <c r="ME16">
        <v>0.5</v>
      </c>
      <c r="MF16">
        <v>0.5</v>
      </c>
      <c r="MG16">
        <v>5.0000000000000001E-3</v>
      </c>
      <c r="MH16">
        <v>0.5</v>
      </c>
      <c r="MI16">
        <v>0</v>
      </c>
      <c r="MJ16">
        <v>0.5</v>
      </c>
      <c r="MK16">
        <v>0.5</v>
      </c>
      <c r="ML16">
        <v>5.0000000000000001E-3</v>
      </c>
      <c r="MM16">
        <v>0.5</v>
      </c>
      <c r="MN16">
        <v>0</v>
      </c>
      <c r="MO16">
        <v>0.5</v>
      </c>
      <c r="MP16">
        <v>0.5</v>
      </c>
      <c r="MQ16">
        <v>5.0000000000000001E-3</v>
      </c>
      <c r="MR16">
        <v>0.5</v>
      </c>
      <c r="MS16">
        <v>0</v>
      </c>
      <c r="MT16">
        <v>0.5</v>
      </c>
      <c r="MU16">
        <v>0.5</v>
      </c>
      <c r="MV16">
        <v>5.0000000000000001E-3</v>
      </c>
      <c r="MW16">
        <v>0.5</v>
      </c>
      <c r="MX16">
        <v>0</v>
      </c>
      <c r="MY16">
        <v>0.5</v>
      </c>
      <c r="MZ16">
        <v>0.5</v>
      </c>
      <c r="NA16">
        <v>5.0000000000000001E-3</v>
      </c>
      <c r="NB16">
        <v>0.5</v>
      </c>
      <c r="NC16">
        <v>0</v>
      </c>
      <c r="ND16">
        <v>0.5</v>
      </c>
      <c r="NE16">
        <v>0.5</v>
      </c>
      <c r="NF16">
        <v>5.0000000000000001E-3</v>
      </c>
      <c r="NG16">
        <v>0.5</v>
      </c>
      <c r="NH16">
        <v>0</v>
      </c>
      <c r="NI16">
        <v>0.5</v>
      </c>
      <c r="NJ16">
        <v>0.5</v>
      </c>
      <c r="NK16">
        <v>5.0000000000000001E-3</v>
      </c>
      <c r="NL16">
        <v>0.5</v>
      </c>
      <c r="NM16">
        <v>0</v>
      </c>
      <c r="NN16">
        <v>0.5</v>
      </c>
      <c r="NO16">
        <v>0.5</v>
      </c>
      <c r="NP16">
        <v>5.0000000000000001E-3</v>
      </c>
      <c r="NQ16">
        <v>0.5</v>
      </c>
      <c r="NR16">
        <v>0</v>
      </c>
      <c r="NS16">
        <v>0.25</v>
      </c>
      <c r="NT16">
        <v>0.25</v>
      </c>
      <c r="NU16">
        <v>5.0000000000000001E-3</v>
      </c>
      <c r="NV16">
        <v>0.25</v>
      </c>
      <c r="NW16">
        <v>0</v>
      </c>
      <c r="NX16">
        <v>0.75</v>
      </c>
      <c r="NY16">
        <v>0.75</v>
      </c>
      <c r="NZ16">
        <v>5.0000000000000001E-3</v>
      </c>
      <c r="OA16">
        <v>0.75</v>
      </c>
      <c r="OB16">
        <v>0</v>
      </c>
      <c r="OC16">
        <v>1</v>
      </c>
      <c r="OD16">
        <v>1</v>
      </c>
      <c r="OE16">
        <v>5.0000000000000001E-3</v>
      </c>
      <c r="OF16">
        <v>1</v>
      </c>
      <c r="OG16">
        <v>0</v>
      </c>
      <c r="OH16">
        <v>0.5</v>
      </c>
      <c r="OI16">
        <v>0.5</v>
      </c>
      <c r="OJ16">
        <v>5.0000000000000001E-3</v>
      </c>
      <c r="OK16">
        <v>0.5</v>
      </c>
      <c r="OL16">
        <v>0</v>
      </c>
      <c r="OM16">
        <v>0.5</v>
      </c>
      <c r="ON16">
        <v>0.5</v>
      </c>
      <c r="OO16">
        <v>5.0000000000000001E-3</v>
      </c>
      <c r="OP16">
        <v>0.5</v>
      </c>
      <c r="OQ16">
        <v>0</v>
      </c>
      <c r="OR16">
        <v>0.5</v>
      </c>
      <c r="OS16">
        <v>0.5</v>
      </c>
      <c r="OT16">
        <v>5.0000000000000001E-3</v>
      </c>
      <c r="OU16">
        <v>0.5</v>
      </c>
      <c r="OV16">
        <v>0</v>
      </c>
      <c r="OW16">
        <v>0.5</v>
      </c>
      <c r="OX16">
        <v>0.5</v>
      </c>
      <c r="OY16">
        <v>5.0000000000000001E-3</v>
      </c>
      <c r="OZ16">
        <v>0.5</v>
      </c>
      <c r="PA16">
        <v>0</v>
      </c>
      <c r="PB16">
        <v>0.5</v>
      </c>
      <c r="PC16">
        <v>0.5</v>
      </c>
      <c r="PD16">
        <v>5.0000000000000001E-3</v>
      </c>
      <c r="PE16">
        <v>0.5</v>
      </c>
      <c r="PF16">
        <v>0</v>
      </c>
      <c r="PG16">
        <v>0.5</v>
      </c>
      <c r="PH16">
        <v>0.5</v>
      </c>
      <c r="PI16">
        <v>5.0000000000000001E-3</v>
      </c>
      <c r="PJ16">
        <v>0.5</v>
      </c>
      <c r="PK16">
        <v>0</v>
      </c>
      <c r="PL16" s="24">
        <v>0.5</v>
      </c>
      <c r="PM16" s="24">
        <v>0.5</v>
      </c>
      <c r="PN16" s="24">
        <v>5.0000000000000001E-3</v>
      </c>
      <c r="PO16" s="24">
        <v>0.5</v>
      </c>
      <c r="PP16" s="24">
        <v>0</v>
      </c>
      <c r="PQ16">
        <v>0.5</v>
      </c>
      <c r="PR16">
        <v>0.5</v>
      </c>
      <c r="PS16">
        <v>5.0000000000000001E-3</v>
      </c>
      <c r="PT16">
        <v>0.5</v>
      </c>
      <c r="PU16">
        <v>0</v>
      </c>
      <c r="PV16">
        <v>0.5</v>
      </c>
      <c r="PW16">
        <v>0.5</v>
      </c>
      <c r="PX16">
        <v>5.0000000000000001E-3</v>
      </c>
      <c r="PY16">
        <v>0.5</v>
      </c>
      <c r="PZ16">
        <v>0</v>
      </c>
      <c r="QA16" s="24">
        <v>0.5</v>
      </c>
      <c r="QB16" s="24">
        <v>0.5</v>
      </c>
      <c r="QC16" s="24">
        <v>5.0000000000000001E-3</v>
      </c>
      <c r="QD16" s="24">
        <v>0.5</v>
      </c>
      <c r="QE16" s="24">
        <v>0</v>
      </c>
    </row>
    <row r="17" spans="1:447" x14ac:dyDescent="0.15">
      <c r="IO17" s="86"/>
    </row>
    <row r="18" spans="1:447" x14ac:dyDescent="0.15">
      <c r="A18" t="s">
        <v>150</v>
      </c>
      <c r="IO18" s="86"/>
    </row>
    <row r="19" spans="1:447" x14ac:dyDescent="0.15">
      <c r="A19" s="24" t="s">
        <v>39</v>
      </c>
      <c r="B19" s="24">
        <f>Sectors!D6</f>
        <v>1</v>
      </c>
      <c r="C19" s="24">
        <f>B19</f>
        <v>1</v>
      </c>
      <c r="D19" s="24">
        <f t="shared" ref="D19:F22" si="117">C19</f>
        <v>1</v>
      </c>
      <c r="E19" s="24">
        <f t="shared" si="117"/>
        <v>1</v>
      </c>
      <c r="F19" s="24">
        <f t="shared" si="117"/>
        <v>1</v>
      </c>
      <c r="H19" s="24">
        <v>1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24">
        <v>1</v>
      </c>
      <c r="O19" s="24">
        <v>1</v>
      </c>
      <c r="P19" s="24">
        <v>1</v>
      </c>
      <c r="Q19" s="24">
        <v>1</v>
      </c>
      <c r="R19" s="24">
        <v>1</v>
      </c>
      <c r="S19" s="24">
        <v>1</v>
      </c>
      <c r="T19" s="24">
        <v>1</v>
      </c>
      <c r="U19" s="24">
        <v>1</v>
      </c>
      <c r="V19" s="24">
        <v>1</v>
      </c>
      <c r="W19" s="24">
        <v>1</v>
      </c>
      <c r="X19" s="24">
        <v>1</v>
      </c>
      <c r="Y19" s="24">
        <v>1</v>
      </c>
      <c r="Z19" s="24">
        <v>1</v>
      </c>
      <c r="AA19" s="24">
        <v>1</v>
      </c>
      <c r="AB19" s="24">
        <v>1</v>
      </c>
      <c r="AC19" s="24">
        <v>1</v>
      </c>
      <c r="AD19" s="24">
        <v>1</v>
      </c>
      <c r="AE19" s="24">
        <v>1</v>
      </c>
      <c r="AF19" s="24">
        <v>1</v>
      </c>
      <c r="AG19" s="24">
        <v>1</v>
      </c>
      <c r="AH19" s="24">
        <v>1</v>
      </c>
      <c r="AI19" s="24">
        <v>1</v>
      </c>
      <c r="AJ19" s="24">
        <v>1</v>
      </c>
      <c r="AK19" s="24">
        <v>1</v>
      </c>
      <c r="AL19" s="24">
        <v>1</v>
      </c>
      <c r="AM19" s="24">
        <v>1</v>
      </c>
      <c r="AN19" s="24">
        <v>1</v>
      </c>
      <c r="AO19" s="24">
        <v>1</v>
      </c>
      <c r="AP19" s="24">
        <v>1</v>
      </c>
      <c r="AQ19" s="24">
        <v>1</v>
      </c>
      <c r="AR19" s="24">
        <v>1</v>
      </c>
      <c r="AS19" s="24">
        <v>1</v>
      </c>
      <c r="AT19" s="24">
        <v>1</v>
      </c>
      <c r="AU19" s="24">
        <v>1</v>
      </c>
      <c r="AV19" s="24">
        <v>1</v>
      </c>
      <c r="AW19" s="24">
        <v>1</v>
      </c>
      <c r="AX19" s="24">
        <v>1</v>
      </c>
      <c r="AY19" s="24">
        <v>1</v>
      </c>
      <c r="AZ19" s="24">
        <v>1</v>
      </c>
      <c r="BA19" s="24">
        <v>1</v>
      </c>
      <c r="BB19" s="24">
        <v>1</v>
      </c>
      <c r="BC19" s="24">
        <v>1</v>
      </c>
      <c r="BD19" s="24">
        <v>1</v>
      </c>
      <c r="BE19" s="24">
        <v>1</v>
      </c>
      <c r="BF19" s="24">
        <v>1</v>
      </c>
      <c r="BG19" s="24">
        <v>1</v>
      </c>
      <c r="BH19" s="24">
        <v>1</v>
      </c>
      <c r="BI19" s="24">
        <v>1</v>
      </c>
      <c r="BJ19" s="24">
        <v>1</v>
      </c>
      <c r="BK19" s="24">
        <v>1</v>
      </c>
      <c r="BL19" s="24">
        <v>1</v>
      </c>
      <c r="BM19" s="24">
        <v>1</v>
      </c>
      <c r="BN19" s="24">
        <v>1</v>
      </c>
      <c r="BO19" s="24">
        <v>1</v>
      </c>
      <c r="BP19" s="24">
        <v>1</v>
      </c>
      <c r="BQ19" s="24">
        <v>1</v>
      </c>
      <c r="BR19" s="24">
        <v>1</v>
      </c>
      <c r="BS19" s="24">
        <v>1</v>
      </c>
      <c r="BT19" s="24">
        <v>1</v>
      </c>
      <c r="BU19" s="24">
        <v>1</v>
      </c>
      <c r="BV19" s="24">
        <v>1</v>
      </c>
      <c r="BW19" s="24">
        <v>1</v>
      </c>
      <c r="BX19" s="24">
        <v>1</v>
      </c>
      <c r="BY19" s="24">
        <v>1</v>
      </c>
      <c r="BZ19" s="24">
        <v>1</v>
      </c>
      <c r="CA19" s="24">
        <v>1</v>
      </c>
      <c r="CB19" s="24">
        <v>1</v>
      </c>
      <c r="CC19" s="24">
        <v>1</v>
      </c>
      <c r="CD19" s="24">
        <v>1</v>
      </c>
      <c r="CE19" s="24">
        <v>1</v>
      </c>
      <c r="CF19" s="24">
        <v>1</v>
      </c>
      <c r="CG19" s="24">
        <v>1</v>
      </c>
      <c r="CH19" s="24">
        <v>1</v>
      </c>
      <c r="CI19" s="24">
        <v>1</v>
      </c>
      <c r="CJ19" s="24">
        <v>1</v>
      </c>
      <c r="CK19" s="24">
        <v>1</v>
      </c>
      <c r="CL19" s="24">
        <v>1</v>
      </c>
      <c r="CM19" s="24">
        <v>1</v>
      </c>
      <c r="CN19" s="24">
        <v>1</v>
      </c>
      <c r="CO19" s="24">
        <v>1</v>
      </c>
      <c r="CP19" s="24">
        <v>1</v>
      </c>
      <c r="CQ19" s="24">
        <v>1</v>
      </c>
      <c r="CR19" s="24">
        <v>1</v>
      </c>
      <c r="CS19" s="24">
        <v>1</v>
      </c>
      <c r="CT19" s="24">
        <v>1</v>
      </c>
      <c r="CU19" s="24">
        <v>1</v>
      </c>
      <c r="CV19" s="24">
        <v>1</v>
      </c>
      <c r="CW19" s="24">
        <v>1</v>
      </c>
      <c r="CX19" s="24">
        <v>1</v>
      </c>
      <c r="CY19" s="24">
        <v>1</v>
      </c>
      <c r="CZ19" s="24">
        <v>1</v>
      </c>
      <c r="DA19" s="24">
        <v>1</v>
      </c>
      <c r="DB19" s="24">
        <v>1</v>
      </c>
      <c r="DC19" s="24">
        <v>1</v>
      </c>
      <c r="DD19" s="24">
        <v>1</v>
      </c>
      <c r="DE19" s="24">
        <v>1</v>
      </c>
      <c r="DF19" s="24">
        <v>1</v>
      </c>
      <c r="DG19" s="24">
        <v>1</v>
      </c>
      <c r="DH19" s="24">
        <v>1</v>
      </c>
      <c r="DI19" s="24">
        <v>1</v>
      </c>
      <c r="DJ19" s="24">
        <v>1</v>
      </c>
      <c r="DK19" s="24">
        <v>1</v>
      </c>
      <c r="DL19" s="24">
        <v>1</v>
      </c>
      <c r="DM19" s="24">
        <v>1</v>
      </c>
      <c r="DN19" s="24">
        <v>1</v>
      </c>
      <c r="DO19" s="24">
        <v>1</v>
      </c>
      <c r="DP19" s="24">
        <v>1</v>
      </c>
      <c r="DQ19" s="24">
        <v>1</v>
      </c>
      <c r="DR19" s="24">
        <v>1</v>
      </c>
      <c r="DS19" s="24">
        <v>1</v>
      </c>
      <c r="DT19" s="24">
        <v>1</v>
      </c>
      <c r="DU19" s="24">
        <v>1</v>
      </c>
      <c r="DV19" s="24">
        <v>1</v>
      </c>
      <c r="DW19" s="24">
        <v>1</v>
      </c>
      <c r="DX19" s="24">
        <v>1</v>
      </c>
      <c r="DY19" s="24">
        <v>1</v>
      </c>
      <c r="DZ19" s="24">
        <v>1</v>
      </c>
      <c r="EA19" s="24">
        <v>1</v>
      </c>
      <c r="EB19" s="24">
        <v>1</v>
      </c>
      <c r="EC19" s="24">
        <v>1</v>
      </c>
      <c r="ED19" s="24">
        <v>1</v>
      </c>
      <c r="EE19" s="24">
        <v>1</v>
      </c>
      <c r="EF19" s="24">
        <v>1</v>
      </c>
      <c r="EG19" s="24">
        <v>1</v>
      </c>
      <c r="EH19" s="24">
        <v>1</v>
      </c>
      <c r="EI19" s="24">
        <v>1</v>
      </c>
      <c r="EJ19" s="24">
        <v>1</v>
      </c>
      <c r="EK19" s="24">
        <v>1</v>
      </c>
      <c r="EL19" s="24">
        <v>1</v>
      </c>
      <c r="EM19" s="24">
        <v>1</v>
      </c>
      <c r="EN19" s="24">
        <v>1</v>
      </c>
      <c r="EO19" s="24">
        <v>1</v>
      </c>
      <c r="EP19" s="24">
        <v>1</v>
      </c>
      <c r="EQ19" s="24">
        <v>1</v>
      </c>
      <c r="ER19" s="24">
        <v>1</v>
      </c>
      <c r="ES19" s="24">
        <v>1</v>
      </c>
      <c r="ET19" s="24">
        <v>1</v>
      </c>
      <c r="EU19" s="24">
        <v>1</v>
      </c>
      <c r="EV19" s="24">
        <v>1</v>
      </c>
      <c r="EW19" s="24">
        <v>1</v>
      </c>
      <c r="EX19" s="24">
        <v>1</v>
      </c>
      <c r="EY19" s="24">
        <v>1</v>
      </c>
      <c r="EZ19" s="24">
        <v>1</v>
      </c>
      <c r="FA19" s="24">
        <v>1</v>
      </c>
      <c r="FB19" s="24">
        <v>1</v>
      </c>
      <c r="FC19" s="24">
        <v>1</v>
      </c>
      <c r="FD19" s="24">
        <v>1</v>
      </c>
      <c r="FE19" s="24">
        <v>1</v>
      </c>
      <c r="FF19" s="24">
        <v>1</v>
      </c>
      <c r="FG19" s="24">
        <v>1</v>
      </c>
      <c r="FH19" s="24">
        <v>1</v>
      </c>
      <c r="FI19" s="24">
        <v>1</v>
      </c>
      <c r="FJ19" s="24">
        <v>1</v>
      </c>
      <c r="FK19" s="24">
        <v>1</v>
      </c>
      <c r="FL19" s="24">
        <v>1</v>
      </c>
      <c r="FM19" s="24">
        <v>1</v>
      </c>
      <c r="FN19" s="24">
        <v>1</v>
      </c>
      <c r="FO19" s="24">
        <v>1</v>
      </c>
      <c r="FP19" s="24">
        <v>1</v>
      </c>
      <c r="FQ19" s="24">
        <v>1</v>
      </c>
      <c r="FR19" s="24">
        <v>1</v>
      </c>
      <c r="FS19" s="24">
        <v>1</v>
      </c>
      <c r="FT19" s="24">
        <v>1</v>
      </c>
      <c r="FU19" s="24">
        <v>1</v>
      </c>
      <c r="FV19" s="24">
        <v>1</v>
      </c>
      <c r="FW19" s="24">
        <v>1</v>
      </c>
      <c r="FX19" s="24">
        <v>1</v>
      </c>
      <c r="FY19" s="24">
        <v>1</v>
      </c>
      <c r="FZ19" s="24">
        <v>1</v>
      </c>
      <c r="GA19" s="24">
        <v>1</v>
      </c>
      <c r="GB19" s="24">
        <v>1</v>
      </c>
      <c r="GC19" s="24">
        <v>1</v>
      </c>
      <c r="GD19" s="24">
        <v>1</v>
      </c>
      <c r="GE19" s="24">
        <v>1</v>
      </c>
      <c r="GF19" s="24">
        <v>1</v>
      </c>
      <c r="GG19" s="24">
        <v>1</v>
      </c>
      <c r="GH19" s="24">
        <v>1</v>
      </c>
      <c r="GI19" s="24">
        <v>1</v>
      </c>
      <c r="GJ19" s="24">
        <v>1</v>
      </c>
      <c r="GK19" s="24">
        <v>1</v>
      </c>
      <c r="GL19" s="24">
        <v>1</v>
      </c>
      <c r="GM19" s="24">
        <v>1</v>
      </c>
      <c r="GN19" s="24">
        <v>1</v>
      </c>
      <c r="GO19" s="24">
        <v>1</v>
      </c>
      <c r="GP19" s="24">
        <v>1</v>
      </c>
      <c r="GQ19" s="24">
        <v>1</v>
      </c>
      <c r="GR19" s="24">
        <v>1</v>
      </c>
      <c r="GS19" s="24">
        <v>1</v>
      </c>
      <c r="GT19" s="24">
        <v>1</v>
      </c>
      <c r="GU19" s="24">
        <v>1</v>
      </c>
      <c r="GV19" s="24">
        <v>1</v>
      </c>
      <c r="GW19" s="24">
        <v>1</v>
      </c>
      <c r="GX19" s="24">
        <v>1</v>
      </c>
      <c r="GY19" s="24">
        <v>1</v>
      </c>
      <c r="GZ19" s="24">
        <v>1</v>
      </c>
      <c r="HA19" s="24">
        <v>1</v>
      </c>
      <c r="HB19" s="24">
        <v>1</v>
      </c>
      <c r="HC19" s="24">
        <v>1</v>
      </c>
      <c r="HD19" s="24">
        <v>1</v>
      </c>
      <c r="HE19" s="24">
        <v>1</v>
      </c>
      <c r="HF19" s="24">
        <v>1</v>
      </c>
      <c r="HG19" s="24">
        <v>1</v>
      </c>
      <c r="HH19" s="24">
        <v>1</v>
      </c>
      <c r="HI19" s="24">
        <v>1</v>
      </c>
      <c r="HJ19" s="24">
        <v>1</v>
      </c>
      <c r="HK19" s="24">
        <v>1</v>
      </c>
      <c r="HL19" s="24">
        <v>1</v>
      </c>
      <c r="HM19" s="24">
        <v>1</v>
      </c>
      <c r="HN19" s="24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 s="86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1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1</v>
      </c>
      <c r="JQ19">
        <v>1</v>
      </c>
      <c r="JR19">
        <v>1</v>
      </c>
      <c r="JS19">
        <v>1</v>
      </c>
      <c r="JT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1</v>
      </c>
      <c r="KM19">
        <v>1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D19">
        <v>1</v>
      </c>
      <c r="LE19">
        <v>1</v>
      </c>
      <c r="LF19">
        <v>1</v>
      </c>
      <c r="LG19">
        <v>1</v>
      </c>
      <c r="LH19">
        <v>1</v>
      </c>
      <c r="LI19">
        <v>1</v>
      </c>
      <c r="LJ19">
        <v>1</v>
      </c>
      <c r="LK19">
        <v>1</v>
      </c>
      <c r="LL19">
        <v>1</v>
      </c>
      <c r="LM19">
        <v>1</v>
      </c>
      <c r="LN19">
        <v>1</v>
      </c>
      <c r="LO19">
        <v>1</v>
      </c>
      <c r="LP19">
        <v>1</v>
      </c>
      <c r="LQ19">
        <v>1</v>
      </c>
      <c r="LR19">
        <v>1</v>
      </c>
      <c r="LS19">
        <v>1</v>
      </c>
      <c r="LT19">
        <v>1</v>
      </c>
      <c r="LU19">
        <v>1</v>
      </c>
      <c r="LV19">
        <v>1</v>
      </c>
      <c r="LW19">
        <v>1</v>
      </c>
      <c r="LX19">
        <v>1</v>
      </c>
      <c r="LY19">
        <v>1</v>
      </c>
      <c r="LZ19">
        <v>1</v>
      </c>
      <c r="MA19">
        <v>1</v>
      </c>
      <c r="MB19">
        <v>1</v>
      </c>
      <c r="MC19">
        <v>1</v>
      </c>
      <c r="MD19">
        <v>1</v>
      </c>
      <c r="ME19">
        <v>1</v>
      </c>
      <c r="MF19">
        <v>1</v>
      </c>
      <c r="MG19">
        <v>1</v>
      </c>
      <c r="MH19">
        <v>1</v>
      </c>
      <c r="MI19">
        <v>1</v>
      </c>
      <c r="MJ19">
        <v>1</v>
      </c>
      <c r="MK19">
        <v>1</v>
      </c>
      <c r="ML19">
        <v>1</v>
      </c>
      <c r="MM19">
        <v>1</v>
      </c>
      <c r="MN19">
        <v>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1</v>
      </c>
      <c r="MU19">
        <v>1</v>
      </c>
      <c r="MV19">
        <v>1</v>
      </c>
      <c r="MW19">
        <v>1</v>
      </c>
      <c r="MX19">
        <v>1</v>
      </c>
      <c r="MY19">
        <v>1</v>
      </c>
      <c r="MZ19">
        <v>1</v>
      </c>
      <c r="NA19">
        <v>1</v>
      </c>
      <c r="NB19">
        <v>1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1</v>
      </c>
      <c r="NK19">
        <v>1</v>
      </c>
      <c r="NL19">
        <v>1</v>
      </c>
      <c r="NM19">
        <v>1</v>
      </c>
      <c r="NN19">
        <v>1</v>
      </c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1</v>
      </c>
      <c r="OF19">
        <v>1</v>
      </c>
      <c r="OG19">
        <v>1</v>
      </c>
      <c r="OH19">
        <v>1</v>
      </c>
      <c r="OI19">
        <v>1</v>
      </c>
      <c r="OJ19">
        <v>1</v>
      </c>
      <c r="OK19">
        <v>1</v>
      </c>
      <c r="OL19">
        <v>1</v>
      </c>
      <c r="OM19">
        <v>1</v>
      </c>
      <c r="ON19">
        <v>1</v>
      </c>
      <c r="OO19">
        <v>1</v>
      </c>
      <c r="OP19">
        <v>1</v>
      </c>
      <c r="OQ19">
        <v>1</v>
      </c>
      <c r="OR19">
        <v>1</v>
      </c>
      <c r="OS19">
        <v>1</v>
      </c>
      <c r="OT19">
        <v>1</v>
      </c>
      <c r="OU19">
        <v>1</v>
      </c>
      <c r="OV19">
        <v>1</v>
      </c>
      <c r="OW19">
        <v>1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1</v>
      </c>
      <c r="PE19">
        <v>1</v>
      </c>
      <c r="PF19">
        <v>1</v>
      </c>
      <c r="PG19">
        <v>1</v>
      </c>
      <c r="PH19">
        <v>1</v>
      </c>
      <c r="PI19">
        <v>1</v>
      </c>
      <c r="PJ19">
        <v>1</v>
      </c>
      <c r="PK19">
        <v>1</v>
      </c>
      <c r="PL19" s="24">
        <v>1</v>
      </c>
      <c r="PM19" s="24">
        <v>1</v>
      </c>
      <c r="PN19" s="24">
        <v>1</v>
      </c>
      <c r="PO19" s="24">
        <v>1</v>
      </c>
      <c r="PP19" s="24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 s="24">
        <v>1</v>
      </c>
      <c r="QB19" s="24">
        <v>1</v>
      </c>
      <c r="QC19" s="24">
        <v>1</v>
      </c>
      <c r="QD19" s="24">
        <v>1</v>
      </c>
      <c r="QE19" s="24">
        <v>1</v>
      </c>
    </row>
    <row r="20" spans="1:447" x14ac:dyDescent="0.15">
      <c r="A20" s="24" t="s">
        <v>275</v>
      </c>
      <c r="B20" s="24">
        <f>Sectors!D7</f>
        <v>0.99678494269231432</v>
      </c>
      <c r="C20" s="24">
        <f>B20</f>
        <v>0.99678494269231432</v>
      </c>
      <c r="D20" s="24">
        <f t="shared" si="117"/>
        <v>0.99678494269231432</v>
      </c>
      <c r="E20" s="24">
        <f t="shared" si="117"/>
        <v>0.99678494269231432</v>
      </c>
      <c r="F20" s="24">
        <f t="shared" si="117"/>
        <v>0.99678494269231432</v>
      </c>
      <c r="H20" s="24">
        <v>0.99678494269231432</v>
      </c>
      <c r="I20" s="24">
        <v>0.99678494269231432</v>
      </c>
      <c r="J20" s="24">
        <v>0.99678494269231432</v>
      </c>
      <c r="K20" s="24">
        <v>0.99678494269231432</v>
      </c>
      <c r="L20" s="24">
        <v>0.99678494269231432</v>
      </c>
      <c r="M20" s="24">
        <v>0.99678494269231432</v>
      </c>
      <c r="N20" s="24">
        <v>0.99678494269231432</v>
      </c>
      <c r="O20" s="24">
        <v>0.99678494269231432</v>
      </c>
      <c r="P20" s="24">
        <v>0.99678494269231432</v>
      </c>
      <c r="Q20" s="24">
        <v>0.99678494269231432</v>
      </c>
      <c r="R20" s="24">
        <v>0.99678494269231432</v>
      </c>
      <c r="S20" s="24">
        <v>0.99678494269231432</v>
      </c>
      <c r="T20" s="24">
        <v>0.99678494269231432</v>
      </c>
      <c r="U20" s="24">
        <v>0.99678494269231432</v>
      </c>
      <c r="V20" s="24">
        <v>0.99678494269231432</v>
      </c>
      <c r="W20" s="24">
        <v>0.99678494269231432</v>
      </c>
      <c r="X20" s="24">
        <v>0.99678494269231432</v>
      </c>
      <c r="Y20" s="24">
        <v>0.99678494269231432</v>
      </c>
      <c r="Z20" s="24">
        <v>0.99678494269231432</v>
      </c>
      <c r="AA20" s="24">
        <v>0.99678494269231432</v>
      </c>
      <c r="AB20" s="24">
        <v>0.99678494269231432</v>
      </c>
      <c r="AC20" s="24">
        <v>0.99678494269231432</v>
      </c>
      <c r="AD20" s="24">
        <v>0.99678494269231432</v>
      </c>
      <c r="AE20" s="24">
        <v>0.99678494269231432</v>
      </c>
      <c r="AF20" s="24">
        <v>0.99678494269231399</v>
      </c>
      <c r="AG20" s="24">
        <v>0.99678494269231432</v>
      </c>
      <c r="AH20" s="24">
        <v>0.99678494269231432</v>
      </c>
      <c r="AI20" s="24">
        <v>0.99678494269231432</v>
      </c>
      <c r="AJ20" s="24">
        <v>0.99678494269231432</v>
      </c>
      <c r="AK20" s="24">
        <v>0.99678494269231432</v>
      </c>
      <c r="AL20" s="24">
        <v>0.99678494269231432</v>
      </c>
      <c r="AM20" s="24">
        <v>0.99678494269231432</v>
      </c>
      <c r="AN20" s="24">
        <v>0.99678494269231432</v>
      </c>
      <c r="AO20" s="24">
        <v>0.99678494269231432</v>
      </c>
      <c r="AP20" s="24">
        <v>0.99678494269231432</v>
      </c>
      <c r="AQ20" s="24">
        <v>0.99678494269231432</v>
      </c>
      <c r="AR20" s="24">
        <v>0.99678494269231432</v>
      </c>
      <c r="AS20" s="24">
        <v>0.99678494269231432</v>
      </c>
      <c r="AT20" s="24">
        <v>0.99678494269231432</v>
      </c>
      <c r="AU20" s="24">
        <v>0.99678494269231432</v>
      </c>
      <c r="AV20" s="24">
        <v>0.99678494269231432</v>
      </c>
      <c r="AW20" s="24">
        <v>0.99678494269231432</v>
      </c>
      <c r="AX20" s="24">
        <v>0.99678494269231432</v>
      </c>
      <c r="AY20" s="24">
        <v>0.99678494269231432</v>
      </c>
      <c r="AZ20" s="24">
        <v>0.99678494269231432</v>
      </c>
      <c r="BA20" s="24">
        <v>0.99678494269231432</v>
      </c>
      <c r="BB20" s="24">
        <v>0.99678494269231432</v>
      </c>
      <c r="BC20" s="24">
        <v>0.99678494269231432</v>
      </c>
      <c r="BD20" s="24">
        <v>0.99678494269231432</v>
      </c>
      <c r="BE20" s="24">
        <v>0.99678494269231432</v>
      </c>
      <c r="BF20" s="24">
        <v>0.99678494269231432</v>
      </c>
      <c r="BG20" s="24">
        <v>0.99678494269231432</v>
      </c>
      <c r="BH20" s="24">
        <v>0.99678494269231432</v>
      </c>
      <c r="BI20" s="24">
        <v>0.99678494269231432</v>
      </c>
      <c r="BJ20" s="24">
        <v>0.99678494269231432</v>
      </c>
      <c r="BK20" s="24">
        <v>0.99678494269231432</v>
      </c>
      <c r="BL20" s="24">
        <v>0.99678494269231432</v>
      </c>
      <c r="BM20" s="24">
        <v>0.99678494269231432</v>
      </c>
      <c r="BN20" s="24">
        <v>0.99678494269231432</v>
      </c>
      <c r="BO20" s="24">
        <v>0.99678494269231432</v>
      </c>
      <c r="BP20" s="24">
        <v>0.99678494269231432</v>
      </c>
      <c r="BQ20" s="24">
        <v>0.99678494269231432</v>
      </c>
      <c r="BR20" s="24">
        <v>0.99678494269231432</v>
      </c>
      <c r="BS20" s="24">
        <v>0.99678494269231432</v>
      </c>
      <c r="BT20" s="24">
        <v>0.99678494269231432</v>
      </c>
      <c r="BU20" s="24">
        <v>0.99678494269231432</v>
      </c>
      <c r="BV20" s="24">
        <v>0.99678494269231432</v>
      </c>
      <c r="BW20" s="24">
        <v>0.99678494269231432</v>
      </c>
      <c r="BX20" s="24">
        <v>0.99678494269231432</v>
      </c>
      <c r="BY20" s="24">
        <v>0.99678494269231432</v>
      </c>
      <c r="BZ20" s="24">
        <v>0.99678494269231432</v>
      </c>
      <c r="CA20" s="24">
        <v>0.99678494269231432</v>
      </c>
      <c r="CB20" s="24">
        <v>0.99678494269231432</v>
      </c>
      <c r="CC20" s="24">
        <v>0.99678494269231432</v>
      </c>
      <c r="CD20" s="24">
        <v>0.99678494269231432</v>
      </c>
      <c r="CE20" s="24">
        <v>0.99678494269231432</v>
      </c>
      <c r="CF20" s="24">
        <v>0.99678494269231432</v>
      </c>
      <c r="CG20" s="24">
        <v>0.99678494269231432</v>
      </c>
      <c r="CH20" s="24">
        <v>0.99678494269231432</v>
      </c>
      <c r="CI20" s="24">
        <v>0.99678494269231432</v>
      </c>
      <c r="CJ20" s="24">
        <v>0.99678494269231432</v>
      </c>
      <c r="CK20" s="24">
        <v>0.99678494269231432</v>
      </c>
      <c r="CL20" s="24">
        <v>0.99678494269231432</v>
      </c>
      <c r="CM20" s="24">
        <v>0.99678494269231432</v>
      </c>
      <c r="CN20" s="24">
        <v>0.99678494269231432</v>
      </c>
      <c r="CO20" s="24">
        <v>0.99678494269231432</v>
      </c>
      <c r="CP20" s="24">
        <v>0.99678494269231432</v>
      </c>
      <c r="CQ20" s="24">
        <v>0.99678494269231432</v>
      </c>
      <c r="CR20" s="24">
        <v>0.99678494269231432</v>
      </c>
      <c r="CS20" s="24">
        <v>0.99678494269231432</v>
      </c>
      <c r="CT20" s="24">
        <v>0.99678494269231432</v>
      </c>
      <c r="CU20" s="24">
        <v>0.99678494269231432</v>
      </c>
      <c r="CV20" s="24">
        <v>0.99678494269231432</v>
      </c>
      <c r="CW20" s="24">
        <v>0.99678494269231432</v>
      </c>
      <c r="CX20" s="24">
        <v>0.99678494269231432</v>
      </c>
      <c r="CY20" s="24">
        <v>0.99678494269231432</v>
      </c>
      <c r="CZ20" s="24">
        <v>0.99678494269231432</v>
      </c>
      <c r="DA20" s="24">
        <v>0.99678494269231432</v>
      </c>
      <c r="DB20" s="24">
        <v>0.99678494269231432</v>
      </c>
      <c r="DC20" s="24">
        <v>0.99678494269231432</v>
      </c>
      <c r="DD20" s="24">
        <v>0.99678494269231432</v>
      </c>
      <c r="DE20" s="24">
        <v>0.99678494269231432</v>
      </c>
      <c r="DF20" s="24">
        <v>0.99678494269231432</v>
      </c>
      <c r="DG20" s="24">
        <v>0.99678494269231432</v>
      </c>
      <c r="DH20" s="24">
        <v>0.99678494269231432</v>
      </c>
      <c r="DI20" s="24">
        <v>0.99678494269231432</v>
      </c>
      <c r="DJ20" s="24">
        <v>0.99678494269231432</v>
      </c>
      <c r="DK20" s="24">
        <v>0.99678494269231432</v>
      </c>
      <c r="DL20" s="24">
        <v>0.99678494269231432</v>
      </c>
      <c r="DM20" s="24">
        <v>0.99678494269231432</v>
      </c>
      <c r="DN20" s="24">
        <v>0.99678494269231432</v>
      </c>
      <c r="DO20" s="24">
        <v>0.99678494269231432</v>
      </c>
      <c r="DP20" s="24">
        <v>0.99678494269231432</v>
      </c>
      <c r="DQ20" s="24">
        <v>0.99678494269231432</v>
      </c>
      <c r="DR20" s="24">
        <v>0.99678494269231432</v>
      </c>
      <c r="DS20" s="24">
        <v>0.99678494269231432</v>
      </c>
      <c r="DT20" s="24">
        <v>0.99678494269231432</v>
      </c>
      <c r="DU20" s="24">
        <v>0.99678494269231432</v>
      </c>
      <c r="DV20" s="24">
        <v>0.99678494269231432</v>
      </c>
      <c r="DW20" s="24">
        <v>0.99678494269231432</v>
      </c>
      <c r="DX20" s="24">
        <v>0.99678494269231432</v>
      </c>
      <c r="DY20" s="24">
        <v>0.99678494269231432</v>
      </c>
      <c r="DZ20" s="24">
        <v>0.99678494269231432</v>
      </c>
      <c r="EA20" s="24">
        <v>0.99678494269231432</v>
      </c>
      <c r="EB20" s="24">
        <v>0.99678494269231432</v>
      </c>
      <c r="EC20" s="24">
        <v>0.99678494269231432</v>
      </c>
      <c r="ED20" s="24">
        <v>0.99678494269231432</v>
      </c>
      <c r="EE20" s="24">
        <v>0.99678494269231432</v>
      </c>
      <c r="EF20" s="24">
        <v>0.99678494269231432</v>
      </c>
      <c r="EG20" s="24">
        <v>0.99678494269231432</v>
      </c>
      <c r="EH20" s="24">
        <v>0.99678494269231432</v>
      </c>
      <c r="EI20" s="24">
        <v>0.99678494269231432</v>
      </c>
      <c r="EJ20" s="24">
        <v>0.99678494269231432</v>
      </c>
      <c r="EK20" s="24">
        <v>0.99678494269231432</v>
      </c>
      <c r="EL20" s="24">
        <v>0.99678494269231432</v>
      </c>
      <c r="EM20" s="24">
        <v>0.99678494269231432</v>
      </c>
      <c r="EN20" s="24">
        <v>0.99678494269231432</v>
      </c>
      <c r="EO20" s="24">
        <v>0.99678494269231432</v>
      </c>
      <c r="EP20" s="24">
        <v>0.99678494269231432</v>
      </c>
      <c r="EQ20" s="24">
        <v>0.99678494269231432</v>
      </c>
      <c r="ER20" s="24">
        <v>0.99678494269231432</v>
      </c>
      <c r="ES20" s="24">
        <v>0.99678494269231432</v>
      </c>
      <c r="ET20" s="24">
        <v>0.99678494269231432</v>
      </c>
      <c r="EU20" s="24">
        <v>0.99678494269231432</v>
      </c>
      <c r="EV20" s="24">
        <v>0.99678494269231432</v>
      </c>
      <c r="EW20" s="24">
        <v>0.99678494269231432</v>
      </c>
      <c r="EX20" s="24">
        <v>0.99678494269231432</v>
      </c>
      <c r="EY20" s="24">
        <v>0.99678494269231432</v>
      </c>
      <c r="EZ20" s="24">
        <v>0.99678494269231432</v>
      </c>
      <c r="FA20" s="24">
        <v>0.99678494269231432</v>
      </c>
      <c r="FB20" s="24">
        <v>0.99678494269231432</v>
      </c>
      <c r="FC20" s="24">
        <v>0.99678494269231432</v>
      </c>
      <c r="FD20" s="24">
        <v>0.99678494269231432</v>
      </c>
      <c r="FE20" s="24">
        <v>0.99678494269231432</v>
      </c>
      <c r="FF20" s="24">
        <v>0.99678494269231432</v>
      </c>
      <c r="FG20" s="24">
        <v>0.99678494269231432</v>
      </c>
      <c r="FH20" s="24">
        <v>0.99678494269231432</v>
      </c>
      <c r="FI20" s="24">
        <v>0.99678494269231432</v>
      </c>
      <c r="FJ20" s="24">
        <v>0.99678494269231432</v>
      </c>
      <c r="FK20" s="24">
        <v>0.99678494269231432</v>
      </c>
      <c r="FL20" s="24">
        <v>0.99678494269231432</v>
      </c>
      <c r="FM20" s="24">
        <v>0.99678494269231432</v>
      </c>
      <c r="FN20" s="24">
        <v>0.99678494269231432</v>
      </c>
      <c r="FO20" s="24">
        <v>0.99678494269231432</v>
      </c>
      <c r="FP20" s="24">
        <v>0.99678494269231432</v>
      </c>
      <c r="FQ20" s="24">
        <v>0.99678494269231432</v>
      </c>
      <c r="FR20" s="24">
        <v>0.99678494269231432</v>
      </c>
      <c r="FS20" s="24">
        <v>0.99678494269231432</v>
      </c>
      <c r="FT20" s="24">
        <v>0.99678494269231432</v>
      </c>
      <c r="FU20" s="24">
        <v>0.99678494269231432</v>
      </c>
      <c r="FV20" s="24">
        <v>0.99678494269231432</v>
      </c>
      <c r="FW20" s="24">
        <v>0.99678494269231432</v>
      </c>
      <c r="FX20" s="24">
        <v>0.99678494269231432</v>
      </c>
      <c r="FY20" s="24">
        <v>0.99678494269231432</v>
      </c>
      <c r="FZ20" s="24">
        <v>0.99678494269231432</v>
      </c>
      <c r="GA20" s="24">
        <v>0.99678494269231432</v>
      </c>
      <c r="GB20" s="24">
        <v>0.99678494269231432</v>
      </c>
      <c r="GC20" s="24">
        <v>0.99678494269231432</v>
      </c>
      <c r="GD20" s="24">
        <v>0.99678494269231432</v>
      </c>
      <c r="GE20" s="24">
        <v>0.99678494269231432</v>
      </c>
      <c r="GF20" s="24">
        <v>0.99678494269231432</v>
      </c>
      <c r="GG20" s="24">
        <v>0.99678494269231432</v>
      </c>
      <c r="GH20" s="24">
        <v>0.99678494269231432</v>
      </c>
      <c r="GI20" s="24">
        <v>0.99678494269231432</v>
      </c>
      <c r="GJ20" s="24">
        <v>0.99678494269231432</v>
      </c>
      <c r="GK20" s="24">
        <v>0.99678494269231432</v>
      </c>
      <c r="GL20" s="24">
        <v>0.99678494269231432</v>
      </c>
      <c r="GM20" s="24">
        <v>0.99678494269231432</v>
      </c>
      <c r="GN20" s="24">
        <v>0.99678494269231432</v>
      </c>
      <c r="GO20" s="24">
        <v>0.99678494269231432</v>
      </c>
      <c r="GP20" s="24">
        <v>0.99678494269231432</v>
      </c>
      <c r="GQ20" s="24">
        <v>0.99678494269231432</v>
      </c>
      <c r="GR20" s="24">
        <v>0.99678494269231432</v>
      </c>
      <c r="GS20" s="24">
        <v>0.99678494269231432</v>
      </c>
      <c r="GT20" s="24">
        <v>0.99678494269231432</v>
      </c>
      <c r="GU20" s="24">
        <v>0.9741944823356935</v>
      </c>
      <c r="GV20" s="24">
        <v>0.9741944823356935</v>
      </c>
      <c r="GW20" s="24">
        <v>0.9741944823356935</v>
      </c>
      <c r="GX20" s="24">
        <v>0.9741944823356935</v>
      </c>
      <c r="GY20" s="24">
        <v>0.9741944823356935</v>
      </c>
      <c r="GZ20" s="24">
        <v>0.9741944823356935</v>
      </c>
      <c r="HA20" s="24">
        <v>0.9741944823356935</v>
      </c>
      <c r="HB20" s="24">
        <v>0.9741944823356935</v>
      </c>
      <c r="HC20" s="24">
        <v>0.9741944823356935</v>
      </c>
      <c r="HD20" s="24">
        <v>0.9741944823356935</v>
      </c>
      <c r="HE20" s="24">
        <v>0.9741944823356935</v>
      </c>
      <c r="HF20" s="24">
        <v>0.9741944823356935</v>
      </c>
      <c r="HG20" s="24">
        <v>0.9741944823356935</v>
      </c>
      <c r="HH20" s="24">
        <v>0.9741944823356935</v>
      </c>
      <c r="HI20" s="24">
        <v>0.9741944823356935</v>
      </c>
      <c r="HJ20" s="24">
        <v>0.96471809968757272</v>
      </c>
      <c r="HK20" s="24">
        <v>0.96471809968757272</v>
      </c>
      <c r="HL20" s="24">
        <v>0.96471809968757272</v>
      </c>
      <c r="HM20" s="24">
        <v>0.96471809968757272</v>
      </c>
      <c r="HN20" s="24">
        <v>0.96471809968757272</v>
      </c>
      <c r="HO20">
        <v>0.97891838600000003</v>
      </c>
      <c r="HP20">
        <v>0.97891838600000003</v>
      </c>
      <c r="HQ20">
        <v>0.97891838600000003</v>
      </c>
      <c r="HR20">
        <v>0.97891838600000003</v>
      </c>
      <c r="HS20">
        <v>0.97891838600000003</v>
      </c>
      <c r="HT20">
        <v>0.99243157599999998</v>
      </c>
      <c r="HU20">
        <v>0.99243157599999998</v>
      </c>
      <c r="HV20">
        <v>0.99243157599999998</v>
      </c>
      <c r="HW20">
        <v>0.99243157599999998</v>
      </c>
      <c r="HX20">
        <v>0.99243157599999998</v>
      </c>
      <c r="HY20">
        <v>1.0094073129622874</v>
      </c>
      <c r="HZ20">
        <v>1.0094073129622874</v>
      </c>
      <c r="IA20">
        <v>1.0094073129622874</v>
      </c>
      <c r="IB20">
        <v>1.0094073129622874</v>
      </c>
      <c r="IC20">
        <v>1.0094073129622874</v>
      </c>
      <c r="ID20">
        <v>1.0100492723820094</v>
      </c>
      <c r="IE20">
        <v>1.0100492723820094</v>
      </c>
      <c r="IF20">
        <v>1.0100492723820094</v>
      </c>
      <c r="IG20">
        <v>1.0100492723820094</v>
      </c>
      <c r="IH20">
        <v>1.0100492723820094</v>
      </c>
      <c r="II20">
        <v>1.0232776946190092</v>
      </c>
      <c r="IJ20">
        <v>1.0232776946190092</v>
      </c>
      <c r="IK20">
        <v>1.0232776946190092</v>
      </c>
      <c r="IL20">
        <v>1.0232776946190092</v>
      </c>
      <c r="IM20">
        <v>1.0232776946190092</v>
      </c>
      <c r="IN20">
        <v>1.0364713154819647</v>
      </c>
      <c r="IO20" s="86">
        <v>1.0364713154819647</v>
      </c>
      <c r="IP20">
        <v>1.0364713154819647</v>
      </c>
      <c r="IQ20">
        <v>1.0364713154819647</v>
      </c>
      <c r="IR20">
        <v>1.0364713154819647</v>
      </c>
      <c r="IS20">
        <v>1.0496302630549672</v>
      </c>
      <c r="IT20">
        <v>1.0496302630549672</v>
      </c>
      <c r="IU20">
        <v>1.0496302630549672</v>
      </c>
      <c r="IV20">
        <v>1.0496302630549672</v>
      </c>
      <c r="IW20">
        <v>1.0496302630549672</v>
      </c>
      <c r="IX20">
        <v>0.98505886806958021</v>
      </c>
      <c r="IY20">
        <v>0.98505886806958021</v>
      </c>
      <c r="IZ20">
        <v>0.98505886806958021</v>
      </c>
      <c r="JA20">
        <v>0.98505886806958021</v>
      </c>
      <c r="JB20">
        <v>0.98505886806958021</v>
      </c>
      <c r="JC20">
        <v>0.97015390539819801</v>
      </c>
      <c r="JD20">
        <v>0.97015390539819801</v>
      </c>
      <c r="JE20">
        <v>0.97015390539819801</v>
      </c>
      <c r="JF20">
        <v>0.97015390539819801</v>
      </c>
      <c r="JG20">
        <v>0.97015390539819801</v>
      </c>
      <c r="JH20">
        <v>0.94338060850888483</v>
      </c>
      <c r="JI20">
        <v>0.94338060850888483</v>
      </c>
      <c r="JJ20">
        <v>0.94338060850888483</v>
      </c>
      <c r="JK20">
        <v>0.94338060850888483</v>
      </c>
      <c r="JL20">
        <v>0.94338060850888483</v>
      </c>
      <c r="JM20">
        <v>0.96471614275688333</v>
      </c>
      <c r="JN20">
        <v>0.96471614275688333</v>
      </c>
      <c r="JO20">
        <v>0.96471614275688333</v>
      </c>
      <c r="JP20">
        <v>0.96471614275688333</v>
      </c>
      <c r="JQ20">
        <v>0.96471614275688333</v>
      </c>
      <c r="JR20">
        <v>0.97426217905815882</v>
      </c>
      <c r="JS20">
        <v>0.97426217905815882</v>
      </c>
      <c r="JT20">
        <v>0.97426217905815882</v>
      </c>
      <c r="JU20">
        <v>0.97426217905815882</v>
      </c>
      <c r="JV20">
        <v>0.97426217905815882</v>
      </c>
      <c r="JW20">
        <v>0.98800248114975164</v>
      </c>
      <c r="JX20">
        <v>0.98800248114975164</v>
      </c>
      <c r="JY20">
        <v>0.98800248114975164</v>
      </c>
      <c r="JZ20">
        <v>0.98800248114975164</v>
      </c>
      <c r="KA20">
        <v>0.98800248114975164</v>
      </c>
      <c r="KB20">
        <v>1.0010666037964417</v>
      </c>
      <c r="KC20">
        <v>1.0010666037964417</v>
      </c>
      <c r="KD20">
        <v>1.0010666037964417</v>
      </c>
      <c r="KE20">
        <v>1.0010666037964417</v>
      </c>
      <c r="KF20">
        <v>1.0010666037964417</v>
      </c>
      <c r="KG20">
        <v>1.0131234794868194</v>
      </c>
      <c r="KH20">
        <v>1.0131234794868194</v>
      </c>
      <c r="KI20">
        <v>1.0131234794868194</v>
      </c>
      <c r="KJ20">
        <v>1.0131234794868194</v>
      </c>
      <c r="KK20">
        <v>1.0131234794868194</v>
      </c>
      <c r="KL20">
        <v>0.99678494269231432</v>
      </c>
      <c r="KM20">
        <v>0.99678494269231432</v>
      </c>
      <c r="KN20">
        <v>0.99678494269231432</v>
      </c>
      <c r="KO20">
        <v>0.99678494269231432</v>
      </c>
      <c r="KP20">
        <v>0.99678494269231432</v>
      </c>
      <c r="KQ20">
        <v>0.99678494269231432</v>
      </c>
      <c r="KR20">
        <v>0.99678494269231432</v>
      </c>
      <c r="KS20">
        <v>0.99678494269231432</v>
      </c>
      <c r="KT20">
        <v>0.99678494269231432</v>
      </c>
      <c r="KU20">
        <v>0.99678494269231432</v>
      </c>
      <c r="KV20">
        <v>0.99678494269231432</v>
      </c>
      <c r="KW20">
        <v>0.99678494269231432</v>
      </c>
      <c r="KX20">
        <v>0.99678494269231432</v>
      </c>
      <c r="KY20">
        <v>0.99678494269231432</v>
      </c>
      <c r="KZ20">
        <v>0.99678494269231432</v>
      </c>
      <c r="LA20">
        <v>0.99678494269231432</v>
      </c>
      <c r="LB20">
        <v>0.99678494269231432</v>
      </c>
      <c r="LC20">
        <v>0.99678494269231432</v>
      </c>
      <c r="LD20">
        <v>0.99678494269231432</v>
      </c>
      <c r="LE20">
        <v>0.99678494269231432</v>
      </c>
      <c r="LF20">
        <v>0.99678494269231432</v>
      </c>
      <c r="LG20">
        <v>0.99678494269231432</v>
      </c>
      <c r="LH20">
        <v>0.99678494269231432</v>
      </c>
      <c r="LI20">
        <v>0.99678494269231432</v>
      </c>
      <c r="LJ20">
        <v>0.99678494269231432</v>
      </c>
      <c r="LK20">
        <v>0.99678494269231432</v>
      </c>
      <c r="LL20">
        <v>0.99678494269231432</v>
      </c>
      <c r="LM20">
        <v>0.99678494269231432</v>
      </c>
      <c r="LN20">
        <v>0.99678494269231432</v>
      </c>
      <c r="LO20">
        <v>0.99678494269231432</v>
      </c>
      <c r="LP20">
        <v>0.99669897239331329</v>
      </c>
      <c r="LQ20">
        <v>0.99669897239331329</v>
      </c>
      <c r="LR20">
        <v>0.99669897239331329</v>
      </c>
      <c r="LS20">
        <v>0.99669897239331329</v>
      </c>
      <c r="LT20">
        <v>0.99669897239331329</v>
      </c>
      <c r="LU20">
        <v>0.99661158791925186</v>
      </c>
      <c r="LV20">
        <v>0.99661158791925186</v>
      </c>
      <c r="LW20">
        <v>0.99661158791925186</v>
      </c>
      <c r="LX20">
        <v>0.99661158791925186</v>
      </c>
      <c r="LY20">
        <v>0.99661158791925186</v>
      </c>
      <c r="LZ20">
        <v>0.9965237618973426</v>
      </c>
      <c r="MA20">
        <v>0.9965237618973426</v>
      </c>
      <c r="MB20">
        <v>0.9965237618973426</v>
      </c>
      <c r="MC20">
        <v>0.9965237618973426</v>
      </c>
      <c r="MD20">
        <v>0.9965237618973426</v>
      </c>
      <c r="ME20">
        <v>0.94980704302088403</v>
      </c>
      <c r="MF20">
        <v>0.94980704302088403</v>
      </c>
      <c r="MG20">
        <v>0.94980704302088403</v>
      </c>
      <c r="MH20">
        <v>0.94980704302088403</v>
      </c>
      <c r="MI20">
        <v>0.94980704302088403</v>
      </c>
      <c r="MJ20">
        <v>1.0213741313275786</v>
      </c>
      <c r="MK20">
        <v>1.0213741313275786</v>
      </c>
      <c r="ML20">
        <v>1.0213741313275786</v>
      </c>
      <c r="MM20">
        <v>1.0213741313275786</v>
      </c>
      <c r="MN20">
        <v>1.0213741313275786</v>
      </c>
      <c r="MO20">
        <v>0.92273864557862506</v>
      </c>
      <c r="MP20">
        <v>0.92273864557862506</v>
      </c>
      <c r="MQ20">
        <v>0.92273864557862506</v>
      </c>
      <c r="MR20">
        <v>0.92273864557862506</v>
      </c>
      <c r="MS20">
        <v>0.92273864557862506</v>
      </c>
      <c r="MT20">
        <v>0.89483653781848183</v>
      </c>
      <c r="MU20">
        <v>0.89483653781848183</v>
      </c>
      <c r="MV20">
        <v>0.89483653781848183</v>
      </c>
      <c r="MW20">
        <v>0.89483653781848183</v>
      </c>
      <c r="MX20">
        <v>0.89483653781848183</v>
      </c>
      <c r="MY20">
        <v>0.86714001984693356</v>
      </c>
      <c r="MZ20">
        <v>0.86714001984693356</v>
      </c>
      <c r="NA20">
        <v>0.86714001984693356</v>
      </c>
      <c r="NB20">
        <v>0.86714001984693356</v>
      </c>
      <c r="NC20">
        <v>0.86714001984693356</v>
      </c>
      <c r="ND20">
        <v>1.0758446490038096</v>
      </c>
      <c r="NE20">
        <v>1.0758446490038096</v>
      </c>
      <c r="NF20">
        <v>1.0758446490038096</v>
      </c>
      <c r="NG20">
        <v>1.0758446490038096</v>
      </c>
      <c r="NH20">
        <v>1.0758446490038096</v>
      </c>
      <c r="NI20">
        <v>1.1019218626536262</v>
      </c>
      <c r="NJ20">
        <v>1.1019218626536262</v>
      </c>
      <c r="NK20">
        <v>1.1019218626536262</v>
      </c>
      <c r="NL20">
        <v>1.1019218626536262</v>
      </c>
      <c r="NM20">
        <v>1.1019218626536262</v>
      </c>
      <c r="NN20">
        <v>1.1278629088521503</v>
      </c>
      <c r="NO20">
        <v>1.1278629088521503</v>
      </c>
      <c r="NP20">
        <v>1.1278629088521503</v>
      </c>
      <c r="NQ20">
        <v>1.1278629088521503</v>
      </c>
      <c r="NR20">
        <v>1.1278629088521503</v>
      </c>
      <c r="NS20">
        <v>0.99678494269231432</v>
      </c>
      <c r="NT20">
        <v>0.99678494269231432</v>
      </c>
      <c r="NU20">
        <v>0.99678494269231432</v>
      </c>
      <c r="NV20">
        <v>0.99678494269231432</v>
      </c>
      <c r="NW20">
        <v>0.99678494269231432</v>
      </c>
      <c r="NX20">
        <v>0.99678494269231432</v>
      </c>
      <c r="NY20">
        <v>0.99678494269231432</v>
      </c>
      <c r="NZ20">
        <v>0.99678494269231432</v>
      </c>
      <c r="OA20">
        <v>0.99678494269231432</v>
      </c>
      <c r="OB20">
        <v>0.99678494269231432</v>
      </c>
      <c r="OC20">
        <v>0.99678494269231432</v>
      </c>
      <c r="OD20">
        <v>0.99678494269231432</v>
      </c>
      <c r="OE20">
        <v>0.99678494269231432</v>
      </c>
      <c r="OF20">
        <v>0.99678494269231432</v>
      </c>
      <c r="OG20">
        <v>0.99678494269231432</v>
      </c>
      <c r="OH20">
        <v>0.92994064715331504</v>
      </c>
      <c r="OI20">
        <v>0.92994064715331504</v>
      </c>
      <c r="OJ20">
        <v>0.92994064715331504</v>
      </c>
      <c r="OK20">
        <v>0.92994064715331504</v>
      </c>
      <c r="OL20">
        <v>0.92994064715331504</v>
      </c>
      <c r="OM20">
        <v>1.0627546662952374</v>
      </c>
      <c r="ON20">
        <v>1.0627546662952374</v>
      </c>
      <c r="OO20">
        <v>1.0627546662952374</v>
      </c>
      <c r="OP20">
        <v>1.0627546662952374</v>
      </c>
      <c r="OQ20">
        <v>1.0627546662952374</v>
      </c>
      <c r="OR20">
        <v>0.99687223328461705</v>
      </c>
      <c r="OS20">
        <v>0.99687223328461705</v>
      </c>
      <c r="OT20">
        <v>0.99687223328461705</v>
      </c>
      <c r="OU20">
        <v>0.99687223328461705</v>
      </c>
      <c r="OV20">
        <v>0.99687223328461705</v>
      </c>
      <c r="OW20">
        <v>0.99695849927945812</v>
      </c>
      <c r="OX20">
        <v>0.99695849927945812</v>
      </c>
      <c r="OY20">
        <v>0.99695849927945812</v>
      </c>
      <c r="OZ20">
        <v>0.99695849927945812</v>
      </c>
      <c r="PA20">
        <v>0.99695849927945812</v>
      </c>
      <c r="PB20">
        <v>0.99893918097538947</v>
      </c>
      <c r="PC20">
        <v>0.99893918097538947</v>
      </c>
      <c r="PD20">
        <v>0.99893918097538947</v>
      </c>
      <c r="PE20">
        <v>0.99893918097538947</v>
      </c>
      <c r="PF20">
        <v>0.99893918097538947</v>
      </c>
      <c r="PG20">
        <v>0.99665533921519334</v>
      </c>
      <c r="PH20">
        <v>0.99665533921519334</v>
      </c>
      <c r="PI20">
        <v>0.99665533921519334</v>
      </c>
      <c r="PJ20">
        <v>0.99665533921519334</v>
      </c>
      <c r="PK20">
        <v>0.99665533921519334</v>
      </c>
      <c r="PL20" s="24">
        <v>0.96952823966594959</v>
      </c>
      <c r="PM20" s="24">
        <v>0.96952823966594959</v>
      </c>
      <c r="PN20" s="24">
        <v>0.96952823966594959</v>
      </c>
      <c r="PO20" s="24">
        <v>0.96952823966594959</v>
      </c>
      <c r="PP20" s="24">
        <v>0.96952823966594959</v>
      </c>
      <c r="PQ20">
        <v>0.95151941243527938</v>
      </c>
      <c r="PR20">
        <v>0.95151941243527938</v>
      </c>
      <c r="PS20">
        <v>0.95151941243527938</v>
      </c>
      <c r="PT20">
        <v>0.95151941243527938</v>
      </c>
      <c r="PU20">
        <v>0.95151941243527938</v>
      </c>
      <c r="PV20">
        <v>1.0174573671320399</v>
      </c>
      <c r="PW20">
        <v>1.0174573671320399</v>
      </c>
      <c r="PX20">
        <v>1.0174573671320399</v>
      </c>
      <c r="PY20">
        <v>1.0174573671320399</v>
      </c>
      <c r="PZ20">
        <v>1.0174573671320399</v>
      </c>
      <c r="QA20" s="24">
        <v>1.0398862745673434</v>
      </c>
      <c r="QB20" s="24">
        <v>1.0398862745673434</v>
      </c>
      <c r="QC20" s="24">
        <v>1.0398862745673434</v>
      </c>
      <c r="QD20" s="24">
        <v>1.0398862745673434</v>
      </c>
      <c r="QE20" s="24">
        <v>1.0398862745673434</v>
      </c>
    </row>
    <row r="21" spans="1:447" x14ac:dyDescent="0.15">
      <c r="A21" s="24" t="s">
        <v>276</v>
      </c>
      <c r="B21" s="24">
        <f>Sectors!D8</f>
        <v>0.4342633732955089</v>
      </c>
      <c r="C21" s="24">
        <f>B21</f>
        <v>0.4342633732955089</v>
      </c>
      <c r="D21" s="24">
        <f t="shared" si="117"/>
        <v>0.4342633732955089</v>
      </c>
      <c r="E21" s="24">
        <f t="shared" si="117"/>
        <v>0.4342633732955089</v>
      </c>
      <c r="F21" s="24">
        <f t="shared" si="117"/>
        <v>0.4342633732955089</v>
      </c>
      <c r="H21" s="24">
        <v>0.4342633732955089</v>
      </c>
      <c r="I21" s="24">
        <v>0.4342633732955089</v>
      </c>
      <c r="J21" s="24">
        <v>0.4342633732955089</v>
      </c>
      <c r="K21" s="24">
        <v>0.4342633732955089</v>
      </c>
      <c r="L21" s="24">
        <v>0.4342633732955089</v>
      </c>
      <c r="M21" s="24">
        <v>0.4342633732955089</v>
      </c>
      <c r="N21" s="24">
        <v>0.4342633732955089</v>
      </c>
      <c r="O21" s="24">
        <v>0.4342633732955089</v>
      </c>
      <c r="P21" s="24">
        <v>0.4342633732955089</v>
      </c>
      <c r="Q21" s="24">
        <v>0.4342633732955089</v>
      </c>
      <c r="R21" s="24">
        <v>0.4342633732955089</v>
      </c>
      <c r="S21" s="24">
        <v>0.4342633732955089</v>
      </c>
      <c r="T21" s="24">
        <v>0.4342633732955089</v>
      </c>
      <c r="U21" s="24">
        <v>0.4342633732955089</v>
      </c>
      <c r="V21" s="24">
        <v>0.4342633732955089</v>
      </c>
      <c r="W21" s="24">
        <v>0.4342633732955089</v>
      </c>
      <c r="X21" s="24">
        <v>0.4342633732955089</v>
      </c>
      <c r="Y21" s="24">
        <v>0.4342633732955089</v>
      </c>
      <c r="Z21" s="24">
        <v>0.4342633732955089</v>
      </c>
      <c r="AA21" s="24">
        <v>0.4342633732955089</v>
      </c>
      <c r="AB21" s="24">
        <v>0.4342633732955089</v>
      </c>
      <c r="AC21" s="24">
        <v>0.4342633732955089</v>
      </c>
      <c r="AD21" s="24">
        <v>0.4342633732955089</v>
      </c>
      <c r="AE21" s="24">
        <v>0.4342633732955089</v>
      </c>
      <c r="AF21" s="24">
        <v>0.43426337329550901</v>
      </c>
      <c r="AG21" s="24">
        <v>0.4342633732955089</v>
      </c>
      <c r="AH21" s="24">
        <v>0.4342633732955089</v>
      </c>
      <c r="AI21" s="24">
        <v>0.4342633732955089</v>
      </c>
      <c r="AJ21" s="24">
        <v>0.4342633732955089</v>
      </c>
      <c r="AK21" s="24">
        <v>0.4342633732955089</v>
      </c>
      <c r="AL21" s="24">
        <v>0.4342633732955089</v>
      </c>
      <c r="AM21" s="24">
        <v>0.4342633732955089</v>
      </c>
      <c r="AN21" s="24">
        <v>0.4342633732955089</v>
      </c>
      <c r="AO21" s="24">
        <v>0.4342633732955089</v>
      </c>
      <c r="AP21" s="24">
        <v>0.4342633732955089</v>
      </c>
      <c r="AQ21" s="24">
        <v>0.4342633732955089</v>
      </c>
      <c r="AR21" s="24">
        <v>0.4342633732955089</v>
      </c>
      <c r="AS21" s="24">
        <v>0.4342633732955089</v>
      </c>
      <c r="AT21" s="24">
        <v>0.4342633732955089</v>
      </c>
      <c r="AU21" s="24">
        <v>0.4342633732955089</v>
      </c>
      <c r="AV21" s="24">
        <v>0.4342633732955089</v>
      </c>
      <c r="AW21" s="24">
        <v>0.4342633732955089</v>
      </c>
      <c r="AX21" s="24">
        <v>0.4342633732955089</v>
      </c>
      <c r="AY21" s="24">
        <v>0.4342633732955089</v>
      </c>
      <c r="AZ21" s="24">
        <v>0.4342633732955089</v>
      </c>
      <c r="BA21" s="24">
        <v>0.4342633732955089</v>
      </c>
      <c r="BB21" s="24">
        <v>0.4342633732955089</v>
      </c>
      <c r="BC21" s="24">
        <v>0.4342633732955089</v>
      </c>
      <c r="BD21" s="24">
        <v>0.4342633732955089</v>
      </c>
      <c r="BE21" s="24">
        <v>0.4342633732955089</v>
      </c>
      <c r="BF21" s="24">
        <v>0.4342633732955089</v>
      </c>
      <c r="BG21" s="24">
        <v>0.4342633732955089</v>
      </c>
      <c r="BH21" s="24">
        <v>0.4342633732955089</v>
      </c>
      <c r="BI21" s="24">
        <v>0.4342633732955089</v>
      </c>
      <c r="BJ21" s="24">
        <v>0.4342633732955089</v>
      </c>
      <c r="BK21" s="24">
        <v>0.4342633732955089</v>
      </c>
      <c r="BL21" s="24">
        <v>0.4342633732955089</v>
      </c>
      <c r="BM21" s="24">
        <v>0.4342633732955089</v>
      </c>
      <c r="BN21" s="24">
        <v>0.4342633732955089</v>
      </c>
      <c r="BO21" s="24">
        <v>0.4342633732955089</v>
      </c>
      <c r="BP21" s="24">
        <v>0.4342633732955089</v>
      </c>
      <c r="BQ21" s="24">
        <v>0.4342633732955089</v>
      </c>
      <c r="BR21" s="24">
        <v>0.4342633732955089</v>
      </c>
      <c r="BS21" s="24">
        <v>0.4342633732955089</v>
      </c>
      <c r="BT21" s="24">
        <v>0.4342633732955089</v>
      </c>
      <c r="BU21" s="24">
        <v>0.4342633732955089</v>
      </c>
      <c r="BV21" s="24">
        <v>0.4342633732955089</v>
      </c>
      <c r="BW21" s="24">
        <v>0.4342633732955089</v>
      </c>
      <c r="BX21" s="24">
        <v>0.4342633732955089</v>
      </c>
      <c r="BY21" s="24">
        <v>0.4342633732955089</v>
      </c>
      <c r="BZ21" s="24">
        <v>0.4342633732955089</v>
      </c>
      <c r="CA21" s="24">
        <v>0.4342633732955089</v>
      </c>
      <c r="CB21" s="24">
        <v>0.4342633732955089</v>
      </c>
      <c r="CC21" s="24">
        <v>0.4342633732955089</v>
      </c>
      <c r="CD21" s="24">
        <v>0.4342633732955089</v>
      </c>
      <c r="CE21" s="24">
        <v>0.4342633732955089</v>
      </c>
      <c r="CF21" s="24">
        <v>0.4342633732955089</v>
      </c>
      <c r="CG21" s="24">
        <v>0.4342633732955089</v>
      </c>
      <c r="CH21" s="24">
        <v>0.4342633732955089</v>
      </c>
      <c r="CI21" s="24">
        <v>0.4342633732955089</v>
      </c>
      <c r="CJ21" s="24">
        <v>0.4342633732955089</v>
      </c>
      <c r="CK21" s="24">
        <v>0.4342633732955089</v>
      </c>
      <c r="CL21" s="24">
        <v>0.4342633732955089</v>
      </c>
      <c r="CM21" s="24">
        <v>0.4342633732955089</v>
      </c>
      <c r="CN21" s="24">
        <v>0.4342633732955089</v>
      </c>
      <c r="CO21" s="24">
        <v>0.4342633732955089</v>
      </c>
      <c r="CP21" s="24">
        <v>0.4342633732955089</v>
      </c>
      <c r="CQ21" s="24">
        <v>0.4342633732955089</v>
      </c>
      <c r="CR21" s="24">
        <v>0.4342633732955089</v>
      </c>
      <c r="CS21" s="24">
        <v>0.4342633732955089</v>
      </c>
      <c r="CT21" s="24">
        <v>0.4342633732955089</v>
      </c>
      <c r="CU21" s="24">
        <v>0.4342633732955089</v>
      </c>
      <c r="CV21" s="24">
        <v>0.4342633732955089</v>
      </c>
      <c r="CW21" s="24">
        <v>0.4342633732955089</v>
      </c>
      <c r="CX21" s="24">
        <v>0.4342633732955089</v>
      </c>
      <c r="CY21" s="24">
        <v>0.4342633732955089</v>
      </c>
      <c r="CZ21" s="24">
        <v>0.4342633732955089</v>
      </c>
      <c r="DA21" s="24">
        <v>0.4342633732955089</v>
      </c>
      <c r="DB21" s="24">
        <v>0.4342633732955089</v>
      </c>
      <c r="DC21" s="24">
        <v>0.4342633732955089</v>
      </c>
      <c r="DD21" s="24">
        <v>0.4342633732955089</v>
      </c>
      <c r="DE21" s="24">
        <v>0.4342633732955089</v>
      </c>
      <c r="DF21" s="24">
        <v>0.4342633732955089</v>
      </c>
      <c r="DG21" s="24">
        <v>0.4342633732955089</v>
      </c>
      <c r="DH21" s="24">
        <v>0.4342633732955089</v>
      </c>
      <c r="DI21" s="24">
        <v>0.4342633732955089</v>
      </c>
      <c r="DJ21" s="24">
        <v>0.4342633732955089</v>
      </c>
      <c r="DK21" s="24">
        <v>0.4342633732955089</v>
      </c>
      <c r="DL21" s="24">
        <v>0.4342633732955089</v>
      </c>
      <c r="DM21" s="24">
        <v>0.4342633732955089</v>
      </c>
      <c r="DN21" s="24">
        <v>0.4342633732955089</v>
      </c>
      <c r="DO21" s="24">
        <v>0.4342633732955089</v>
      </c>
      <c r="DP21" s="24">
        <v>0.4342633732955089</v>
      </c>
      <c r="DQ21" s="24">
        <v>0.4342633732955089</v>
      </c>
      <c r="DR21" s="24">
        <v>0.4342633732955089</v>
      </c>
      <c r="DS21" s="24">
        <v>0.4342633732955089</v>
      </c>
      <c r="DT21" s="24">
        <v>0.4342633732955089</v>
      </c>
      <c r="DU21" s="24">
        <v>0.4342633732955089</v>
      </c>
      <c r="DV21" s="24">
        <v>0.4342633732955089</v>
      </c>
      <c r="DW21" s="24">
        <v>0.4342633732955089</v>
      </c>
      <c r="DX21" s="24">
        <v>0.4342633732955089</v>
      </c>
      <c r="DY21" s="24">
        <v>0.4342633732955089</v>
      </c>
      <c r="DZ21" s="24">
        <v>0.4342633732955089</v>
      </c>
      <c r="EA21" s="24">
        <v>0.4342633732955089</v>
      </c>
      <c r="EB21" s="24">
        <v>0.4342633732955089</v>
      </c>
      <c r="EC21" s="24">
        <v>0.4342633732955089</v>
      </c>
      <c r="ED21" s="24">
        <v>0.4342633732955089</v>
      </c>
      <c r="EE21" s="24">
        <v>0.4342633732955089</v>
      </c>
      <c r="EF21" s="24">
        <v>0.4342633732955089</v>
      </c>
      <c r="EG21" s="24">
        <v>0.4342633732955089</v>
      </c>
      <c r="EH21" s="24">
        <v>0.4342633732955089</v>
      </c>
      <c r="EI21" s="24">
        <v>0.4342633732955089</v>
      </c>
      <c r="EJ21" s="24">
        <v>0.4342633732955089</v>
      </c>
      <c r="EK21" s="24">
        <v>0.4342633732955089</v>
      </c>
      <c r="EL21" s="24">
        <v>0.4342633732955089</v>
      </c>
      <c r="EM21" s="24">
        <v>0.4342633732955089</v>
      </c>
      <c r="EN21" s="24">
        <v>0.4342633732955089</v>
      </c>
      <c r="EO21" s="24">
        <v>0.4342633732955089</v>
      </c>
      <c r="EP21" s="24">
        <v>0.4342633732955089</v>
      </c>
      <c r="EQ21" s="24">
        <v>0.4342633732955089</v>
      </c>
      <c r="ER21" s="24">
        <v>0.4342633732955089</v>
      </c>
      <c r="ES21" s="24">
        <v>0.4342633732955089</v>
      </c>
      <c r="ET21" s="24">
        <v>0.4342633732955089</v>
      </c>
      <c r="EU21" s="24">
        <v>0.4342633732955089</v>
      </c>
      <c r="EV21" s="24">
        <v>0.4342633732955089</v>
      </c>
      <c r="EW21" s="24">
        <v>0.4342633732955089</v>
      </c>
      <c r="EX21" s="24">
        <v>0.4342633732955089</v>
      </c>
      <c r="EY21" s="24">
        <v>0.4342633732955089</v>
      </c>
      <c r="EZ21" s="24">
        <v>0.4342633732955089</v>
      </c>
      <c r="FA21" s="24">
        <v>0.4342633732955089</v>
      </c>
      <c r="FB21" s="24">
        <v>0.4342633732955089</v>
      </c>
      <c r="FC21" s="24">
        <v>0.4342633732955089</v>
      </c>
      <c r="FD21" s="24">
        <v>0.4342633732955089</v>
      </c>
      <c r="FE21" s="24">
        <v>0.4342633732955089</v>
      </c>
      <c r="FF21" s="24">
        <v>0.4342633732955089</v>
      </c>
      <c r="FG21" s="24">
        <v>0.4342633732955089</v>
      </c>
      <c r="FH21" s="24">
        <v>0.4342633732955089</v>
      </c>
      <c r="FI21" s="24">
        <v>0.4342633732955089</v>
      </c>
      <c r="FJ21" s="24">
        <v>0.4342633732955089</v>
      </c>
      <c r="FK21" s="24">
        <v>0.4342633732955089</v>
      </c>
      <c r="FL21" s="24">
        <v>0.4342633732955089</v>
      </c>
      <c r="FM21" s="24">
        <v>0.4342633732955089</v>
      </c>
      <c r="FN21" s="24">
        <v>0.4342633732955089</v>
      </c>
      <c r="FO21" s="24">
        <v>0.4342633732955089</v>
      </c>
      <c r="FP21" s="24">
        <v>0.4342633732955089</v>
      </c>
      <c r="FQ21" s="24">
        <v>0.4342633732955089</v>
      </c>
      <c r="FR21" s="24">
        <v>0.4342633732955089</v>
      </c>
      <c r="FS21" s="24">
        <v>0.4342633732955089</v>
      </c>
      <c r="FT21" s="24">
        <v>0.4342633732955089</v>
      </c>
      <c r="FU21" s="24">
        <v>0.4342633732955089</v>
      </c>
      <c r="FV21" s="24">
        <v>0.4342633732955089</v>
      </c>
      <c r="FW21" s="24">
        <v>0.4342633732955089</v>
      </c>
      <c r="FX21" s="24">
        <v>0.4342633732955089</v>
      </c>
      <c r="FY21" s="24">
        <v>0.4342633732955089</v>
      </c>
      <c r="FZ21" s="24">
        <v>0.4342633732955089</v>
      </c>
      <c r="GA21" s="24">
        <v>0.4342633732955089</v>
      </c>
      <c r="GB21" s="24">
        <v>0.4342633732955089</v>
      </c>
      <c r="GC21" s="24">
        <v>0.4342633732955089</v>
      </c>
      <c r="GD21" s="24">
        <v>0.4342633732955089</v>
      </c>
      <c r="GE21" s="24">
        <v>0.4342633732955089</v>
      </c>
      <c r="GF21" s="24">
        <v>0.4342633732955089</v>
      </c>
      <c r="GG21" s="24">
        <v>0.4342633732955089</v>
      </c>
      <c r="GH21" s="24">
        <v>0.4342633732955089</v>
      </c>
      <c r="GI21" s="24">
        <v>0.4342633732955089</v>
      </c>
      <c r="GJ21" s="24">
        <v>0.4342633732955089</v>
      </c>
      <c r="GK21" s="24">
        <v>0.4342633732955089</v>
      </c>
      <c r="GL21" s="24">
        <v>0.4342633732955089</v>
      </c>
      <c r="GM21" s="24">
        <v>0.4342633732955089</v>
      </c>
      <c r="GN21" s="24">
        <v>0.4342633732955089</v>
      </c>
      <c r="GO21" s="24">
        <v>0.4342633732955089</v>
      </c>
      <c r="GP21" s="24">
        <v>0.4342633732955089</v>
      </c>
      <c r="GQ21" s="24">
        <v>0.4342633732955089</v>
      </c>
      <c r="GR21" s="24">
        <v>0.4342633732955089</v>
      </c>
      <c r="GS21" s="24">
        <v>0.4342633732955089</v>
      </c>
      <c r="GT21" s="24">
        <v>0.4342633732955089</v>
      </c>
      <c r="GU21" s="24">
        <v>0.41393879552930896</v>
      </c>
      <c r="GV21" s="24">
        <v>0.41393879552930896</v>
      </c>
      <c r="GW21" s="24">
        <v>0.41393879552930896</v>
      </c>
      <c r="GX21" s="24">
        <v>0.41393879552930896</v>
      </c>
      <c r="GY21" s="24">
        <v>0.41393879552930896</v>
      </c>
      <c r="GZ21" s="24">
        <v>0.41393879552930896</v>
      </c>
      <c r="HA21" s="24">
        <v>0.41393879552930896</v>
      </c>
      <c r="HB21" s="24">
        <v>0.41393879552930896</v>
      </c>
      <c r="HC21" s="24">
        <v>0.41393879552930896</v>
      </c>
      <c r="HD21" s="24">
        <v>0.41393879552930896</v>
      </c>
      <c r="HE21" s="24">
        <v>0.41393879552930896</v>
      </c>
      <c r="HF21" s="24">
        <v>0.41393879552930896</v>
      </c>
      <c r="HG21" s="24">
        <v>0.41393879552930896</v>
      </c>
      <c r="HH21" s="24">
        <v>0.41393879552930896</v>
      </c>
      <c r="HI21" s="24">
        <v>0.41393879552930896</v>
      </c>
      <c r="HJ21" s="24">
        <v>0.42749025992310641</v>
      </c>
      <c r="HK21" s="24">
        <v>0.42749025992310641</v>
      </c>
      <c r="HL21" s="24">
        <v>0.42749025992310641</v>
      </c>
      <c r="HM21" s="24">
        <v>0.42749025992310641</v>
      </c>
      <c r="HN21" s="24">
        <v>0.42749025992310641</v>
      </c>
      <c r="HO21">
        <v>0.430772237</v>
      </c>
      <c r="HP21">
        <v>0.430772237</v>
      </c>
      <c r="HQ21">
        <v>0.430772237</v>
      </c>
      <c r="HR21">
        <v>0.430772237</v>
      </c>
      <c r="HS21">
        <v>0.430772237</v>
      </c>
      <c r="HT21">
        <v>0.433486553</v>
      </c>
      <c r="HU21">
        <v>0.433486553</v>
      </c>
      <c r="HV21">
        <v>0.433486553</v>
      </c>
      <c r="HW21">
        <v>0.433486553</v>
      </c>
      <c r="HX21">
        <v>0.433486553</v>
      </c>
      <c r="HY21">
        <v>0.4362117096658939</v>
      </c>
      <c r="HZ21">
        <v>0.4362117096658939</v>
      </c>
      <c r="IA21">
        <v>0.4362117096658939</v>
      </c>
      <c r="IB21">
        <v>0.4362117096658939</v>
      </c>
      <c r="IC21">
        <v>0.4362117096658939</v>
      </c>
      <c r="ID21">
        <v>0.44814900963528298</v>
      </c>
      <c r="IE21">
        <v>0.44814900963528298</v>
      </c>
      <c r="IF21">
        <v>0.44814900963528298</v>
      </c>
      <c r="IG21">
        <v>0.44814900963528298</v>
      </c>
      <c r="IH21">
        <v>0.44814900963528298</v>
      </c>
      <c r="II21">
        <v>0.46199736404521735</v>
      </c>
      <c r="IJ21">
        <v>0.46199736404521735</v>
      </c>
      <c r="IK21">
        <v>0.46199736404521735</v>
      </c>
      <c r="IL21">
        <v>0.46199736404521735</v>
      </c>
      <c r="IM21">
        <v>0.46199736404521735</v>
      </c>
      <c r="IN21">
        <v>0.47580923879888909</v>
      </c>
      <c r="IO21" s="86">
        <v>0.47580923879888909</v>
      </c>
      <c r="IP21">
        <v>0.47580923879888909</v>
      </c>
      <c r="IQ21">
        <v>0.47580923879888909</v>
      </c>
      <c r="IR21">
        <v>0.47580923879888909</v>
      </c>
      <c r="IS21">
        <v>0.48958476785480515</v>
      </c>
      <c r="IT21">
        <v>0.48958476785480515</v>
      </c>
      <c r="IU21">
        <v>0.48958476785480515</v>
      </c>
      <c r="IV21">
        <v>0.48958476785480515</v>
      </c>
      <c r="IW21">
        <v>0.48958476785480515</v>
      </c>
      <c r="IX21">
        <v>0.42126189720784729</v>
      </c>
      <c r="IY21">
        <v>0.42126189720784729</v>
      </c>
      <c r="IZ21">
        <v>0.42126189720784729</v>
      </c>
      <c r="JA21">
        <v>0.42126189720784729</v>
      </c>
      <c r="JB21">
        <v>0.42126189720784729</v>
      </c>
      <c r="JC21">
        <v>0.4063837183732868</v>
      </c>
      <c r="JD21">
        <v>0.4063837183732868</v>
      </c>
      <c r="JE21">
        <v>0.4063837183732868</v>
      </c>
      <c r="JF21">
        <v>0.4063837183732868</v>
      </c>
      <c r="JG21">
        <v>0.4063837183732868</v>
      </c>
      <c r="JH21">
        <v>0.37835530729995986</v>
      </c>
      <c r="JI21">
        <v>0.37835530729995986</v>
      </c>
      <c r="JJ21">
        <v>0.37835530729995986</v>
      </c>
      <c r="JK21">
        <v>0.37835530729995986</v>
      </c>
      <c r="JL21">
        <v>0.37835530729995986</v>
      </c>
      <c r="JM21">
        <v>0.4274884286780819</v>
      </c>
      <c r="JN21">
        <v>0.4274884286780819</v>
      </c>
      <c r="JO21">
        <v>0.4274884286780819</v>
      </c>
      <c r="JP21">
        <v>0.4274884286780819</v>
      </c>
      <c r="JQ21">
        <v>0.4274884286780819</v>
      </c>
      <c r="JR21">
        <v>0.42974112795270764</v>
      </c>
      <c r="JS21">
        <v>0.42974112795270764</v>
      </c>
      <c r="JT21">
        <v>0.42974112795270764</v>
      </c>
      <c r="JU21">
        <v>0.42974112795270764</v>
      </c>
      <c r="JV21">
        <v>0.42974112795270764</v>
      </c>
      <c r="JW21">
        <v>0.4326451514005587</v>
      </c>
      <c r="JX21">
        <v>0.4326451514005587</v>
      </c>
      <c r="JY21">
        <v>0.4326451514005587</v>
      </c>
      <c r="JZ21">
        <v>0.4326451514005587</v>
      </c>
      <c r="KA21">
        <v>0.4326451514005587</v>
      </c>
      <c r="KB21">
        <v>0.4349779127725118</v>
      </c>
      <c r="KC21">
        <v>0.4349779127725118</v>
      </c>
      <c r="KD21">
        <v>0.4349779127725118</v>
      </c>
      <c r="KE21">
        <v>0.4349779127725118</v>
      </c>
      <c r="KF21">
        <v>0.4349779127725118</v>
      </c>
      <c r="KG21">
        <v>0.43651517261768213</v>
      </c>
      <c r="KH21">
        <v>0.43651517261768213</v>
      </c>
      <c r="KI21">
        <v>0.43651517261768213</v>
      </c>
      <c r="KJ21">
        <v>0.43651517261768213</v>
      </c>
      <c r="KK21">
        <v>0.43651517261768213</v>
      </c>
      <c r="KL21">
        <v>0.4342633732955089</v>
      </c>
      <c r="KM21">
        <v>0.4342633732955089</v>
      </c>
      <c r="KN21">
        <v>0.4342633732955089</v>
      </c>
      <c r="KO21">
        <v>0.4342633732955089</v>
      </c>
      <c r="KP21">
        <v>0.4342633732955089</v>
      </c>
      <c r="KQ21">
        <v>0.4342633732955089</v>
      </c>
      <c r="KR21">
        <v>0.4342633732955089</v>
      </c>
      <c r="KS21">
        <v>0.4342633732955089</v>
      </c>
      <c r="KT21">
        <v>0.4342633732955089</v>
      </c>
      <c r="KU21">
        <v>0.4342633732955089</v>
      </c>
      <c r="KV21">
        <v>0.4342633732955089</v>
      </c>
      <c r="KW21">
        <v>0.4342633732955089</v>
      </c>
      <c r="KX21">
        <v>0.4342633732955089</v>
      </c>
      <c r="KY21">
        <v>0.4342633732955089</v>
      </c>
      <c r="KZ21">
        <v>0.4342633732955089</v>
      </c>
      <c r="LA21">
        <v>0.4342633732955089</v>
      </c>
      <c r="LB21">
        <v>0.4342633732955089</v>
      </c>
      <c r="LC21">
        <v>0.4342633732955089</v>
      </c>
      <c r="LD21">
        <v>0.4342633732955089</v>
      </c>
      <c r="LE21">
        <v>0.4342633732955089</v>
      </c>
      <c r="LF21">
        <v>0.4342633732955089</v>
      </c>
      <c r="LG21">
        <v>0.4342633732955089</v>
      </c>
      <c r="LH21">
        <v>0.4342633732955089</v>
      </c>
      <c r="LI21">
        <v>0.4342633732955089</v>
      </c>
      <c r="LJ21">
        <v>0.4342633732955089</v>
      </c>
      <c r="LK21">
        <v>0.4342633732955089</v>
      </c>
      <c r="LL21">
        <v>0.4342633732955089</v>
      </c>
      <c r="LM21">
        <v>0.4342633732955089</v>
      </c>
      <c r="LN21">
        <v>0.4342633732955089</v>
      </c>
      <c r="LO21">
        <v>0.4342633732955089</v>
      </c>
      <c r="LP21">
        <v>0.43439088734894149</v>
      </c>
      <c r="LQ21">
        <v>0.43439088734894149</v>
      </c>
      <c r="LR21">
        <v>0.43439088734894149</v>
      </c>
      <c r="LS21">
        <v>0.43439088734894149</v>
      </c>
      <c r="LT21">
        <v>0.43439088734894149</v>
      </c>
      <c r="LU21">
        <v>0.43451837175555108</v>
      </c>
      <c r="LV21">
        <v>0.43451837175555108</v>
      </c>
      <c r="LW21">
        <v>0.43451837175555108</v>
      </c>
      <c r="LX21">
        <v>0.43451837175555108</v>
      </c>
      <c r="LY21">
        <v>0.43451837175555108</v>
      </c>
      <c r="LZ21">
        <v>0.43464650125453619</v>
      </c>
      <c r="MA21">
        <v>0.43464650125453619</v>
      </c>
      <c r="MB21">
        <v>0.43464650125453619</v>
      </c>
      <c r="MC21">
        <v>0.43464650125453619</v>
      </c>
      <c r="MD21">
        <v>0.43464650125453619</v>
      </c>
      <c r="ME21">
        <v>0.42363889187320164</v>
      </c>
      <c r="MF21">
        <v>0.42363889187320164</v>
      </c>
      <c r="MG21">
        <v>0.42363889187320164</v>
      </c>
      <c r="MH21">
        <v>0.42363889187320164</v>
      </c>
      <c r="MI21">
        <v>0.42363889187320164</v>
      </c>
      <c r="MJ21">
        <v>0.4375722141714008</v>
      </c>
      <c r="MK21">
        <v>0.4375722141714008</v>
      </c>
      <c r="ML21">
        <v>0.4375722141714008</v>
      </c>
      <c r="MM21">
        <v>0.4375722141714008</v>
      </c>
      <c r="MN21">
        <v>0.4375722141714008</v>
      </c>
      <c r="MO21">
        <v>0.35548187224099259</v>
      </c>
      <c r="MP21">
        <v>0.35548187224099259</v>
      </c>
      <c r="MQ21">
        <v>0.35548187224099259</v>
      </c>
      <c r="MR21">
        <v>0.35548187224099259</v>
      </c>
      <c r="MS21">
        <v>0.35548187224099259</v>
      </c>
      <c r="MT21">
        <v>0.32642029721734822</v>
      </c>
      <c r="MU21">
        <v>0.32642029721734822</v>
      </c>
      <c r="MV21">
        <v>0.32642029721734822</v>
      </c>
      <c r="MW21">
        <v>0.32642029721734822</v>
      </c>
      <c r="MX21">
        <v>0.32642029721734822</v>
      </c>
      <c r="MY21">
        <v>0.2975644785021167</v>
      </c>
      <c r="MZ21">
        <v>0.2975644785021167</v>
      </c>
      <c r="NA21">
        <v>0.2975644785021167</v>
      </c>
      <c r="NB21">
        <v>0.2975644785021167</v>
      </c>
      <c r="NC21">
        <v>0.2975644785021167</v>
      </c>
      <c r="ND21">
        <v>0.51702732258485751</v>
      </c>
      <c r="NE21">
        <v>0.51702732258485751</v>
      </c>
      <c r="NF21">
        <v>0.51702732258485751</v>
      </c>
      <c r="NG21">
        <v>0.51702732258485751</v>
      </c>
      <c r="NH21">
        <v>0.51702732258485751</v>
      </c>
      <c r="NI21">
        <v>0.54432608607941202</v>
      </c>
      <c r="NJ21">
        <v>0.54432608607941202</v>
      </c>
      <c r="NK21">
        <v>0.54432608607941202</v>
      </c>
      <c r="NL21">
        <v>0.54432608607941202</v>
      </c>
      <c r="NM21">
        <v>0.54432608607941202</v>
      </c>
      <c r="NN21">
        <v>0.57148210921626708</v>
      </c>
      <c r="NO21">
        <v>0.57148210921626708</v>
      </c>
      <c r="NP21">
        <v>0.57148210921626708</v>
      </c>
      <c r="NQ21">
        <v>0.57148210921626708</v>
      </c>
      <c r="NR21">
        <v>0.57148210921626708</v>
      </c>
      <c r="NS21">
        <v>0.4342633732955089</v>
      </c>
      <c r="NT21">
        <v>0.4342633732955089</v>
      </c>
      <c r="NU21">
        <v>0.4342633732955089</v>
      </c>
      <c r="NV21">
        <v>0.4342633732955089</v>
      </c>
      <c r="NW21">
        <v>0.4342633732955089</v>
      </c>
      <c r="NX21">
        <v>0.4342633732955089</v>
      </c>
      <c r="NY21">
        <v>0.4342633732955089</v>
      </c>
      <c r="NZ21">
        <v>0.4342633732955089</v>
      </c>
      <c r="OA21">
        <v>0.4342633732955089</v>
      </c>
      <c r="OB21">
        <v>0.4342633732955089</v>
      </c>
      <c r="OC21">
        <v>0.4342633732955089</v>
      </c>
      <c r="OD21">
        <v>0.4342633732955089</v>
      </c>
      <c r="OE21">
        <v>0.4342633732955089</v>
      </c>
      <c r="OF21">
        <v>0.4342633732955089</v>
      </c>
      <c r="OG21">
        <v>0.4342633732955089</v>
      </c>
      <c r="OH21">
        <v>0.36428522348297099</v>
      </c>
      <c r="OI21">
        <v>0.36428522348297099</v>
      </c>
      <c r="OJ21">
        <v>0.36428522348297099</v>
      </c>
      <c r="OK21">
        <v>0.36428522348297099</v>
      </c>
      <c r="OL21">
        <v>0.36428522348297099</v>
      </c>
      <c r="OM21">
        <v>0.50332408593978817</v>
      </c>
      <c r="ON21">
        <v>0.50332408593978817</v>
      </c>
      <c r="OO21">
        <v>0.50332408593978817</v>
      </c>
      <c r="OP21">
        <v>0.50332408593978817</v>
      </c>
      <c r="OQ21">
        <v>0.50332408593978817</v>
      </c>
      <c r="OR21">
        <v>0.43413770977909072</v>
      </c>
      <c r="OS21">
        <v>0.43413770977909072</v>
      </c>
      <c r="OT21">
        <v>0.43413770977909072</v>
      </c>
      <c r="OU21">
        <v>0.43413770977909072</v>
      </c>
      <c r="OV21">
        <v>0.43413770977909072</v>
      </c>
      <c r="OW21">
        <v>0.43401222319483085</v>
      </c>
      <c r="OX21">
        <v>0.43401222319483085</v>
      </c>
      <c r="OY21">
        <v>0.43401222319483085</v>
      </c>
      <c r="OZ21">
        <v>0.43401222319483085</v>
      </c>
      <c r="PA21">
        <v>0.43401222319483085</v>
      </c>
      <c r="PB21">
        <v>0.43532923122473421</v>
      </c>
      <c r="PC21">
        <v>0.43532923122473421</v>
      </c>
      <c r="PD21">
        <v>0.43532923122473421</v>
      </c>
      <c r="PE21">
        <v>0.43532923122473421</v>
      </c>
      <c r="PF21">
        <v>0.43532923122473421</v>
      </c>
      <c r="PG21">
        <v>0.43445455236011149</v>
      </c>
      <c r="PH21">
        <v>0.43445455236011149</v>
      </c>
      <c r="PI21">
        <v>0.43445455236011149</v>
      </c>
      <c r="PJ21">
        <v>0.43445455236011149</v>
      </c>
      <c r="PK21">
        <v>0.43445455236011149</v>
      </c>
      <c r="PL21" s="24">
        <v>0.42864639404757737</v>
      </c>
      <c r="PM21" s="24">
        <v>0.42864639404757737</v>
      </c>
      <c r="PN21" s="24">
        <v>0.42864639404757737</v>
      </c>
      <c r="PO21" s="24">
        <v>0.42864639404757737</v>
      </c>
      <c r="PP21" s="24">
        <v>0.42864639404757737</v>
      </c>
      <c r="PQ21">
        <v>0.42650098312798024</v>
      </c>
      <c r="PR21">
        <v>0.42650098312798024</v>
      </c>
      <c r="PS21">
        <v>0.42650098312798024</v>
      </c>
      <c r="PT21">
        <v>0.42650098312798024</v>
      </c>
      <c r="PU21">
        <v>0.42650098312798024</v>
      </c>
      <c r="PV21">
        <v>0.43718485989552003</v>
      </c>
      <c r="PW21">
        <v>0.43718485989552003</v>
      </c>
      <c r="PX21">
        <v>0.43718485989552003</v>
      </c>
      <c r="PY21">
        <v>0.43718485989552003</v>
      </c>
      <c r="PZ21">
        <v>0.43718485989552003</v>
      </c>
      <c r="QA21" s="24">
        <v>0.43849183718157542</v>
      </c>
      <c r="QB21" s="24">
        <v>0.43849183718157542</v>
      </c>
      <c r="QC21" s="24">
        <v>0.43849183718157542</v>
      </c>
      <c r="QD21" s="24">
        <v>0.43849183718157542</v>
      </c>
      <c r="QE21" s="24">
        <v>0.43849183718157542</v>
      </c>
    </row>
    <row r="22" spans="1:447" x14ac:dyDescent="0.15">
      <c r="A22" s="24" t="s">
        <v>270</v>
      </c>
      <c r="B22" s="24">
        <f>Sectors!D9</f>
        <v>-4.1823239387970383E-2</v>
      </c>
      <c r="C22" s="24">
        <f>B22</f>
        <v>-4.1823239387970383E-2</v>
      </c>
      <c r="D22" s="24">
        <f t="shared" si="117"/>
        <v>-4.1823239387970383E-2</v>
      </c>
      <c r="E22" s="24">
        <f t="shared" si="117"/>
        <v>-4.1823239387970383E-2</v>
      </c>
      <c r="F22" s="24">
        <f t="shared" si="117"/>
        <v>-4.1823239387970383E-2</v>
      </c>
      <c r="H22" s="24">
        <v>-4.1823239387970383E-2</v>
      </c>
      <c r="I22" s="24">
        <v>-4.1823239387970383E-2</v>
      </c>
      <c r="J22" s="24">
        <v>-4.1823239387970383E-2</v>
      </c>
      <c r="K22" s="24">
        <v>-4.1823239387970383E-2</v>
      </c>
      <c r="L22" s="24">
        <v>-4.1823239387970383E-2</v>
      </c>
      <c r="M22" s="24">
        <v>-4.1823239387970383E-2</v>
      </c>
      <c r="N22" s="24">
        <v>-4.1823239387970383E-2</v>
      </c>
      <c r="O22" s="24">
        <v>-4.1823239387970383E-2</v>
      </c>
      <c r="P22" s="24">
        <v>-4.1823239387970383E-2</v>
      </c>
      <c r="Q22" s="24">
        <v>-4.1823239387970383E-2</v>
      </c>
      <c r="R22" s="24">
        <v>-4.1823239387970383E-2</v>
      </c>
      <c r="S22" s="24">
        <v>-4.1823239387970383E-2</v>
      </c>
      <c r="T22" s="24">
        <v>-4.1823239387970383E-2</v>
      </c>
      <c r="U22" s="24">
        <v>-4.1823239387970383E-2</v>
      </c>
      <c r="V22" s="24">
        <v>-4.1823239387970383E-2</v>
      </c>
      <c r="W22" s="24">
        <v>-4.1823239387970383E-2</v>
      </c>
      <c r="X22" s="24">
        <v>-4.1823239387970383E-2</v>
      </c>
      <c r="Y22" s="24">
        <v>-4.1823239387970383E-2</v>
      </c>
      <c r="Z22" s="24">
        <v>-4.1823239387970383E-2</v>
      </c>
      <c r="AA22" s="24">
        <v>-4.1823239387970383E-2</v>
      </c>
      <c r="AB22" s="24">
        <v>-4.1823239387970383E-2</v>
      </c>
      <c r="AC22" s="24">
        <v>-4.1823239387970383E-2</v>
      </c>
      <c r="AD22" s="24">
        <v>-4.1823239387970383E-2</v>
      </c>
      <c r="AE22" s="24">
        <v>-4.1823239387970383E-2</v>
      </c>
      <c r="AF22" s="24">
        <v>-4.1823239387970397E-2</v>
      </c>
      <c r="AG22" s="24">
        <v>-4.1823239387970383E-2</v>
      </c>
      <c r="AH22" s="24">
        <v>-4.1823239387970383E-2</v>
      </c>
      <c r="AI22" s="24">
        <v>-4.1823239387970383E-2</v>
      </c>
      <c r="AJ22" s="24">
        <v>-4.1823239387970383E-2</v>
      </c>
      <c r="AK22" s="24">
        <v>-4.1823239387970383E-2</v>
      </c>
      <c r="AL22" s="24">
        <v>-4.1823239387970383E-2</v>
      </c>
      <c r="AM22" s="24">
        <v>-4.1823239387970383E-2</v>
      </c>
      <c r="AN22" s="24">
        <v>-4.1823239387970383E-2</v>
      </c>
      <c r="AO22" s="24">
        <v>-4.1823239387970383E-2</v>
      </c>
      <c r="AP22" s="24">
        <v>-4.1823239387970383E-2</v>
      </c>
      <c r="AQ22" s="24">
        <v>-4.1823239387970383E-2</v>
      </c>
      <c r="AR22" s="24">
        <v>-4.1823239387970383E-2</v>
      </c>
      <c r="AS22" s="24">
        <v>-4.1823239387970383E-2</v>
      </c>
      <c r="AT22" s="24">
        <v>-4.1823239387970383E-2</v>
      </c>
      <c r="AU22" s="24">
        <v>-4.1823239387970383E-2</v>
      </c>
      <c r="AV22" s="24">
        <v>-4.1823239387970383E-2</v>
      </c>
      <c r="AW22" s="24">
        <v>-4.1823239387970383E-2</v>
      </c>
      <c r="AX22" s="24">
        <v>-4.1823239387970383E-2</v>
      </c>
      <c r="AY22" s="24">
        <v>-4.1823239387970383E-2</v>
      </c>
      <c r="AZ22" s="24">
        <v>-4.1823239387970383E-2</v>
      </c>
      <c r="BA22" s="24">
        <v>-4.1823239387970383E-2</v>
      </c>
      <c r="BB22" s="24">
        <v>-4.1823239387970383E-2</v>
      </c>
      <c r="BC22" s="24">
        <v>-4.1823239387970383E-2</v>
      </c>
      <c r="BD22" s="24">
        <v>-4.1823239387970383E-2</v>
      </c>
      <c r="BE22" s="24">
        <v>-4.1823239387970383E-2</v>
      </c>
      <c r="BF22" s="24">
        <v>-4.1823239387970383E-2</v>
      </c>
      <c r="BG22" s="24">
        <v>-4.1823239387970383E-2</v>
      </c>
      <c r="BH22" s="24">
        <v>-4.1823239387970383E-2</v>
      </c>
      <c r="BI22" s="24">
        <v>-4.1823239387970383E-2</v>
      </c>
      <c r="BJ22" s="24">
        <v>-4.1823239387970383E-2</v>
      </c>
      <c r="BK22" s="24">
        <v>-4.1823239387970383E-2</v>
      </c>
      <c r="BL22" s="24">
        <v>-4.1823239387970383E-2</v>
      </c>
      <c r="BM22" s="24">
        <v>-4.1823239387970383E-2</v>
      </c>
      <c r="BN22" s="24">
        <v>-4.1823239387970383E-2</v>
      </c>
      <c r="BO22" s="24">
        <v>-4.1823239387970383E-2</v>
      </c>
      <c r="BP22" s="24">
        <v>-4.1823239387970383E-2</v>
      </c>
      <c r="BQ22" s="24">
        <v>-4.1823239387970383E-2</v>
      </c>
      <c r="BR22" s="24">
        <v>-4.1823239387970383E-2</v>
      </c>
      <c r="BS22" s="24">
        <v>-4.1823239387970383E-2</v>
      </c>
      <c r="BT22" s="24">
        <v>-4.1823239387970383E-2</v>
      </c>
      <c r="BU22" s="24">
        <v>-4.1823239387970383E-2</v>
      </c>
      <c r="BV22" s="24">
        <v>-4.1823239387970383E-2</v>
      </c>
      <c r="BW22" s="24">
        <v>-4.1823239387970383E-2</v>
      </c>
      <c r="BX22" s="24">
        <v>-4.1823239387970383E-2</v>
      </c>
      <c r="BY22" s="24">
        <v>-4.1823239387970383E-2</v>
      </c>
      <c r="BZ22" s="24">
        <v>-4.1823239387970383E-2</v>
      </c>
      <c r="CA22" s="24">
        <v>-4.1823239387970383E-2</v>
      </c>
      <c r="CB22" s="24">
        <v>-4.1823239387970383E-2</v>
      </c>
      <c r="CC22" s="24">
        <v>-4.1823239387970383E-2</v>
      </c>
      <c r="CD22" s="24">
        <v>-4.1823239387970383E-2</v>
      </c>
      <c r="CE22" s="24">
        <v>-4.1823239387970383E-2</v>
      </c>
      <c r="CF22" s="24">
        <v>-4.1823239387970383E-2</v>
      </c>
      <c r="CG22" s="24">
        <v>-4.1823239387970383E-2</v>
      </c>
      <c r="CH22" s="24">
        <v>-4.1823239387970383E-2</v>
      </c>
      <c r="CI22" s="24">
        <v>-4.1823239387970383E-2</v>
      </c>
      <c r="CJ22" s="24">
        <v>-4.1823239387970383E-2</v>
      </c>
      <c r="CK22" s="24">
        <v>-4.1823239387970383E-2</v>
      </c>
      <c r="CL22" s="24">
        <v>-4.1823239387970383E-2</v>
      </c>
      <c r="CM22" s="24">
        <v>-4.1823239387970383E-2</v>
      </c>
      <c r="CN22" s="24">
        <v>-4.1823239387970383E-2</v>
      </c>
      <c r="CO22" s="24">
        <v>-4.1823239387970383E-2</v>
      </c>
      <c r="CP22" s="24">
        <v>-4.1823239387970383E-2</v>
      </c>
      <c r="CQ22" s="24">
        <v>-4.1823239387970383E-2</v>
      </c>
      <c r="CR22" s="24">
        <v>-4.1823239387970383E-2</v>
      </c>
      <c r="CS22" s="24">
        <v>-4.1823239387970383E-2</v>
      </c>
      <c r="CT22" s="24">
        <v>-4.1823239387970383E-2</v>
      </c>
      <c r="CU22" s="24">
        <v>-4.1823239387970383E-2</v>
      </c>
      <c r="CV22" s="24">
        <v>-4.1823239387970383E-2</v>
      </c>
      <c r="CW22" s="24">
        <v>-4.1823239387970383E-2</v>
      </c>
      <c r="CX22" s="24">
        <v>-4.1823239387970383E-2</v>
      </c>
      <c r="CY22" s="24">
        <v>-4.1823239387970383E-2</v>
      </c>
      <c r="CZ22" s="24">
        <v>-4.1823239387970383E-2</v>
      </c>
      <c r="DA22" s="24">
        <v>-4.1823239387970383E-2</v>
      </c>
      <c r="DB22" s="24">
        <v>-4.1823239387970383E-2</v>
      </c>
      <c r="DC22" s="24">
        <v>-4.1823239387970383E-2</v>
      </c>
      <c r="DD22" s="24">
        <v>-4.1823239387970383E-2</v>
      </c>
      <c r="DE22" s="24">
        <v>-4.1823239387970383E-2</v>
      </c>
      <c r="DF22" s="24">
        <v>-4.1823239387970383E-2</v>
      </c>
      <c r="DG22" s="24">
        <v>-4.1823239387970383E-2</v>
      </c>
      <c r="DH22" s="24">
        <v>-4.1823239387970383E-2</v>
      </c>
      <c r="DI22" s="24">
        <v>-4.1823239387970383E-2</v>
      </c>
      <c r="DJ22" s="24">
        <v>-4.1823239387970383E-2</v>
      </c>
      <c r="DK22" s="24">
        <v>-4.1823239387970383E-2</v>
      </c>
      <c r="DL22" s="24">
        <v>-4.1823239387970383E-2</v>
      </c>
      <c r="DM22" s="24">
        <v>-4.1823239387970383E-2</v>
      </c>
      <c r="DN22" s="24">
        <v>-4.1823239387970383E-2</v>
      </c>
      <c r="DO22" s="24">
        <v>-4.1823239387970383E-2</v>
      </c>
      <c r="DP22" s="24">
        <v>-4.1823239387970383E-2</v>
      </c>
      <c r="DQ22" s="24">
        <v>-4.1823239387970383E-2</v>
      </c>
      <c r="DR22" s="24">
        <v>-4.1823239387970383E-2</v>
      </c>
      <c r="DS22" s="24">
        <v>-4.1823239387970383E-2</v>
      </c>
      <c r="DT22" s="24">
        <v>-4.1823239387970383E-2</v>
      </c>
      <c r="DU22" s="24">
        <v>-4.1823239387970383E-2</v>
      </c>
      <c r="DV22" s="24">
        <v>-4.1823239387970383E-2</v>
      </c>
      <c r="DW22" s="24">
        <v>-4.1823239387970383E-2</v>
      </c>
      <c r="DX22" s="24">
        <v>-4.1823239387970383E-2</v>
      </c>
      <c r="DY22" s="24">
        <v>-4.1823239387970383E-2</v>
      </c>
      <c r="DZ22" s="24">
        <v>-4.1823239387970383E-2</v>
      </c>
      <c r="EA22" s="24">
        <v>-4.1823239387970383E-2</v>
      </c>
      <c r="EB22" s="24">
        <v>-4.1823239387970383E-2</v>
      </c>
      <c r="EC22" s="24">
        <v>-4.1823239387970383E-2</v>
      </c>
      <c r="ED22" s="24">
        <v>-4.1823239387970383E-2</v>
      </c>
      <c r="EE22" s="24">
        <v>-4.1823239387970383E-2</v>
      </c>
      <c r="EF22" s="24">
        <v>-4.1823239387970383E-2</v>
      </c>
      <c r="EG22" s="24">
        <v>-4.1823239387970383E-2</v>
      </c>
      <c r="EH22" s="24">
        <v>-4.1823239387970383E-2</v>
      </c>
      <c r="EI22" s="24">
        <v>-4.1823239387970383E-2</v>
      </c>
      <c r="EJ22" s="24">
        <v>-4.1823239387970383E-2</v>
      </c>
      <c r="EK22" s="24">
        <v>-4.1823239387970383E-2</v>
      </c>
      <c r="EL22" s="24">
        <v>-4.1823239387970383E-2</v>
      </c>
      <c r="EM22" s="24">
        <v>-4.1823239387970383E-2</v>
      </c>
      <c r="EN22" s="24">
        <v>-4.1823239387970383E-2</v>
      </c>
      <c r="EO22" s="24">
        <v>-4.1823239387970383E-2</v>
      </c>
      <c r="EP22" s="24">
        <v>-4.1823239387970383E-2</v>
      </c>
      <c r="EQ22" s="24">
        <v>-4.1823239387970383E-2</v>
      </c>
      <c r="ER22" s="24">
        <v>-4.1823239387970383E-2</v>
      </c>
      <c r="ES22" s="24">
        <v>-4.1823239387970383E-2</v>
      </c>
      <c r="ET22" s="24">
        <v>-4.1823239387970383E-2</v>
      </c>
      <c r="EU22" s="24">
        <v>-4.1823239387970383E-2</v>
      </c>
      <c r="EV22" s="24">
        <v>-4.1823239387970383E-2</v>
      </c>
      <c r="EW22" s="24">
        <v>-4.1823239387970383E-2</v>
      </c>
      <c r="EX22" s="24">
        <v>-4.1823239387970383E-2</v>
      </c>
      <c r="EY22" s="24">
        <v>-4.1823239387970383E-2</v>
      </c>
      <c r="EZ22" s="24">
        <v>-4.1823239387970383E-2</v>
      </c>
      <c r="FA22" s="24">
        <v>-4.1823239387970383E-2</v>
      </c>
      <c r="FB22" s="24">
        <v>-4.1823239387970383E-2</v>
      </c>
      <c r="FC22" s="24">
        <v>-4.1823239387970383E-2</v>
      </c>
      <c r="FD22" s="24">
        <v>-4.1823239387970383E-2</v>
      </c>
      <c r="FE22" s="24">
        <v>-4.1823239387970383E-2</v>
      </c>
      <c r="FF22" s="24">
        <v>-4.1823239387970383E-2</v>
      </c>
      <c r="FG22" s="24">
        <v>-4.1823239387970383E-2</v>
      </c>
      <c r="FH22" s="24">
        <v>-4.1823239387970383E-2</v>
      </c>
      <c r="FI22" s="24">
        <v>-4.1823239387970383E-2</v>
      </c>
      <c r="FJ22" s="24">
        <v>-4.1823239387970383E-2</v>
      </c>
      <c r="FK22" s="24">
        <v>-4.1823239387970383E-2</v>
      </c>
      <c r="FL22" s="24">
        <v>-4.1823239387970383E-2</v>
      </c>
      <c r="FM22" s="24">
        <v>-4.1823239387970383E-2</v>
      </c>
      <c r="FN22" s="24">
        <v>-4.1823239387970383E-2</v>
      </c>
      <c r="FO22" s="24">
        <v>-4.1823239387970383E-2</v>
      </c>
      <c r="FP22" s="24">
        <v>-4.1823239387970383E-2</v>
      </c>
      <c r="FQ22" s="24">
        <v>-4.1823239387970383E-2</v>
      </c>
      <c r="FR22" s="24">
        <v>-4.1823239387970383E-2</v>
      </c>
      <c r="FS22" s="24">
        <v>-4.1823239387970383E-2</v>
      </c>
      <c r="FT22" s="24">
        <v>-4.1823239387970383E-2</v>
      </c>
      <c r="FU22" s="24">
        <v>-4.1823239387970383E-2</v>
      </c>
      <c r="FV22" s="24">
        <v>-4.1823239387970383E-2</v>
      </c>
      <c r="FW22" s="24">
        <v>-4.1823239387970383E-2</v>
      </c>
      <c r="FX22" s="24">
        <v>-4.1823239387970383E-2</v>
      </c>
      <c r="FY22" s="24">
        <v>-4.1823239387970383E-2</v>
      </c>
      <c r="FZ22" s="24">
        <v>-4.1823239387970383E-2</v>
      </c>
      <c r="GA22" s="24">
        <v>-4.1823239387970383E-2</v>
      </c>
      <c r="GB22" s="24">
        <v>-4.1823239387970383E-2</v>
      </c>
      <c r="GC22" s="24">
        <v>-4.1823239387970383E-2</v>
      </c>
      <c r="GD22" s="24">
        <v>-4.1823239387970383E-2</v>
      </c>
      <c r="GE22" s="24">
        <v>-4.1823239387970383E-2</v>
      </c>
      <c r="GF22" s="24">
        <v>-4.1823239387970383E-2</v>
      </c>
      <c r="GG22" s="24">
        <v>-4.1823239387970383E-2</v>
      </c>
      <c r="GH22" s="24">
        <v>-4.1823239387970383E-2</v>
      </c>
      <c r="GI22" s="24">
        <v>-4.1823239387970383E-2</v>
      </c>
      <c r="GJ22" s="24">
        <v>-4.1823239387970383E-2</v>
      </c>
      <c r="GK22" s="24">
        <v>-4.1823239387970383E-2</v>
      </c>
      <c r="GL22" s="24">
        <v>-4.1823239387970383E-2</v>
      </c>
      <c r="GM22" s="24">
        <v>-4.1823239387970383E-2</v>
      </c>
      <c r="GN22" s="24">
        <v>-4.1823239387970383E-2</v>
      </c>
      <c r="GO22" s="24">
        <v>-4.1823239387970383E-2</v>
      </c>
      <c r="GP22" s="24">
        <v>-4.1823239387970383E-2</v>
      </c>
      <c r="GQ22" s="24">
        <v>-4.1823239387970383E-2</v>
      </c>
      <c r="GR22" s="24">
        <v>-4.1823239387970383E-2</v>
      </c>
      <c r="GS22" s="24">
        <v>-4.1823239387970383E-2</v>
      </c>
      <c r="GT22" s="24">
        <v>-4.1823239387970383E-2</v>
      </c>
      <c r="GU22" s="24">
        <v>-142.60007726764573</v>
      </c>
      <c r="GV22" s="24">
        <v>-142.60007726764573</v>
      </c>
      <c r="GW22" s="24">
        <v>-142.60007726764573</v>
      </c>
      <c r="GX22" s="24">
        <v>-142.60007726764573</v>
      </c>
      <c r="GY22" s="24">
        <v>-142.60007726764573</v>
      </c>
      <c r="GZ22" s="24">
        <v>-142.60007726764573</v>
      </c>
      <c r="HA22" s="24">
        <v>-142.60007726764573</v>
      </c>
      <c r="HB22" s="24">
        <v>-142.60007726764573</v>
      </c>
      <c r="HC22" s="24">
        <v>-142.60007726764573</v>
      </c>
      <c r="HD22" s="24">
        <v>-142.60007726764573</v>
      </c>
      <c r="HE22" s="24">
        <v>-142.60007726764573</v>
      </c>
      <c r="HF22" s="24">
        <v>-142.60007726764573</v>
      </c>
      <c r="HG22" s="24">
        <v>-142.60007726764573</v>
      </c>
      <c r="HH22" s="24">
        <v>-142.60007726764573</v>
      </c>
      <c r="HI22" s="24">
        <v>-142.60007726764573</v>
      </c>
      <c r="HJ22" s="24">
        <v>-0.71015322766139244</v>
      </c>
      <c r="HK22" s="24">
        <v>-0.71015322766139244</v>
      </c>
      <c r="HL22" s="24">
        <v>-0.71015322766139244</v>
      </c>
      <c r="HM22" s="24">
        <v>-0.71015322766139244</v>
      </c>
      <c r="HN22" s="24">
        <v>-0.71015322766139244</v>
      </c>
      <c r="HO22">
        <v>-0.36863996100000002</v>
      </c>
      <c r="HP22">
        <v>-0.36863996100000002</v>
      </c>
      <c r="HQ22">
        <v>-0.36863996100000002</v>
      </c>
      <c r="HR22">
        <v>-0.36863996100000002</v>
      </c>
      <c r="HS22">
        <v>-0.36863996100000002</v>
      </c>
      <c r="HT22">
        <v>-0.107571027</v>
      </c>
      <c r="HU22">
        <v>-0.107571027</v>
      </c>
      <c r="HV22">
        <v>-0.107571027</v>
      </c>
      <c r="HW22">
        <v>-0.107571027</v>
      </c>
      <c r="HX22">
        <v>-0.107571027</v>
      </c>
      <c r="HY22">
        <v>0.17715606838043899</v>
      </c>
      <c r="HZ22">
        <v>0.17715606838043899</v>
      </c>
      <c r="IA22">
        <v>0.17715606838043899</v>
      </c>
      <c r="IB22">
        <v>0.17715606838043899</v>
      </c>
      <c r="IC22">
        <v>0.17715606838043899</v>
      </c>
      <c r="ID22">
        <v>-4.1819709250423401E-2</v>
      </c>
      <c r="IE22">
        <v>-4.1819709250423401E-2</v>
      </c>
      <c r="IF22">
        <v>-4.1819709250423401E-2</v>
      </c>
      <c r="IG22">
        <v>-4.1819709250423401E-2</v>
      </c>
      <c r="IH22">
        <v>-4.1819709250423401E-2</v>
      </c>
      <c r="II22">
        <v>-4.1818871732993826E-2</v>
      </c>
      <c r="IJ22">
        <v>-4.1818871732993826E-2</v>
      </c>
      <c r="IK22">
        <v>-4.1818871732993826E-2</v>
      </c>
      <c r="IL22">
        <v>-4.1818871732993826E-2</v>
      </c>
      <c r="IM22">
        <v>-4.1818871732993826E-2</v>
      </c>
      <c r="IN22">
        <v>-4.181803781379749E-2</v>
      </c>
      <c r="IO22" s="86">
        <v>-4.181803781379749E-2</v>
      </c>
      <c r="IP22">
        <v>-4.181803781379749E-2</v>
      </c>
      <c r="IQ22">
        <v>-4.181803781379749E-2</v>
      </c>
      <c r="IR22">
        <v>-4.181803781379749E-2</v>
      </c>
      <c r="IS22">
        <v>-4.181721080745103E-2</v>
      </c>
      <c r="IT22">
        <v>-4.181721080745103E-2</v>
      </c>
      <c r="IU22">
        <v>-4.181721080745103E-2</v>
      </c>
      <c r="IV22">
        <v>-4.181721080745103E-2</v>
      </c>
      <c r="IW22">
        <v>-4.181721080745103E-2</v>
      </c>
      <c r="IX22">
        <v>-3.7218262149370948E-2</v>
      </c>
      <c r="IY22">
        <v>-3.7218262149370948E-2</v>
      </c>
      <c r="IZ22">
        <v>-3.7218262149370948E-2</v>
      </c>
      <c r="JA22">
        <v>-3.7218262149370948E-2</v>
      </c>
      <c r="JB22">
        <v>-3.7218262149370948E-2</v>
      </c>
      <c r="JC22">
        <v>-4.1822200772225218E-2</v>
      </c>
      <c r="JD22">
        <v>-4.1822200772225218E-2</v>
      </c>
      <c r="JE22">
        <v>-4.1822200772225218E-2</v>
      </c>
      <c r="JF22">
        <v>-4.1822200772225218E-2</v>
      </c>
      <c r="JG22">
        <v>-4.1822200772225218E-2</v>
      </c>
      <c r="JH22">
        <v>-4.1823775475976661E-2</v>
      </c>
      <c r="JI22">
        <v>-4.1823775475976661E-2</v>
      </c>
      <c r="JJ22">
        <v>-4.1823775475976661E-2</v>
      </c>
      <c r="JK22">
        <v>-4.1823775475976661E-2</v>
      </c>
      <c r="JL22">
        <v>-4.1823775475976661E-2</v>
      </c>
      <c r="JM22">
        <v>-0.81073059686114646</v>
      </c>
      <c r="JN22">
        <v>-0.81073059686114646</v>
      </c>
      <c r="JO22">
        <v>-0.81073059686114646</v>
      </c>
      <c r="JP22">
        <v>-0.81073059686114646</v>
      </c>
      <c r="JQ22">
        <v>-0.81073059686114646</v>
      </c>
      <c r="JR22">
        <v>-0.4706134478802852</v>
      </c>
      <c r="JS22">
        <v>-0.4706134478802852</v>
      </c>
      <c r="JT22">
        <v>-0.4706134478802852</v>
      </c>
      <c r="JU22">
        <v>-0.4706134478802852</v>
      </c>
      <c r="JV22">
        <v>-0.4706134478802852</v>
      </c>
      <c r="JW22">
        <v>-0.18858759363651986</v>
      </c>
      <c r="JX22">
        <v>-0.18858759363651986</v>
      </c>
      <c r="JY22">
        <v>-0.18858759363651986</v>
      </c>
      <c r="JZ22">
        <v>-0.18858759363651986</v>
      </c>
      <c r="KA22">
        <v>-0.18858759363651986</v>
      </c>
      <c r="KB22">
        <v>4.1367835755447918E-2</v>
      </c>
      <c r="KC22">
        <v>4.1367835755447918E-2</v>
      </c>
      <c r="KD22">
        <v>4.1367835755447918E-2</v>
      </c>
      <c r="KE22">
        <v>4.1367835755447918E-2</v>
      </c>
      <c r="KF22">
        <v>4.1367835755447918E-2</v>
      </c>
      <c r="KG22">
        <v>0.2404609084793547</v>
      </c>
      <c r="KH22">
        <v>0.2404609084793547</v>
      </c>
      <c r="KI22">
        <v>0.2404609084793547</v>
      </c>
      <c r="KJ22">
        <v>0.2404609084793547</v>
      </c>
      <c r="KK22">
        <v>0.2404609084793547</v>
      </c>
      <c r="KL22">
        <v>-4.1823239387970383E-2</v>
      </c>
      <c r="KM22">
        <v>-4.1823239387970383E-2</v>
      </c>
      <c r="KN22">
        <v>-4.1823239387970383E-2</v>
      </c>
      <c r="KO22">
        <v>-4.1823239387970383E-2</v>
      </c>
      <c r="KP22">
        <v>-4.1823239387970383E-2</v>
      </c>
      <c r="KQ22">
        <v>-4.1823239387970383E-2</v>
      </c>
      <c r="KR22">
        <v>-4.1823239387970383E-2</v>
      </c>
      <c r="KS22">
        <v>-4.1823239387970383E-2</v>
      </c>
      <c r="KT22">
        <v>-4.1823239387970383E-2</v>
      </c>
      <c r="KU22">
        <v>-4.1823239387970383E-2</v>
      </c>
      <c r="KV22">
        <v>-4.1823239387970383E-2</v>
      </c>
      <c r="KW22">
        <v>-4.1823239387970383E-2</v>
      </c>
      <c r="KX22">
        <v>-4.1823239387970383E-2</v>
      </c>
      <c r="KY22">
        <v>-4.1823239387970383E-2</v>
      </c>
      <c r="KZ22">
        <v>-4.1823239387970383E-2</v>
      </c>
      <c r="LA22">
        <v>-4.1823239387970383E-2</v>
      </c>
      <c r="LB22">
        <v>-4.1823239387970383E-2</v>
      </c>
      <c r="LC22">
        <v>-4.1823239387970383E-2</v>
      </c>
      <c r="LD22">
        <v>-4.1823239387970383E-2</v>
      </c>
      <c r="LE22">
        <v>-4.1823239387970383E-2</v>
      </c>
      <c r="LF22">
        <v>-4.1823239387970383E-2</v>
      </c>
      <c r="LG22">
        <v>-4.1823239387970383E-2</v>
      </c>
      <c r="LH22">
        <v>-4.1823239387970383E-2</v>
      </c>
      <c r="LI22">
        <v>-4.1823239387970383E-2</v>
      </c>
      <c r="LJ22">
        <v>-4.1823239387970383E-2</v>
      </c>
      <c r="LK22">
        <v>-4.1823239387970383E-2</v>
      </c>
      <c r="LL22">
        <v>-4.1823239387970383E-2</v>
      </c>
      <c r="LM22">
        <v>-4.1823239387970383E-2</v>
      </c>
      <c r="LN22">
        <v>-4.1823239387970383E-2</v>
      </c>
      <c r="LO22">
        <v>-4.1823239387970383E-2</v>
      </c>
      <c r="LP22">
        <v>-5.2511624485177703E-2</v>
      </c>
      <c r="LQ22">
        <v>-5.2511624485177703E-2</v>
      </c>
      <c r="LR22">
        <v>-5.2511624485177703E-2</v>
      </c>
      <c r="LS22">
        <v>-5.2511624485177703E-2</v>
      </c>
      <c r="LT22">
        <v>-5.2511624485177703E-2</v>
      </c>
      <c r="LU22">
        <v>-6.3261613614565379E-2</v>
      </c>
      <c r="LV22">
        <v>-6.3261613614565379E-2</v>
      </c>
      <c r="LW22">
        <v>-6.3261613614565379E-2</v>
      </c>
      <c r="LX22">
        <v>-6.3261613614565379E-2</v>
      </c>
      <c r="LY22">
        <v>-6.3261613614565379E-2</v>
      </c>
      <c r="LZ22">
        <v>-7.4071185012340016E-2</v>
      </c>
      <c r="MA22">
        <v>-7.4071185012340016E-2</v>
      </c>
      <c r="MB22">
        <v>-7.4071185012340016E-2</v>
      </c>
      <c r="MC22">
        <v>-7.4071185012340016E-2</v>
      </c>
      <c r="MD22">
        <v>-7.4071185012340016E-2</v>
      </c>
      <c r="ME22">
        <v>-1.4488661527242703</v>
      </c>
      <c r="MF22">
        <v>-1.4488661527242703</v>
      </c>
      <c r="MG22">
        <v>-1.4488661527242703</v>
      </c>
      <c r="MH22">
        <v>-1.4488661527242703</v>
      </c>
      <c r="MI22">
        <v>-1.4488661527242703</v>
      </c>
      <c r="MJ22">
        <v>0.38005897008413614</v>
      </c>
      <c r="MK22">
        <v>0.38005897008413614</v>
      </c>
      <c r="ML22">
        <v>0.38005897008413614</v>
      </c>
      <c r="MM22">
        <v>0.38005897008413614</v>
      </c>
      <c r="MN22">
        <v>0.38005897008413614</v>
      </c>
      <c r="MO22">
        <v>-5.642474962293597E-2</v>
      </c>
      <c r="MP22">
        <v>-5.642474962293597E-2</v>
      </c>
      <c r="MQ22">
        <v>-5.642474962293597E-2</v>
      </c>
      <c r="MR22">
        <v>-5.642474962293597E-2</v>
      </c>
      <c r="MS22">
        <v>-5.642474962293597E-2</v>
      </c>
      <c r="MT22">
        <v>-5.6405655006473945E-2</v>
      </c>
      <c r="MU22">
        <v>-5.6405655006473945E-2</v>
      </c>
      <c r="MV22">
        <v>-5.6405655006473945E-2</v>
      </c>
      <c r="MW22">
        <v>-5.6405655006473945E-2</v>
      </c>
      <c r="MX22">
        <v>-5.6405655006473945E-2</v>
      </c>
      <c r="MY22">
        <v>-5.8400092200841004E-2</v>
      </c>
      <c r="MZ22">
        <v>-5.8400092200841004E-2</v>
      </c>
      <c r="NA22">
        <v>-5.8400092200841004E-2</v>
      </c>
      <c r="NB22">
        <v>-5.8400092200841004E-2</v>
      </c>
      <c r="NC22">
        <v>-5.8400092200841004E-2</v>
      </c>
      <c r="ND22">
        <v>-4.1815578454926103E-2</v>
      </c>
      <c r="NE22">
        <v>-4.1815578454926103E-2</v>
      </c>
      <c r="NF22">
        <v>-4.1815578454926103E-2</v>
      </c>
      <c r="NG22">
        <v>-4.1815578454926103E-2</v>
      </c>
      <c r="NH22">
        <v>-4.1815578454926103E-2</v>
      </c>
      <c r="NI22">
        <v>-4.1814004641976071E-2</v>
      </c>
      <c r="NJ22">
        <v>-4.1814004641976071E-2</v>
      </c>
      <c r="NK22">
        <v>-4.1814004641976071E-2</v>
      </c>
      <c r="NL22">
        <v>-4.1814004641976071E-2</v>
      </c>
      <c r="NM22">
        <v>-4.1814004641976071E-2</v>
      </c>
      <c r="NN22">
        <v>-4.181248650326265E-2</v>
      </c>
      <c r="NO22">
        <v>-4.181248650326265E-2</v>
      </c>
      <c r="NP22">
        <v>-4.181248650326265E-2</v>
      </c>
      <c r="NQ22">
        <v>-4.181248650326265E-2</v>
      </c>
      <c r="NR22">
        <v>-4.181248650326265E-2</v>
      </c>
      <c r="NS22">
        <v>-4.1823239387970383E-2</v>
      </c>
      <c r="NT22">
        <v>-4.1823239387970383E-2</v>
      </c>
      <c r="NU22">
        <v>-4.1823239387970383E-2</v>
      </c>
      <c r="NV22">
        <v>-4.1823239387970383E-2</v>
      </c>
      <c r="NW22">
        <v>-4.1823239387970383E-2</v>
      </c>
      <c r="NX22">
        <v>-4.1823239387970383E-2</v>
      </c>
      <c r="NY22">
        <v>-4.1823239387970383E-2</v>
      </c>
      <c r="NZ22">
        <v>-4.1823239387970383E-2</v>
      </c>
      <c r="OA22">
        <v>-4.1823239387970383E-2</v>
      </c>
      <c r="OB22">
        <v>-4.1823239387970383E-2</v>
      </c>
      <c r="OC22">
        <v>-4.1823239387970383E-2</v>
      </c>
      <c r="OD22">
        <v>-4.1823239387970383E-2</v>
      </c>
      <c r="OE22">
        <v>-4.1823239387970383E-2</v>
      </c>
      <c r="OF22">
        <v>-4.1823239387970383E-2</v>
      </c>
      <c r="OG22">
        <v>-4.1823239387970383E-2</v>
      </c>
      <c r="OH22">
        <v>-4.1824509871369299E-2</v>
      </c>
      <c r="OI22">
        <v>-4.1824509871369299E-2</v>
      </c>
      <c r="OJ22">
        <v>-4.1824509871369299E-2</v>
      </c>
      <c r="OK22">
        <v>-4.1824509871369299E-2</v>
      </c>
      <c r="OL22">
        <v>-4.1824509871369299E-2</v>
      </c>
      <c r="OM22">
        <v>-4.1816383052278021E-2</v>
      </c>
      <c r="ON22">
        <v>-4.1816383052278021E-2</v>
      </c>
      <c r="OO22">
        <v>-4.1816383052278021E-2</v>
      </c>
      <c r="OP22">
        <v>-4.1816383052278021E-2</v>
      </c>
      <c r="OQ22">
        <v>-4.1816383052278021E-2</v>
      </c>
      <c r="OR22">
        <v>-3.1188181416777372E-2</v>
      </c>
      <c r="OS22">
        <v>-3.1188181416777372E-2</v>
      </c>
      <c r="OT22">
        <v>-3.1188181416777372E-2</v>
      </c>
      <c r="OU22">
        <v>-3.1188181416777372E-2</v>
      </c>
      <c r="OV22">
        <v>-3.1188181416777372E-2</v>
      </c>
      <c r="OW22">
        <v>-2.0612522978519152E-2</v>
      </c>
      <c r="OX22">
        <v>-2.0612522978519152E-2</v>
      </c>
      <c r="OY22">
        <v>-2.0612522978519152E-2</v>
      </c>
      <c r="OZ22">
        <v>-2.0612522978519152E-2</v>
      </c>
      <c r="PA22">
        <v>-2.0612522978519152E-2</v>
      </c>
      <c r="PB22">
        <v>-2.0613648960321296E-2</v>
      </c>
      <c r="PC22">
        <v>-2.0613648960321296E-2</v>
      </c>
      <c r="PD22">
        <v>-2.0613648960321296E-2</v>
      </c>
      <c r="PE22">
        <v>-2.0613648960321296E-2</v>
      </c>
      <c r="PF22">
        <v>-2.0613648960321296E-2</v>
      </c>
      <c r="PG22">
        <v>-5.7879204289866613E-2</v>
      </c>
      <c r="PH22">
        <v>-5.7879204289866613E-2</v>
      </c>
      <c r="PI22">
        <v>-5.7879204289866613E-2</v>
      </c>
      <c r="PJ22">
        <v>-5.7879204289866613E-2</v>
      </c>
      <c r="PK22">
        <v>-5.7879204289866613E-2</v>
      </c>
      <c r="PL22" s="24">
        <v>-0.62257559716217592</v>
      </c>
      <c r="PM22" s="24">
        <v>-0.62257559716217592</v>
      </c>
      <c r="PN22" s="24">
        <v>-0.62257559716217592</v>
      </c>
      <c r="PO22" s="24">
        <v>-0.62257559716217592</v>
      </c>
      <c r="PP22" s="24">
        <v>-0.62257559716217592</v>
      </c>
      <c r="PQ22">
        <v>-1.9803844545516931</v>
      </c>
      <c r="PR22">
        <v>-1.9803844545516931</v>
      </c>
      <c r="PS22">
        <v>-1.9803844545516931</v>
      </c>
      <c r="PT22">
        <v>-1.9803844545516931</v>
      </c>
      <c r="PU22">
        <v>-1.9803844545516931</v>
      </c>
      <c r="PV22">
        <v>0.31837790209022049</v>
      </c>
      <c r="PW22">
        <v>0.31837790209022049</v>
      </c>
      <c r="PX22">
        <v>0.31837790209022049</v>
      </c>
      <c r="PY22">
        <v>0.31837790209022049</v>
      </c>
      <c r="PZ22">
        <v>0.31837790209022049</v>
      </c>
      <c r="QA22" s="24">
        <v>0.65483068028535762</v>
      </c>
      <c r="QB22" s="24">
        <v>0.65483068028535762</v>
      </c>
      <c r="QC22" s="24">
        <v>0.65483068028535762</v>
      </c>
      <c r="QD22" s="24">
        <v>0.65483068028535762</v>
      </c>
      <c r="QE22" s="24">
        <v>0.65483068028535762</v>
      </c>
    </row>
    <row r="23" spans="1:447" x14ac:dyDescent="0.15">
      <c r="A23" s="24" t="s">
        <v>68</v>
      </c>
      <c r="B23" s="24">
        <f>Sectors!$Q$15</f>
        <v>216.20106917197859</v>
      </c>
      <c r="C23" s="24">
        <f>Sectors!$AA5</f>
        <v>255.32883930411583</v>
      </c>
      <c r="D23" s="24">
        <f>Sectors!$BL5</f>
        <v>270.67113527474527</v>
      </c>
      <c r="E23" s="24">
        <f>Sectors!$AU5</f>
        <v>254.45117781297512</v>
      </c>
      <c r="F23" s="24">
        <f>Sectors!CF5</f>
        <v>265.37124004195903</v>
      </c>
      <c r="H23" s="24">
        <v>216.20106917197859</v>
      </c>
      <c r="I23" s="24">
        <v>255.32925469758368</v>
      </c>
      <c r="J23" s="24">
        <v>270.67114827969181</v>
      </c>
      <c r="K23" s="24">
        <v>250.60874603962966</v>
      </c>
      <c r="L23" s="24">
        <v>261.54507325817468</v>
      </c>
      <c r="M23" s="24">
        <v>216.20106917197859</v>
      </c>
      <c r="N23" s="24">
        <v>256.46325698212024</v>
      </c>
      <c r="O23" s="24">
        <v>272.43530962402679</v>
      </c>
      <c r="P23" s="24">
        <v>251.52157166321757</v>
      </c>
      <c r="Q23" s="24">
        <v>263.20801392928519</v>
      </c>
      <c r="R23" s="24">
        <v>216.20106917197859</v>
      </c>
      <c r="S23" s="24">
        <v>257.10654168487366</v>
      </c>
      <c r="T23" s="24">
        <v>273.20701567569239</v>
      </c>
      <c r="U23" s="24">
        <v>252.3688351898447</v>
      </c>
      <c r="V23" s="24">
        <v>264.50531727900875</v>
      </c>
      <c r="W23" s="24">
        <v>216.20106917197859</v>
      </c>
      <c r="X23" s="24">
        <v>257.44128460036347</v>
      </c>
      <c r="Y23" s="24">
        <v>273.87183612477764</v>
      </c>
      <c r="Z23" s="24">
        <v>252.66965355815412</v>
      </c>
      <c r="AA23" s="24">
        <v>265.03154860857632</v>
      </c>
      <c r="AB23" s="24">
        <v>216.20106917197859</v>
      </c>
      <c r="AC23" s="24">
        <v>257.23713139802271</v>
      </c>
      <c r="AD23" s="24">
        <v>273.59626411390155</v>
      </c>
      <c r="AE23" s="24">
        <v>254.45510110611698</v>
      </c>
      <c r="AF23" s="24">
        <v>265.37124461890801</v>
      </c>
      <c r="AG23" s="24">
        <v>216.20106917197859</v>
      </c>
      <c r="AH23" s="24">
        <v>256.60499249660256</v>
      </c>
      <c r="AI23" s="24">
        <v>273.21825316655151</v>
      </c>
      <c r="AJ23" s="24">
        <v>252.54189380735428</v>
      </c>
      <c r="AK23" s="24">
        <v>264.8955572842334</v>
      </c>
      <c r="AL23" s="24">
        <v>216.20106917197859</v>
      </c>
      <c r="AM23" s="24">
        <v>255.12786772912662</v>
      </c>
      <c r="AN23" s="24">
        <v>271.19740046991171</v>
      </c>
      <c r="AO23" s="24">
        <v>251.91628618637296</v>
      </c>
      <c r="AP23" s="24">
        <v>264.64059556784946</v>
      </c>
      <c r="AQ23" s="24">
        <v>216.20106917197859</v>
      </c>
      <c r="AR23" s="24">
        <v>252.2116362310218</v>
      </c>
      <c r="AS23" s="24">
        <v>266.96788273135496</v>
      </c>
      <c r="AT23" s="24">
        <v>251.12414353021359</v>
      </c>
      <c r="AU23" s="24">
        <v>263.62967260915792</v>
      </c>
      <c r="AV23" s="24">
        <v>216.20106917197859</v>
      </c>
      <c r="AW23" s="24">
        <v>249.34834775048509</v>
      </c>
      <c r="AX23" s="24">
        <v>262.83292472668592</v>
      </c>
      <c r="AY23" s="24">
        <v>249.90648931480035</v>
      </c>
      <c r="AZ23" s="24">
        <v>261.84032826199405</v>
      </c>
      <c r="BA23" s="24">
        <v>216.20106917197859</v>
      </c>
      <c r="BB23" s="24">
        <v>246.53544814993933</v>
      </c>
      <c r="BC23" s="24">
        <v>258.78909013925545</v>
      </c>
      <c r="BD23" s="24">
        <v>247.09742665853199</v>
      </c>
      <c r="BE23" s="24">
        <v>258.10834419818764</v>
      </c>
      <c r="BF23" s="24">
        <v>216.20106917197859</v>
      </c>
      <c r="BG23" s="24">
        <v>243.76803331791095</v>
      </c>
      <c r="BH23" s="24">
        <v>254.82886297811029</v>
      </c>
      <c r="BI23" s="24">
        <v>244.33855364799965</v>
      </c>
      <c r="BJ23" s="24">
        <v>254.17597090118454</v>
      </c>
      <c r="BK23" s="24">
        <v>216.20106917197859</v>
      </c>
      <c r="BL23" s="24">
        <v>233.28559760464361</v>
      </c>
      <c r="BM23" s="24">
        <v>239.96021934208392</v>
      </c>
      <c r="BN23" s="24">
        <v>233.71716759854021</v>
      </c>
      <c r="BO23" s="24">
        <v>239.20715274843516</v>
      </c>
      <c r="BP23" s="24">
        <v>216.20106917197859</v>
      </c>
      <c r="BQ23" s="24">
        <v>223.26239493735872</v>
      </c>
      <c r="BR23" s="24">
        <v>225.96963656422346</v>
      </c>
      <c r="BS23" s="24">
        <v>223.69399342647992</v>
      </c>
      <c r="BT23" s="24">
        <v>225.2971549342974</v>
      </c>
      <c r="BU23" s="24">
        <v>216.20106917197859</v>
      </c>
      <c r="BV23" s="24">
        <v>244.17611435289328</v>
      </c>
      <c r="BW23" s="24">
        <v>255.3859872553451</v>
      </c>
      <c r="BX23" s="24">
        <v>239.69807352092388</v>
      </c>
      <c r="BY23" s="24">
        <v>247.13591056825928</v>
      </c>
      <c r="BZ23" s="24">
        <v>216.20106917197859</v>
      </c>
      <c r="CA23" s="24">
        <v>245.52434349620589</v>
      </c>
      <c r="CB23" s="24">
        <v>256.91997506503412</v>
      </c>
      <c r="CC23" s="24">
        <v>240.89648318007508</v>
      </c>
      <c r="CD23" s="24">
        <v>248.6099270049375</v>
      </c>
      <c r="CE23" s="24">
        <v>216.20106917197859</v>
      </c>
      <c r="CF23" s="24">
        <v>246.19939561574404</v>
      </c>
      <c r="CG23" s="24">
        <v>257.88175708066467</v>
      </c>
      <c r="CH23" s="24">
        <v>241.64259430903465</v>
      </c>
      <c r="CI23" s="24">
        <v>250.085028577332</v>
      </c>
      <c r="CJ23" s="24">
        <v>216.20106917197859</v>
      </c>
      <c r="CK23" s="24">
        <v>246.57709107192986</v>
      </c>
      <c r="CL23" s="24">
        <v>258.77566793855704</v>
      </c>
      <c r="CM23" s="24">
        <v>242.27557459031206</v>
      </c>
      <c r="CN23" s="24">
        <v>250.94104351799743</v>
      </c>
      <c r="CO23" s="24">
        <v>216.20106917197859</v>
      </c>
      <c r="CP23" s="24">
        <v>247.1146782112676</v>
      </c>
      <c r="CQ23" s="24">
        <v>259.19177249227704</v>
      </c>
      <c r="CR23" s="24">
        <v>242.77583011799146</v>
      </c>
      <c r="CS23" s="24">
        <v>251.50202396947734</v>
      </c>
      <c r="CT23" s="24">
        <v>216.20106917197859</v>
      </c>
      <c r="CU23" s="24">
        <v>247.12334825714998</v>
      </c>
      <c r="CV23" s="24">
        <v>259.20682576339823</v>
      </c>
      <c r="CW23" s="24">
        <v>243.03615086471783</v>
      </c>
      <c r="CX23" s="24">
        <v>251.95792209026629</v>
      </c>
      <c r="CY23" s="24">
        <v>216.20106917197859</v>
      </c>
      <c r="CZ23" s="24">
        <v>246.96978063213149</v>
      </c>
      <c r="DA23" s="24">
        <v>258.80265663862315</v>
      </c>
      <c r="DB23" s="24">
        <v>242.83265774940838</v>
      </c>
      <c r="DC23" s="24">
        <v>252.04626802510646</v>
      </c>
      <c r="DD23" s="24">
        <v>216.20106917197859</v>
      </c>
      <c r="DE23" s="24">
        <v>246.29112764632447</v>
      </c>
      <c r="DF23" s="24">
        <v>258.30277794000989</v>
      </c>
      <c r="DG23" s="24">
        <v>242.69592409189406</v>
      </c>
      <c r="DH23" s="24">
        <v>251.65688004963116</v>
      </c>
      <c r="DI23" s="24">
        <v>216.20106917197859</v>
      </c>
      <c r="DJ23" s="24">
        <v>245.66181253530982</v>
      </c>
      <c r="DK23" s="24">
        <v>257.41348256188627</v>
      </c>
      <c r="DL23" s="24">
        <v>242.17680277280212</v>
      </c>
      <c r="DM23" s="24">
        <v>251.27048086279308</v>
      </c>
      <c r="DN23" s="24">
        <v>216.20106917197859</v>
      </c>
      <c r="DO23" s="24">
        <v>242.42711222350269</v>
      </c>
      <c r="DP23" s="24">
        <v>252.89389805233515</v>
      </c>
      <c r="DQ23" s="24">
        <v>240.55389142666942</v>
      </c>
      <c r="DR23" s="24">
        <v>248.92458418582683</v>
      </c>
      <c r="DS23" s="24">
        <v>216.20106917197859</v>
      </c>
      <c r="DT23" s="24">
        <v>231.93319489142698</v>
      </c>
      <c r="DU23" s="24">
        <v>238.03765159305379</v>
      </c>
      <c r="DV23" s="24">
        <v>231.4668820298761</v>
      </c>
      <c r="DW23" s="24">
        <v>236.44111412576086</v>
      </c>
      <c r="DX23" s="24">
        <v>216.20106917197859</v>
      </c>
      <c r="DY23" s="24">
        <v>222.01034440772264</v>
      </c>
      <c r="DZ23" s="24">
        <v>224.21643416083927</v>
      </c>
      <c r="EA23" s="24">
        <v>221.51375025493672</v>
      </c>
      <c r="EB23" s="24">
        <v>222.73160548501053</v>
      </c>
      <c r="EC23" s="24">
        <v>216.20106917197859</v>
      </c>
      <c r="ED23" s="24">
        <v>252.92141968076464</v>
      </c>
      <c r="EE23" s="24">
        <v>267.581199979838</v>
      </c>
      <c r="EF23" s="24">
        <v>249.68597098438548</v>
      </c>
      <c r="EG23" s="24">
        <v>260.88748228708607</v>
      </c>
      <c r="EH23" s="24">
        <v>216.20106917197859</v>
      </c>
      <c r="EI23" s="24">
        <v>253.7039674201873</v>
      </c>
      <c r="EJ23" s="24">
        <v>268.52425821240251</v>
      </c>
      <c r="EK23" s="24">
        <v>250.35601480468466</v>
      </c>
      <c r="EL23" s="24">
        <v>261.89628304979226</v>
      </c>
      <c r="EM23" s="24">
        <v>216.20106917197859</v>
      </c>
      <c r="EN23" s="24">
        <v>254.1714913120349</v>
      </c>
      <c r="EO23" s="24">
        <v>269.20545394684024</v>
      </c>
      <c r="EP23" s="24">
        <v>250.90311306748288</v>
      </c>
      <c r="EQ23" s="24">
        <v>262.56425067775109</v>
      </c>
      <c r="ER23" s="24">
        <v>216.20106917197859</v>
      </c>
      <c r="ES23" s="24">
        <v>254.13873186864527</v>
      </c>
      <c r="ET23" s="24">
        <v>269.28277037261904</v>
      </c>
      <c r="EU23" s="24">
        <v>250.91096997821776</v>
      </c>
      <c r="EV23" s="24">
        <v>262.82044347226258</v>
      </c>
      <c r="EW23" s="24">
        <v>216.20106917197859</v>
      </c>
      <c r="EX23" s="24">
        <v>252.6715105788966</v>
      </c>
      <c r="EY23" s="24">
        <v>267.63247044175364</v>
      </c>
      <c r="EZ23" s="24">
        <v>250.73430765181698</v>
      </c>
      <c r="FA23" s="24">
        <v>262.64844475456403</v>
      </c>
      <c r="FB23" s="24">
        <v>216.20106917197859</v>
      </c>
      <c r="FC23" s="24">
        <v>250.56357540228601</v>
      </c>
      <c r="FD23" s="24">
        <v>264.58503282047639</v>
      </c>
      <c r="FE23" s="24">
        <v>250.09012889031666</v>
      </c>
      <c r="FF23" s="24">
        <v>261.82345760597218</v>
      </c>
      <c r="FG23" s="24">
        <v>216.20106917197859</v>
      </c>
      <c r="FH23" s="24">
        <v>248.47881935287643</v>
      </c>
      <c r="FI23" s="24">
        <v>261.58031943180083</v>
      </c>
      <c r="FJ23" s="24">
        <v>248.72085119792996</v>
      </c>
      <c r="FK23" s="24">
        <v>260.35336722816999</v>
      </c>
      <c r="FL23" s="24">
        <v>216.20106917197859</v>
      </c>
      <c r="FM23" s="24">
        <v>246.41523199538418</v>
      </c>
      <c r="FN23" s="24">
        <v>258.6167282589426</v>
      </c>
      <c r="FO23" s="24">
        <v>246.59834507685457</v>
      </c>
      <c r="FP23" s="24">
        <v>257.30454893572278</v>
      </c>
      <c r="FQ23" s="24">
        <v>216.20106917197859</v>
      </c>
      <c r="FR23" s="24">
        <v>244.37432124514956</v>
      </c>
      <c r="FS23" s="24">
        <v>255.6932895961298</v>
      </c>
      <c r="FT23" s="24">
        <v>244.34296628105577</v>
      </c>
      <c r="FU23" s="24">
        <v>254.09772643211747</v>
      </c>
      <c r="FV23" s="24">
        <v>216.20106917197859</v>
      </c>
      <c r="FW23" s="24">
        <v>240.35366685429804</v>
      </c>
      <c r="FX23" s="24">
        <v>249.95762107880759</v>
      </c>
      <c r="FY23" s="24">
        <v>240.20922650107147</v>
      </c>
      <c r="FZ23" s="24">
        <v>248.02615047610686</v>
      </c>
      <c r="GA23" s="24">
        <v>216.20106917197859</v>
      </c>
      <c r="GB23" s="24">
        <v>232.39292544409213</v>
      </c>
      <c r="GC23" s="24">
        <v>238.70532256879059</v>
      </c>
      <c r="GD23" s="24">
        <v>231.91339229882672</v>
      </c>
      <c r="GE23" s="24">
        <v>236.53698683167238</v>
      </c>
      <c r="GF23" s="24">
        <v>216.20106917197859</v>
      </c>
      <c r="GG23" s="24">
        <v>224.59379906432335</v>
      </c>
      <c r="GH23" s="24">
        <v>227.81410507478694</v>
      </c>
      <c r="GI23" s="24">
        <v>223.93762256993185</v>
      </c>
      <c r="GJ23" s="24">
        <v>225.44833417672348</v>
      </c>
      <c r="GK23" s="24">
        <v>216.20106917197859</v>
      </c>
      <c r="GL23" s="24">
        <v>255.32873406154241</v>
      </c>
      <c r="GM23" s="24">
        <v>270.67114659527988</v>
      </c>
      <c r="GN23" s="24">
        <v>254.45510110611698</v>
      </c>
      <c r="GO23" s="24">
        <v>265.37124461890812</v>
      </c>
      <c r="GP23" s="24">
        <v>216.20106917197859</v>
      </c>
      <c r="GQ23" s="24">
        <v>258.22705517165878</v>
      </c>
      <c r="GR23" s="24">
        <v>275.07802159822705</v>
      </c>
      <c r="GS23" s="24">
        <v>257.71100175630914</v>
      </c>
      <c r="GT23" s="24">
        <v>270.25612641093329</v>
      </c>
      <c r="GU23" s="24">
        <v>216.20100053775653</v>
      </c>
      <c r="GV23" s="24">
        <v>252.20205330621118</v>
      </c>
      <c r="GW23" s="24">
        <v>267.68386391963691</v>
      </c>
      <c r="GX23" s="24">
        <v>254.45760248920251</v>
      </c>
      <c r="GY23" s="24">
        <v>266.6537142794416</v>
      </c>
      <c r="GZ23" s="24">
        <v>216.20100053775653</v>
      </c>
      <c r="HA23" s="24">
        <v>249.16953686251969</v>
      </c>
      <c r="HB23" s="24">
        <v>263.34755265286202</v>
      </c>
      <c r="HC23" s="24">
        <v>250.97267774751165</v>
      </c>
      <c r="HD23" s="24">
        <v>261.29823045238203</v>
      </c>
      <c r="HE23" s="24">
        <v>216.20100053775653</v>
      </c>
      <c r="HF23" s="24">
        <v>250.76555951357955</v>
      </c>
      <c r="HG23" s="24">
        <v>265.71161205233045</v>
      </c>
      <c r="HH23" s="24">
        <v>252.62921195394671</v>
      </c>
      <c r="HI23" s="24">
        <v>266.65371597677262</v>
      </c>
      <c r="HJ23" s="24">
        <v>216.20102299564252</v>
      </c>
      <c r="HK23" s="24">
        <v>266.26738420988198</v>
      </c>
      <c r="HL23" s="24">
        <v>286.88757856055673</v>
      </c>
      <c r="HM23" s="24">
        <v>258.21537873076625</v>
      </c>
      <c r="HN23" s="24">
        <v>270.51127404392309</v>
      </c>
      <c r="HO23">
        <v>216.20102278617915</v>
      </c>
      <c r="HP23">
        <v>261.8579388975503</v>
      </c>
      <c r="HQ23">
        <v>280.18752053116543</v>
      </c>
      <c r="HR23">
        <v>256.62536639144412</v>
      </c>
      <c r="HS23">
        <v>268.25632644617377</v>
      </c>
      <c r="HT23">
        <v>216.20102368345107</v>
      </c>
      <c r="HU23">
        <v>256.77964176692871</v>
      </c>
      <c r="HV23">
        <v>272.46991190465207</v>
      </c>
      <c r="HW23">
        <v>254.75490758068375</v>
      </c>
      <c r="HX23">
        <v>265.77249275935174</v>
      </c>
      <c r="HY23">
        <v>216.20102260261746</v>
      </c>
      <c r="HZ23">
        <v>248.81925082509906</v>
      </c>
      <c r="IA23">
        <v>262.10456822356002</v>
      </c>
      <c r="IB23">
        <v>251.48285369712869</v>
      </c>
      <c r="IC23">
        <v>261.49715169889896</v>
      </c>
      <c r="ID23">
        <v>216.20102318398185</v>
      </c>
      <c r="IE23">
        <v>255.53642050419012</v>
      </c>
      <c r="IF23">
        <v>270.6101676992742</v>
      </c>
      <c r="IG23">
        <v>254.63204680251195</v>
      </c>
      <c r="IH23">
        <v>265.30687079337878</v>
      </c>
      <c r="II23">
        <v>216.20102318412233</v>
      </c>
      <c r="IJ23">
        <v>255.73584351124401</v>
      </c>
      <c r="IK23">
        <v>270.55243973513666</v>
      </c>
      <c r="IL23">
        <v>254.5208424791613</v>
      </c>
      <c r="IM23">
        <v>265.00138359914104</v>
      </c>
      <c r="IN23">
        <v>216.20102318268866</v>
      </c>
      <c r="IO23" s="86">
        <v>256.12972305802111</v>
      </c>
      <c r="IP23">
        <v>270.47234207589059</v>
      </c>
      <c r="IQ23">
        <v>254.85424919948912</v>
      </c>
      <c r="IR23">
        <v>264.89781869413707</v>
      </c>
      <c r="IS23">
        <v>216.2010231837794</v>
      </c>
      <c r="IT23">
        <v>256.10086258670185</v>
      </c>
      <c r="IU23">
        <v>270.43235223929577</v>
      </c>
      <c r="IV23">
        <v>254.831476397492</v>
      </c>
      <c r="IW23">
        <v>264.47761156285424</v>
      </c>
      <c r="IX23">
        <v>216.21958741981939</v>
      </c>
      <c r="IY23">
        <v>255.31793027462709</v>
      </c>
      <c r="IZ23">
        <v>271.15151362122248</v>
      </c>
      <c r="JA23">
        <v>254.29039851491672</v>
      </c>
      <c r="JB23">
        <v>265.47032840404131</v>
      </c>
      <c r="JC23">
        <v>216.20102318426743</v>
      </c>
      <c r="JD23">
        <v>254.87332234358067</v>
      </c>
      <c r="JE23">
        <v>271.22783959304854</v>
      </c>
      <c r="JF23">
        <v>254.06741665616849</v>
      </c>
      <c r="JG23">
        <v>265.5243372396115</v>
      </c>
      <c r="JH23">
        <v>216.20102318416568</v>
      </c>
      <c r="JI23">
        <v>254.36244982970001</v>
      </c>
      <c r="JJ23">
        <v>271.31895940674343</v>
      </c>
      <c r="JK23">
        <v>253.63932499683528</v>
      </c>
      <c r="JL23">
        <v>265.69266830646541</v>
      </c>
      <c r="JM23">
        <v>216.20102296535413</v>
      </c>
      <c r="JN23">
        <v>267.66771325287232</v>
      </c>
      <c r="JO23">
        <v>289.13275720033988</v>
      </c>
      <c r="JP23">
        <v>259.07749328759257</v>
      </c>
      <c r="JQ23">
        <v>271.6553063270652</v>
      </c>
      <c r="JR23">
        <v>216.20102317300277</v>
      </c>
      <c r="JS23">
        <v>263.51857909192944</v>
      </c>
      <c r="JT23">
        <v>282.5888335184772</v>
      </c>
      <c r="JU23">
        <v>257.19439391019876</v>
      </c>
      <c r="JV23">
        <v>269.00687092920055</v>
      </c>
      <c r="JW23">
        <v>216.20102318324726</v>
      </c>
      <c r="JX23">
        <v>258.63615846944168</v>
      </c>
      <c r="JY23">
        <v>275.54374988471903</v>
      </c>
      <c r="JZ23">
        <v>255.48529148766733</v>
      </c>
      <c r="KA23">
        <v>266.52631091893176</v>
      </c>
      <c r="KB23">
        <v>216.20102317362276</v>
      </c>
      <c r="KC23">
        <v>252.21937582372479</v>
      </c>
      <c r="KD23">
        <v>266.6355472570458</v>
      </c>
      <c r="KE23">
        <v>253.33271714096142</v>
      </c>
      <c r="KF23">
        <v>263.8996973674848</v>
      </c>
      <c r="KG23">
        <v>216.19832543921211</v>
      </c>
      <c r="KH23">
        <v>248.8059096890581</v>
      </c>
      <c r="KI23">
        <v>262.08868377645206</v>
      </c>
      <c r="KJ23">
        <v>250.36434345770829</v>
      </c>
      <c r="KK23">
        <v>259.9802958500448</v>
      </c>
      <c r="KL23">
        <v>216.20106917197859</v>
      </c>
      <c r="KM23">
        <v>260.29882026474445</v>
      </c>
      <c r="KN23">
        <v>270.67113708094661</v>
      </c>
      <c r="KO23">
        <v>259.38313925038625</v>
      </c>
      <c r="KP23">
        <v>265.37123057978584</v>
      </c>
      <c r="KQ23">
        <v>216.20106917197859</v>
      </c>
      <c r="KR23">
        <v>260.29882531362239</v>
      </c>
      <c r="KS23">
        <v>270.67113708094661</v>
      </c>
      <c r="KT23">
        <v>259.38314431323505</v>
      </c>
      <c r="KU23">
        <v>265.37123057978584</v>
      </c>
      <c r="KV23">
        <v>216.20106917197859</v>
      </c>
      <c r="KW23">
        <v>257.80326310766577</v>
      </c>
      <c r="KX23">
        <v>270.67113708094661</v>
      </c>
      <c r="KY23">
        <v>256.61244995592403</v>
      </c>
      <c r="KZ23">
        <v>265.37123057978584</v>
      </c>
      <c r="LA23">
        <v>216.20106917197859</v>
      </c>
      <c r="LB23">
        <v>253.31435465846036</v>
      </c>
      <c r="LC23">
        <v>270.67113708094661</v>
      </c>
      <c r="LD23">
        <v>252.2817237195585</v>
      </c>
      <c r="LE23">
        <v>265.37123057978584</v>
      </c>
      <c r="LF23">
        <v>216.20106917197859</v>
      </c>
      <c r="LG23">
        <v>251.34539331736778</v>
      </c>
      <c r="LH23">
        <v>270.67113708094661</v>
      </c>
      <c r="LI23">
        <v>250.34742451208345</v>
      </c>
      <c r="LJ23">
        <v>265.37123057978584</v>
      </c>
      <c r="LK23">
        <v>216.20106917197859</v>
      </c>
      <c r="LL23">
        <v>261.84335285058336</v>
      </c>
      <c r="LM23">
        <v>270.67113708094661</v>
      </c>
      <c r="LN23">
        <v>260.73489084578557</v>
      </c>
      <c r="LO23">
        <v>265.37123057978584</v>
      </c>
      <c r="LP23">
        <v>216.20102308734641</v>
      </c>
      <c r="LQ23">
        <v>256.01158458889279</v>
      </c>
      <c r="LR23">
        <v>271.65201427328782</v>
      </c>
      <c r="LS23">
        <v>254.66008906604841</v>
      </c>
      <c r="LT23">
        <v>265.64952093161639</v>
      </c>
      <c r="LU23">
        <v>216.2010232585566</v>
      </c>
      <c r="LV23">
        <v>256.68539659727759</v>
      </c>
      <c r="LW23">
        <v>272.62252835170796</v>
      </c>
      <c r="LX23">
        <v>254.85928626918476</v>
      </c>
      <c r="LY23">
        <v>265.92714982019089</v>
      </c>
      <c r="LZ23">
        <v>216.20102317341093</v>
      </c>
      <c r="MA23">
        <v>257.07252756965573</v>
      </c>
      <c r="MB23">
        <v>273.57793384836742</v>
      </c>
      <c r="MC23">
        <v>255.04855971012199</v>
      </c>
      <c r="MD23">
        <v>265.94149796078312</v>
      </c>
      <c r="ME23">
        <v>216.20101542726809</v>
      </c>
      <c r="MF23">
        <v>271.20591215098074</v>
      </c>
      <c r="MG23">
        <v>293.77651255339543</v>
      </c>
      <c r="MH23">
        <v>260.40834661423611</v>
      </c>
      <c r="MI23">
        <v>273.43292585431664</v>
      </c>
      <c r="MJ23">
        <v>216.20102317451207</v>
      </c>
      <c r="MK23">
        <v>248.61151416426151</v>
      </c>
      <c r="ML23">
        <v>261.81080063890977</v>
      </c>
      <c r="MM23">
        <v>246.6594554343061</v>
      </c>
      <c r="MN23">
        <v>254.81372819040445</v>
      </c>
      <c r="MO23">
        <v>216.31996370054102</v>
      </c>
      <c r="MP23">
        <v>254.27285393355638</v>
      </c>
      <c r="MQ23">
        <v>272.37391504530831</v>
      </c>
      <c r="MR23">
        <v>253.24829905731502</v>
      </c>
      <c r="MS23">
        <v>266.52472546269229</v>
      </c>
      <c r="MT23">
        <v>216.31442214038054</v>
      </c>
      <c r="MU23">
        <v>253.33304210954125</v>
      </c>
      <c r="MV23">
        <v>272.49668614874474</v>
      </c>
      <c r="MW23">
        <v>252.69990879892342</v>
      </c>
      <c r="MX23">
        <v>266.71854240051397</v>
      </c>
      <c r="MY23">
        <v>216.31847291294795</v>
      </c>
      <c r="MZ23">
        <v>252.60223558679311</v>
      </c>
      <c r="NA23">
        <v>272.65110670619674</v>
      </c>
      <c r="NB23">
        <v>252.09342855045949</v>
      </c>
      <c r="NC23">
        <v>266.94865736944752</v>
      </c>
      <c r="ND23">
        <v>216.20102318448238</v>
      </c>
      <c r="NE23">
        <v>256.42877816575316</v>
      </c>
      <c r="NF23">
        <v>270.03919408382035</v>
      </c>
      <c r="NG23">
        <v>255.1105299268186</v>
      </c>
      <c r="NH23">
        <v>264.37924614568135</v>
      </c>
      <c r="NI23">
        <v>216.20102318056081</v>
      </c>
      <c r="NJ23">
        <v>256.72377377239906</v>
      </c>
      <c r="NK23">
        <v>269.91955100012819</v>
      </c>
      <c r="NL23">
        <v>255.38381714242288</v>
      </c>
      <c r="NM23">
        <v>264.25545805293063</v>
      </c>
      <c r="NN23">
        <v>216.20102317671095</v>
      </c>
      <c r="NO23">
        <v>256.98911463681412</v>
      </c>
      <c r="NP23">
        <v>269.799144299418</v>
      </c>
      <c r="NQ23">
        <v>255.41777512976338</v>
      </c>
      <c r="NR23">
        <v>263.90367616893394</v>
      </c>
      <c r="NS23">
        <v>216.20106939255197</v>
      </c>
      <c r="NT23">
        <v>261.84334788033533</v>
      </c>
      <c r="NU23">
        <v>270.67113672616654</v>
      </c>
      <c r="NV23">
        <v>260.73488827682951</v>
      </c>
      <c r="NW23">
        <v>265.37122987031358</v>
      </c>
      <c r="NX23">
        <v>216.20106939255197</v>
      </c>
      <c r="NY23">
        <v>250.43801110368645</v>
      </c>
      <c r="NZ23">
        <v>270.67089461963019</v>
      </c>
      <c r="OA23">
        <v>249.45525958663055</v>
      </c>
      <c r="OB23">
        <v>265.37119987486932</v>
      </c>
      <c r="OC23">
        <v>216.20106939255197</v>
      </c>
      <c r="OD23">
        <v>246.74029341598128</v>
      </c>
      <c r="OE23">
        <v>270.67113452855909</v>
      </c>
      <c r="OF23">
        <v>245.74435990228045</v>
      </c>
      <c r="OG23">
        <v>265.37122880558081</v>
      </c>
      <c r="OH23">
        <v>216.20102317336929</v>
      </c>
      <c r="OI23">
        <v>254.08360157662634</v>
      </c>
      <c r="OJ23">
        <v>271.382093863737</v>
      </c>
      <c r="OK23">
        <v>253.40654681590055</v>
      </c>
      <c r="OL23">
        <v>265.78112360813697</v>
      </c>
      <c r="OM23">
        <v>216.20102286259851</v>
      </c>
      <c r="ON23">
        <v>256.26926971082656</v>
      </c>
      <c r="OO23">
        <v>270.51448174301885</v>
      </c>
      <c r="OP23">
        <v>254.97450165068676</v>
      </c>
      <c r="OQ23">
        <v>264.42875707378568</v>
      </c>
      <c r="OR23">
        <v>216.20101407372962</v>
      </c>
      <c r="OS23">
        <v>254.85511242192962</v>
      </c>
      <c r="OT23">
        <v>269.618039252117</v>
      </c>
      <c r="OU23">
        <v>253.97584905939942</v>
      </c>
      <c r="OV23">
        <v>265.04954584241148</v>
      </c>
      <c r="OW23">
        <v>216.20102245314519</v>
      </c>
      <c r="OX23">
        <v>254.12507261061043</v>
      </c>
      <c r="OY23">
        <v>269.08179362256612</v>
      </c>
      <c r="OZ23">
        <v>253.72948549622839</v>
      </c>
      <c r="PA23">
        <v>264.41101621506448</v>
      </c>
      <c r="PB23">
        <v>216.20910116435792</v>
      </c>
      <c r="PC23">
        <v>254.49298326961392</v>
      </c>
      <c r="PD23">
        <v>269.59162443476231</v>
      </c>
      <c r="PE23">
        <v>253.99917691630381</v>
      </c>
      <c r="PF23">
        <v>264.76254722369885</v>
      </c>
      <c r="PG23">
        <v>216.20102317688892</v>
      </c>
      <c r="PH23">
        <v>256.34963078696296</v>
      </c>
      <c r="PI23">
        <v>272.1381139011869</v>
      </c>
      <c r="PJ23">
        <v>254.62822959169941</v>
      </c>
      <c r="PK23">
        <v>265.60926313687514</v>
      </c>
      <c r="PL23" s="24">
        <v>216.20102318581797</v>
      </c>
      <c r="PM23" s="24">
        <v>265.46310084285534</v>
      </c>
      <c r="PN23" s="24">
        <v>286.04424065793421</v>
      </c>
      <c r="PO23" s="24">
        <v>258.21177599872465</v>
      </c>
      <c r="PP23" s="24">
        <v>270.50752144314788</v>
      </c>
      <c r="PQ23">
        <v>216.26326101817631</v>
      </c>
      <c r="PR23">
        <v>272.8283419211171</v>
      </c>
      <c r="PS23">
        <v>296.68222865802056</v>
      </c>
      <c r="PT23">
        <v>261.08660422168612</v>
      </c>
      <c r="PU23">
        <v>274.5367058331089</v>
      </c>
      <c r="PV23">
        <v>216.2010230112154</v>
      </c>
      <c r="PW23">
        <v>248.79961049453152</v>
      </c>
      <c r="PX23">
        <v>261.8263822747661</v>
      </c>
      <c r="PY23">
        <v>248.00174290328204</v>
      </c>
      <c r="PZ23">
        <v>256.88437537055131</v>
      </c>
      <c r="QA23" s="24">
        <v>216.20102317490651</v>
      </c>
      <c r="QB23" s="24">
        <v>248.36600759659098</v>
      </c>
      <c r="QC23" s="24">
        <v>261.46091380704951</v>
      </c>
      <c r="QD23" s="24">
        <v>240.90859432346465</v>
      </c>
      <c r="QE23" s="24">
        <v>247.90473656519413</v>
      </c>
    </row>
    <row r="24" spans="1:447" x14ac:dyDescent="0.15">
      <c r="A24" s="24" t="s">
        <v>64</v>
      </c>
      <c r="B24" s="24">
        <f>Sectors!$I$6</f>
        <v>67.531701807915468</v>
      </c>
      <c r="C24" s="24">
        <f>Sectors!$AA6</f>
        <v>67.237893237246439</v>
      </c>
      <c r="D24" s="24">
        <f>Sectors!$BL6</f>
        <v>67.526010153287956</v>
      </c>
      <c r="E24" s="24">
        <f>Sectors!$AU6</f>
        <v>66.89131566363389</v>
      </c>
      <c r="F24" s="24">
        <f>Sectors!CF6</f>
        <v>67.52693608135813</v>
      </c>
      <c r="H24" s="24">
        <v>67.531701807915468</v>
      </c>
      <c r="I24" s="24">
        <v>67.237865309207436</v>
      </c>
      <c r="J24" s="24">
        <v>67.526023299127857</v>
      </c>
      <c r="K24" s="24">
        <v>66.959387909351776</v>
      </c>
      <c r="L24" s="24">
        <v>67.525294701542649</v>
      </c>
      <c r="M24" s="24">
        <v>67.531701807915468</v>
      </c>
      <c r="N24" s="24">
        <v>67.266623807276858</v>
      </c>
      <c r="O24" s="24">
        <v>67.526339647767855</v>
      </c>
      <c r="P24" s="24">
        <v>66.992725221067062</v>
      </c>
      <c r="Q24" s="24">
        <v>67.526547435471286</v>
      </c>
      <c r="R24" s="24">
        <v>67.531701807915468</v>
      </c>
      <c r="S24" s="24">
        <v>67.288460274315995</v>
      </c>
      <c r="T24" s="24">
        <v>67.526725465246614</v>
      </c>
      <c r="U24" s="24">
        <v>67.030245035982659</v>
      </c>
      <c r="V24" s="24">
        <v>67.526120705985704</v>
      </c>
      <c r="W24" s="24">
        <v>67.531701807915468</v>
      </c>
      <c r="X24" s="24">
        <v>67.315493734207863</v>
      </c>
      <c r="Y24" s="24">
        <v>67.527050883619964</v>
      </c>
      <c r="Z24" s="24">
        <v>67.066377091896015</v>
      </c>
      <c r="AA24" s="24">
        <v>67.52651230902525</v>
      </c>
      <c r="AB24" s="24">
        <v>67.531701807915468</v>
      </c>
      <c r="AC24" s="24">
        <v>67.342871057551449</v>
      </c>
      <c r="AD24" s="24">
        <v>67.527468948950101</v>
      </c>
      <c r="AE24" s="24">
        <v>66.892001154659127</v>
      </c>
      <c r="AF24" s="24">
        <v>67.526940825003607</v>
      </c>
      <c r="AG24" s="24">
        <v>67.531701807915468</v>
      </c>
      <c r="AH24" s="24">
        <v>67.366872834743134</v>
      </c>
      <c r="AI24" s="24">
        <v>67.528439250826423</v>
      </c>
      <c r="AJ24" s="24">
        <v>67.146544168630527</v>
      </c>
      <c r="AK24" s="24">
        <v>67.527069830102462</v>
      </c>
      <c r="AL24" s="24">
        <v>67.531701807915468</v>
      </c>
      <c r="AM24" s="24">
        <v>67.383655618380217</v>
      </c>
      <c r="AN24" s="24">
        <v>67.528183332109506</v>
      </c>
      <c r="AO24" s="24">
        <v>67.185423920536849</v>
      </c>
      <c r="AP24" s="24">
        <v>67.527800331543418</v>
      </c>
      <c r="AQ24" s="24">
        <v>67.531701807915468</v>
      </c>
      <c r="AR24" s="24">
        <v>67.389598877461012</v>
      </c>
      <c r="AS24" s="24">
        <v>67.528357262853675</v>
      </c>
      <c r="AT24" s="24">
        <v>67.227599809237262</v>
      </c>
      <c r="AU24" s="24">
        <v>67.528266927315244</v>
      </c>
      <c r="AV24" s="24">
        <v>67.531701807915468</v>
      </c>
      <c r="AW24" s="24">
        <v>67.395421021296244</v>
      </c>
      <c r="AX24" s="24">
        <v>67.528533501198893</v>
      </c>
      <c r="AY24" s="24">
        <v>67.264429713378803</v>
      </c>
      <c r="AZ24" s="24">
        <v>67.528728387156903</v>
      </c>
      <c r="BA24" s="24">
        <v>67.531701807915468</v>
      </c>
      <c r="BB24" s="24">
        <v>67.40116601087918</v>
      </c>
      <c r="BC24" s="24">
        <v>67.529929478688402</v>
      </c>
      <c r="BD24" s="24">
        <v>67.271045420629534</v>
      </c>
      <c r="BE24" s="24">
        <v>67.528890524042794</v>
      </c>
      <c r="BF24" s="24">
        <v>67.531701807915468</v>
      </c>
      <c r="BG24" s="24">
        <v>67.406563287344085</v>
      </c>
      <c r="BH24" s="24">
        <v>67.529308480962726</v>
      </c>
      <c r="BI24" s="24">
        <v>67.278005627253606</v>
      </c>
      <c r="BJ24" s="24">
        <v>67.528660822735418</v>
      </c>
      <c r="BK24" s="24">
        <v>67.531701807915468</v>
      </c>
      <c r="BL24" s="24">
        <v>67.427715168998347</v>
      </c>
      <c r="BM24" s="24">
        <v>67.530460560323391</v>
      </c>
      <c r="BN24" s="24">
        <v>67.302813927118294</v>
      </c>
      <c r="BO24" s="24">
        <v>67.528717230697836</v>
      </c>
      <c r="BP24" s="24">
        <v>67.531701807915468</v>
      </c>
      <c r="BQ24" s="24">
        <v>67.451695014033831</v>
      </c>
      <c r="BR24" s="24">
        <v>67.531082946504185</v>
      </c>
      <c r="BS24" s="24">
        <v>67.327597618964163</v>
      </c>
      <c r="BT24" s="24">
        <v>67.529701729209123</v>
      </c>
      <c r="BU24" s="24">
        <v>67.531701807915468</v>
      </c>
      <c r="BV24" s="24">
        <v>67.153649923149814</v>
      </c>
      <c r="BW24" s="24">
        <v>67.525069767117955</v>
      </c>
      <c r="BX24" s="24">
        <v>66.923690606129128</v>
      </c>
      <c r="BY24" s="24">
        <v>67.525050296105988</v>
      </c>
      <c r="BZ24" s="24">
        <v>67.531701807915468</v>
      </c>
      <c r="CA24" s="24">
        <v>67.186333903290929</v>
      </c>
      <c r="CB24" s="24">
        <v>67.525523086142371</v>
      </c>
      <c r="CC24" s="24">
        <v>66.996456342102874</v>
      </c>
      <c r="CD24" s="24">
        <v>67.525425109925195</v>
      </c>
      <c r="CE24" s="24">
        <v>67.531701807915468</v>
      </c>
      <c r="CF24" s="24">
        <v>67.213002926907635</v>
      </c>
      <c r="CG24" s="24">
        <v>67.525900861102301</v>
      </c>
      <c r="CH24" s="24">
        <v>67.036943218842922</v>
      </c>
      <c r="CI24" s="24">
        <v>67.525865509710997</v>
      </c>
      <c r="CJ24" s="24">
        <v>67.531701807915468</v>
      </c>
      <c r="CK24" s="24">
        <v>67.242765044764326</v>
      </c>
      <c r="CL24" s="24">
        <v>67.52632290190482</v>
      </c>
      <c r="CM24" s="24">
        <v>67.069046471899952</v>
      </c>
      <c r="CN24" s="24">
        <v>67.526295524145524</v>
      </c>
      <c r="CO24" s="24">
        <v>67.531701807915468</v>
      </c>
      <c r="CP24" s="24">
        <v>67.274583118816977</v>
      </c>
      <c r="CQ24" s="24">
        <v>67.526791744279407</v>
      </c>
      <c r="CR24" s="24">
        <v>67.111653773410922</v>
      </c>
      <c r="CS24" s="24">
        <v>67.5267224253611</v>
      </c>
      <c r="CT24" s="24">
        <v>67.531701807915468</v>
      </c>
      <c r="CU24" s="24">
        <v>67.304673555381683</v>
      </c>
      <c r="CV24" s="24">
        <v>67.526260932097799</v>
      </c>
      <c r="CW24" s="24">
        <v>67.151576367500994</v>
      </c>
      <c r="CX24" s="24">
        <v>67.527180198123233</v>
      </c>
      <c r="CY24" s="24">
        <v>67.531701807915468</v>
      </c>
      <c r="CZ24" s="24">
        <v>67.335489332490752</v>
      </c>
      <c r="DA24" s="24">
        <v>67.527654131683121</v>
      </c>
      <c r="DB24" s="24">
        <v>67.189691605184549</v>
      </c>
      <c r="DC24" s="24">
        <v>67.527623368268891</v>
      </c>
      <c r="DD24" s="24">
        <v>67.531701807915468</v>
      </c>
      <c r="DE24" s="24">
        <v>67.357985241009061</v>
      </c>
      <c r="DF24" s="24">
        <v>67.528138649436812</v>
      </c>
      <c r="DG24" s="24">
        <v>67.229014445874739</v>
      </c>
      <c r="DH24" s="24">
        <v>67.528096179038428</v>
      </c>
      <c r="DI24" s="24">
        <v>67.531701807915468</v>
      </c>
      <c r="DJ24" s="24">
        <v>67.394981689878975</v>
      </c>
      <c r="DK24" s="24">
        <v>67.528604905885686</v>
      </c>
      <c r="DL24" s="24">
        <v>67.26971045140661</v>
      </c>
      <c r="DM24" s="24">
        <v>67.527951078513084</v>
      </c>
      <c r="DN24" s="24">
        <v>67.531701807915468</v>
      </c>
      <c r="DO24" s="24">
        <v>67.439919642755086</v>
      </c>
      <c r="DP24" s="24">
        <v>67.529412343335721</v>
      </c>
      <c r="DQ24" s="24">
        <v>67.348920282833248</v>
      </c>
      <c r="DR24" s="24">
        <v>67.529559767901276</v>
      </c>
      <c r="DS24" s="24">
        <v>67.531701807915468</v>
      </c>
      <c r="DT24" s="24">
        <v>67.463691706912314</v>
      </c>
      <c r="DU24" s="24">
        <v>67.530121020478944</v>
      </c>
      <c r="DV24" s="24">
        <v>67.40745658677524</v>
      </c>
      <c r="DW24" s="24">
        <v>67.530631583225116</v>
      </c>
      <c r="DX24" s="24">
        <v>67.531701807915468</v>
      </c>
      <c r="DY24" s="24">
        <v>67.487374382282042</v>
      </c>
      <c r="DZ24" s="24">
        <v>67.530878624634681</v>
      </c>
      <c r="EA24" s="24">
        <v>67.434795622575919</v>
      </c>
      <c r="EB24" s="24">
        <v>67.531249173360649</v>
      </c>
      <c r="EC24" s="24">
        <v>67.531701807915468</v>
      </c>
      <c r="ED24" s="24">
        <v>67.293572806826631</v>
      </c>
      <c r="EE24" s="24">
        <v>67.527125146532498</v>
      </c>
      <c r="EF24" s="24">
        <v>67.075678029183365</v>
      </c>
      <c r="EG24" s="24">
        <v>67.526596524410976</v>
      </c>
      <c r="EH24" s="24">
        <v>67.531701807915468</v>
      </c>
      <c r="EI24" s="24">
        <v>67.330745891166615</v>
      </c>
      <c r="EJ24" s="24">
        <v>67.527408429478186</v>
      </c>
      <c r="EK24" s="24">
        <v>67.104502371598883</v>
      </c>
      <c r="EL24" s="24">
        <v>67.526915827168153</v>
      </c>
      <c r="EM24" s="24">
        <v>67.531701807915468</v>
      </c>
      <c r="EN24" s="24">
        <v>67.349241521908397</v>
      </c>
      <c r="EO24" s="24">
        <v>67.527686506180402</v>
      </c>
      <c r="EP24" s="24">
        <v>67.13581281655047</v>
      </c>
      <c r="EQ24" s="24">
        <v>67.527223877168495</v>
      </c>
      <c r="ER24" s="24">
        <v>67.531701807915468</v>
      </c>
      <c r="ES24" s="24">
        <v>67.369963425671173</v>
      </c>
      <c r="ET24" s="24">
        <v>67.528004402484484</v>
      </c>
      <c r="EU24" s="24">
        <v>67.165032944750934</v>
      </c>
      <c r="EV24" s="24">
        <v>67.527596218688913</v>
      </c>
      <c r="EW24" s="24">
        <v>67.531701807915468</v>
      </c>
      <c r="EX24" s="24">
        <v>67.381999087503075</v>
      </c>
      <c r="EY24" s="24">
        <v>67.528234457966903</v>
      </c>
      <c r="EZ24" s="24">
        <v>67.19514802665212</v>
      </c>
      <c r="FA24" s="24">
        <v>67.52794431659737</v>
      </c>
      <c r="FB24" s="24">
        <v>67.531701807915468</v>
      </c>
      <c r="FC24" s="24">
        <v>67.386477244901542</v>
      </c>
      <c r="FD24" s="24">
        <v>67.528364166295987</v>
      </c>
      <c r="FE24" s="24">
        <v>67.226948460309345</v>
      </c>
      <c r="FF24" s="24">
        <v>67.528318696982879</v>
      </c>
      <c r="FG24" s="24">
        <v>67.531701807915468</v>
      </c>
      <c r="FH24" s="24">
        <v>67.390953348412452</v>
      </c>
      <c r="FI24" s="24">
        <v>67.528497075012098</v>
      </c>
      <c r="FJ24" s="24">
        <v>67.24882889559683</v>
      </c>
      <c r="FK24" s="24">
        <v>67.528613318757081</v>
      </c>
      <c r="FL24" s="24">
        <v>67.531701807915468</v>
      </c>
      <c r="FM24" s="24">
        <v>67.395279183665409</v>
      </c>
      <c r="FN24" s="24">
        <v>67.528631186300771</v>
      </c>
      <c r="FO24" s="24">
        <v>67.252476643234786</v>
      </c>
      <c r="FP24" s="24">
        <v>67.528749891630895</v>
      </c>
      <c r="FQ24" s="24">
        <v>67.531701807915468</v>
      </c>
      <c r="FR24" s="24">
        <v>67.399727790237023</v>
      </c>
      <c r="FS24" s="24">
        <v>67.529382029352718</v>
      </c>
      <c r="FT24" s="24">
        <v>67.260284871975131</v>
      </c>
      <c r="FU24" s="24">
        <v>67.528367311453195</v>
      </c>
      <c r="FV24" s="24">
        <v>67.531701807915468</v>
      </c>
      <c r="FW24" s="24">
        <v>67.408587536379912</v>
      </c>
      <c r="FX24" s="24">
        <v>67.529021815247859</v>
      </c>
      <c r="FY24" s="24">
        <v>67.266439244845344</v>
      </c>
      <c r="FZ24" s="24">
        <v>67.528831561355844</v>
      </c>
      <c r="GA24" s="24">
        <v>67.531701807915468</v>
      </c>
      <c r="GB24" s="24">
        <v>67.428758620284171</v>
      </c>
      <c r="GC24" s="24">
        <v>67.529585685490389</v>
      </c>
      <c r="GD24" s="24">
        <v>67.287714848492897</v>
      </c>
      <c r="GE24" s="24">
        <v>67.52984255553018</v>
      </c>
      <c r="GF24" s="24">
        <v>67.531701807915468</v>
      </c>
      <c r="GG24" s="24">
        <v>67.451780201866029</v>
      </c>
      <c r="GH24" s="24">
        <v>67.530200154818814</v>
      </c>
      <c r="GI24" s="24">
        <v>67.308288917362205</v>
      </c>
      <c r="GJ24" s="24">
        <v>67.530474365431829</v>
      </c>
      <c r="GK24" s="24">
        <v>67.531701807915468</v>
      </c>
      <c r="GL24" s="24">
        <v>67.23785483319574</v>
      </c>
      <c r="GM24" s="24">
        <v>67.526021635192208</v>
      </c>
      <c r="GN24" s="24">
        <v>66.892001154659127</v>
      </c>
      <c r="GO24" s="24">
        <v>67.526940825003649</v>
      </c>
      <c r="GP24" s="24">
        <v>67.531701807915468</v>
      </c>
      <c r="GQ24" s="24">
        <v>67.297916848838369</v>
      </c>
      <c r="GR24" s="24">
        <v>67.526872095540028</v>
      </c>
      <c r="GS24" s="24">
        <v>66.966122067263598</v>
      </c>
      <c r="GT24" s="24">
        <v>67.529478457026542</v>
      </c>
      <c r="GU24" s="24">
        <v>67.531673715035268</v>
      </c>
      <c r="GV24" s="24">
        <v>67.183419253163819</v>
      </c>
      <c r="GW24" s="24">
        <v>67.525664177966192</v>
      </c>
      <c r="GX24" s="24">
        <v>66.898623594608139</v>
      </c>
      <c r="GY24" s="24">
        <v>67.52728238715008</v>
      </c>
      <c r="GZ24" s="24">
        <v>67.531673715035268</v>
      </c>
      <c r="HA24" s="24">
        <v>67.115362757752706</v>
      </c>
      <c r="HB24" s="24">
        <v>67.527281035877536</v>
      </c>
      <c r="HC24" s="24">
        <v>66.813082062897919</v>
      </c>
      <c r="HD24" s="24">
        <v>67.526158230095646</v>
      </c>
      <c r="HE24" s="24">
        <v>67.531673715035268</v>
      </c>
      <c r="HF24" s="24">
        <v>67.187388134598677</v>
      </c>
      <c r="HG24" s="24">
        <v>67.525735719165368</v>
      </c>
      <c r="HH24" s="24">
        <v>67.140506648560589</v>
      </c>
      <c r="HI24" s="24">
        <v>67.527284739135766</v>
      </c>
      <c r="HJ24" s="24">
        <v>67.531684199290922</v>
      </c>
      <c r="HK24" s="24">
        <v>67.205964347709553</v>
      </c>
      <c r="HL24" s="24">
        <v>67.525203369398042</v>
      </c>
      <c r="HM24" s="24">
        <v>66.856191778799456</v>
      </c>
      <c r="HN24" s="24">
        <v>67.526697389506225</v>
      </c>
      <c r="HO24">
        <v>67.531684114366968</v>
      </c>
      <c r="HP24">
        <v>67.221872116720505</v>
      </c>
      <c r="HQ24">
        <v>67.525504135069241</v>
      </c>
      <c r="HR24">
        <v>66.870391497163155</v>
      </c>
      <c r="HS24">
        <v>67.526833430800906</v>
      </c>
      <c r="HT24">
        <v>67.531684447855625</v>
      </c>
      <c r="HU24">
        <v>67.238378652865748</v>
      </c>
      <c r="HV24">
        <v>67.525924410342839</v>
      </c>
      <c r="HW24">
        <v>66.887482789671623</v>
      </c>
      <c r="HX24">
        <v>67.526912196104831</v>
      </c>
      <c r="HY24">
        <v>67.531684048229536</v>
      </c>
      <c r="HZ24">
        <v>67.259705356705766</v>
      </c>
      <c r="IA24">
        <v>67.526477351348802</v>
      </c>
      <c r="IB24">
        <v>66.921251293949965</v>
      </c>
      <c r="IC24">
        <v>67.578640594589842</v>
      </c>
      <c r="ID24">
        <v>67.531684262389618</v>
      </c>
      <c r="IE24">
        <v>67.24340751803912</v>
      </c>
      <c r="IF24">
        <v>67.524420560192922</v>
      </c>
      <c r="IG24">
        <v>66.903460531903207</v>
      </c>
      <c r="IH24">
        <v>67.535840874911585</v>
      </c>
      <c r="II24">
        <v>67.531684262438873</v>
      </c>
      <c r="IJ24">
        <v>67.252115146156399</v>
      </c>
      <c r="IK24">
        <v>67.52579051757499</v>
      </c>
      <c r="IL24">
        <v>66.899997237596409</v>
      </c>
      <c r="IM24">
        <v>67.526821695093886</v>
      </c>
      <c r="IN24">
        <v>67.53168426188364</v>
      </c>
      <c r="IO24" s="86">
        <v>67.381313281937878</v>
      </c>
      <c r="IP24">
        <v>67.50859461133463</v>
      </c>
      <c r="IQ24">
        <v>67.009939269312213</v>
      </c>
      <c r="IR24">
        <v>67.499426915521042</v>
      </c>
      <c r="IS24">
        <v>67.5316842622954</v>
      </c>
      <c r="IT24">
        <v>67.265705645811821</v>
      </c>
      <c r="IU24">
        <v>67.524296284683999</v>
      </c>
      <c r="IV24">
        <v>66.918070495036019</v>
      </c>
      <c r="IW24">
        <v>67.500823604141445</v>
      </c>
      <c r="IX24">
        <v>67.537766954274332</v>
      </c>
      <c r="IY24">
        <v>67.236322304252425</v>
      </c>
      <c r="IZ24">
        <v>67.525994573749543</v>
      </c>
      <c r="JA24">
        <v>66.886269978309429</v>
      </c>
      <c r="JB24">
        <v>67.526949318380034</v>
      </c>
      <c r="JC24">
        <v>67.531684262515355</v>
      </c>
      <c r="JD24">
        <v>67.222411046936045</v>
      </c>
      <c r="JE24">
        <v>67.565465937199207</v>
      </c>
      <c r="JF24">
        <v>66.877992120406518</v>
      </c>
      <c r="JG24">
        <v>67.524901792534806</v>
      </c>
      <c r="JH24">
        <v>67.531684261860363</v>
      </c>
      <c r="JI24">
        <v>67.20549838487662</v>
      </c>
      <c r="JJ24">
        <v>67.52592232819498</v>
      </c>
      <c r="JK24">
        <v>66.863480802138199</v>
      </c>
      <c r="JL24">
        <v>67.52693550556927</v>
      </c>
      <c r="JM24">
        <v>67.531684189923524</v>
      </c>
      <c r="JN24">
        <v>67.200721222797071</v>
      </c>
      <c r="JO24">
        <v>67.524982471692098</v>
      </c>
      <c r="JP24">
        <v>66.845811292122335</v>
      </c>
      <c r="JQ24">
        <v>67.526623799417138</v>
      </c>
      <c r="JR24">
        <v>67.531684258459663</v>
      </c>
      <c r="JS24">
        <v>67.216110435785083</v>
      </c>
      <c r="JT24">
        <v>67.525358466885223</v>
      </c>
      <c r="JU24">
        <v>66.863254113597108</v>
      </c>
      <c r="JV24">
        <v>67.526781377573769</v>
      </c>
      <c r="JW24">
        <v>67.531684262125694</v>
      </c>
      <c r="JX24">
        <v>67.232507482822513</v>
      </c>
      <c r="JY24">
        <v>67.525746309623329</v>
      </c>
      <c r="JZ24">
        <v>66.884479944462328</v>
      </c>
      <c r="KA24">
        <v>67.526859223518301</v>
      </c>
      <c r="KB24">
        <v>67.531684258534256</v>
      </c>
      <c r="KC24">
        <v>67.247394563639318</v>
      </c>
      <c r="KD24">
        <v>67.543105676370317</v>
      </c>
      <c r="KE24">
        <v>66.904524053433335</v>
      </c>
      <c r="KF24">
        <v>67.528354906145651</v>
      </c>
      <c r="KG24">
        <v>67.530814440284473</v>
      </c>
      <c r="KH24">
        <v>67.257708935394561</v>
      </c>
      <c r="KI24">
        <v>67.526467778054055</v>
      </c>
      <c r="KJ24">
        <v>66.933339194015758</v>
      </c>
      <c r="KK24">
        <v>67.527139319516891</v>
      </c>
      <c r="KL24">
        <v>67.531701807915468</v>
      </c>
      <c r="KM24">
        <v>67.309661420295171</v>
      </c>
      <c r="KN24">
        <v>67.526011947023662</v>
      </c>
      <c r="KO24">
        <v>67.071477515072061</v>
      </c>
      <c r="KP24">
        <v>67.526926608786042</v>
      </c>
      <c r="KQ24">
        <v>67.531701807915468</v>
      </c>
      <c r="KR24">
        <v>67.309666216612868</v>
      </c>
      <c r="KS24">
        <v>67.526011947023662</v>
      </c>
      <c r="KT24">
        <v>67.071482082346392</v>
      </c>
      <c r="KU24">
        <v>67.526926608786042</v>
      </c>
      <c r="KV24">
        <v>67.531701807915468</v>
      </c>
      <c r="KW24">
        <v>67.26857203445563</v>
      </c>
      <c r="KX24">
        <v>67.526011947023662</v>
      </c>
      <c r="KY24">
        <v>66.974382883569191</v>
      </c>
      <c r="KZ24">
        <v>67.526926608786042</v>
      </c>
      <c r="LA24">
        <v>67.531701807915468</v>
      </c>
      <c r="LB24">
        <v>67.219540379075781</v>
      </c>
      <c r="LC24">
        <v>67.526011947023662</v>
      </c>
      <c r="LD24">
        <v>66.824439965751012</v>
      </c>
      <c r="LE24">
        <v>67.526926608786042</v>
      </c>
      <c r="LF24">
        <v>67.531701807915468</v>
      </c>
      <c r="LG24">
        <v>67.202203479093797</v>
      </c>
      <c r="LH24">
        <v>67.526011947023662</v>
      </c>
      <c r="LI24">
        <v>66.768146464120619</v>
      </c>
      <c r="LJ24">
        <v>67.526926608786042</v>
      </c>
      <c r="LK24">
        <v>67.531701807915468</v>
      </c>
      <c r="LL24">
        <v>67.334459050391416</v>
      </c>
      <c r="LM24">
        <v>67.526011947023662</v>
      </c>
      <c r="LN24">
        <v>67.125746968192828</v>
      </c>
      <c r="LO24">
        <v>67.526926608786042</v>
      </c>
      <c r="LP24">
        <v>67.531684226441527</v>
      </c>
      <c r="LQ24">
        <v>67.24205669286782</v>
      </c>
      <c r="LR24">
        <v>67.526050049380189</v>
      </c>
      <c r="LS24">
        <v>66.894342654811851</v>
      </c>
      <c r="LT24">
        <v>67.526988776902854</v>
      </c>
      <c r="LU24">
        <v>67.531684289977036</v>
      </c>
      <c r="LV24">
        <v>67.246206999446713</v>
      </c>
      <c r="LW24">
        <v>67.527390794624324</v>
      </c>
      <c r="LX24">
        <v>66.897375230213797</v>
      </c>
      <c r="LY24">
        <v>67.538722758693311</v>
      </c>
      <c r="LZ24">
        <v>67.531684258499695</v>
      </c>
      <c r="MA24">
        <v>67.251234406719306</v>
      </c>
      <c r="MB24">
        <v>67.526136024104119</v>
      </c>
      <c r="MC24">
        <v>66.900406346913471</v>
      </c>
      <c r="MD24">
        <v>67.527078965418198</v>
      </c>
      <c r="ME24">
        <v>67.531681248106722</v>
      </c>
      <c r="MF24">
        <v>67.191123565315579</v>
      </c>
      <c r="MG24">
        <v>67.524770253175916</v>
      </c>
      <c r="MH24">
        <v>66.834127734963289</v>
      </c>
      <c r="MI24">
        <v>67.526575112271289</v>
      </c>
      <c r="MJ24">
        <v>67.531684258865155</v>
      </c>
      <c r="MK24">
        <v>67.253525201662697</v>
      </c>
      <c r="ML24">
        <v>67.526411355772026</v>
      </c>
      <c r="MM24">
        <v>66.976609347480434</v>
      </c>
      <c r="MN24">
        <v>67.52741058079269</v>
      </c>
      <c r="MO24">
        <v>67.571276588294083</v>
      </c>
      <c r="MP24">
        <v>67.201295726855321</v>
      </c>
      <c r="MQ24">
        <v>67.526159837161075</v>
      </c>
      <c r="MR24">
        <v>66.863840567237617</v>
      </c>
      <c r="MS24">
        <v>67.527194389188907</v>
      </c>
      <c r="MT24">
        <v>67.569073672804322</v>
      </c>
      <c r="MU24">
        <v>67.180780951277228</v>
      </c>
      <c r="MV24">
        <v>67.526115303248531</v>
      </c>
      <c r="MW24">
        <v>66.845540353158711</v>
      </c>
      <c r="MX24">
        <v>67.527195646308172</v>
      </c>
      <c r="MY24">
        <v>67.571068043979722</v>
      </c>
      <c r="MZ24">
        <v>67.158580227922229</v>
      </c>
      <c r="NA24">
        <v>67.526097016494873</v>
      </c>
      <c r="NB24">
        <v>66.826909536818803</v>
      </c>
      <c r="NC24">
        <v>67.527230788954242</v>
      </c>
      <c r="ND24">
        <v>67.53168426221248</v>
      </c>
      <c r="NE24">
        <v>67.27746805199348</v>
      </c>
      <c r="NF24">
        <v>67.52604963676464</v>
      </c>
      <c r="NG24">
        <v>66.928649371221283</v>
      </c>
      <c r="NH24">
        <v>67.52689864136579</v>
      </c>
      <c r="NI24">
        <v>67.531684261018725</v>
      </c>
      <c r="NJ24">
        <v>67.288924536336097</v>
      </c>
      <c r="NK24">
        <v>67.52644362455284</v>
      </c>
      <c r="NL24">
        <v>66.950017344732501</v>
      </c>
      <c r="NM24">
        <v>67.527714150848013</v>
      </c>
      <c r="NN24">
        <v>67.531684259615631</v>
      </c>
      <c r="NO24">
        <v>67.299485162327841</v>
      </c>
      <c r="NP24">
        <v>67.526119622811279</v>
      </c>
      <c r="NQ24">
        <v>66.943523582515155</v>
      </c>
      <c r="NR24">
        <v>67.526882587733695</v>
      </c>
      <c r="NS24">
        <v>67.531701891284342</v>
      </c>
      <c r="NT24">
        <v>67.334455709975728</v>
      </c>
      <c r="NU24">
        <v>67.526011517260741</v>
      </c>
      <c r="NV24">
        <v>67.125748603720609</v>
      </c>
      <c r="NW24">
        <v>67.526925675790594</v>
      </c>
      <c r="NX24">
        <v>67.531701891284342</v>
      </c>
      <c r="NY24">
        <v>67.195256321900047</v>
      </c>
      <c r="NZ24">
        <v>67.525764887625911</v>
      </c>
      <c r="OA24">
        <v>66.737687472087771</v>
      </c>
      <c r="OB24">
        <v>67.526898430925897</v>
      </c>
      <c r="OC24">
        <v>67.531701891284342</v>
      </c>
      <c r="OD24">
        <v>67.170972633867237</v>
      </c>
      <c r="OE24">
        <v>67.526009220187532</v>
      </c>
      <c r="OF24">
        <v>66.650218251570607</v>
      </c>
      <c r="OG24">
        <v>67.526924634034444</v>
      </c>
      <c r="OH24">
        <v>67.531684258469696</v>
      </c>
      <c r="OI24">
        <v>67.19642424429172</v>
      </c>
      <c r="OJ24">
        <v>67.525904215218134</v>
      </c>
      <c r="OK24">
        <v>66.855712591288835</v>
      </c>
      <c r="OL24">
        <v>67.526931984290911</v>
      </c>
      <c r="OM24">
        <v>67.53168414212783</v>
      </c>
      <c r="ON24">
        <v>67.271482444076995</v>
      </c>
      <c r="OO24">
        <v>67.634221699526975</v>
      </c>
      <c r="OP24">
        <v>66.923450548359824</v>
      </c>
      <c r="OQ24">
        <v>67.515373512576133</v>
      </c>
      <c r="OR24">
        <v>67.531680950425297</v>
      </c>
      <c r="OS24">
        <v>67.251578329047021</v>
      </c>
      <c r="OT24">
        <v>67.465140124065357</v>
      </c>
      <c r="OU24">
        <v>66.900663920902247</v>
      </c>
      <c r="OV24">
        <v>67.496386563642872</v>
      </c>
      <c r="OW24">
        <v>67.531683992683824</v>
      </c>
      <c r="OX24">
        <v>67.233743652007774</v>
      </c>
      <c r="OY24">
        <v>67.534505429889805</v>
      </c>
      <c r="OZ24">
        <v>66.888957845669893</v>
      </c>
      <c r="PA24">
        <v>67.531512221764814</v>
      </c>
      <c r="PB24">
        <v>67.533801601581345</v>
      </c>
      <c r="PC24">
        <v>67.23636997539019</v>
      </c>
      <c r="PD24">
        <v>67.52594087977819</v>
      </c>
      <c r="PE24">
        <v>66.888487767170702</v>
      </c>
      <c r="PF24">
        <v>67.526848092233976</v>
      </c>
      <c r="PG24">
        <v>67.531684259726745</v>
      </c>
      <c r="PH24">
        <v>67.244128103376113</v>
      </c>
      <c r="PI24">
        <v>67.526074592019512</v>
      </c>
      <c r="PJ24">
        <v>66.897452106408892</v>
      </c>
      <c r="PK24">
        <v>67.527035321667611</v>
      </c>
      <c r="PL24" s="24">
        <v>67.531684262998112</v>
      </c>
      <c r="PM24" s="24">
        <v>67.147487350830502</v>
      </c>
      <c r="PN24" s="24">
        <v>67.527040385071871</v>
      </c>
      <c r="PO24" s="24">
        <v>66.855771636748997</v>
      </c>
      <c r="PP24" s="24">
        <v>67.523918790853699</v>
      </c>
      <c r="PQ24">
        <v>67.552164496365151</v>
      </c>
      <c r="PR24">
        <v>67.188996165585436</v>
      </c>
      <c r="PS24">
        <v>67.524657369146524</v>
      </c>
      <c r="PT24">
        <v>66.831017112131633</v>
      </c>
      <c r="PU24">
        <v>67.526649972415157</v>
      </c>
      <c r="PV24">
        <v>67.531684209981236</v>
      </c>
      <c r="PW24">
        <v>67.25796281410345</v>
      </c>
      <c r="PX24">
        <v>67.526415620677312</v>
      </c>
      <c r="PY24">
        <v>66.960951453388759</v>
      </c>
      <c r="PZ24">
        <v>67.527295026183481</v>
      </c>
      <c r="QA24" s="24">
        <v>67.531684259010859</v>
      </c>
      <c r="QB24" s="24">
        <v>67.248907436719705</v>
      </c>
      <c r="QC24" s="24">
        <v>67.526357093430335</v>
      </c>
      <c r="QD24" s="24">
        <v>67.039195550528802</v>
      </c>
      <c r="QE24" s="24">
        <v>67.52768730647459</v>
      </c>
    </row>
    <row r="25" spans="1:447" x14ac:dyDescent="0.15">
      <c r="A25" t="s">
        <v>67</v>
      </c>
      <c r="IO25" s="86"/>
    </row>
    <row r="26" spans="1:447" x14ac:dyDescent="0.15">
      <c r="A26" s="23" t="s">
        <v>144</v>
      </c>
      <c r="B26">
        <v>0</v>
      </c>
      <c r="C26" s="23">
        <f>SUMPRODUCT(Sectors!$AC$17:$AC$217,Sectors!$AG$17:$AG$217)/COUNT(Sectors!$AC$17:$AC$217)</f>
        <v>14.401715327655968</v>
      </c>
      <c r="D26" s="23">
        <f>SUMPRODUCT(Sectors!$BN$17:$BN$217,Sectors!$BR$17:$BR$217)/COUNT(Sectors!$BN$17:$BN$217)</f>
        <v>16.105250954282479</v>
      </c>
      <c r="E26" s="23">
        <f>SUMPRODUCT(Sectors!$AW$17:$AW$217,Sectors!$BA$17:$BA$217)/COUNT(Sectors!$AW$17:$AW$217)</f>
        <v>9.7544694301768509</v>
      </c>
      <c r="F26" s="23">
        <f>SUMPRODUCT(Sectors!$CH$17:$CH$217,Sectors!$CL$17:$CL$217)/COUNT(Sectors!$CH$17:$CH$217)</f>
        <v>10.963245761521055</v>
      </c>
      <c r="H26">
        <v>0</v>
      </c>
      <c r="I26" s="23">
        <v>14.401747436719372</v>
      </c>
      <c r="J26" s="23">
        <v>16.105251040286163</v>
      </c>
      <c r="K26" s="23">
        <v>17.827589350067978</v>
      </c>
      <c r="L26" s="23">
        <v>19.677516462617241</v>
      </c>
      <c r="M26">
        <v>0</v>
      </c>
      <c r="N26" s="23">
        <v>11.991716733740134</v>
      </c>
      <c r="O26" s="23">
        <v>13.583658666615374</v>
      </c>
      <c r="P26" s="23">
        <v>16.002476799435335</v>
      </c>
      <c r="Q26" s="23">
        <v>17.588167809811797</v>
      </c>
      <c r="R26">
        <v>0</v>
      </c>
      <c r="S26" s="23">
        <v>9.701496077583327</v>
      </c>
      <c r="T26" s="23">
        <v>11.104725827929013</v>
      </c>
      <c r="U26" s="23">
        <v>13.931278637869877</v>
      </c>
      <c r="V26" s="23">
        <v>15.399248754024629</v>
      </c>
      <c r="W26">
        <v>0</v>
      </c>
      <c r="X26" s="23">
        <v>7.145399256675228</v>
      </c>
      <c r="Y26" s="23">
        <v>8.3774633078220937</v>
      </c>
      <c r="Z26" s="23">
        <v>11.976602985501554</v>
      </c>
      <c r="AA26" s="23">
        <v>13.311686935126936</v>
      </c>
      <c r="AB26">
        <v>0</v>
      </c>
      <c r="AC26" s="23">
        <v>4.5505033365169174</v>
      </c>
      <c r="AD26" s="23">
        <v>5.5664202745859779</v>
      </c>
      <c r="AE26" s="23">
        <v>9.7546362405195364</v>
      </c>
      <c r="AF26" s="23">
        <v>10.9632457605734</v>
      </c>
      <c r="AG26">
        <v>0</v>
      </c>
      <c r="AH26" s="23">
        <v>1.9650977432675081</v>
      </c>
      <c r="AI26" s="23">
        <v>2.3430509754268192</v>
      </c>
      <c r="AJ26" s="23">
        <v>7.5499390096387549</v>
      </c>
      <c r="AK26" s="23">
        <v>8.7657868910636481</v>
      </c>
      <c r="AL26">
        <v>0</v>
      </c>
      <c r="AM26" s="23">
        <v>0</v>
      </c>
      <c r="AN26" s="23">
        <v>0</v>
      </c>
      <c r="AO26" s="23">
        <v>5.295064964095002</v>
      </c>
      <c r="AP26" s="23">
        <v>5.9170696210608771</v>
      </c>
      <c r="AQ26">
        <v>0</v>
      </c>
      <c r="AR26" s="23">
        <v>0</v>
      </c>
      <c r="AS26" s="23">
        <v>0</v>
      </c>
      <c r="AT26" s="23">
        <v>2.6361446919299545</v>
      </c>
      <c r="AU26" s="23">
        <v>3.0501675714436454</v>
      </c>
      <c r="AV26">
        <v>0</v>
      </c>
      <c r="AW26" s="23">
        <v>0</v>
      </c>
      <c r="AX26" s="23">
        <v>0</v>
      </c>
      <c r="AY26" s="23">
        <v>0</v>
      </c>
      <c r="AZ26" s="23">
        <v>0.21514193513123403</v>
      </c>
      <c r="BA26">
        <v>0</v>
      </c>
      <c r="BB26" s="23">
        <v>0</v>
      </c>
      <c r="BC26" s="23">
        <v>0</v>
      </c>
      <c r="BD26" s="23">
        <v>0</v>
      </c>
      <c r="BE26" s="23">
        <v>0</v>
      </c>
      <c r="BF26">
        <v>0</v>
      </c>
      <c r="BG26" s="23">
        <v>0</v>
      </c>
      <c r="BH26" s="23">
        <v>0</v>
      </c>
      <c r="BI26" s="23">
        <v>0</v>
      </c>
      <c r="BJ26" s="23">
        <v>0</v>
      </c>
      <c r="BK26">
        <v>0</v>
      </c>
      <c r="BL26" s="23">
        <v>0</v>
      </c>
      <c r="BM26" s="23">
        <v>0</v>
      </c>
      <c r="BN26" s="23">
        <v>0</v>
      </c>
      <c r="BO26" s="23">
        <v>0</v>
      </c>
      <c r="BP26">
        <v>0</v>
      </c>
      <c r="BQ26" s="23">
        <v>0</v>
      </c>
      <c r="BR26" s="23">
        <v>0</v>
      </c>
      <c r="BS26" s="23">
        <v>0</v>
      </c>
      <c r="BT26" s="23">
        <v>0</v>
      </c>
      <c r="BU26">
        <v>0</v>
      </c>
      <c r="BV26" s="23">
        <v>20.19819806849539</v>
      </c>
      <c r="BW26" s="23">
        <v>21.609910035440095</v>
      </c>
      <c r="BX26" s="23">
        <v>22.72156332585331</v>
      </c>
      <c r="BY26" s="23">
        <v>24.076820327274678</v>
      </c>
      <c r="BZ26">
        <v>0</v>
      </c>
      <c r="CA26" s="23">
        <v>18.274867981288391</v>
      </c>
      <c r="CB26" s="23">
        <v>19.798342851834445</v>
      </c>
      <c r="CC26" s="23">
        <v>21.10243171745644</v>
      </c>
      <c r="CD26" s="23">
        <v>22.581830263481027</v>
      </c>
      <c r="CE26">
        <v>0</v>
      </c>
      <c r="CF26" s="23">
        <v>16.616189682957621</v>
      </c>
      <c r="CG26" s="23">
        <v>18.070996703989948</v>
      </c>
      <c r="CH26" s="23">
        <v>19.57978063850749</v>
      </c>
      <c r="CI26" s="23">
        <v>20.853537488960168</v>
      </c>
      <c r="CJ26">
        <v>0</v>
      </c>
      <c r="CK26" s="23">
        <v>14.908372934190089</v>
      </c>
      <c r="CL26" s="23">
        <v>16.093168743802845</v>
      </c>
      <c r="CM26" s="23">
        <v>17.981315944646202</v>
      </c>
      <c r="CN26" s="23">
        <v>19.209904652287129</v>
      </c>
      <c r="CO26">
        <v>0</v>
      </c>
      <c r="CP26" s="23">
        <v>12.786701260987689</v>
      </c>
      <c r="CQ26" s="23">
        <v>14.040832149988415</v>
      </c>
      <c r="CR26" s="23">
        <v>16.177921214173018</v>
      </c>
      <c r="CS26" s="23">
        <v>17.495557232908205</v>
      </c>
      <c r="CT26">
        <v>0</v>
      </c>
      <c r="CU26" s="23">
        <v>10.797796906344287</v>
      </c>
      <c r="CV26" s="23">
        <v>11.927752413025951</v>
      </c>
      <c r="CW26" s="23">
        <v>14.312010085944751</v>
      </c>
      <c r="CX26" s="23">
        <v>15.540153600160473</v>
      </c>
      <c r="CY26">
        <v>0</v>
      </c>
      <c r="CZ26" s="23">
        <v>8.579002301927078</v>
      </c>
      <c r="DA26" s="23">
        <v>9.7697922690902104</v>
      </c>
      <c r="DB26" s="23">
        <v>12.580423620865757</v>
      </c>
      <c r="DC26" s="23">
        <v>13.517139423141499</v>
      </c>
      <c r="DD26">
        <v>0</v>
      </c>
      <c r="DE26" s="23">
        <v>6.5280552224226156</v>
      </c>
      <c r="DF26" s="23">
        <v>7.1672154168199711</v>
      </c>
      <c r="DG26" s="23">
        <v>10.434925285557298</v>
      </c>
      <c r="DH26" s="23">
        <v>11.444306241094454</v>
      </c>
      <c r="DI26">
        <v>0</v>
      </c>
      <c r="DJ26" s="23">
        <v>3.8692894059911378</v>
      </c>
      <c r="DK26" s="23">
        <v>4.3315399885234056</v>
      </c>
      <c r="DL26" s="23">
        <v>8.2504814081568405</v>
      </c>
      <c r="DM26" s="23">
        <v>8.9287551076940197</v>
      </c>
      <c r="DN26">
        <v>0</v>
      </c>
      <c r="DO26" s="23">
        <v>0</v>
      </c>
      <c r="DP26" s="23">
        <v>0</v>
      </c>
      <c r="DQ26" s="23">
        <v>3.0173403341970908</v>
      </c>
      <c r="DR26" s="23">
        <v>3.5972555540159132</v>
      </c>
      <c r="DS26">
        <v>0</v>
      </c>
      <c r="DT26" s="23">
        <v>0</v>
      </c>
      <c r="DU26" s="23">
        <v>0</v>
      </c>
      <c r="DV26" s="23">
        <v>0</v>
      </c>
      <c r="DW26" s="23">
        <v>0</v>
      </c>
      <c r="DX26">
        <v>0</v>
      </c>
      <c r="DY26" s="23">
        <v>0</v>
      </c>
      <c r="DZ26" s="23">
        <v>0</v>
      </c>
      <c r="EA26" s="23">
        <v>0</v>
      </c>
      <c r="EB26" s="23">
        <v>0</v>
      </c>
      <c r="EC26">
        <v>0</v>
      </c>
      <c r="ED26" s="23">
        <v>9.0722256471265403</v>
      </c>
      <c r="EE26" s="23">
        <v>10.135576714041735</v>
      </c>
      <c r="EF26" s="23">
        <v>13.087515043964695</v>
      </c>
      <c r="EG26" s="23">
        <v>14.400561268265745</v>
      </c>
      <c r="EH26">
        <v>0</v>
      </c>
      <c r="EI26" s="23">
        <v>6.4567380090131801</v>
      </c>
      <c r="EJ26" s="23">
        <v>7.5495777790985743</v>
      </c>
      <c r="EK26" s="23">
        <v>10.985345918849132</v>
      </c>
      <c r="EL26" s="23">
        <v>12.175868132062879</v>
      </c>
      <c r="EM26">
        <v>0</v>
      </c>
      <c r="EN26" s="23">
        <v>3.8057593238185441</v>
      </c>
      <c r="EO26" s="23">
        <v>4.7076624832209335</v>
      </c>
      <c r="EP26" s="23">
        <v>8.6380576446957864</v>
      </c>
      <c r="EQ26" s="23">
        <v>9.887699760836103</v>
      </c>
      <c r="ER26">
        <v>0</v>
      </c>
      <c r="ES26" s="23">
        <v>1.136679413913473</v>
      </c>
      <c r="ET26" s="23">
        <v>1.6291123201612878</v>
      </c>
      <c r="EU26" s="23">
        <v>6.4372034690621076</v>
      </c>
      <c r="EV26" s="23">
        <v>7.3240276247641383</v>
      </c>
      <c r="EW26">
        <v>0</v>
      </c>
      <c r="EX26" s="23">
        <v>0</v>
      </c>
      <c r="EY26" s="23">
        <v>0</v>
      </c>
      <c r="EZ26" s="23">
        <v>4.0199829236013525</v>
      </c>
      <c r="FA26" s="23">
        <v>4.7340378613534488</v>
      </c>
      <c r="FB26">
        <v>0</v>
      </c>
      <c r="FC26" s="23">
        <v>0</v>
      </c>
      <c r="FD26" s="23">
        <v>0</v>
      </c>
      <c r="FE26" s="23">
        <v>1.5990360771844965</v>
      </c>
      <c r="FF26" s="23">
        <v>2.1372547988275388</v>
      </c>
      <c r="FG26">
        <v>0</v>
      </c>
      <c r="FH26" s="23">
        <v>0</v>
      </c>
      <c r="FI26" s="23">
        <v>0</v>
      </c>
      <c r="FJ26" s="23">
        <v>0</v>
      </c>
      <c r="FK26" s="23">
        <v>0</v>
      </c>
      <c r="FL26">
        <v>0</v>
      </c>
      <c r="FM26" s="23">
        <v>0</v>
      </c>
      <c r="FN26" s="23">
        <v>0</v>
      </c>
      <c r="FO26" s="23">
        <v>0</v>
      </c>
      <c r="FP26" s="23">
        <v>0</v>
      </c>
      <c r="FQ26">
        <v>0</v>
      </c>
      <c r="FR26" s="23">
        <v>0</v>
      </c>
      <c r="FS26" s="23">
        <v>0</v>
      </c>
      <c r="FT26" s="23">
        <v>0</v>
      </c>
      <c r="FU26" s="23">
        <v>0</v>
      </c>
      <c r="FV26">
        <v>0</v>
      </c>
      <c r="FW26" s="23">
        <v>0</v>
      </c>
      <c r="FX26" s="23">
        <v>0</v>
      </c>
      <c r="FY26" s="23">
        <v>0</v>
      </c>
      <c r="FZ26" s="23">
        <v>0</v>
      </c>
      <c r="GA26">
        <v>0</v>
      </c>
      <c r="GB26" s="23">
        <v>0</v>
      </c>
      <c r="GC26" s="23">
        <v>0</v>
      </c>
      <c r="GD26" s="23">
        <v>0</v>
      </c>
      <c r="GE26" s="23">
        <v>0</v>
      </c>
      <c r="GF26">
        <v>0</v>
      </c>
      <c r="GG26" s="23">
        <v>0</v>
      </c>
      <c r="GH26" s="23">
        <v>0</v>
      </c>
      <c r="GI26" s="23">
        <v>0</v>
      </c>
      <c r="GJ26" s="23">
        <v>0</v>
      </c>
      <c r="GK26">
        <v>0</v>
      </c>
      <c r="GL26" s="23">
        <v>14.401710067118685</v>
      </c>
      <c r="GM26" s="23">
        <v>16.105251026456845</v>
      </c>
      <c r="GN26" s="23">
        <v>9.7546362405195364</v>
      </c>
      <c r="GO26" s="23">
        <v>10.96324576057336</v>
      </c>
      <c r="GP26">
        <v>0</v>
      </c>
      <c r="GQ26" s="23">
        <v>11.561256571818262</v>
      </c>
      <c r="GR26" s="23">
        <v>12.909525020473668</v>
      </c>
      <c r="GS26" s="23">
        <v>5.5678756217238936</v>
      </c>
      <c r="GT26" s="23">
        <v>6.2672958981738605</v>
      </c>
      <c r="GU26">
        <v>0</v>
      </c>
      <c r="GV26" s="23">
        <v>13.069670488995738</v>
      </c>
      <c r="GW26" s="23">
        <v>14.287798654956857</v>
      </c>
      <c r="GX26" s="23">
        <v>6.3729172064239474</v>
      </c>
      <c r="GY26" s="23">
        <v>7.0878207358841516</v>
      </c>
      <c r="GZ26">
        <v>0</v>
      </c>
      <c r="HA26" s="23">
        <v>15.951934425997147</v>
      </c>
      <c r="HB26" s="23">
        <v>17.352835893305084</v>
      </c>
      <c r="HC26" s="23">
        <v>10.708979029055925</v>
      </c>
      <c r="HD26" s="23">
        <v>11.928504928839365</v>
      </c>
      <c r="HE26">
        <v>0</v>
      </c>
      <c r="HF26" s="23">
        <v>8.5738895357014062</v>
      </c>
      <c r="HG26" s="23">
        <v>9.3610648903399429</v>
      </c>
      <c r="HH26" s="23">
        <v>6.3959537421837744</v>
      </c>
      <c r="HI26" s="23">
        <v>7.0878207538911608</v>
      </c>
      <c r="HJ26">
        <v>0</v>
      </c>
      <c r="HK26" s="23">
        <v>8.3126195598599661</v>
      </c>
      <c r="HL26" s="23">
        <v>9.6140066815456926</v>
      </c>
      <c r="HM26" s="23">
        <v>7.0124364555808665</v>
      </c>
      <c r="HN26" s="23">
        <v>8.0889464429133913</v>
      </c>
      <c r="HO26">
        <v>0</v>
      </c>
      <c r="HP26">
        <v>10.697036348222651</v>
      </c>
      <c r="HQ26">
        <v>12.332081519504582</v>
      </c>
      <c r="HR26">
        <v>8.1763023240705035</v>
      </c>
      <c r="HS26">
        <v>9.3047394792173801</v>
      </c>
      <c r="HT26">
        <v>0</v>
      </c>
      <c r="HU26">
        <v>13.506562788657572</v>
      </c>
      <c r="HV26">
        <v>15.386037171018893</v>
      </c>
      <c r="HW26">
        <v>9.5435957226023724</v>
      </c>
      <c r="HX26">
        <v>10.742341493008091</v>
      </c>
      <c r="HY26">
        <v>0</v>
      </c>
      <c r="HZ26">
        <v>18.135465948599517</v>
      </c>
      <c r="IA26">
        <v>19.56185442876998</v>
      </c>
      <c r="IB26">
        <v>11.905208838328031</v>
      </c>
      <c r="IC26">
        <v>13.199918850579815</v>
      </c>
      <c r="ID26">
        <v>0</v>
      </c>
      <c r="IE26">
        <v>14.469124086714304</v>
      </c>
      <c r="IF26">
        <v>16.181779639090273</v>
      </c>
      <c r="IG26">
        <v>9.8021079875617669</v>
      </c>
      <c r="IH26">
        <v>11.018762301771869</v>
      </c>
      <c r="II26">
        <v>0</v>
      </c>
      <c r="IJ26">
        <v>14.536715036616142</v>
      </c>
      <c r="IK26">
        <v>16.25829801997849</v>
      </c>
      <c r="IL26">
        <v>10.037696782478603</v>
      </c>
      <c r="IM26">
        <v>11.280850222914239</v>
      </c>
      <c r="IN26">
        <v>0</v>
      </c>
      <c r="IO26" s="86">
        <v>14.610733041762774</v>
      </c>
      <c r="IP26">
        <v>16.334565672596284</v>
      </c>
      <c r="IQ26">
        <v>10.08972873201469</v>
      </c>
      <c r="IR26">
        <v>11.337047344596447</v>
      </c>
      <c r="IS26">
        <v>0</v>
      </c>
      <c r="IT26">
        <v>14.672399768350514</v>
      </c>
      <c r="IU26">
        <v>16.41117440297489</v>
      </c>
      <c r="IV26">
        <v>10.134979208581607</v>
      </c>
      <c r="IW26">
        <v>11.588634927385174</v>
      </c>
      <c r="IX26">
        <v>0</v>
      </c>
      <c r="IY26">
        <v>14.147606367458643</v>
      </c>
      <c r="IZ26">
        <v>15.868713456571475</v>
      </c>
      <c r="JA26">
        <v>9.7040720836865013</v>
      </c>
      <c r="JB26">
        <v>10.904691303298593</v>
      </c>
      <c r="JC26">
        <v>0</v>
      </c>
      <c r="JD26">
        <v>14.267525090189851</v>
      </c>
      <c r="JE26">
        <v>15.793970212524426</v>
      </c>
      <c r="JF26">
        <v>9.6597232631468888</v>
      </c>
      <c r="JG26">
        <v>10.852440723247881</v>
      </c>
      <c r="JH26">
        <v>0</v>
      </c>
      <c r="JI26">
        <v>14.134316624125791</v>
      </c>
      <c r="JJ26">
        <v>15.640671388393887</v>
      </c>
      <c r="JK26">
        <v>9.5660667240045214</v>
      </c>
      <c r="JL26">
        <v>10.741949077171432</v>
      </c>
      <c r="JM26">
        <v>0</v>
      </c>
      <c r="JN26">
        <v>7.5665951731274674</v>
      </c>
      <c r="JO26">
        <v>8.8445319302799046</v>
      </c>
      <c r="JP26">
        <v>6.4343157997545903</v>
      </c>
      <c r="JQ26">
        <v>7.4745639056914639</v>
      </c>
      <c r="JR26">
        <v>0</v>
      </c>
      <c r="JS26">
        <v>9.7934297590209312</v>
      </c>
      <c r="JT26">
        <v>11.390523255792777</v>
      </c>
      <c r="JU26">
        <v>7.7907027896773977</v>
      </c>
      <c r="JV26">
        <v>8.8986919469443713</v>
      </c>
      <c r="JW26">
        <v>0</v>
      </c>
      <c r="JX26">
        <v>12.471364993687176</v>
      </c>
      <c r="JY26">
        <v>14.164853707898082</v>
      </c>
      <c r="JZ26">
        <v>8.954795673519806</v>
      </c>
      <c r="KA26">
        <v>10.331073557943139</v>
      </c>
      <c r="KB26">
        <v>0</v>
      </c>
      <c r="KC26">
        <v>16.167386123958032</v>
      </c>
      <c r="KD26">
        <v>17.731852138690368</v>
      </c>
      <c r="KE26">
        <v>10.527846185385366</v>
      </c>
      <c r="KF26">
        <v>11.768757563616411</v>
      </c>
      <c r="KG26">
        <v>0</v>
      </c>
      <c r="KH26">
        <v>18.142052744182639</v>
      </c>
      <c r="KI26">
        <v>19.568775271223483</v>
      </c>
      <c r="KJ26">
        <v>12.690601818213292</v>
      </c>
      <c r="KK26">
        <v>14.008799408419412</v>
      </c>
      <c r="KL26">
        <v>0</v>
      </c>
      <c r="KM26">
        <v>14.942063089265231</v>
      </c>
      <c r="KN26">
        <v>16.105250968452388</v>
      </c>
      <c r="KO26">
        <v>10.202310881264362</v>
      </c>
      <c r="KP26">
        <v>10.963245745734055</v>
      </c>
      <c r="KQ26">
        <v>0</v>
      </c>
      <c r="KR26">
        <v>14.942063151885248</v>
      </c>
      <c r="KS26">
        <v>16.105250968452388</v>
      </c>
      <c r="KT26">
        <v>10.202310920009994</v>
      </c>
      <c r="KU26">
        <v>10.963245745734055</v>
      </c>
      <c r="KV26">
        <v>0</v>
      </c>
      <c r="KW26">
        <v>14.580730237812769</v>
      </c>
      <c r="KX26">
        <v>16.105250968452388</v>
      </c>
      <c r="KY26">
        <v>10.063006223634657</v>
      </c>
      <c r="KZ26">
        <v>10.963245745734055</v>
      </c>
      <c r="LA26">
        <v>0</v>
      </c>
      <c r="LB26">
        <v>14.058655743307323</v>
      </c>
      <c r="LC26">
        <v>16.105250968452388</v>
      </c>
      <c r="LD26">
        <v>9.647523312030831</v>
      </c>
      <c r="LE26">
        <v>10.963245745734055</v>
      </c>
      <c r="LF26">
        <v>0</v>
      </c>
      <c r="LG26">
        <v>13.91838555369797</v>
      </c>
      <c r="LH26">
        <v>16.105250968452388</v>
      </c>
      <c r="LI26">
        <v>9.5521923886928963</v>
      </c>
      <c r="LJ26">
        <v>10.963245745734055</v>
      </c>
      <c r="LK26">
        <v>0</v>
      </c>
      <c r="LL26">
        <v>15.055181225302194</v>
      </c>
      <c r="LM26">
        <v>16.105250968452388</v>
      </c>
      <c r="LN26">
        <v>10.477862730950099</v>
      </c>
      <c r="LO26">
        <v>10.963245745734055</v>
      </c>
      <c r="LP26">
        <v>0</v>
      </c>
      <c r="LQ26">
        <v>14.045448936679309</v>
      </c>
      <c r="LR26">
        <v>15.745377295616169</v>
      </c>
      <c r="LS26">
        <v>9.5417868320190955</v>
      </c>
      <c r="LT26">
        <v>10.738472320906341</v>
      </c>
      <c r="LU26">
        <v>0</v>
      </c>
      <c r="LV26">
        <v>13.686757248244497</v>
      </c>
      <c r="LW26">
        <v>15.381626610912633</v>
      </c>
      <c r="LX26">
        <v>9.3291912758496238</v>
      </c>
      <c r="LY26">
        <v>10.51346137940995</v>
      </c>
      <c r="LZ26">
        <v>0</v>
      </c>
      <c r="MA26">
        <v>13.486798127883056</v>
      </c>
      <c r="MB26">
        <v>15.013985339093445</v>
      </c>
      <c r="MC26">
        <v>9.116696427921239</v>
      </c>
      <c r="MD26">
        <v>10.494305015749427</v>
      </c>
      <c r="ME26">
        <v>0</v>
      </c>
      <c r="MF26">
        <v>5.6044861486745505</v>
      </c>
      <c r="MG26">
        <v>6.9462645496206727</v>
      </c>
      <c r="MH26">
        <v>5.4583996339557386</v>
      </c>
      <c r="MI26">
        <v>6.4349674592131096</v>
      </c>
      <c r="MJ26">
        <v>0</v>
      </c>
      <c r="MK26">
        <v>18.331596593156799</v>
      </c>
      <c r="ML26">
        <v>19.764719161431486</v>
      </c>
      <c r="MM26">
        <v>15.339089214903066</v>
      </c>
      <c r="MN26">
        <v>16.884317789453817</v>
      </c>
      <c r="MO26">
        <v>0</v>
      </c>
      <c r="MP26">
        <v>13.708579838950918</v>
      </c>
      <c r="MQ26">
        <v>14.985894756291545</v>
      </c>
      <c r="MR26">
        <v>9.4118409107529484</v>
      </c>
      <c r="MS26">
        <v>10.169192374672674</v>
      </c>
      <c r="MT26">
        <v>0</v>
      </c>
      <c r="MU26">
        <v>13.738088791081326</v>
      </c>
      <c r="MV26">
        <v>14.840736966922579</v>
      </c>
      <c r="MW26">
        <v>9.3239972449868862</v>
      </c>
      <c r="MX26">
        <v>10.065344685914644</v>
      </c>
      <c r="MY26">
        <v>0</v>
      </c>
      <c r="MZ26">
        <v>13.603762680710952</v>
      </c>
      <c r="NA26">
        <v>14.683350598322455</v>
      </c>
      <c r="NB26">
        <v>9.2328808130622395</v>
      </c>
      <c r="NC26">
        <v>9.9566599162088689</v>
      </c>
      <c r="ND26">
        <v>0</v>
      </c>
      <c r="NE26">
        <v>14.808764918686895</v>
      </c>
      <c r="NF26">
        <v>16.759805618617055</v>
      </c>
      <c r="NG26">
        <v>10.233357477236986</v>
      </c>
      <c r="NH26">
        <v>11.702476059138961</v>
      </c>
      <c r="NI26">
        <v>0</v>
      </c>
      <c r="NJ26">
        <v>14.945583326192157</v>
      </c>
      <c r="NK26">
        <v>16.912917236653811</v>
      </c>
      <c r="NL26">
        <v>10.332798341267161</v>
      </c>
      <c r="NM26">
        <v>11.816495973073012</v>
      </c>
      <c r="NN26">
        <v>0</v>
      </c>
      <c r="NO26">
        <v>15.082801635891824</v>
      </c>
      <c r="NP26">
        <v>17.065775743748851</v>
      </c>
      <c r="NQ26">
        <v>10.630991127710292</v>
      </c>
      <c r="NR26">
        <v>12.140543545770477</v>
      </c>
      <c r="NS26">
        <v>0</v>
      </c>
      <c r="NT26">
        <v>15.055181044796031</v>
      </c>
      <c r="NU26">
        <v>16.10525093921628</v>
      </c>
      <c r="NV26">
        <v>10.477862496763041</v>
      </c>
      <c r="NW26">
        <v>10.963245740645087</v>
      </c>
      <c r="NX26">
        <v>0</v>
      </c>
      <c r="NY26">
        <v>13.853767580957882</v>
      </c>
      <c r="NZ26">
        <v>16.105249470144546</v>
      </c>
      <c r="OA26">
        <v>9.50848935831708</v>
      </c>
      <c r="OB26">
        <v>10.963245542801145</v>
      </c>
      <c r="OC26">
        <v>0</v>
      </c>
      <c r="OD26">
        <v>13.420386297680389</v>
      </c>
      <c r="OE26">
        <v>16.105250929938745</v>
      </c>
      <c r="OF26">
        <v>9.1328576836527287</v>
      </c>
      <c r="OG26">
        <v>10.963245737586542</v>
      </c>
      <c r="OH26">
        <v>0</v>
      </c>
      <c r="OI26">
        <v>14.068132748870209</v>
      </c>
      <c r="OJ26">
        <v>15.564128426409413</v>
      </c>
      <c r="OK26">
        <v>9.5196842489001678</v>
      </c>
      <c r="OL26">
        <v>10.686818116354715</v>
      </c>
      <c r="OM26">
        <v>0</v>
      </c>
      <c r="ON26">
        <v>14.740539596328185</v>
      </c>
      <c r="OO26">
        <v>16.488559782343728</v>
      </c>
      <c r="OP26">
        <v>10.184071846895741</v>
      </c>
      <c r="OQ26">
        <v>11.645515529312714</v>
      </c>
      <c r="OR26">
        <v>0</v>
      </c>
      <c r="OS26">
        <v>14.571642716740131</v>
      </c>
      <c r="OT26">
        <v>16.460699249391393</v>
      </c>
      <c r="OU26">
        <v>10.153677006250119</v>
      </c>
      <c r="OV26">
        <v>11.187637967617343</v>
      </c>
      <c r="OW26">
        <v>0</v>
      </c>
      <c r="OX26">
        <v>14.922421873634987</v>
      </c>
      <c r="OY26">
        <v>16.659006284466539</v>
      </c>
      <c r="OZ26">
        <v>10.365814622733854</v>
      </c>
      <c r="PA26">
        <v>11.604412722211963</v>
      </c>
      <c r="PB26">
        <v>0</v>
      </c>
      <c r="PC26">
        <v>14.742642229420216</v>
      </c>
      <c r="PD26">
        <v>16.478067478215255</v>
      </c>
      <c r="PE26">
        <v>10.161836111495399</v>
      </c>
      <c r="PF26">
        <v>11.391305790497036</v>
      </c>
      <c r="PG26">
        <v>0</v>
      </c>
      <c r="PH26">
        <v>13.866404567650969</v>
      </c>
      <c r="PI26">
        <v>15.563981543934087</v>
      </c>
      <c r="PJ26">
        <v>9.5289285235079504</v>
      </c>
      <c r="PK26">
        <v>10.723578942239532</v>
      </c>
      <c r="PL26">
        <v>0</v>
      </c>
      <c r="PM26" s="23">
        <v>8.692166736854201</v>
      </c>
      <c r="PN26" s="23">
        <v>10.043908258301512</v>
      </c>
      <c r="PO26" s="23">
        <v>7.0136405137118869</v>
      </c>
      <c r="PP26" s="23">
        <v>8.0887850490488944</v>
      </c>
      <c r="PQ26">
        <v>0</v>
      </c>
      <c r="PR26">
        <v>4.793704946275227</v>
      </c>
      <c r="PS26">
        <v>5.8505571034404982</v>
      </c>
      <c r="PT26">
        <v>5.0601616437812469</v>
      </c>
      <c r="PU26">
        <v>5.7813525102615388</v>
      </c>
      <c r="PV26">
        <v>0</v>
      </c>
      <c r="PW26">
        <v>18.147933026121681</v>
      </c>
      <c r="PX26">
        <v>19.756674618991649</v>
      </c>
      <c r="PY26">
        <v>14.371419763298455</v>
      </c>
      <c r="PZ26">
        <v>15.726063429679755</v>
      </c>
      <c r="QA26">
        <v>0</v>
      </c>
      <c r="QB26" s="23">
        <v>18.559576503338256</v>
      </c>
      <c r="QC26" s="23">
        <v>20.00122977345114</v>
      </c>
      <c r="QD26" s="23">
        <v>19.657048211246909</v>
      </c>
      <c r="QE26" s="23">
        <v>20.87474372490415</v>
      </c>
    </row>
    <row r="27" spans="1:447" x14ac:dyDescent="0.15">
      <c r="A27" s="23" t="s">
        <v>145</v>
      </c>
      <c r="B27">
        <f>FixedParams!$B$9</f>
        <v>13.8188508</v>
      </c>
      <c r="C27" s="23">
        <f>Sectors!$AG$15-C26-C28</f>
        <v>2.8104888709978919</v>
      </c>
      <c r="D27" s="23">
        <f>Sectors!$BR$15-D26-D28</f>
        <v>2.76956094632021</v>
      </c>
      <c r="E27" s="23">
        <f>Sectors!$BA$15-E26-E28</f>
        <v>7.6991011418787334</v>
      </c>
      <c r="F27" s="23">
        <f>Sectors!$CL$15-F26-F28</f>
        <v>8.1234021984807221</v>
      </c>
      <c r="H27">
        <v>13.8188508</v>
      </c>
      <c r="I27" s="23">
        <v>2.8104946788840461</v>
      </c>
      <c r="J27" s="23">
        <v>2.7695609940946539</v>
      </c>
      <c r="K27" s="23">
        <v>4.7331786859202953</v>
      </c>
      <c r="L27" s="23">
        <v>4.9074353966928967</v>
      </c>
      <c r="M27">
        <v>13.8188508</v>
      </c>
      <c r="N27" s="23">
        <v>3.6001844906957317</v>
      </c>
      <c r="O27" s="23">
        <v>3.7426848200815783</v>
      </c>
      <c r="P27" s="23">
        <v>5.4986094794114155</v>
      </c>
      <c r="Q27" s="23">
        <v>5.7358594606447362</v>
      </c>
      <c r="R27">
        <v>13.8188508</v>
      </c>
      <c r="S27" s="23">
        <v>4.4346894546966737</v>
      </c>
      <c r="T27" s="23">
        <v>4.5036464566507561</v>
      </c>
      <c r="U27" s="23">
        <v>6.306628858726139</v>
      </c>
      <c r="V27" s="23">
        <v>6.6053160348277284</v>
      </c>
      <c r="W27">
        <v>13.8188508</v>
      </c>
      <c r="X27" s="23">
        <v>5.1836357731731688</v>
      </c>
      <c r="Y27" s="23">
        <v>5.4480336637661466</v>
      </c>
      <c r="Z27" s="23">
        <v>7.0016883234671781</v>
      </c>
      <c r="AA27" s="23">
        <v>7.350205085077743</v>
      </c>
      <c r="AB27">
        <v>13.8188508</v>
      </c>
      <c r="AC27" s="23">
        <v>5.8232893749239913</v>
      </c>
      <c r="AD27" s="23">
        <v>6.1333982120971271</v>
      </c>
      <c r="AE27" s="23">
        <v>7.69922943223734</v>
      </c>
      <c r="AF27" s="23">
        <v>8.1234022348957104</v>
      </c>
      <c r="AG27">
        <v>13.8188508</v>
      </c>
      <c r="AH27" s="23">
        <v>6.4773716278236755</v>
      </c>
      <c r="AI27" s="23">
        <v>6.994641569514684</v>
      </c>
      <c r="AJ27" s="23">
        <v>8.3134998731966618</v>
      </c>
      <c r="AK27" s="23">
        <v>8.7405734348684483</v>
      </c>
      <c r="AL27">
        <v>13.8188508</v>
      </c>
      <c r="AM27" s="23">
        <v>6.9864034465509164</v>
      </c>
      <c r="AN27" s="23">
        <v>7.5307660800735299</v>
      </c>
      <c r="AO27" s="23">
        <v>8.9086162855724105</v>
      </c>
      <c r="AP27" s="23">
        <v>9.5487283297220031</v>
      </c>
      <c r="AQ27">
        <v>13.8188508</v>
      </c>
      <c r="AR27" s="23">
        <v>7.0299590252866047</v>
      </c>
      <c r="AS27" s="23">
        <v>7.5383359516999278</v>
      </c>
      <c r="AT27" s="23">
        <v>9.5160720587847365</v>
      </c>
      <c r="AU27" s="23">
        <v>10.186867531415864</v>
      </c>
      <c r="AV27">
        <v>13.8188508</v>
      </c>
      <c r="AW27" s="23">
        <v>7.0730277079860713</v>
      </c>
      <c r="AX27" s="23">
        <v>7.545394220069138</v>
      </c>
      <c r="AY27" s="23">
        <v>10.118981539585626</v>
      </c>
      <c r="AZ27" s="23">
        <v>10.636827336006871</v>
      </c>
      <c r="BA27">
        <v>13.8188508</v>
      </c>
      <c r="BB27" s="23">
        <v>7.1156404807575946</v>
      </c>
      <c r="BC27" s="23">
        <v>7.5519720169234503</v>
      </c>
      <c r="BD27" s="23">
        <v>10.175488845579736</v>
      </c>
      <c r="BE27" s="23">
        <v>10.820992980277438</v>
      </c>
      <c r="BF27">
        <v>13.8188508</v>
      </c>
      <c r="BG27" s="23">
        <v>7.1577439348808873</v>
      </c>
      <c r="BH27" s="23">
        <v>7.5580585500834765</v>
      </c>
      <c r="BI27" s="23">
        <v>10.23185515468283</v>
      </c>
      <c r="BJ27" s="23">
        <v>10.824776475877197</v>
      </c>
      <c r="BK27">
        <v>13.8188508</v>
      </c>
      <c r="BL27" s="23">
        <v>7.4757212496402872</v>
      </c>
      <c r="BM27" s="23">
        <v>7.7382904231207341</v>
      </c>
      <c r="BN27" s="23">
        <v>10.454446166811312</v>
      </c>
      <c r="BO27" s="23">
        <v>10.837228427830553</v>
      </c>
      <c r="BP27">
        <v>13.8188508</v>
      </c>
      <c r="BQ27" s="23">
        <v>7.6394832687975267</v>
      </c>
      <c r="BR27" s="23">
        <v>7.7519852073443722</v>
      </c>
      <c r="BS27" s="23">
        <v>10.67506865740636</v>
      </c>
      <c r="BT27" s="23">
        <v>10.845692391520398</v>
      </c>
      <c r="BU27">
        <v>13.8188508</v>
      </c>
      <c r="BV27" s="23">
        <v>5.6832089632339695</v>
      </c>
      <c r="BW27" s="23">
        <v>5.9993663992069459</v>
      </c>
      <c r="BX27" s="23">
        <v>6.5885834760097026</v>
      </c>
      <c r="BY27" s="23">
        <v>6.7624049787964822</v>
      </c>
      <c r="BZ27">
        <v>13.8188508</v>
      </c>
      <c r="CA27" s="23">
        <v>6.5031371426372262</v>
      </c>
      <c r="CB27" s="23">
        <v>6.7306597419864724</v>
      </c>
      <c r="CC27" s="23">
        <v>7.3044327955804231</v>
      </c>
      <c r="CD27" s="23">
        <v>7.5143960464965653</v>
      </c>
      <c r="CE27">
        <v>13.8188508</v>
      </c>
      <c r="CF27" s="23">
        <v>7.2077198079709595</v>
      </c>
      <c r="CG27" s="23">
        <v>7.4813945742431862</v>
      </c>
      <c r="CH27" s="23">
        <v>7.901102284165626</v>
      </c>
      <c r="CI27" s="23">
        <v>8.3068828394047962</v>
      </c>
      <c r="CJ27">
        <v>13.8188508</v>
      </c>
      <c r="CK27" s="23">
        <v>7.7931152316217229</v>
      </c>
      <c r="CL27" s="23">
        <v>8.2672068212904826</v>
      </c>
      <c r="CM27" s="23">
        <v>8.6588928070857207</v>
      </c>
      <c r="CN27" s="23">
        <v>8.9626842785865009</v>
      </c>
      <c r="CO27">
        <v>13.8188508</v>
      </c>
      <c r="CP27" s="23">
        <v>8.5539951334641966</v>
      </c>
      <c r="CQ27" s="23">
        <v>8.9163463622514456</v>
      </c>
      <c r="CR27" s="23">
        <v>9.3003502412948542</v>
      </c>
      <c r="CS27" s="23">
        <v>9.6323788683466383</v>
      </c>
      <c r="CT27">
        <v>13.8188508</v>
      </c>
      <c r="CU27" s="23">
        <v>9.1745870115329264</v>
      </c>
      <c r="CV27" s="23">
        <v>9.5728692999655927</v>
      </c>
      <c r="CW27" s="23">
        <v>9.9545828255522544</v>
      </c>
      <c r="CX27" s="23">
        <v>10.323952842628222</v>
      </c>
      <c r="CY27">
        <v>13.8188508</v>
      </c>
      <c r="CZ27" s="23">
        <v>9.8095058542079201</v>
      </c>
      <c r="DA27" s="23">
        <v>10.232225483973068</v>
      </c>
      <c r="DB27" s="23">
        <v>10.454804341253903</v>
      </c>
      <c r="DC27" s="23">
        <v>11.021835503899698</v>
      </c>
      <c r="DD27">
        <v>13.8188508</v>
      </c>
      <c r="DE27" s="23">
        <v>10.283156382186192</v>
      </c>
      <c r="DF27" s="23">
        <v>10.908573941053676</v>
      </c>
      <c r="DG27" s="23">
        <v>11.130045430630098</v>
      </c>
      <c r="DH27" s="23">
        <v>11.551955163578429</v>
      </c>
      <c r="DI27">
        <v>13.8188508</v>
      </c>
      <c r="DJ27" s="23">
        <v>10.929245517604404</v>
      </c>
      <c r="DK27" s="23">
        <v>11.583843468677031</v>
      </c>
      <c r="DL27" s="23">
        <v>11.645729910616215</v>
      </c>
      <c r="DM27" s="23">
        <v>12.265231060946276</v>
      </c>
      <c r="DN27">
        <v>13.8188508</v>
      </c>
      <c r="DO27" s="23">
        <v>11.664870342180912</v>
      </c>
      <c r="DP27" s="23">
        <v>12.298000559471287</v>
      </c>
      <c r="DQ27" s="23">
        <v>12.844037259298073</v>
      </c>
      <c r="DR27" s="23">
        <v>13.301777315703394</v>
      </c>
      <c r="DS27">
        <v>13.8188508</v>
      </c>
      <c r="DT27" s="23">
        <v>11.913324410513209</v>
      </c>
      <c r="DU27" s="23">
        <v>12.306011119445575</v>
      </c>
      <c r="DV27" s="23">
        <v>13.556791449299684</v>
      </c>
      <c r="DW27" s="23">
        <v>13.813030354962926</v>
      </c>
      <c r="DX27">
        <v>13.8188508</v>
      </c>
      <c r="DY27" s="23">
        <v>12.161763274915124</v>
      </c>
      <c r="DZ27" s="23">
        <v>12.31189721577319</v>
      </c>
      <c r="EA27" s="23">
        <v>13.66107368302384</v>
      </c>
      <c r="EB27" s="23">
        <v>13.816915349897247</v>
      </c>
      <c r="EC27">
        <v>13.8188508</v>
      </c>
      <c r="ED27" s="23">
        <v>2.7794182947285258</v>
      </c>
      <c r="EE27" s="23">
        <v>2.8531588470289257</v>
      </c>
      <c r="EF27" s="23">
        <v>4.7230356592599136</v>
      </c>
      <c r="EG27" s="23">
        <v>4.8967155714366353</v>
      </c>
      <c r="EH27">
        <v>13.8188508</v>
      </c>
      <c r="EI27" s="23">
        <v>3.5540077109035977</v>
      </c>
      <c r="EJ27" s="23">
        <v>3.6793470822961396</v>
      </c>
      <c r="EK27" s="23">
        <v>5.4796776920557679</v>
      </c>
      <c r="EL27" s="23">
        <v>5.7052767166749803</v>
      </c>
      <c r="EM27">
        <v>13.8188508</v>
      </c>
      <c r="EN27" s="23">
        <v>4.3739273341720271</v>
      </c>
      <c r="EO27" s="23">
        <v>4.5572447860516547</v>
      </c>
      <c r="EP27" s="23">
        <v>6.2745881153386875</v>
      </c>
      <c r="EQ27" s="23">
        <v>6.5501177539838764</v>
      </c>
      <c r="ER27">
        <v>13.8188508</v>
      </c>
      <c r="ES27" s="23">
        <v>5.1029992293729833</v>
      </c>
      <c r="ET27" s="23">
        <v>5.338642259977977</v>
      </c>
      <c r="EU27" s="23">
        <v>6.9548088666965029</v>
      </c>
      <c r="EV27" s="23">
        <v>7.2793352883388316</v>
      </c>
      <c r="EW27">
        <v>13.8188508</v>
      </c>
      <c r="EX27" s="23">
        <v>5.4350150114477351</v>
      </c>
      <c r="EY27" s="23">
        <v>5.8304956646709094</v>
      </c>
      <c r="EZ27" s="23">
        <v>7.657421072034559</v>
      </c>
      <c r="FA27" s="23">
        <v>8.0249161430546891</v>
      </c>
      <c r="FB27">
        <v>13.8188508</v>
      </c>
      <c r="FC27" s="23">
        <v>5.6243054082139494</v>
      </c>
      <c r="FD27" s="23">
        <v>6.0110899198426218</v>
      </c>
      <c r="FE27" s="23">
        <v>8.2251682524032397</v>
      </c>
      <c r="FF27" s="23">
        <v>8.6194463894645494</v>
      </c>
      <c r="FG27">
        <v>13.8188508</v>
      </c>
      <c r="FH27" s="23">
        <v>5.8161726093726642</v>
      </c>
      <c r="FI27" s="23">
        <v>6.1930422611039972</v>
      </c>
      <c r="FJ27" s="23">
        <v>8.6307101961778123</v>
      </c>
      <c r="FK27" s="23">
        <v>9.2031332030913262</v>
      </c>
      <c r="FL27">
        <v>13.8188508</v>
      </c>
      <c r="FM27" s="23">
        <v>6.0105958758036486</v>
      </c>
      <c r="FN27" s="23">
        <v>6.3763345294484353</v>
      </c>
      <c r="FO27" s="23">
        <v>8.8581804914718454</v>
      </c>
      <c r="FP27" s="23">
        <v>9.4091161871332432</v>
      </c>
      <c r="FQ27">
        <v>13.8188508</v>
      </c>
      <c r="FR27" s="23">
        <v>6.2076511053929693</v>
      </c>
      <c r="FS27" s="23">
        <v>6.5609534711577062</v>
      </c>
      <c r="FT27" s="23">
        <v>8.9328017187644875</v>
      </c>
      <c r="FU27" s="23">
        <v>9.4486041308097413</v>
      </c>
      <c r="FV27">
        <v>13.8188508</v>
      </c>
      <c r="FW27" s="23">
        <v>6.6096178746317555</v>
      </c>
      <c r="FX27" s="23">
        <v>6.9340818635128514</v>
      </c>
      <c r="FY27" s="23">
        <v>9.3967698322291184</v>
      </c>
      <c r="FZ27" s="23">
        <v>9.6941319543827724</v>
      </c>
      <c r="GA27">
        <v>13.8188508</v>
      </c>
      <c r="GB27" s="23">
        <v>7.2930541858066036</v>
      </c>
      <c r="GC27" s="23">
        <v>7.5359606581467702</v>
      </c>
      <c r="GD27" s="23">
        <v>10.02764409458344</v>
      </c>
      <c r="GE27" s="23">
        <v>10.357679040120583</v>
      </c>
      <c r="GF27">
        <v>13.8188508</v>
      </c>
      <c r="GG27" s="23">
        <v>7.8490530937040006</v>
      </c>
      <c r="GH27" s="23">
        <v>7.9862615847844936</v>
      </c>
      <c r="GI27" s="23">
        <v>10.678655480838142</v>
      </c>
      <c r="GJ27" s="23">
        <v>10.85490213029518</v>
      </c>
      <c r="GK27">
        <v>13.8188508</v>
      </c>
      <c r="GL27" s="23">
        <v>2.8104878087382197</v>
      </c>
      <c r="GM27" s="23">
        <v>2.769560987573298</v>
      </c>
      <c r="GN27" s="23">
        <v>7.69922943223734</v>
      </c>
      <c r="GO27" s="23">
        <v>8.1234022348957087</v>
      </c>
      <c r="GP27">
        <v>13.8188508</v>
      </c>
      <c r="GQ27" s="23">
        <v>2.8509185311308265</v>
      </c>
      <c r="GR27" s="23">
        <v>2.8264470329818572</v>
      </c>
      <c r="GS27" s="23">
        <v>7.6867984663632356</v>
      </c>
      <c r="GT27" s="23">
        <v>8.1618768762092877</v>
      </c>
      <c r="GU27">
        <v>13.8188508</v>
      </c>
      <c r="GV27" s="23">
        <v>2.448419390952866</v>
      </c>
      <c r="GW27" s="23">
        <v>2.3282795565196857</v>
      </c>
      <c r="GX27" s="23">
        <v>7.5262296695834152</v>
      </c>
      <c r="GY27" s="23">
        <v>7.8290431021614673</v>
      </c>
      <c r="GZ27">
        <v>13.8188508</v>
      </c>
      <c r="HA27" s="23">
        <v>2.4254487910454188</v>
      </c>
      <c r="HB27" s="23">
        <v>2.4206707177307791</v>
      </c>
      <c r="HC27" s="23">
        <v>7.5878092526107022</v>
      </c>
      <c r="HD27" s="23">
        <v>7.8549861037539763</v>
      </c>
      <c r="HE27">
        <v>13.8188508</v>
      </c>
      <c r="HF27" s="23">
        <v>5.6864386931932493</v>
      </c>
      <c r="HG27" s="23">
        <v>5.8401419789392932</v>
      </c>
      <c r="HH27" s="23">
        <v>7.5534363905306883</v>
      </c>
      <c r="HI27" s="23">
        <v>7.82904316844348</v>
      </c>
      <c r="HJ27">
        <v>13.8188508</v>
      </c>
      <c r="HK27" s="23">
        <v>7.2177934024665866</v>
      </c>
      <c r="HL27" s="23">
        <v>7.7714499869728719</v>
      </c>
      <c r="HM27" s="23">
        <v>9.612181725530343</v>
      </c>
      <c r="HN27" s="23">
        <v>10.411254938588495</v>
      </c>
      <c r="HO27">
        <v>13.8188508</v>
      </c>
      <c r="HP27">
        <v>5.4415843860626243</v>
      </c>
      <c r="HQ27">
        <v>5.7762671451323193</v>
      </c>
      <c r="HR27">
        <v>8.8212600739037299</v>
      </c>
      <c r="HS27">
        <v>9.3680953589650464</v>
      </c>
      <c r="HT27">
        <v>13.8188508</v>
      </c>
      <c r="HU27">
        <v>3.3435387597511088</v>
      </c>
      <c r="HV27">
        <v>3.3432784919743952</v>
      </c>
      <c r="HW27">
        <v>7.8683847863540333</v>
      </c>
      <c r="HX27">
        <v>8.3106825129036501</v>
      </c>
      <c r="HY27">
        <v>13.8188508</v>
      </c>
      <c r="HZ27">
        <v>0</v>
      </c>
      <c r="IA27">
        <v>0</v>
      </c>
      <c r="IB27">
        <v>6.115521072027164</v>
      </c>
      <c r="IC27">
        <v>6.3860690931526012</v>
      </c>
      <c r="ID27">
        <v>13.8188508</v>
      </c>
      <c r="IE27">
        <v>2.8014731025219053</v>
      </c>
      <c r="IF27">
        <v>2.7604139852107519</v>
      </c>
      <c r="IG27">
        <v>7.6840780483754632</v>
      </c>
      <c r="IH27">
        <v>8.1071269269648543</v>
      </c>
      <c r="II27">
        <v>13.8188508</v>
      </c>
      <c r="IJ27">
        <v>2.792408663850674</v>
      </c>
      <c r="IK27">
        <v>2.7512568905131154</v>
      </c>
      <c r="IL27">
        <v>7.5191476194687201</v>
      </c>
      <c r="IM27">
        <v>8.081335976401899</v>
      </c>
      <c r="IN27">
        <v>13.8188508</v>
      </c>
      <c r="IO27" s="86">
        <v>2.7847472259837094</v>
      </c>
      <c r="IP27">
        <v>2.741992284549907</v>
      </c>
      <c r="IQ27">
        <v>7.5074254621815832</v>
      </c>
      <c r="IR27">
        <v>8.064414383883161</v>
      </c>
      <c r="IS27">
        <v>13.8188508</v>
      </c>
      <c r="IT27">
        <v>2.7741133868307362</v>
      </c>
      <c r="IU27">
        <v>2.7328614326119745</v>
      </c>
      <c r="IV27">
        <v>7.4891825866921273</v>
      </c>
      <c r="IW27">
        <v>7.8834491451675852</v>
      </c>
      <c r="IX27">
        <v>13.8188508</v>
      </c>
      <c r="IY27">
        <v>2.8239223586346167</v>
      </c>
      <c r="IZ27">
        <v>2.9081984435865138</v>
      </c>
      <c r="JA27">
        <v>7.7166365193359781</v>
      </c>
      <c r="JB27">
        <v>8.1427301994777057</v>
      </c>
      <c r="JC27">
        <v>13.8188508</v>
      </c>
      <c r="JD27">
        <v>2.8283329969465871</v>
      </c>
      <c r="JE27">
        <v>2.9158111526734398</v>
      </c>
      <c r="JF27">
        <v>7.7289467157717056</v>
      </c>
      <c r="JG27">
        <v>8.1560726598010529</v>
      </c>
      <c r="JH27">
        <v>13.8188508</v>
      </c>
      <c r="JI27">
        <v>2.8459169601118823</v>
      </c>
      <c r="JJ27">
        <v>2.9346379011978314</v>
      </c>
      <c r="JK27">
        <v>7.7585996526037881</v>
      </c>
      <c r="JL27">
        <v>8.1887627161155212</v>
      </c>
      <c r="JM27">
        <v>13.8188508</v>
      </c>
      <c r="JN27">
        <v>7.7709225473027992</v>
      </c>
      <c r="JO27">
        <v>8.5435742727507353</v>
      </c>
      <c r="JP27">
        <v>10.076330877245399</v>
      </c>
      <c r="JQ27">
        <v>10.932340173802341</v>
      </c>
      <c r="JR27">
        <v>13.8188508</v>
      </c>
      <c r="JS27">
        <v>6.1149266864760055</v>
      </c>
      <c r="JT27">
        <v>6.5247044873448612</v>
      </c>
      <c r="JU27">
        <v>9.1338371213646674</v>
      </c>
      <c r="JV27">
        <v>9.7156317309223397</v>
      </c>
      <c r="JW27">
        <v>13.8188508</v>
      </c>
      <c r="JX27">
        <v>4.1174969097193745</v>
      </c>
      <c r="JY27">
        <v>4.3174184787777286</v>
      </c>
      <c r="JZ27">
        <v>8.1923032217267604</v>
      </c>
      <c r="KA27">
        <v>8.6611595088971463</v>
      </c>
      <c r="KB27">
        <v>13.8188508</v>
      </c>
      <c r="KC27">
        <v>1.4824896437299593</v>
      </c>
      <c r="KD27">
        <v>1.4669951834416519</v>
      </c>
      <c r="KE27">
        <v>7.0759861590681474</v>
      </c>
      <c r="KF27">
        <v>7.4382802710035829</v>
      </c>
      <c r="KG27">
        <v>13.8188508</v>
      </c>
      <c r="KH27">
        <v>0</v>
      </c>
      <c r="KI27">
        <v>0</v>
      </c>
      <c r="KJ27">
        <v>5.4835320213281911</v>
      </c>
      <c r="KK27">
        <v>5.6982178275617095</v>
      </c>
      <c r="KL27">
        <v>13.8188508</v>
      </c>
      <c r="KM27">
        <v>2.7597386854853081</v>
      </c>
      <c r="KN27">
        <v>2.7695609532313483</v>
      </c>
      <c r="KO27">
        <v>7.7356996218386538</v>
      </c>
      <c r="KP27">
        <v>8.1234021135148105</v>
      </c>
      <c r="KQ27">
        <v>13.8188508</v>
      </c>
      <c r="KR27">
        <v>2.759738708507891</v>
      </c>
      <c r="KS27">
        <v>2.7695609532313483</v>
      </c>
      <c r="KT27">
        <v>7.7356996831370317</v>
      </c>
      <c r="KU27">
        <v>8.1234021135148105</v>
      </c>
      <c r="KV27">
        <v>13.8188508</v>
      </c>
      <c r="KW27">
        <v>2.8433367608818454</v>
      </c>
      <c r="KX27">
        <v>2.7695609532313483</v>
      </c>
      <c r="KY27">
        <v>7.6360966610553991</v>
      </c>
      <c r="KZ27">
        <v>8.1234021135148105</v>
      </c>
      <c r="LA27">
        <v>13.8188508</v>
      </c>
      <c r="LB27">
        <v>2.783877923964166</v>
      </c>
      <c r="LC27">
        <v>2.7695609532313483</v>
      </c>
      <c r="LD27">
        <v>7.6195663781811458</v>
      </c>
      <c r="LE27">
        <v>8.1234021135148105</v>
      </c>
      <c r="LF27">
        <v>13.8188508</v>
      </c>
      <c r="LG27">
        <v>2.7577430836695687</v>
      </c>
      <c r="LH27">
        <v>2.7695609532313483</v>
      </c>
      <c r="LI27">
        <v>7.5486511441394359</v>
      </c>
      <c r="LJ27">
        <v>8.1234021135148105</v>
      </c>
      <c r="LK27">
        <v>13.8188508</v>
      </c>
      <c r="LL27">
        <v>2.7793963602420444</v>
      </c>
      <c r="LM27">
        <v>2.7695609532313483</v>
      </c>
      <c r="LN27">
        <v>7.7835768593999077</v>
      </c>
      <c r="LO27">
        <v>8.1234021135148105</v>
      </c>
      <c r="LP27">
        <v>13.8188508</v>
      </c>
      <c r="LQ27">
        <v>3.050382345303392</v>
      </c>
      <c r="LR27">
        <v>3.0276830233548306</v>
      </c>
      <c r="LS27">
        <v>7.8603878675584546</v>
      </c>
      <c r="LT27">
        <v>8.2994169742855863</v>
      </c>
      <c r="LU27">
        <v>13.8188508</v>
      </c>
      <c r="LV27">
        <v>3.293844238523862</v>
      </c>
      <c r="LW27">
        <v>3.290221441955028</v>
      </c>
      <c r="LX27">
        <v>8.0228347702002107</v>
      </c>
      <c r="LY27">
        <v>8.4768408275045051</v>
      </c>
      <c r="LZ27">
        <v>13.8188508</v>
      </c>
      <c r="MA27">
        <v>3.4184155965208536</v>
      </c>
      <c r="MB27">
        <v>3.5571978800366626</v>
      </c>
      <c r="MC27">
        <v>8.1864478190483698</v>
      </c>
      <c r="MD27">
        <v>8.6457125803984454</v>
      </c>
      <c r="ME27">
        <v>13.8188508</v>
      </c>
      <c r="MF27">
        <v>9.083119804578601</v>
      </c>
      <c r="MG27">
        <v>9.8815362315641693</v>
      </c>
      <c r="MH27">
        <v>10.717190423757421</v>
      </c>
      <c r="MI27">
        <v>11.65637880099027</v>
      </c>
      <c r="MJ27">
        <v>13.8188508</v>
      </c>
      <c r="MK27">
        <v>0</v>
      </c>
      <c r="ML27">
        <v>0</v>
      </c>
      <c r="MM27">
        <v>3.3404176897685574</v>
      </c>
      <c r="MN27">
        <v>3.2400998552961298</v>
      </c>
      <c r="MO27">
        <v>13.8188508</v>
      </c>
      <c r="MP27">
        <v>2.9301036838075945</v>
      </c>
      <c r="MQ27">
        <v>3.03224630594225</v>
      </c>
      <c r="MR27">
        <v>7.6617033023537058</v>
      </c>
      <c r="MS27">
        <v>8.2597586736787445</v>
      </c>
      <c r="MT27">
        <v>13.8188508</v>
      </c>
      <c r="MU27">
        <v>2.8304449716762754</v>
      </c>
      <c r="MV27">
        <v>3.0535829462726607</v>
      </c>
      <c r="MW27">
        <v>7.6957921079900622</v>
      </c>
      <c r="MX27">
        <v>8.2975542360473398</v>
      </c>
      <c r="MY27">
        <v>13.8188508</v>
      </c>
      <c r="MZ27">
        <v>2.8440733534370999</v>
      </c>
      <c r="NA27">
        <v>3.0697290557235384</v>
      </c>
      <c r="NB27">
        <v>7.7183107918337814</v>
      </c>
      <c r="NC27">
        <v>8.3232400579954202</v>
      </c>
      <c r="ND27">
        <v>13.8188508</v>
      </c>
      <c r="NE27">
        <v>2.7556366229337055</v>
      </c>
      <c r="NF27">
        <v>2.7104040174481039</v>
      </c>
      <c r="NG27">
        <v>7.4591962732599804</v>
      </c>
      <c r="NH27">
        <v>7.8508645116212126</v>
      </c>
      <c r="NI27">
        <v>13.8188508</v>
      </c>
      <c r="NJ27">
        <v>2.7369752094826723</v>
      </c>
      <c r="NK27">
        <v>2.6916829244598794</v>
      </c>
      <c r="NL27">
        <v>7.4293674962174769</v>
      </c>
      <c r="NM27">
        <v>7.8179406401712672</v>
      </c>
      <c r="NN27">
        <v>13.8188508</v>
      </c>
      <c r="NO27">
        <v>2.7181463005149187</v>
      </c>
      <c r="NP27">
        <v>2.6728774918257816</v>
      </c>
      <c r="NQ27">
        <v>7.3903814605578919</v>
      </c>
      <c r="NR27">
        <v>7.7739630493685805</v>
      </c>
      <c r="NS27">
        <v>13.8188508</v>
      </c>
      <c r="NT27">
        <v>2.7793963162445223</v>
      </c>
      <c r="NU27">
        <v>2.7695609431781776</v>
      </c>
      <c r="NV27">
        <v>7.7835766969077493</v>
      </c>
      <c r="NW27">
        <v>8.123402090098077</v>
      </c>
      <c r="NX27">
        <v>13.8188508</v>
      </c>
      <c r="NY27">
        <v>2.7457006665302561</v>
      </c>
      <c r="NZ27">
        <v>2.7695600701562366</v>
      </c>
      <c r="OA27">
        <v>7.5160940144563551</v>
      </c>
      <c r="OB27">
        <v>8.1234017401068783</v>
      </c>
      <c r="OC27">
        <v>13.8188508</v>
      </c>
      <c r="OD27">
        <v>2.8063026247704848</v>
      </c>
      <c r="OE27">
        <v>2.7695609357568767</v>
      </c>
      <c r="OF27">
        <v>7.3803657075894922</v>
      </c>
      <c r="OG27">
        <v>8.1234020798377298</v>
      </c>
      <c r="OH27">
        <v>13.8188508</v>
      </c>
      <c r="OI27">
        <v>2.8546019380094556</v>
      </c>
      <c r="OJ27">
        <v>2.9440888556492801</v>
      </c>
      <c r="OK27">
        <v>7.7733494220098009</v>
      </c>
      <c r="OL27">
        <v>8.2051019640677438</v>
      </c>
      <c r="OM27">
        <v>13.8188508</v>
      </c>
      <c r="ON27">
        <v>2.764902014203324</v>
      </c>
      <c r="OO27">
        <v>2.7241212450478809</v>
      </c>
      <c r="OP27">
        <v>7.4742100442654476</v>
      </c>
      <c r="OQ27">
        <v>7.86717047256119</v>
      </c>
      <c r="OR27">
        <v>13.8188508</v>
      </c>
      <c r="OS27">
        <v>2.5767952877397722</v>
      </c>
      <c r="OT27">
        <v>2.5155933116027445</v>
      </c>
      <c r="OU27">
        <v>7.3897959611235979</v>
      </c>
      <c r="OV27">
        <v>7.9483888093885806</v>
      </c>
      <c r="OW27">
        <v>13.8188508</v>
      </c>
      <c r="OX27">
        <v>2.3434540629660461</v>
      </c>
      <c r="OY27">
        <v>2.3893910049891911</v>
      </c>
      <c r="OZ27">
        <v>7.2313807496850337</v>
      </c>
      <c r="PA27">
        <v>7.6117974667671628</v>
      </c>
      <c r="PB27">
        <v>13.8188508</v>
      </c>
      <c r="PC27">
        <v>2.4607584331706818</v>
      </c>
      <c r="PD27">
        <v>2.5158848393864908</v>
      </c>
      <c r="PE27">
        <v>7.3854267386511783</v>
      </c>
      <c r="PF27">
        <v>7.7808244461521046</v>
      </c>
      <c r="PG27">
        <v>13.8188508</v>
      </c>
      <c r="PH27">
        <v>3.1716649188231116</v>
      </c>
      <c r="PI27">
        <v>3.1583953089737822</v>
      </c>
      <c r="PJ27">
        <v>7.8655060172644991</v>
      </c>
      <c r="PK27">
        <v>8.3042740161405142</v>
      </c>
      <c r="PL27">
        <v>13.8188508</v>
      </c>
      <c r="PM27" s="23">
        <v>6.9317384685691472</v>
      </c>
      <c r="PN27" s="23">
        <v>7.5931920320567947</v>
      </c>
      <c r="PO27" s="23">
        <v>9.6077183397149089</v>
      </c>
      <c r="PP27" s="23">
        <v>10.40668605912018</v>
      </c>
      <c r="PQ27">
        <v>13.8188508</v>
      </c>
      <c r="PR27">
        <v>9.6708287592784927</v>
      </c>
      <c r="PS27">
        <v>10.731492652371763</v>
      </c>
      <c r="PT27">
        <v>11.026706751503452</v>
      </c>
      <c r="PU27">
        <v>12.021868505550501</v>
      </c>
      <c r="PV27">
        <v>13.8188508</v>
      </c>
      <c r="PW27">
        <v>1.7763568394002505E-14</v>
      </c>
      <c r="PX27">
        <v>0</v>
      </c>
      <c r="PY27">
        <v>4.122016394257157</v>
      </c>
      <c r="PZ27">
        <v>4.2292477066290886</v>
      </c>
      <c r="QA27">
        <v>13.8188508</v>
      </c>
      <c r="QB27" s="23">
        <v>0</v>
      </c>
      <c r="QC27" s="23">
        <v>-1.5987211554602254E-14</v>
      </c>
      <c r="QD27" s="23">
        <v>0</v>
      </c>
      <c r="QE27" s="23">
        <v>0</v>
      </c>
    </row>
    <row r="28" spans="1:447" x14ac:dyDescent="0.15">
      <c r="A28" s="23" t="s">
        <v>146</v>
      </c>
      <c r="B28">
        <f>FixedParams!$B$8-B27</f>
        <v>20.083499290000006</v>
      </c>
      <c r="C28" s="23">
        <f>SUMPRODUCT(Sectors!$AB$17:$AB$217,Sectors!$AG$17:$AG$217)/COUNT(Sectors!$AB$17:$AB$217)</f>
        <v>13.984503914036873</v>
      </c>
      <c r="D28" s="23">
        <f>SUMPRODUCT(Sectors!$BM$17:$BM$217,Sectors!$BR$17:$BR$217)/COUNT(Sectors!$BM$17:$BM$217)</f>
        <v>14.989471058089228</v>
      </c>
      <c r="E28" s="23">
        <f>SUMPRODUCT(Sectors!$AV$17:$AV$217,Sectors!$BA$17:$BA$217)/COUNT(Sectors!$AV$17:$AV$217)</f>
        <v>13.796894901310834</v>
      </c>
      <c r="F28" s="23">
        <f>SUMPRODUCT(Sectors!$CG$17:$CG$217,Sectors!$CL$17:$CL$217)/COUNT(Sectors!$CG$17:$CG$217)</f>
        <v>14.780983449886897</v>
      </c>
      <c r="H28">
        <v>20.083499290000006</v>
      </c>
      <c r="I28" s="23">
        <v>13.984538480483556</v>
      </c>
      <c r="J28" s="23">
        <v>14.989470871455723</v>
      </c>
      <c r="K28" s="23">
        <v>8.9283575412134244</v>
      </c>
      <c r="L28" s="23">
        <v>9.285138927162393</v>
      </c>
      <c r="M28">
        <v>20.083499290000006</v>
      </c>
      <c r="N28" s="23">
        <v>15.535739709538081</v>
      </c>
      <c r="O28" s="23">
        <v>16.536839428271424</v>
      </c>
      <c r="P28" s="23">
        <v>9.9308976604374255</v>
      </c>
      <c r="Q28" s="23">
        <v>10.544981830926133</v>
      </c>
      <c r="R28">
        <v>20.083499290000006</v>
      </c>
      <c r="S28" s="23">
        <v>16.952572835975253</v>
      </c>
      <c r="T28" s="23">
        <v>18.254331700567416</v>
      </c>
      <c r="U28" s="23">
        <v>11.141218045027692</v>
      </c>
      <c r="V28" s="23">
        <v>11.863620071480126</v>
      </c>
      <c r="W28">
        <v>20.083499290000006</v>
      </c>
      <c r="X28" s="23">
        <v>18.739458328749318</v>
      </c>
      <c r="Y28" s="23">
        <v>20.036795525122574</v>
      </c>
      <c r="Z28" s="23">
        <v>12.382230922550878</v>
      </c>
      <c r="AA28" s="23">
        <v>13.205956271962823</v>
      </c>
      <c r="AB28">
        <v>20.083499290000006</v>
      </c>
      <c r="AC28" s="23">
        <v>20.706986366067131</v>
      </c>
      <c r="AD28" s="23">
        <v>22.162644460862417</v>
      </c>
      <c r="AE28" s="23">
        <v>13.797136957653214</v>
      </c>
      <c r="AF28" s="23">
        <v>14.780983379900199</v>
      </c>
      <c r="AG28">
        <v>20.083499290000006</v>
      </c>
      <c r="AH28" s="23">
        <v>22.677116505165476</v>
      </c>
      <c r="AI28" s="23">
        <v>24.524998599430837</v>
      </c>
      <c r="AJ28" s="23">
        <v>15.503844688554512</v>
      </c>
      <c r="AK28" s="23">
        <v>16.361577644983608</v>
      </c>
      <c r="AL28">
        <v>20.083499290000006</v>
      </c>
      <c r="AM28" s="23">
        <v>24.222517398472796</v>
      </c>
      <c r="AN28" s="23">
        <v>26.333187927547062</v>
      </c>
      <c r="AO28" s="23">
        <v>17.203597866788023</v>
      </c>
      <c r="AP28" s="23">
        <v>18.402300317655566</v>
      </c>
      <c r="AQ28">
        <v>20.083499290000006</v>
      </c>
      <c r="AR28" s="23">
        <v>24.358945780974206</v>
      </c>
      <c r="AS28" s="23">
        <v>26.328279648657194</v>
      </c>
      <c r="AT28" s="23">
        <v>19.304562027365975</v>
      </c>
      <c r="AU28" s="23">
        <v>20.631711280616891</v>
      </c>
      <c r="AV28">
        <v>20.083499290000006</v>
      </c>
      <c r="AW28" s="23">
        <v>24.495583227462483</v>
      </c>
      <c r="AX28" s="23">
        <v>26.323864738828068</v>
      </c>
      <c r="AY28" s="23">
        <v>21.41430602410631</v>
      </c>
      <c r="AZ28" s="23">
        <v>23.017930445255327</v>
      </c>
      <c r="BA28">
        <v>20.083499290000006</v>
      </c>
      <c r="BB28" s="23">
        <v>24.632491207613473</v>
      </c>
      <c r="BC28" s="23">
        <v>26.319910377889634</v>
      </c>
      <c r="BD28" s="23">
        <v>21.53663439688383</v>
      </c>
      <c r="BE28" s="23">
        <v>23.05133792174383</v>
      </c>
      <c r="BF28">
        <v>20.083499290000006</v>
      </c>
      <c r="BG28" s="23">
        <v>24.769425146582648</v>
      </c>
      <c r="BH28" s="23">
        <v>26.316433917004321</v>
      </c>
      <c r="BI28" s="23">
        <v>21.6594842306746</v>
      </c>
      <c r="BJ28" s="23">
        <v>23.050158667114513</v>
      </c>
      <c r="BK28">
        <v>20.083499290000006</v>
      </c>
      <c r="BL28" s="23">
        <v>25.161770268886954</v>
      </c>
      <c r="BM28" s="23">
        <v>26.146380591888278</v>
      </c>
      <c r="BN28" s="23">
        <v>22.1526322886</v>
      </c>
      <c r="BO28" s="23">
        <v>23.047994272691504</v>
      </c>
      <c r="BP28">
        <v>20.083499290000006</v>
      </c>
      <c r="BQ28" s="23">
        <v>25.722843957888941</v>
      </c>
      <c r="BR28" s="23">
        <v>26.14286526543734</v>
      </c>
      <c r="BS28" s="23">
        <v>22.6542627904693</v>
      </c>
      <c r="BT28" s="23">
        <v>23.049682391863048</v>
      </c>
      <c r="BU28">
        <v>20.083499290000006</v>
      </c>
      <c r="BV28" s="23">
        <v>6.0197978335031621</v>
      </c>
      <c r="BW28" s="23">
        <v>6.2648503193500558</v>
      </c>
      <c r="BX28" s="23">
        <v>2.887377103805711</v>
      </c>
      <c r="BY28" s="23">
        <v>3.0404636284305115</v>
      </c>
      <c r="BZ28">
        <v>20.083499290000006</v>
      </c>
      <c r="CA28" s="23">
        <v>7.0354944093021592</v>
      </c>
      <c r="CB28" s="23">
        <v>7.344109884151659</v>
      </c>
      <c r="CC28" s="23">
        <v>3.7107657103452723</v>
      </c>
      <c r="CD28" s="23">
        <v>3.7824552879667221</v>
      </c>
      <c r="CE28">
        <v>20.083499290000006</v>
      </c>
      <c r="CF28" s="23">
        <v>7.9461892471340478</v>
      </c>
      <c r="CG28" s="23">
        <v>8.3200883681804676</v>
      </c>
      <c r="CH28" s="23">
        <v>4.5870644249335459</v>
      </c>
      <c r="CI28" s="23">
        <v>4.7172590991878289</v>
      </c>
      <c r="CJ28">
        <v>20.083499290000006</v>
      </c>
      <c r="CK28" s="23">
        <v>9.044028939073808</v>
      </c>
      <c r="CL28" s="23">
        <v>9.5115180290312367</v>
      </c>
      <c r="CM28" s="23">
        <v>5.3858732124195301</v>
      </c>
      <c r="CN28" s="23">
        <v>5.7045117803912779</v>
      </c>
      <c r="CO28">
        <v>20.083499290000006</v>
      </c>
      <c r="CP28" s="23">
        <v>10.37026834867225</v>
      </c>
      <c r="CQ28" s="23">
        <v>10.914442935317805</v>
      </c>
      <c r="CR28" s="23">
        <v>6.5148113020256631</v>
      </c>
      <c r="CS28" s="23">
        <v>6.7487863554189689</v>
      </c>
      <c r="CT28">
        <v>20.083499290000006</v>
      </c>
      <c r="CU28" s="23">
        <v>11.738273586095952</v>
      </c>
      <c r="CV28" s="23">
        <v>12.370999733798296</v>
      </c>
      <c r="CW28" s="23">
        <v>7.7093444388577526</v>
      </c>
      <c r="CX28" s="23">
        <v>8.0123092138752074</v>
      </c>
      <c r="CY28">
        <v>20.083499290000006</v>
      </c>
      <c r="CZ28" s="23">
        <v>13.331808894883004</v>
      </c>
      <c r="DA28" s="23">
        <v>13.869858182966148</v>
      </c>
      <c r="DB28" s="23">
        <v>8.9540976169273652</v>
      </c>
      <c r="DC28" s="23">
        <v>9.3373813114887803</v>
      </c>
      <c r="DD28">
        <v>20.083499290000006</v>
      </c>
      <c r="DE28" s="23">
        <v>14.957233243446215</v>
      </c>
      <c r="DF28" s="23">
        <v>15.796414002612215</v>
      </c>
      <c r="DG28" s="23">
        <v>10.433376855210565</v>
      </c>
      <c r="DH28" s="23">
        <v>10.880356800389348</v>
      </c>
      <c r="DI28">
        <v>20.083499290000006</v>
      </c>
      <c r="DJ28" s="23">
        <v>17.006065362159166</v>
      </c>
      <c r="DK28" s="23">
        <v>17.957404052139548</v>
      </c>
      <c r="DL28" s="23">
        <v>12.136403671127702</v>
      </c>
      <c r="DM28" s="23">
        <v>12.682898611350039</v>
      </c>
      <c r="DN28">
        <v>20.083499290000006</v>
      </c>
      <c r="DO28" s="23">
        <v>20.351220410521989</v>
      </c>
      <c r="DP28" s="23">
        <v>21.577787080193492</v>
      </c>
      <c r="DQ28" s="23">
        <v>16.278981704554219</v>
      </c>
      <c r="DR28" s="23">
        <v>16.979434471253597</v>
      </c>
      <c r="DS28">
        <v>20.083499290000006</v>
      </c>
      <c r="DT28" s="23">
        <v>20.819134452466113</v>
      </c>
      <c r="DU28" s="23">
        <v>21.580032480793751</v>
      </c>
      <c r="DV28" s="23">
        <v>19.20849914384716</v>
      </c>
      <c r="DW28" s="23">
        <v>20.07415347314997</v>
      </c>
      <c r="DX28">
        <v>20.083499290000006</v>
      </c>
      <c r="DY28" s="23">
        <v>21.293734702049392</v>
      </c>
      <c r="DZ28" s="23">
        <v>21.584282207287078</v>
      </c>
      <c r="EA28" s="23">
        <v>19.832608597073023</v>
      </c>
      <c r="EB28" s="23">
        <v>20.080391285111585</v>
      </c>
      <c r="EC28">
        <v>20.083499290000006</v>
      </c>
      <c r="ED28" s="23">
        <v>19.494203320809692</v>
      </c>
      <c r="EE28" s="23">
        <v>20.877491479947917</v>
      </c>
      <c r="EF28" s="23">
        <v>13.736710727777037</v>
      </c>
      <c r="EG28" s="23">
        <v>14.573240275313404</v>
      </c>
      <c r="EH28">
        <v>20.083499290000006</v>
      </c>
      <c r="EI28" s="23">
        <v>21.285772860927551</v>
      </c>
      <c r="EJ28" s="23">
        <v>22.636706446399419</v>
      </c>
      <c r="EK28" s="23">
        <v>15.040002038963349</v>
      </c>
      <c r="EL28" s="23">
        <v>15.988718685629735</v>
      </c>
      <c r="EM28">
        <v>20.083499290000006</v>
      </c>
      <c r="EN28" s="23">
        <v>23.087744429451568</v>
      </c>
      <c r="EO28" s="23">
        <v>24.600295022678299</v>
      </c>
      <c r="EP28" s="23">
        <v>16.558134123906775</v>
      </c>
      <c r="EQ28" s="23">
        <v>17.431614643949896</v>
      </c>
      <c r="ER28">
        <v>20.083499290000006</v>
      </c>
      <c r="ES28" s="23">
        <v>25.02999206600596</v>
      </c>
      <c r="ET28" s="23">
        <v>26.897399095988359</v>
      </c>
      <c r="EU28" s="23">
        <v>18.078475051251605</v>
      </c>
      <c r="EV28" s="23">
        <v>19.265904087611624</v>
      </c>
      <c r="EW28">
        <v>20.083499290000006</v>
      </c>
      <c r="EX28" s="23">
        <v>25.925306010817671</v>
      </c>
      <c r="EY28" s="23">
        <v>28.035698930146847</v>
      </c>
      <c r="EZ28" s="23">
        <v>19.803815795347589</v>
      </c>
      <c r="FA28" s="23">
        <v>21.110423870052259</v>
      </c>
      <c r="FB28">
        <v>20.083499290000006</v>
      </c>
      <c r="FC28" s="23">
        <v>25.867660672754528</v>
      </c>
      <c r="FD28" s="23">
        <v>27.857043898259793</v>
      </c>
      <c r="FE28" s="23">
        <v>21.697534517013093</v>
      </c>
      <c r="FF28" s="23">
        <v>23.113209440147745</v>
      </c>
      <c r="FG28">
        <v>20.083499290000006</v>
      </c>
      <c r="FH28" s="23">
        <v>25.807626120842972</v>
      </c>
      <c r="FI28" s="23">
        <v>27.677025702736778</v>
      </c>
      <c r="FJ28" s="23">
        <v>22.977630016066307</v>
      </c>
      <c r="FK28" s="23">
        <v>24.667730981459108</v>
      </c>
      <c r="FL28">
        <v>20.083499290000006</v>
      </c>
      <c r="FM28" s="23">
        <v>25.745099060303041</v>
      </c>
      <c r="FN28" s="23">
        <v>27.495663093278701</v>
      </c>
      <c r="FO28" s="23">
        <v>22.886202067482337</v>
      </c>
      <c r="FP28" s="23">
        <v>24.463742965704014</v>
      </c>
      <c r="FQ28">
        <v>20.083499290000006</v>
      </c>
      <c r="FR28" s="23">
        <v>25.680414936140284</v>
      </c>
      <c r="FS28" s="23">
        <v>27.312963373123932</v>
      </c>
      <c r="FT28" s="23">
        <v>22.957696112358299</v>
      </c>
      <c r="FU28" s="23">
        <v>24.426384775299425</v>
      </c>
      <c r="FV28">
        <v>20.083499290000006</v>
      </c>
      <c r="FW28" s="23">
        <v>25.544257473926582</v>
      </c>
      <c r="FX28" s="23">
        <v>26.943683946884782</v>
      </c>
      <c r="FY28" s="23">
        <v>22.766774404269775</v>
      </c>
      <c r="FZ28" s="23">
        <v>24.184952067749723</v>
      </c>
      <c r="GA28">
        <v>20.083499290000006</v>
      </c>
      <c r="GB28" s="23">
        <v>25.406969545777912</v>
      </c>
      <c r="GC28" s="23">
        <v>26.349608377988034</v>
      </c>
      <c r="GD28" s="23">
        <v>22.706052209340672</v>
      </c>
      <c r="GE28" s="23">
        <v>23.529436100557295</v>
      </c>
      <c r="GF28">
        <v>20.083499290000006</v>
      </c>
      <c r="GG28" s="23">
        <v>25.413826537092959</v>
      </c>
      <c r="GH28" s="23">
        <v>25.907220631176756</v>
      </c>
      <c r="GI28" s="23">
        <v>22.632921426063202</v>
      </c>
      <c r="GJ28" s="23">
        <v>23.040349192218514</v>
      </c>
      <c r="GK28">
        <v>20.083499290000006</v>
      </c>
      <c r="GL28" s="23">
        <v>13.984499069604531</v>
      </c>
      <c r="GM28" s="23">
        <v>14.989470892081988</v>
      </c>
      <c r="GN28" s="23">
        <v>13.797136957653214</v>
      </c>
      <c r="GO28" s="23">
        <v>14.780983379900183</v>
      </c>
      <c r="GP28">
        <v>20.083499290000006</v>
      </c>
      <c r="GQ28" s="23">
        <v>16.609295936573393</v>
      </c>
      <c r="GR28" s="23">
        <v>18.12557640509441</v>
      </c>
      <c r="GS28" s="23">
        <v>17.797276433709694</v>
      </c>
      <c r="GT28" s="23">
        <v>19.435353928222753</v>
      </c>
      <c r="GU28">
        <v>20.083499290000006</v>
      </c>
      <c r="GV28" s="23">
        <v>15.871404330976494</v>
      </c>
      <c r="GW28" s="23">
        <v>17.25008381638472</v>
      </c>
      <c r="GX28" s="23">
        <v>17.350888115978009</v>
      </c>
      <c r="GY28" s="23">
        <v>18.949951131645928</v>
      </c>
      <c r="GZ28">
        <v>20.083499290000006</v>
      </c>
      <c r="HA28" s="23">
        <v>13.202557675009837</v>
      </c>
      <c r="HB28" s="23">
        <v>14.095417762184496</v>
      </c>
      <c r="HC28" s="23">
        <v>13.169522533603553</v>
      </c>
      <c r="HD28" s="23">
        <v>14.086759603340713</v>
      </c>
      <c r="HE28">
        <v>20.083499290000006</v>
      </c>
      <c r="HF28" s="23">
        <v>17.218947357679045</v>
      </c>
      <c r="HG28" s="23">
        <v>18.666207417471728</v>
      </c>
      <c r="HH28" s="23">
        <v>17.413603368550614</v>
      </c>
      <c r="HI28" s="23">
        <v>18.949951021274622</v>
      </c>
      <c r="HJ28">
        <v>20.083499290000006</v>
      </c>
      <c r="HK28" s="23">
        <v>15.018779712295522</v>
      </c>
      <c r="HL28" s="23">
        <v>16.468975527412077</v>
      </c>
      <c r="HM28" s="23">
        <v>14.397229922583689</v>
      </c>
      <c r="HN28" s="23">
        <v>15.364181535777139</v>
      </c>
      <c r="HO28">
        <v>20.083499290000006</v>
      </c>
      <c r="HP28">
        <v>14.666704781612507</v>
      </c>
      <c r="HQ28">
        <v>15.750083901336065</v>
      </c>
      <c r="HR28">
        <v>14.120232164740429</v>
      </c>
      <c r="HS28">
        <v>15.192965462262574</v>
      </c>
      <c r="HT28">
        <v>20.083499290000006</v>
      </c>
      <c r="HU28">
        <v>14.258349267653646</v>
      </c>
      <c r="HV28">
        <v>15.133845722556352</v>
      </c>
      <c r="HW28">
        <v>13.819847113420037</v>
      </c>
      <c r="HX28">
        <v>14.814351496160246</v>
      </c>
      <c r="HY28">
        <v>20.083499290000006</v>
      </c>
      <c r="HZ28">
        <v>13.466672927792438</v>
      </c>
      <c r="IA28">
        <v>14.307874516794858</v>
      </c>
      <c r="IB28">
        <v>13.41375643497031</v>
      </c>
      <c r="IC28">
        <v>14.284097361130227</v>
      </c>
      <c r="ID28">
        <v>20.083499290000006</v>
      </c>
      <c r="IE28">
        <v>13.913362471089632</v>
      </c>
      <c r="IF28">
        <v>14.92212721565018</v>
      </c>
      <c r="IG28">
        <v>13.753038240446669</v>
      </c>
      <c r="IH28">
        <v>14.741755628683785</v>
      </c>
      <c r="II28">
        <v>20.083499290000006</v>
      </c>
      <c r="IJ28">
        <v>13.842702309912999</v>
      </c>
      <c r="IK28">
        <v>14.85480327910982</v>
      </c>
      <c r="IL28">
        <v>13.690195803529503</v>
      </c>
      <c r="IM28">
        <v>14.505681007300414</v>
      </c>
      <c r="IN28">
        <v>20.083499290000006</v>
      </c>
      <c r="IO28" s="86">
        <v>13.77634574252996</v>
      </c>
      <c r="IP28">
        <v>14.78780023245409</v>
      </c>
      <c r="IQ28">
        <v>13.649886011176971</v>
      </c>
      <c r="IR28">
        <v>14.466405478135819</v>
      </c>
      <c r="IS28">
        <v>20.083499290000006</v>
      </c>
      <c r="IT28">
        <v>13.703004036761355</v>
      </c>
      <c r="IU28">
        <v>14.720419472395006</v>
      </c>
      <c r="IV28">
        <v>13.602973655822435</v>
      </c>
      <c r="IW28">
        <v>14.396151000743362</v>
      </c>
      <c r="IX28">
        <v>20.083499290000006</v>
      </c>
      <c r="IY28">
        <v>14.227183348979912</v>
      </c>
      <c r="IZ28">
        <v>15.087085316622186</v>
      </c>
      <c r="JA28">
        <v>13.840973480143866</v>
      </c>
      <c r="JB28">
        <v>14.820161196749323</v>
      </c>
      <c r="JC28">
        <v>20.083499290000006</v>
      </c>
      <c r="JD28">
        <v>14.128713360215853</v>
      </c>
      <c r="JE28">
        <v>15.154198061579772</v>
      </c>
      <c r="JF28">
        <v>13.885384670736428</v>
      </c>
      <c r="JG28">
        <v>14.859017500444752</v>
      </c>
      <c r="JH28">
        <v>20.083499290000006</v>
      </c>
      <c r="JI28">
        <v>14.275679365417702</v>
      </c>
      <c r="JJ28">
        <v>15.288568849305573</v>
      </c>
      <c r="JK28">
        <v>13.975769959738468</v>
      </c>
      <c r="JL28">
        <v>14.936714594687542</v>
      </c>
      <c r="JM28">
        <v>20.083499290000006</v>
      </c>
      <c r="JN28">
        <v>15.13165651993771</v>
      </c>
      <c r="JO28">
        <v>16.465006499116289</v>
      </c>
      <c r="JP28">
        <v>14.45954099559466</v>
      </c>
      <c r="JQ28">
        <v>15.456764301773603</v>
      </c>
      <c r="JR28">
        <v>20.083499290000006</v>
      </c>
      <c r="JS28">
        <v>14.799752362421286</v>
      </c>
      <c r="JT28">
        <v>15.941760158975969</v>
      </c>
      <c r="JU28">
        <v>14.158816946924677</v>
      </c>
      <c r="JV28">
        <v>15.25100355863152</v>
      </c>
      <c r="JW28">
        <v>20.083499290000006</v>
      </c>
      <c r="JX28">
        <v>14.407737330931308</v>
      </c>
      <c r="JY28">
        <v>15.3789898491267</v>
      </c>
      <c r="JZ28">
        <v>14.040052486336606</v>
      </c>
      <c r="KA28">
        <v>14.874662851546631</v>
      </c>
      <c r="KB28">
        <v>20.083499290000006</v>
      </c>
      <c r="KC28">
        <v>13.738544081338148</v>
      </c>
      <c r="KD28">
        <v>14.66792316019527</v>
      </c>
      <c r="KE28">
        <v>13.715538963327834</v>
      </c>
      <c r="KF28">
        <v>14.661529805957899</v>
      </c>
      <c r="KG28">
        <v>20.083499290000006</v>
      </c>
      <c r="KH28">
        <v>13.460752258177608</v>
      </c>
      <c r="KI28">
        <v>14.300961781108375</v>
      </c>
      <c r="KJ28">
        <v>13.33015905792778</v>
      </c>
      <c r="KK28">
        <v>14.164087692256278</v>
      </c>
      <c r="KL28">
        <v>20.083499290000006</v>
      </c>
      <c r="KM28">
        <v>14.364250205938662</v>
      </c>
      <c r="KN28">
        <v>14.989471035102333</v>
      </c>
      <c r="KO28">
        <v>14.161959682831432</v>
      </c>
      <c r="KP28">
        <v>14.780983564231864</v>
      </c>
      <c r="KQ28">
        <v>20.083499290000006</v>
      </c>
      <c r="KR28">
        <v>14.364250176783441</v>
      </c>
      <c r="KS28">
        <v>14.989471035102333</v>
      </c>
      <c r="KT28">
        <v>14.161959676788261</v>
      </c>
      <c r="KU28">
        <v>14.780983564231864</v>
      </c>
      <c r="KV28">
        <v>20.083499290000006</v>
      </c>
      <c r="KW28">
        <v>14.1737860636732</v>
      </c>
      <c r="KX28">
        <v>14.989471035102333</v>
      </c>
      <c r="KY28">
        <v>13.957320811909339</v>
      </c>
      <c r="KZ28">
        <v>14.780983564231864</v>
      </c>
      <c r="LA28">
        <v>20.083499290000006</v>
      </c>
      <c r="LB28">
        <v>13.985698868042899</v>
      </c>
      <c r="LC28">
        <v>14.989471035102333</v>
      </c>
      <c r="LD28">
        <v>13.6367920249811</v>
      </c>
      <c r="LE28">
        <v>14.780983564231864</v>
      </c>
      <c r="LF28">
        <v>20.083499290000006</v>
      </c>
      <c r="LG28">
        <v>13.833761196968913</v>
      </c>
      <c r="LH28">
        <v>14.989471035102333</v>
      </c>
      <c r="LI28">
        <v>13.494131342392839</v>
      </c>
      <c r="LJ28">
        <v>14.780983564231864</v>
      </c>
      <c r="LK28">
        <v>20.083499290000006</v>
      </c>
      <c r="LL28">
        <v>14.482633539004199</v>
      </c>
      <c r="LM28">
        <v>14.989471035102333</v>
      </c>
      <c r="LN28">
        <v>14.090064417697029</v>
      </c>
      <c r="LO28">
        <v>14.780983564231864</v>
      </c>
      <c r="LP28">
        <v>20.083499290000006</v>
      </c>
      <c r="LQ28">
        <v>14.059247562478253</v>
      </c>
      <c r="LR28">
        <v>15.090610098489149</v>
      </c>
      <c r="LS28">
        <v>13.835465869557083</v>
      </c>
      <c r="LT28">
        <v>14.82956459861556</v>
      </c>
      <c r="LU28">
        <v>20.083499290000006</v>
      </c>
      <c r="LV28">
        <v>14.133559596494182</v>
      </c>
      <c r="LW28">
        <v>15.191221639391527</v>
      </c>
      <c r="LX28">
        <v>13.873405206742584</v>
      </c>
      <c r="LY28">
        <v>14.877192023246304</v>
      </c>
      <c r="LZ28">
        <v>20.083499290000006</v>
      </c>
      <c r="MA28">
        <v>14.185510769407754</v>
      </c>
      <c r="MB28">
        <v>15.291291064655168</v>
      </c>
      <c r="MC28">
        <v>13.910698561530074</v>
      </c>
      <c r="MD28">
        <v>14.727250289455547</v>
      </c>
      <c r="ME28">
        <v>20.083499290000006</v>
      </c>
      <c r="MF28">
        <v>15.582162118429807</v>
      </c>
      <c r="MG28">
        <v>17.022615039916147</v>
      </c>
      <c r="MH28">
        <v>14.715356400506566</v>
      </c>
      <c r="MI28">
        <v>15.771217792282672</v>
      </c>
      <c r="MJ28">
        <v>20.083499290000006</v>
      </c>
      <c r="MK28">
        <v>13.283756701874486</v>
      </c>
      <c r="ML28">
        <v>14.105199654203238</v>
      </c>
      <c r="MM28">
        <v>13.060702673066373</v>
      </c>
      <c r="MN28">
        <v>13.750089047955207</v>
      </c>
      <c r="MO28">
        <v>20.083499290000006</v>
      </c>
      <c r="MP28">
        <v>14.631332704324002</v>
      </c>
      <c r="MQ28">
        <v>15.845173119128527</v>
      </c>
      <c r="MR28">
        <v>14.259662269521387</v>
      </c>
      <c r="MS28">
        <v>15.438038995382742</v>
      </c>
      <c r="MT28">
        <v>20.083499290000006</v>
      </c>
      <c r="MU28">
        <v>14.75902977526184</v>
      </c>
      <c r="MV28">
        <v>15.968913624303044</v>
      </c>
      <c r="MW28">
        <v>14.34699496198176</v>
      </c>
      <c r="MX28">
        <v>15.503963681723185</v>
      </c>
      <c r="MY28">
        <v>20.083499290000006</v>
      </c>
      <c r="MZ28">
        <v>14.925306298630691</v>
      </c>
      <c r="NA28">
        <v>16.110061126894369</v>
      </c>
      <c r="NB28">
        <v>14.453595437676688</v>
      </c>
      <c r="NC28">
        <v>15.586819763762264</v>
      </c>
      <c r="ND28">
        <v>20.083499290000006</v>
      </c>
      <c r="NE28">
        <v>13.565325245114559</v>
      </c>
      <c r="NF28">
        <v>14.394469076052472</v>
      </c>
      <c r="NG28">
        <v>13.517497814009396</v>
      </c>
      <c r="NH28">
        <v>14.314924990898012</v>
      </c>
      <c r="NI28">
        <v>20.083499290000006</v>
      </c>
      <c r="NJ28">
        <v>13.429301480212452</v>
      </c>
      <c r="NK28">
        <v>14.260153612860069</v>
      </c>
      <c r="NL28">
        <v>13.43331294194207</v>
      </c>
      <c r="NM28">
        <v>14.233908073340464</v>
      </c>
      <c r="NN28">
        <v>20.083499290000006</v>
      </c>
      <c r="NO28">
        <v>13.294822279854825</v>
      </c>
      <c r="NP28">
        <v>14.126176111461929</v>
      </c>
      <c r="NQ28">
        <v>13.169900390539345</v>
      </c>
      <c r="NR28">
        <v>13.954063952054236</v>
      </c>
      <c r="NS28">
        <v>20.083499290000006</v>
      </c>
      <c r="NT28">
        <v>14.482633452351671</v>
      </c>
      <c r="NU28">
        <v>14.989471052193583</v>
      </c>
      <c r="NV28">
        <v>14.09006408774553</v>
      </c>
      <c r="NW28">
        <v>14.780983599912458</v>
      </c>
      <c r="NX28">
        <v>20.083499290000006</v>
      </c>
      <c r="NY28">
        <v>13.763801539317628</v>
      </c>
      <c r="NZ28">
        <v>14.989474700716228</v>
      </c>
      <c r="OA28">
        <v>13.428822103015657</v>
      </c>
      <c r="OB28">
        <v>14.780983709685728</v>
      </c>
      <c r="OC28">
        <v>20.083499290000006</v>
      </c>
      <c r="OD28">
        <v>13.47954287340448</v>
      </c>
      <c r="OE28">
        <v>14.989471090660549</v>
      </c>
      <c r="OF28">
        <v>13.313399485754863</v>
      </c>
      <c r="OG28">
        <v>14.780983610587009</v>
      </c>
      <c r="OH28">
        <v>20.083499290000006</v>
      </c>
      <c r="OI28">
        <v>14.350323891792073</v>
      </c>
      <c r="OJ28">
        <v>15.355621459292063</v>
      </c>
      <c r="OK28">
        <v>14.02177493133042</v>
      </c>
      <c r="OL28">
        <v>14.975449935981082</v>
      </c>
      <c r="OM28">
        <v>20.083499290000006</v>
      </c>
      <c r="ON28">
        <v>13.633970616393979</v>
      </c>
      <c r="OO28">
        <v>14.651240063390086</v>
      </c>
      <c r="OP28">
        <v>13.560093645634758</v>
      </c>
      <c r="OQ28">
        <v>14.355531280157058</v>
      </c>
      <c r="OR28">
        <v>20.083499290000006</v>
      </c>
      <c r="OS28">
        <v>14.081494182569712</v>
      </c>
      <c r="OT28">
        <v>14.888661471817779</v>
      </c>
      <c r="OU28">
        <v>13.738925813266155</v>
      </c>
      <c r="OV28">
        <v>14.731930963545112</v>
      </c>
      <c r="OW28">
        <v>20.083499290000006</v>
      </c>
      <c r="OX28">
        <v>14.004381208713674</v>
      </c>
      <c r="OY28">
        <v>14.816860324374657</v>
      </c>
      <c r="OZ28">
        <v>13.698495192777354</v>
      </c>
      <c r="PA28">
        <v>14.652018994489156</v>
      </c>
      <c r="PB28">
        <v>20.083499290000006</v>
      </c>
      <c r="PC28">
        <v>14.045078068545038</v>
      </c>
      <c r="PD28">
        <v>14.871013589397997</v>
      </c>
      <c r="PE28">
        <v>13.731576704220243</v>
      </c>
      <c r="PF28">
        <v>14.695896343907448</v>
      </c>
      <c r="PG28">
        <v>20.083499290000006</v>
      </c>
      <c r="PH28">
        <v>14.096459591136778</v>
      </c>
      <c r="PI28">
        <v>15.140990850224542</v>
      </c>
      <c r="PJ28">
        <v>13.845160372643099</v>
      </c>
      <c r="PK28">
        <v>14.839626606718792</v>
      </c>
      <c r="PL28">
        <v>20.083499290000006</v>
      </c>
      <c r="PM28" s="23">
        <v>14.961041953255027</v>
      </c>
      <c r="PN28" s="23">
        <v>16.217833836206733</v>
      </c>
      <c r="PO28" s="23">
        <v>14.400591783834747</v>
      </c>
      <c r="PP28" s="23">
        <v>15.368914362042513</v>
      </c>
      <c r="PQ28">
        <v>20.083499290000006</v>
      </c>
      <c r="PR28">
        <v>15.719441360808617</v>
      </c>
      <c r="PS28">
        <v>17.266749004669609</v>
      </c>
      <c r="PT28">
        <v>14.768368233166077</v>
      </c>
      <c r="PU28">
        <v>16.058709674273761</v>
      </c>
      <c r="PV28">
        <v>20.083499290000006</v>
      </c>
      <c r="PW28">
        <v>13.455468247396052</v>
      </c>
      <c r="PX28">
        <v>14.113234122855239</v>
      </c>
      <c r="PY28">
        <v>13.160761307716713</v>
      </c>
      <c r="PZ28">
        <v>13.917824809382992</v>
      </c>
      <c r="QA28">
        <v>20.083499290000006</v>
      </c>
      <c r="QB28" s="23">
        <v>13.071398871111191</v>
      </c>
      <c r="QC28" s="23">
        <v>13.868915511151448</v>
      </c>
      <c r="QD28" s="23">
        <v>12.459771947244539</v>
      </c>
      <c r="QE28" s="23">
        <v>13.004419027088394</v>
      </c>
    </row>
    <row r="29" spans="1:447" x14ac:dyDescent="0.15">
      <c r="A29" s="23" t="s">
        <v>147</v>
      </c>
      <c r="B29">
        <v>0</v>
      </c>
      <c r="C29" s="23">
        <f>SUMPRODUCT(Sectors!$AC$17:$AC$217,Sectors!$AH$17:$AH$217)/COUNT(Sectors!$AC$17:$AC$217)</f>
        <v>9.2713535932776114</v>
      </c>
      <c r="D29" s="23">
        <f>SUMPRODUCT(Sectors!$BN$17:$BN$217,Sectors!$BS$17:$BS$217)/COUNT(Sectors!$BN$17:$BN$217)</f>
        <v>9.6026452774630364</v>
      </c>
      <c r="E29" s="23">
        <f>SUMPRODUCT(Sectors!$AW$17:$AW$217,Sectors!$BB$17:$BB$217)/COUNT(Sectors!$AW$17:$AW$217)</f>
        <v>8.374855335432061</v>
      </c>
      <c r="F29" s="23">
        <f>SUMPRODUCT(Sectors!$CH$17:$CH$217,Sectors!$CM$17:$CM$217)/COUNT(Sectors!$CH$17:$CH$217)</f>
        <v>8.7958869866909115</v>
      </c>
      <c r="H29">
        <v>0</v>
      </c>
      <c r="I29" s="23">
        <v>9.2713479251087314</v>
      </c>
      <c r="J29" s="23">
        <v>9.602647283546581</v>
      </c>
      <c r="K29" s="23">
        <v>17.626312505502039</v>
      </c>
      <c r="L29" s="23">
        <v>18.588233116586064</v>
      </c>
      <c r="M29">
        <v>0</v>
      </c>
      <c r="N29" s="23">
        <v>7.4090227841373277</v>
      </c>
      <c r="O29" s="23">
        <v>7.8698298371053266</v>
      </c>
      <c r="P29" s="23">
        <v>15.397034465580875</v>
      </c>
      <c r="Q29" s="23">
        <v>15.920170239722014</v>
      </c>
      <c r="R29">
        <v>0</v>
      </c>
      <c r="S29" s="23">
        <v>5.8538414555072213</v>
      </c>
      <c r="T29" s="23">
        <v>6.1629589915125909</v>
      </c>
      <c r="U29" s="23">
        <v>12.943942520147909</v>
      </c>
      <c r="V29" s="23">
        <v>13.419016559949382</v>
      </c>
      <c r="W29">
        <v>0</v>
      </c>
      <c r="X29" s="23">
        <v>4.122160494804044</v>
      </c>
      <c r="Y29" s="23">
        <v>4.5074018301537135</v>
      </c>
      <c r="Z29" s="23">
        <v>10.733788673390531</v>
      </c>
      <c r="AA29" s="23">
        <v>11.167945536192976</v>
      </c>
      <c r="AB29">
        <v>0</v>
      </c>
      <c r="AC29" s="23">
        <v>2.4861233220196826</v>
      </c>
      <c r="AD29" s="23">
        <v>2.8320350118472022</v>
      </c>
      <c r="AE29" s="23">
        <v>8.3749382028917871</v>
      </c>
      <c r="AF29" s="23">
        <v>8.7958876368338696</v>
      </c>
      <c r="AG29">
        <v>0</v>
      </c>
      <c r="AH29" s="23">
        <v>1.0243293860648839</v>
      </c>
      <c r="AI29" s="23">
        <v>1.1325684644838305</v>
      </c>
      <c r="AJ29" s="23">
        <v>6.1358777838080014</v>
      </c>
      <c r="AK29" s="23">
        <v>6.7241087422316266</v>
      </c>
      <c r="AL29">
        <v>0</v>
      </c>
      <c r="AM29" s="23">
        <v>0</v>
      </c>
      <c r="AN29" s="23">
        <v>0</v>
      </c>
      <c r="AO29" s="23">
        <v>4.0936359384367709</v>
      </c>
      <c r="AP29" s="23">
        <v>4.296470455105597</v>
      </c>
      <c r="AQ29">
        <v>0</v>
      </c>
      <c r="AR29" s="23">
        <v>0</v>
      </c>
      <c r="AS29" s="23">
        <v>0</v>
      </c>
      <c r="AT29" s="23">
        <v>1.9111847107644568</v>
      </c>
      <c r="AU29" s="23">
        <v>2.0779123235057821</v>
      </c>
      <c r="AV29">
        <v>0</v>
      </c>
      <c r="AW29" s="23">
        <v>0</v>
      </c>
      <c r="AX29" s="23">
        <v>0</v>
      </c>
      <c r="AY29" s="23">
        <v>0</v>
      </c>
      <c r="AZ29" s="23">
        <v>0.13635173474725315</v>
      </c>
      <c r="BA29">
        <v>0</v>
      </c>
      <c r="BB29" s="23">
        <v>0</v>
      </c>
      <c r="BC29" s="23">
        <v>0</v>
      </c>
      <c r="BD29" s="23">
        <v>0</v>
      </c>
      <c r="BE29" s="23">
        <v>0</v>
      </c>
      <c r="BF29">
        <v>0</v>
      </c>
      <c r="BG29" s="23">
        <v>0</v>
      </c>
      <c r="BH29" s="23">
        <v>0</v>
      </c>
      <c r="BI29" s="23">
        <v>0</v>
      </c>
      <c r="BJ29" s="23">
        <v>0</v>
      </c>
      <c r="BK29">
        <v>0</v>
      </c>
      <c r="BL29" s="23">
        <v>0</v>
      </c>
      <c r="BM29" s="23">
        <v>0</v>
      </c>
      <c r="BN29" s="23">
        <v>0</v>
      </c>
      <c r="BO29" s="23">
        <v>0</v>
      </c>
      <c r="BP29">
        <v>0</v>
      </c>
      <c r="BQ29" s="23">
        <v>0</v>
      </c>
      <c r="BR29" s="23">
        <v>0</v>
      </c>
      <c r="BS29" s="23">
        <v>0</v>
      </c>
      <c r="BT29" s="23">
        <v>0</v>
      </c>
      <c r="BU29">
        <v>0</v>
      </c>
      <c r="BV29" s="23">
        <v>26.104297643666527</v>
      </c>
      <c r="BW29" s="23">
        <v>26.740202163286956</v>
      </c>
      <c r="BX29" s="23">
        <v>40.251028730900444</v>
      </c>
      <c r="BY29" s="23">
        <v>40.708885708042303</v>
      </c>
      <c r="BZ29">
        <v>0</v>
      </c>
      <c r="CA29" s="23">
        <v>22.664420198498583</v>
      </c>
      <c r="CB29" s="23">
        <v>23.325573001845303</v>
      </c>
      <c r="CC29" s="23">
        <v>35.646293788732038</v>
      </c>
      <c r="CD29" s="23">
        <v>36.710384633857501</v>
      </c>
      <c r="CE29">
        <v>0</v>
      </c>
      <c r="CF29" s="23">
        <v>19.979087123999157</v>
      </c>
      <c r="CG29" s="23">
        <v>20.591676109209462</v>
      </c>
      <c r="CH29" s="23">
        <v>31.457548875182191</v>
      </c>
      <c r="CI29" s="23">
        <v>32.294089814499593</v>
      </c>
      <c r="CJ29">
        <v>0</v>
      </c>
      <c r="CK29" s="23">
        <v>17.143244882135694</v>
      </c>
      <c r="CL29" s="23">
        <v>17.587953091778388</v>
      </c>
      <c r="CM29" s="23">
        <v>28.003741320301145</v>
      </c>
      <c r="CN29" s="23">
        <v>28.305673306182957</v>
      </c>
      <c r="CO29">
        <v>0</v>
      </c>
      <c r="CP29" s="23">
        <v>14.02606489952381</v>
      </c>
      <c r="CQ29" s="23">
        <v>14.534489137398808</v>
      </c>
      <c r="CR29" s="23">
        <v>23.816078107704367</v>
      </c>
      <c r="CS29" s="23">
        <v>24.603714728029203</v>
      </c>
      <c r="CT29">
        <v>0</v>
      </c>
      <c r="CU29" s="23">
        <v>11.279857860172113</v>
      </c>
      <c r="CV29" s="23">
        <v>11.744382622311624</v>
      </c>
      <c r="CW29" s="23">
        <v>19.978458108594861</v>
      </c>
      <c r="CX29" s="23">
        <v>20.685091781148849</v>
      </c>
      <c r="CY29">
        <v>0</v>
      </c>
      <c r="CZ29" s="23">
        <v>8.4778157208056584</v>
      </c>
      <c r="DA29" s="23">
        <v>9.1912836556874495</v>
      </c>
      <c r="DB29" s="23">
        <v>16.609256349379571</v>
      </c>
      <c r="DC29" s="23">
        <v>17.096360296828536</v>
      </c>
      <c r="DD29">
        <v>0</v>
      </c>
      <c r="DE29" s="23">
        <v>6.0892569186364245</v>
      </c>
      <c r="DF29" s="23">
        <v>6.3371447567379633</v>
      </c>
      <c r="DG29" s="23">
        <v>13.010364119979542</v>
      </c>
      <c r="DH29" s="23">
        <v>13.58107894671352</v>
      </c>
      <c r="DI29">
        <v>0</v>
      </c>
      <c r="DJ29" s="23">
        <v>3.3790096267741707</v>
      </c>
      <c r="DK29" s="23">
        <v>3.586017976332259</v>
      </c>
      <c r="DL29" s="23">
        <v>9.5924194111448422</v>
      </c>
      <c r="DM29" s="23">
        <v>9.9386674085437274</v>
      </c>
      <c r="DN29">
        <v>0</v>
      </c>
      <c r="DO29" s="23">
        <v>0</v>
      </c>
      <c r="DP29" s="23">
        <v>0</v>
      </c>
      <c r="DQ29" s="23">
        <v>3.0255333834717759</v>
      </c>
      <c r="DR29" s="23">
        <v>3.4338178392561951</v>
      </c>
      <c r="DS29">
        <v>0</v>
      </c>
      <c r="DT29" s="23">
        <v>0</v>
      </c>
      <c r="DU29" s="23">
        <v>0</v>
      </c>
      <c r="DV29" s="23">
        <v>0</v>
      </c>
      <c r="DW29" s="23">
        <v>0</v>
      </c>
      <c r="DX29">
        <v>0</v>
      </c>
      <c r="DY29" s="23">
        <v>0</v>
      </c>
      <c r="DZ29" s="23">
        <v>0</v>
      </c>
      <c r="EA29" s="23">
        <v>0</v>
      </c>
      <c r="EB29" s="23">
        <v>0</v>
      </c>
      <c r="EC29">
        <v>0</v>
      </c>
      <c r="ED29" s="23">
        <v>4.5218696593906316</v>
      </c>
      <c r="EE29" s="23">
        <v>4.7080059126965512</v>
      </c>
      <c r="EF29" s="23">
        <v>10.102802839279175</v>
      </c>
      <c r="EG29" s="23">
        <v>10.473877323240531</v>
      </c>
      <c r="EH29">
        <v>0</v>
      </c>
      <c r="EI29" s="23">
        <v>3.0904924235324387</v>
      </c>
      <c r="EJ29" s="23">
        <v>3.3931538909643888</v>
      </c>
      <c r="EK29" s="23">
        <v>8.2180657106243764</v>
      </c>
      <c r="EL29" s="23">
        <v>8.5601692773749836</v>
      </c>
      <c r="EM29">
        <v>0</v>
      </c>
      <c r="EN29" s="23">
        <v>1.7625489614497123</v>
      </c>
      <c r="EO29" s="23">
        <v>2.0415766844121657</v>
      </c>
      <c r="EP29" s="23">
        <v>6.2243143517004258</v>
      </c>
      <c r="EQ29" s="23">
        <v>6.7529833462433588</v>
      </c>
      <c r="ER29">
        <v>0</v>
      </c>
      <c r="ES29" s="23">
        <v>0.50523536664497393</v>
      </c>
      <c r="ET29" s="23">
        <v>0.67030182382733061</v>
      </c>
      <c r="EU29" s="23">
        <v>4.4639257907109258</v>
      </c>
      <c r="EV29" s="23">
        <v>4.755452540327779</v>
      </c>
      <c r="EW29">
        <v>0</v>
      </c>
      <c r="EX29" s="23">
        <v>0</v>
      </c>
      <c r="EY29" s="23">
        <v>0</v>
      </c>
      <c r="EZ29" s="23">
        <v>2.6693036816954177</v>
      </c>
      <c r="FA29" s="23">
        <v>2.9403447943848815</v>
      </c>
      <c r="FB29">
        <v>0</v>
      </c>
      <c r="FC29" s="23">
        <v>0</v>
      </c>
      <c r="FD29" s="23">
        <v>0</v>
      </c>
      <c r="FE29" s="23">
        <v>1.0058661465149288</v>
      </c>
      <c r="FF29" s="23">
        <v>1.2574856288823544</v>
      </c>
      <c r="FG29">
        <v>0</v>
      </c>
      <c r="FH29" s="23">
        <v>0</v>
      </c>
      <c r="FI29" s="23">
        <v>0</v>
      </c>
      <c r="FJ29" s="23">
        <v>0</v>
      </c>
      <c r="FK29" s="23">
        <v>0</v>
      </c>
      <c r="FL29">
        <v>0</v>
      </c>
      <c r="FM29" s="23">
        <v>0</v>
      </c>
      <c r="FN29" s="23">
        <v>0</v>
      </c>
      <c r="FO29" s="23">
        <v>0</v>
      </c>
      <c r="FP29" s="23">
        <v>0</v>
      </c>
      <c r="FQ29">
        <v>0</v>
      </c>
      <c r="FR29" s="23">
        <v>0</v>
      </c>
      <c r="FS29" s="23">
        <v>0</v>
      </c>
      <c r="FT29" s="23">
        <v>0</v>
      </c>
      <c r="FU29" s="23">
        <v>0</v>
      </c>
      <c r="FV29">
        <v>0</v>
      </c>
      <c r="FW29" s="23">
        <v>0</v>
      </c>
      <c r="FX29" s="23">
        <v>0</v>
      </c>
      <c r="FY29" s="23">
        <v>0</v>
      </c>
      <c r="FZ29" s="23">
        <v>0</v>
      </c>
      <c r="GA29">
        <v>0</v>
      </c>
      <c r="GB29" s="23">
        <v>0</v>
      </c>
      <c r="GC29" s="23">
        <v>0</v>
      </c>
      <c r="GD29" s="23">
        <v>0</v>
      </c>
      <c r="GE29" s="23">
        <v>0</v>
      </c>
      <c r="GF29">
        <v>0</v>
      </c>
      <c r="GG29" s="23">
        <v>0</v>
      </c>
      <c r="GH29" s="23">
        <v>0</v>
      </c>
      <c r="GI29" s="23">
        <v>0</v>
      </c>
      <c r="GJ29" s="23">
        <v>0</v>
      </c>
      <c r="GK29">
        <v>0</v>
      </c>
      <c r="GL29" s="23">
        <v>9.271348156325578</v>
      </c>
      <c r="GM29" s="23">
        <v>9.6026470297583124</v>
      </c>
      <c r="GN29" s="23">
        <v>8.3749382028917871</v>
      </c>
      <c r="GO29" s="23">
        <v>8.7958876368338661</v>
      </c>
      <c r="GP29">
        <v>0</v>
      </c>
      <c r="GQ29" s="23">
        <v>6.250136033466152</v>
      </c>
      <c r="GR29" s="23">
        <v>6.336330210153994</v>
      </c>
      <c r="GS29" s="23">
        <v>3.7594448232006927</v>
      </c>
      <c r="GT29" s="23">
        <v>3.8776467057687629</v>
      </c>
      <c r="GU29">
        <v>0</v>
      </c>
      <c r="GV29" s="23">
        <v>7.0206284394052547</v>
      </c>
      <c r="GW29" s="23">
        <v>7.0205106107019679</v>
      </c>
      <c r="GX29" s="23">
        <v>4.2714214790030471</v>
      </c>
      <c r="GY29" s="23">
        <v>4.3562846833102853</v>
      </c>
      <c r="GZ29">
        <v>0</v>
      </c>
      <c r="HA29" s="23">
        <v>10.189344923503155</v>
      </c>
      <c r="HB29" s="23">
        <v>10.408138362772741</v>
      </c>
      <c r="HC29" s="23">
        <v>9.1419105340933129</v>
      </c>
      <c r="HD29" s="23">
        <v>9.5462341867892722</v>
      </c>
      <c r="HE29">
        <v>0</v>
      </c>
      <c r="HF29" s="23">
        <v>5.4698201990507762</v>
      </c>
      <c r="HG29" s="23">
        <v>5.4980858358432219</v>
      </c>
      <c r="HH29" s="23">
        <v>4.2868664712597502</v>
      </c>
      <c r="HI29" s="23">
        <v>4.3562848710293842</v>
      </c>
      <c r="HJ29">
        <v>0</v>
      </c>
      <c r="HK29" s="23">
        <v>6.4871517809190511</v>
      </c>
      <c r="HL29" s="23">
        <v>6.8241354790180084</v>
      </c>
      <c r="HM29" s="23">
        <v>6.5708361556180339</v>
      </c>
      <c r="HN29" s="23">
        <v>7.1511365680470975</v>
      </c>
      <c r="HO29">
        <v>0</v>
      </c>
      <c r="HP29">
        <v>7.6688615411486678</v>
      </c>
      <c r="HQ29">
        <v>8.2105145141795077</v>
      </c>
      <c r="HR29">
        <v>7.3940855453314356</v>
      </c>
      <c r="HS29">
        <v>7.8298338186277459</v>
      </c>
      <c r="HT29">
        <v>0</v>
      </c>
      <c r="HU29">
        <v>8.8030908062275905</v>
      </c>
      <c r="HV29">
        <v>9.3722163406180883</v>
      </c>
      <c r="HW29">
        <v>8.2858155612031297</v>
      </c>
      <c r="HX29">
        <v>8.7106290906557717</v>
      </c>
      <c r="HY29">
        <v>0</v>
      </c>
      <c r="HZ29">
        <v>10.382594412935445</v>
      </c>
      <c r="IA29">
        <v>10.597869463652703</v>
      </c>
      <c r="IB29">
        <v>9.6021260410700666</v>
      </c>
      <c r="IC29">
        <v>10.015936208975054</v>
      </c>
      <c r="ID29">
        <v>0</v>
      </c>
      <c r="IE29">
        <v>9.2498091240344262</v>
      </c>
      <c r="IF29">
        <v>9.5754343720663524</v>
      </c>
      <c r="IG29">
        <v>8.3602471041710551</v>
      </c>
      <c r="IH29">
        <v>8.777765958252834</v>
      </c>
      <c r="II29">
        <v>0</v>
      </c>
      <c r="IJ29">
        <v>9.2286012778576367</v>
      </c>
      <c r="IK29">
        <v>9.5486667776465417</v>
      </c>
      <c r="IL29">
        <v>8.4527897701676977</v>
      </c>
      <c r="IM29">
        <v>9.0229345222120241</v>
      </c>
      <c r="IN29">
        <v>0</v>
      </c>
      <c r="IO29" s="86">
        <v>9.2249199201099898</v>
      </c>
      <c r="IP29">
        <v>9.5190569164034997</v>
      </c>
      <c r="IQ29">
        <v>8.4507853086760516</v>
      </c>
      <c r="IR29">
        <v>8.9994024503414813</v>
      </c>
      <c r="IS29">
        <v>0</v>
      </c>
      <c r="IT29">
        <v>9.1852804040110279</v>
      </c>
      <c r="IU29">
        <v>9.4945028232638435</v>
      </c>
      <c r="IV29">
        <v>8.4219997020616848</v>
      </c>
      <c r="IW29">
        <v>9.0874674820235075</v>
      </c>
      <c r="IX29">
        <v>0</v>
      </c>
      <c r="IY29">
        <v>9.089737962445863</v>
      </c>
      <c r="IZ29">
        <v>9.5989935250846976</v>
      </c>
      <c r="JA29">
        <v>8.4060998148511583</v>
      </c>
      <c r="JB29">
        <v>8.8318221805593478</v>
      </c>
      <c r="JC29">
        <v>0</v>
      </c>
      <c r="JD29">
        <v>9.3134123741744084</v>
      </c>
      <c r="JE29">
        <v>9.6070873247363799</v>
      </c>
      <c r="JF29">
        <v>8.4052707797838657</v>
      </c>
      <c r="JG29">
        <v>8.8342748303170442</v>
      </c>
      <c r="JH29">
        <v>0</v>
      </c>
      <c r="JI29">
        <v>9.3546220245491032</v>
      </c>
      <c r="JJ29">
        <v>9.6549935806931888</v>
      </c>
      <c r="JK29">
        <v>8.4351054296480044</v>
      </c>
      <c r="JL29">
        <v>8.8731468813408974</v>
      </c>
      <c r="JM29">
        <v>0</v>
      </c>
      <c r="JN29">
        <v>6.039841261061226</v>
      </c>
      <c r="JO29">
        <v>6.5116639181279865</v>
      </c>
      <c r="JP29">
        <v>6.1438052295584598</v>
      </c>
      <c r="JQ29">
        <v>6.7221415301091687</v>
      </c>
      <c r="JR29">
        <v>0</v>
      </c>
      <c r="JS29">
        <v>7.2448592857025575</v>
      </c>
      <c r="JT29">
        <v>7.7988324354419252</v>
      </c>
      <c r="JU29">
        <v>7.1691548810610159</v>
      </c>
      <c r="JV29">
        <v>7.6114635024094612</v>
      </c>
      <c r="JW29">
        <v>0</v>
      </c>
      <c r="JX29">
        <v>8.412799614428577</v>
      </c>
      <c r="JY29">
        <v>8.9329726857560967</v>
      </c>
      <c r="JZ29">
        <v>7.8233748283534537</v>
      </c>
      <c r="KA29">
        <v>8.5124136204555665</v>
      </c>
      <c r="KB29">
        <v>0</v>
      </c>
      <c r="KC29">
        <v>9.8467426879577573</v>
      </c>
      <c r="KD29">
        <v>10.112615201185044</v>
      </c>
      <c r="KE29">
        <v>8.7842283564219326</v>
      </c>
      <c r="KF29">
        <v>9.1965869217176586</v>
      </c>
      <c r="KG29">
        <v>0</v>
      </c>
      <c r="KH29">
        <v>10.367481406583646</v>
      </c>
      <c r="KI29">
        <v>10.581850371489395</v>
      </c>
      <c r="KJ29">
        <v>9.9512936621713894</v>
      </c>
      <c r="KK29">
        <v>10.349265853168255</v>
      </c>
      <c r="KL29">
        <v>0</v>
      </c>
      <c r="KM29">
        <v>9.3203603780370994</v>
      </c>
      <c r="KN29">
        <v>9.6026455510818618</v>
      </c>
      <c r="KO29">
        <v>8.4970463090389412</v>
      </c>
      <c r="KP29">
        <v>8.7958856891616932</v>
      </c>
      <c r="KQ29">
        <v>0</v>
      </c>
      <c r="KR29">
        <v>9.3203610890323709</v>
      </c>
      <c r="KS29">
        <v>9.6026455510818618</v>
      </c>
      <c r="KT29">
        <v>8.4970469162275784</v>
      </c>
      <c r="KU29">
        <v>8.7958856891616932</v>
      </c>
      <c r="KV29">
        <v>0</v>
      </c>
      <c r="KW29">
        <v>9.2673984253575163</v>
      </c>
      <c r="KX29">
        <v>9.6026455510818618</v>
      </c>
      <c r="KY29">
        <v>8.4901972736560403</v>
      </c>
      <c r="KZ29">
        <v>8.7958856891616932</v>
      </c>
      <c r="LA29">
        <v>0</v>
      </c>
      <c r="LB29">
        <v>9.0490328098560173</v>
      </c>
      <c r="LC29">
        <v>9.6026455510818618</v>
      </c>
      <c r="LD29">
        <v>8.3707982510752359</v>
      </c>
      <c r="LE29">
        <v>8.7958856891616932</v>
      </c>
      <c r="LF29">
        <v>0</v>
      </c>
      <c r="LG29">
        <v>9.0533169050052393</v>
      </c>
      <c r="LH29">
        <v>9.6026455510818618</v>
      </c>
      <c r="LI29">
        <v>8.3676480444075487</v>
      </c>
      <c r="LJ29">
        <v>8.7958856891616932</v>
      </c>
      <c r="LK29">
        <v>0</v>
      </c>
      <c r="LL29">
        <v>9.318778376773162</v>
      </c>
      <c r="LM29">
        <v>9.6026455510818618</v>
      </c>
      <c r="LN29">
        <v>8.7614779467181112</v>
      </c>
      <c r="LO29">
        <v>8.7958856891616932</v>
      </c>
      <c r="LP29">
        <v>0</v>
      </c>
      <c r="LQ29">
        <v>9.1174179024274231</v>
      </c>
      <c r="LR29">
        <v>9.4510832756168153</v>
      </c>
      <c r="LS29">
        <v>8.2368933288951194</v>
      </c>
      <c r="LT29">
        <v>8.6576715547715981</v>
      </c>
      <c r="LU29">
        <v>0</v>
      </c>
      <c r="LV29">
        <v>8.9601256986416971</v>
      </c>
      <c r="LW29">
        <v>9.2965651389485569</v>
      </c>
      <c r="LX29">
        <v>8.0978039157500685</v>
      </c>
      <c r="LY29">
        <v>8.519913659993593</v>
      </c>
      <c r="LZ29">
        <v>0</v>
      </c>
      <c r="MA29">
        <v>8.8620950024174991</v>
      </c>
      <c r="MB29">
        <v>9.1384136713413309</v>
      </c>
      <c r="MC29">
        <v>7.9575742840509678</v>
      </c>
      <c r="MD29">
        <v>8.6424387978527015</v>
      </c>
      <c r="ME29">
        <v>0</v>
      </c>
      <c r="MF29">
        <v>4.7300806970033848</v>
      </c>
      <c r="MG29">
        <v>5.3426592076241555</v>
      </c>
      <c r="MH29">
        <v>5.3727724468780185</v>
      </c>
      <c r="MI29">
        <v>5.951327739251651</v>
      </c>
      <c r="MJ29">
        <v>0</v>
      </c>
      <c r="MK29">
        <v>10.583235034047126</v>
      </c>
      <c r="ML29">
        <v>10.800584212617636</v>
      </c>
      <c r="MM29">
        <v>11.043737354293501</v>
      </c>
      <c r="MN29">
        <v>11.485855836503395</v>
      </c>
      <c r="MO29">
        <v>0</v>
      </c>
      <c r="MP29">
        <v>9.3176750188124693</v>
      </c>
      <c r="MQ29">
        <v>9.3978429520278493</v>
      </c>
      <c r="MR29">
        <v>8.4423628329075147</v>
      </c>
      <c r="MS29">
        <v>8.5125527951578537</v>
      </c>
      <c r="MT29">
        <v>0</v>
      </c>
      <c r="MU29">
        <v>9.4125023113599404</v>
      </c>
      <c r="MV29">
        <v>9.4487438345773977</v>
      </c>
      <c r="MW29">
        <v>8.4696176291382166</v>
      </c>
      <c r="MX29">
        <v>8.5488807106869711</v>
      </c>
      <c r="MY29">
        <v>0</v>
      </c>
      <c r="MZ29">
        <v>9.4423248699311575</v>
      </c>
      <c r="NA29">
        <v>9.4938584210935151</v>
      </c>
      <c r="NB29">
        <v>8.4915961990353122</v>
      </c>
      <c r="NC29">
        <v>8.5805040818245146</v>
      </c>
      <c r="ND29">
        <v>0</v>
      </c>
      <c r="NE29">
        <v>9.1412811764052648</v>
      </c>
      <c r="NF29">
        <v>9.675572478522998</v>
      </c>
      <c r="NG29">
        <v>8.3898802149296081</v>
      </c>
      <c r="NH29">
        <v>9.051448101319945</v>
      </c>
      <c r="NI29">
        <v>0</v>
      </c>
      <c r="NJ29">
        <v>9.0968928136362894</v>
      </c>
      <c r="NK29">
        <v>9.6214066289696287</v>
      </c>
      <c r="NL29">
        <v>8.3589123767605447</v>
      </c>
      <c r="NM29">
        <v>9.0117328123053397</v>
      </c>
      <c r="NN29">
        <v>0</v>
      </c>
      <c r="NO29">
        <v>9.052071135205745</v>
      </c>
      <c r="NP29">
        <v>9.5671794611902339</v>
      </c>
      <c r="NQ29">
        <v>8.5815392620365767</v>
      </c>
      <c r="NR29">
        <v>9.2400235295649811</v>
      </c>
      <c r="NS29">
        <v>0</v>
      </c>
      <c r="NT29">
        <v>9.3187778673017565</v>
      </c>
      <c r="NU29">
        <v>9.6026454652890152</v>
      </c>
      <c r="NV29">
        <v>8.761478166173962</v>
      </c>
      <c r="NW29">
        <v>8.7958855462939223</v>
      </c>
      <c r="NX29">
        <v>0</v>
      </c>
      <c r="NY29">
        <v>9.0554594924522984</v>
      </c>
      <c r="NZ29">
        <v>9.602607822605302</v>
      </c>
      <c r="OA29">
        <v>8.3656002461926864</v>
      </c>
      <c r="OB29">
        <v>8.7958818207356142</v>
      </c>
      <c r="OC29">
        <v>0</v>
      </c>
      <c r="OD29">
        <v>9.0079488687146085</v>
      </c>
      <c r="OE29">
        <v>9.6026451144929812</v>
      </c>
      <c r="OF29">
        <v>8.1078959081246644</v>
      </c>
      <c r="OG29">
        <v>8.7958854036520666</v>
      </c>
      <c r="OH29">
        <v>0</v>
      </c>
      <c r="OI29">
        <v>9.3748698764543743</v>
      </c>
      <c r="OJ29">
        <v>9.6819276248843789</v>
      </c>
      <c r="OK29">
        <v>8.4497846039315903</v>
      </c>
      <c r="OL29">
        <v>8.8924234893672427</v>
      </c>
      <c r="OM29">
        <v>0</v>
      </c>
      <c r="ON29">
        <v>9.1633100463053854</v>
      </c>
      <c r="OO29">
        <v>9.4845036287516713</v>
      </c>
      <c r="OP29">
        <v>8.4059892759345214</v>
      </c>
      <c r="OQ29">
        <v>9.0696821633122475</v>
      </c>
      <c r="OR29">
        <v>0</v>
      </c>
      <c r="OS29">
        <v>9.1967708892998097</v>
      </c>
      <c r="OT29">
        <v>9.7417868538038626</v>
      </c>
      <c r="OU29">
        <v>8.6215541204050403</v>
      </c>
      <c r="OV29">
        <v>8.928817142193255</v>
      </c>
      <c r="OW29">
        <v>0</v>
      </c>
      <c r="OX29">
        <v>9.3417802469357678</v>
      </c>
      <c r="OY29">
        <v>9.8464745814718402</v>
      </c>
      <c r="OZ29">
        <v>8.7547211831113305</v>
      </c>
      <c r="PA29">
        <v>9.1752366676175932</v>
      </c>
      <c r="PB29">
        <v>0</v>
      </c>
      <c r="PC29">
        <v>9.2979329941073097</v>
      </c>
      <c r="PD29">
        <v>9.802154436481505</v>
      </c>
      <c r="PE29">
        <v>8.6532511797422629</v>
      </c>
      <c r="PF29">
        <v>9.0748079335468379</v>
      </c>
      <c r="PG29">
        <v>0</v>
      </c>
      <c r="PH29">
        <v>9.0391963622661606</v>
      </c>
      <c r="PI29">
        <v>9.374127903316575</v>
      </c>
      <c r="PJ29">
        <v>8.2239370790642141</v>
      </c>
      <c r="PK29">
        <v>8.6436822330915764</v>
      </c>
      <c r="PL29">
        <v>0</v>
      </c>
      <c r="PM29" s="23">
        <v>6.6710650321930238</v>
      </c>
      <c r="PN29" s="23">
        <v>7.1450318595357194</v>
      </c>
      <c r="PO29" s="23">
        <v>6.5379318545996403</v>
      </c>
      <c r="PP29" s="23">
        <v>7.1129880569893649</v>
      </c>
      <c r="PQ29">
        <v>0</v>
      </c>
      <c r="PR29">
        <v>4.1992478670218523</v>
      </c>
      <c r="PS29">
        <v>4.6804217463258588</v>
      </c>
      <c r="PT29">
        <v>5.1098930354493985</v>
      </c>
      <c r="PU29">
        <v>5.4177144291564181</v>
      </c>
      <c r="PV29">
        <v>0</v>
      </c>
      <c r="PW29">
        <v>10.365350794599429</v>
      </c>
      <c r="PX29">
        <v>10.809688422999599</v>
      </c>
      <c r="PY29">
        <v>10.680873899330644</v>
      </c>
      <c r="PZ29">
        <v>11.064439484602</v>
      </c>
      <c r="QA29">
        <v>0</v>
      </c>
      <c r="QB29" s="23">
        <v>10.782346860568204</v>
      </c>
      <c r="QC29" s="23">
        <v>11.000303652315433</v>
      </c>
      <c r="QD29" s="23">
        <v>12.589875654717044</v>
      </c>
      <c r="QE29" s="23">
        <v>12.895441675497148</v>
      </c>
    </row>
    <row r="30" spans="1:447" x14ac:dyDescent="0.15">
      <c r="A30" s="23" t="s">
        <v>148</v>
      </c>
      <c r="B30" s="7">
        <f>FixedParams!$B$7</f>
        <v>7.7383168700000002</v>
      </c>
      <c r="C30" s="23">
        <f>Sectors!$AH$15-C29-C31</f>
        <v>1.1563769721357744</v>
      </c>
      <c r="D30" s="23">
        <f>Sectors!$BS$15-D29-D31</f>
        <v>1.0368143259165166</v>
      </c>
      <c r="E30" s="23">
        <f>Sectors!$BB$15-E29-E31</f>
        <v>3.8962176080526021</v>
      </c>
      <c r="F30" s="23">
        <f>Sectors!$CM$15-F29-F31</f>
        <v>3.7929841461873295</v>
      </c>
      <c r="H30" s="7">
        <v>7.7383168700000002</v>
      </c>
      <c r="I30" s="23">
        <v>1.1563760485200163</v>
      </c>
      <c r="J30" s="23">
        <v>1.0368145568964025</v>
      </c>
      <c r="K30" s="23">
        <v>2.2376757429129057</v>
      </c>
      <c r="L30" s="23">
        <v>2.1610028344670695</v>
      </c>
      <c r="M30" s="7">
        <v>7.7383168700000002</v>
      </c>
      <c r="N30" s="23">
        <v>1.5177191424808996</v>
      </c>
      <c r="O30" s="23">
        <v>1.4444653618316536</v>
      </c>
      <c r="P30" s="23">
        <v>2.6491462593617499</v>
      </c>
      <c r="Q30" s="23">
        <v>2.5624441778188043</v>
      </c>
      <c r="R30" s="7">
        <v>7.7383168700000002</v>
      </c>
      <c r="S30" s="23">
        <v>1.9244394709979815</v>
      </c>
      <c r="T30" s="23">
        <v>1.7692356193953458</v>
      </c>
      <c r="U30" s="23">
        <v>3.1000035610934162</v>
      </c>
      <c r="V30" s="23">
        <v>3.0031629928580372</v>
      </c>
      <c r="W30" s="7">
        <v>7.7383168700000002</v>
      </c>
      <c r="X30" s="23">
        <v>2.2990451732387456</v>
      </c>
      <c r="Y30" s="23">
        <v>2.2047785286736641</v>
      </c>
      <c r="Z30" s="23">
        <v>3.4897743321796852</v>
      </c>
      <c r="AA30" s="23">
        <v>3.383952668680891</v>
      </c>
      <c r="AB30" s="7">
        <v>7.7383168700000002</v>
      </c>
      <c r="AC30" s="23">
        <v>2.6237070242618188</v>
      </c>
      <c r="AD30" s="23">
        <v>2.5205725694004499</v>
      </c>
      <c r="AE30" s="23">
        <v>3.8962545385693375</v>
      </c>
      <c r="AF30" s="23">
        <v>3.7929844431923501</v>
      </c>
      <c r="AG30" s="7">
        <v>7.7383168700000002</v>
      </c>
      <c r="AH30" s="23">
        <v>2.9747437020815752</v>
      </c>
      <c r="AI30" s="23">
        <v>2.9534993176014979</v>
      </c>
      <c r="AJ30" s="23">
        <v>4.2400349768421535</v>
      </c>
      <c r="AK30" s="23">
        <v>4.1172178738655063</v>
      </c>
      <c r="AL30" s="7">
        <v>7.7383168700000002</v>
      </c>
      <c r="AM30" s="23">
        <v>3.2557978140640103</v>
      </c>
      <c r="AN30" s="23">
        <v>3.232627197483481</v>
      </c>
      <c r="AO30" s="23">
        <v>4.5911224623728728</v>
      </c>
      <c r="AP30" s="23">
        <v>4.5814082281690318</v>
      </c>
      <c r="AQ30" s="7">
        <v>7.7383168700000002</v>
      </c>
      <c r="AR30" s="23">
        <v>3.2533712721060795</v>
      </c>
      <c r="AS30" s="23">
        <v>3.2320280031176765</v>
      </c>
      <c r="AT30" s="23">
        <v>4.9614006554488768</v>
      </c>
      <c r="AU30" s="23">
        <v>4.9490021864626641</v>
      </c>
      <c r="AV30" s="7">
        <v>7.7383168700000002</v>
      </c>
      <c r="AW30" s="23">
        <v>3.2509949388089154</v>
      </c>
      <c r="AX30" s="23">
        <v>3.2314720009306228</v>
      </c>
      <c r="AY30" s="23">
        <v>5.3540750214821173</v>
      </c>
      <c r="AZ30" s="23">
        <v>5.2018263092700536</v>
      </c>
      <c r="BA30" s="7">
        <v>7.7383168700000002</v>
      </c>
      <c r="BB30" s="23">
        <v>3.2486682264109561</v>
      </c>
      <c r="BC30" s="23">
        <v>3.2310225275040381</v>
      </c>
      <c r="BD30" s="23">
        <v>5.3513305104126019</v>
      </c>
      <c r="BE30" s="23">
        <v>5.3382054452159764</v>
      </c>
      <c r="BF30" s="7">
        <v>7.7383168700000002</v>
      </c>
      <c r="BG30" s="23">
        <v>3.2463784458407048</v>
      </c>
      <c r="BH30" s="23">
        <v>3.2305048202195366</v>
      </c>
      <c r="BI30" s="23">
        <v>5.3486488414231488</v>
      </c>
      <c r="BJ30" s="23">
        <v>5.3378864649028657</v>
      </c>
      <c r="BK30" s="7">
        <v>7.7383168700000002</v>
      </c>
      <c r="BL30" s="23">
        <v>3.3373727671743154</v>
      </c>
      <c r="BM30" s="23">
        <v>3.3284838495680305</v>
      </c>
      <c r="BN30" s="23">
        <v>5.3380512187844786</v>
      </c>
      <c r="BO30" s="23">
        <v>5.336927309890207</v>
      </c>
      <c r="BP30" s="7">
        <v>7.7383168700000002</v>
      </c>
      <c r="BQ30" s="23">
        <v>3.3292489747632885</v>
      </c>
      <c r="BR30" s="23">
        <v>3.32746979178971</v>
      </c>
      <c r="BS30" s="23">
        <v>5.3279159956913347</v>
      </c>
      <c r="BT30" s="23">
        <v>5.3363930009047706</v>
      </c>
      <c r="BU30" s="7">
        <v>7.7383168700000002</v>
      </c>
      <c r="BV30" s="23">
        <v>2.9054065491778118</v>
      </c>
      <c r="BW30" s="23">
        <v>2.9042554135069807</v>
      </c>
      <c r="BX30" s="23">
        <v>3.670350526645187</v>
      </c>
      <c r="BY30" s="23">
        <v>3.5779185063559353</v>
      </c>
      <c r="BZ30" s="7">
        <v>7.7383168700000002</v>
      </c>
      <c r="CA30" s="23">
        <v>3.3832868169256969</v>
      </c>
      <c r="CB30" s="23">
        <v>3.277793640972142</v>
      </c>
      <c r="CC30" s="23">
        <v>4.1071267067605</v>
      </c>
      <c r="CD30" s="23">
        <v>4.0051667919613081</v>
      </c>
      <c r="CE30" s="7">
        <v>7.7383168700000002</v>
      </c>
      <c r="CF30" s="23">
        <v>3.7964917240359455</v>
      </c>
      <c r="CG30" s="23">
        <v>3.6813560543653878</v>
      </c>
      <c r="CH30" s="23">
        <v>4.449906464840744</v>
      </c>
      <c r="CI30" s="23">
        <v>4.4619982892592063</v>
      </c>
      <c r="CJ30" s="7">
        <v>7.7383168700000002</v>
      </c>
      <c r="CK30" s="23">
        <v>4.1219141888783639</v>
      </c>
      <c r="CL30" s="23">
        <v>4.1137674357495371</v>
      </c>
      <c r="CM30" s="23">
        <v>4.9438741300061366</v>
      </c>
      <c r="CN30" s="23">
        <v>4.8214509998903807</v>
      </c>
      <c r="CO30" s="7">
        <v>7.7383168700000002</v>
      </c>
      <c r="CP30" s="23">
        <v>4.5884308710836166</v>
      </c>
      <c r="CQ30" s="23">
        <v>4.4535338991489439</v>
      </c>
      <c r="CR30" s="23">
        <v>5.33109151473937</v>
      </c>
      <c r="CS30" s="23">
        <v>5.2009264795462897</v>
      </c>
      <c r="CT30" s="7">
        <v>7.7383168700000002</v>
      </c>
      <c r="CU30" s="23">
        <v>4.9573029217455868</v>
      </c>
      <c r="CV30" s="23">
        <v>4.8129826534042337</v>
      </c>
      <c r="CW30" s="23">
        <v>5.7398395252695593</v>
      </c>
      <c r="CX30" s="23">
        <v>5.5995764803100272</v>
      </c>
      <c r="CY30" s="7">
        <v>7.7383168700000002</v>
      </c>
      <c r="CZ30" s="23">
        <v>5.3460528691549385</v>
      </c>
      <c r="DA30" s="23">
        <v>5.1936071855873465</v>
      </c>
      <c r="DB30" s="23">
        <v>6.0189406803152536</v>
      </c>
      <c r="DC30" s="23">
        <v>6.0207824997004096</v>
      </c>
      <c r="DD30" s="7">
        <v>7.7383168700000002</v>
      </c>
      <c r="DE30" s="23">
        <v>5.6120043272846658</v>
      </c>
      <c r="DF30" s="23">
        <v>5.5933015757048281</v>
      </c>
      <c r="DG30" s="23">
        <v>6.4653318585456745</v>
      </c>
      <c r="DH30" s="23">
        <v>6.3062570973437531</v>
      </c>
      <c r="DI30" s="7">
        <v>7.7383168700000002</v>
      </c>
      <c r="DJ30" s="23">
        <v>6.0379601467855792</v>
      </c>
      <c r="DK30" s="23">
        <v>6.0156161073237868</v>
      </c>
      <c r="DL30" s="23">
        <v>6.7699099690741136</v>
      </c>
      <c r="DM30" s="23">
        <v>6.764921769143136</v>
      </c>
      <c r="DN30" s="7">
        <v>7.7383168700000002</v>
      </c>
      <c r="DO30" s="23">
        <v>6.479917727798302</v>
      </c>
      <c r="DP30" s="23">
        <v>6.4547537448308887</v>
      </c>
      <c r="DQ30" s="23">
        <v>7.5917723296858952</v>
      </c>
      <c r="DR30" s="23">
        <v>7.4029154644995501</v>
      </c>
      <c r="DS30" s="7">
        <v>7.7383168700000002</v>
      </c>
      <c r="DT30" s="23">
        <v>6.4685062560129012</v>
      </c>
      <c r="DU30" s="23">
        <v>6.4542489600617401</v>
      </c>
      <c r="DV30" s="23">
        <v>7.9301497531017233</v>
      </c>
      <c r="DW30" s="23">
        <v>7.7384757333144876</v>
      </c>
      <c r="DX30" s="7">
        <v>7.7383168700000002</v>
      </c>
      <c r="DY30" s="23">
        <v>6.4574046295290799</v>
      </c>
      <c r="DZ30" s="23">
        <v>6.4539343749983971</v>
      </c>
      <c r="EA30" s="23">
        <v>7.7344965607701397</v>
      </c>
      <c r="EB30" s="23">
        <v>7.7383485115138129</v>
      </c>
      <c r="EC30" s="7">
        <v>7.7383168700000002</v>
      </c>
      <c r="ED30" s="23">
        <v>1.1559363838187693</v>
      </c>
      <c r="EE30" s="23">
        <v>1.0916746004647706</v>
      </c>
      <c r="EF30" s="23">
        <v>2.2336098053606648</v>
      </c>
      <c r="EG30" s="23">
        <v>2.1519490508638626</v>
      </c>
      <c r="EH30" s="7">
        <v>7.7383168700000002</v>
      </c>
      <c r="EI30" s="23">
        <v>1.5183660454586771</v>
      </c>
      <c r="EJ30" s="23">
        <v>1.444261287162476</v>
      </c>
      <c r="EK30" s="23">
        <v>2.6451910718240939</v>
      </c>
      <c r="EL30" s="23">
        <v>2.5542528189818654</v>
      </c>
      <c r="EM30" s="7">
        <v>7.7383168700000002</v>
      </c>
      <c r="EN30" s="23">
        <v>1.9256088232101973</v>
      </c>
      <c r="EO30" s="23">
        <v>1.8406192802895944</v>
      </c>
      <c r="EP30" s="23">
        <v>3.0967048872274034</v>
      </c>
      <c r="EQ30" s="23">
        <v>2.9963612264425237</v>
      </c>
      <c r="ER30" s="7">
        <v>7.7383168700000002</v>
      </c>
      <c r="ES30" s="23">
        <v>2.3018092293292085</v>
      </c>
      <c r="ET30" s="23">
        <v>2.2064099029006456</v>
      </c>
      <c r="EU30" s="23">
        <v>3.4874475607033304</v>
      </c>
      <c r="EV30" s="23">
        <v>3.3772566513690734</v>
      </c>
      <c r="EW30" s="7">
        <v>7.7383168700000002</v>
      </c>
      <c r="EX30" s="23">
        <v>2.460335707908385</v>
      </c>
      <c r="EY30" s="23">
        <v>2.4430417241734546</v>
      </c>
      <c r="EZ30" s="23">
        <v>3.9079050960300705</v>
      </c>
      <c r="FA30" s="23">
        <v>3.7881219844525944</v>
      </c>
      <c r="FB30" s="7">
        <v>7.7383168700000002</v>
      </c>
      <c r="FC30" s="23">
        <v>2.5409767891010944</v>
      </c>
      <c r="FD30" s="23">
        <v>2.5243417394411836</v>
      </c>
      <c r="FE30" s="23">
        <v>4.2414550078784927</v>
      </c>
      <c r="FF30" s="23">
        <v>4.1137970392832415</v>
      </c>
      <c r="FG30" s="7">
        <v>7.7383168700000002</v>
      </c>
      <c r="FH30" s="23">
        <v>2.6231772893857652</v>
      </c>
      <c r="FI30" s="23">
        <v>2.6072539544975797</v>
      </c>
      <c r="FJ30" s="23">
        <v>4.4730326726103797</v>
      </c>
      <c r="FK30" s="23">
        <v>4.4607241018205457</v>
      </c>
      <c r="FL30" s="7">
        <v>7.7383168700000002</v>
      </c>
      <c r="FM30" s="23">
        <v>2.7069595752506643</v>
      </c>
      <c r="FN30" s="23">
        <v>2.6918063191497765</v>
      </c>
      <c r="FO30" s="23">
        <v>4.5917037646453096</v>
      </c>
      <c r="FP30" s="23">
        <v>4.581079820175006</v>
      </c>
      <c r="FQ30" s="7">
        <v>7.7383168700000002</v>
      </c>
      <c r="FR30" s="23">
        <v>2.792359551617082</v>
      </c>
      <c r="FS30" s="23">
        <v>2.77805563164776</v>
      </c>
      <c r="FT30" s="23">
        <v>4.5867010109001853</v>
      </c>
      <c r="FU30" s="23">
        <v>4.5776078846863228</v>
      </c>
      <c r="FV30" s="7">
        <v>7.7383168700000002</v>
      </c>
      <c r="FW30" s="23">
        <v>2.9681119329920449</v>
      </c>
      <c r="FX30" s="23">
        <v>2.9555883988318925</v>
      </c>
      <c r="FY30" s="23">
        <v>4.8305899206000049</v>
      </c>
      <c r="FZ30" s="23">
        <v>4.6969052371481581</v>
      </c>
      <c r="GA30" s="7">
        <v>7.7383168700000002</v>
      </c>
      <c r="GB30" s="23">
        <v>3.2405709544586614</v>
      </c>
      <c r="GC30" s="23">
        <v>3.2324642928609109</v>
      </c>
      <c r="GD30" s="23">
        <v>5.073552834054901</v>
      </c>
      <c r="GE30" s="23">
        <v>5.0755634553479325</v>
      </c>
      <c r="GF30" s="7">
        <v>7.7383168700000002</v>
      </c>
      <c r="GG30" s="23">
        <v>3.4257407459138136</v>
      </c>
      <c r="GH30" s="23">
        <v>3.4227161414154779</v>
      </c>
      <c r="GI30" s="23">
        <v>5.32572617605625</v>
      </c>
      <c r="GJ30" s="23">
        <v>5.3356632779300455</v>
      </c>
      <c r="GK30" s="7">
        <v>7.7383168700000002</v>
      </c>
      <c r="GL30" s="23">
        <v>1.156376277142229</v>
      </c>
      <c r="GM30" s="23">
        <v>1.036814527688243</v>
      </c>
      <c r="GN30" s="23">
        <v>3.8962545385693375</v>
      </c>
      <c r="GO30" s="23">
        <v>3.7929844431923527</v>
      </c>
      <c r="GP30" s="7">
        <v>7.7383168700000002</v>
      </c>
      <c r="GQ30" s="23">
        <v>1.1502886123488025</v>
      </c>
      <c r="GR30" s="23">
        <v>1.0289156236933934</v>
      </c>
      <c r="GS30" s="23">
        <v>3.7646954982789538</v>
      </c>
      <c r="GT30" s="23">
        <v>3.6549549782704958</v>
      </c>
      <c r="GU30" s="7">
        <v>7.7383168700000002</v>
      </c>
      <c r="GV30" s="23">
        <v>0.93358615620739727</v>
      </c>
      <c r="GW30" s="23">
        <v>0.80458775876697786</v>
      </c>
      <c r="GX30" s="23">
        <v>3.602756402327266</v>
      </c>
      <c r="GY30" s="23">
        <v>3.4291154093740559</v>
      </c>
      <c r="GZ30" s="7">
        <v>7.7383168700000002</v>
      </c>
      <c r="HA30" s="23">
        <v>0.94455960682256546</v>
      </c>
      <c r="HB30" s="23">
        <v>0.86998746239305547</v>
      </c>
      <c r="HC30" s="23">
        <v>3.7635278416052671</v>
      </c>
      <c r="HD30" s="23">
        <v>3.6032890742391217</v>
      </c>
      <c r="HE30" s="7">
        <v>7.7383168700000002</v>
      </c>
      <c r="HF30" s="23">
        <v>2.5320829926656856</v>
      </c>
      <c r="HG30" s="23">
        <v>2.38637632908857</v>
      </c>
      <c r="HH30" s="23">
        <v>3.6157841057684905</v>
      </c>
      <c r="HI30" s="23">
        <v>3.4291155754300036</v>
      </c>
      <c r="HJ30" s="7">
        <v>7.7383168700000002</v>
      </c>
      <c r="HK30" s="23">
        <v>3.8226761236767075</v>
      </c>
      <c r="HL30" s="23">
        <v>3.6951770269161059</v>
      </c>
      <c r="HM30" s="23">
        <v>5.3584521920348394</v>
      </c>
      <c r="HN30" s="23">
        <v>5.3743678024729107</v>
      </c>
      <c r="HO30">
        <v>7.7383168700000002</v>
      </c>
      <c r="HP30">
        <v>2.5921762998158258</v>
      </c>
      <c r="HQ30">
        <v>2.4950616366079998</v>
      </c>
      <c r="HR30">
        <v>4.7155858776515842</v>
      </c>
      <c r="HS30">
        <v>4.6012441675344391</v>
      </c>
      <c r="HT30">
        <v>7.7383168700000002</v>
      </c>
      <c r="HU30">
        <v>1.4113232061969967</v>
      </c>
      <c r="HV30">
        <v>1.2822880327994426</v>
      </c>
      <c r="HW30">
        <v>4.0085644280752319</v>
      </c>
      <c r="HX30">
        <v>3.9040625373520541</v>
      </c>
      <c r="HY30">
        <v>7.7383168700000002</v>
      </c>
      <c r="HZ30">
        <v>0</v>
      </c>
      <c r="IA30">
        <v>0</v>
      </c>
      <c r="IB30">
        <v>2.8610496049908036</v>
      </c>
      <c r="IC30">
        <v>2.7743423056275773</v>
      </c>
      <c r="ID30">
        <v>7.7383168700000002</v>
      </c>
      <c r="IE30">
        <v>1.1615099949289771</v>
      </c>
      <c r="IF30">
        <v>1.040622211415851</v>
      </c>
      <c r="IG30">
        <v>3.9050378720580383</v>
      </c>
      <c r="IH30">
        <v>3.799467558353534</v>
      </c>
      <c r="II30">
        <v>7.7383168700000002</v>
      </c>
      <c r="IJ30">
        <v>1.1666751489285332</v>
      </c>
      <c r="IK30">
        <v>1.0444900005896898</v>
      </c>
      <c r="IL30">
        <v>3.8020096842474587</v>
      </c>
      <c r="IM30">
        <v>3.8064581887969382</v>
      </c>
      <c r="IN30">
        <v>7.7383168700000002</v>
      </c>
      <c r="IO30" s="86">
        <v>1.1741899828479632</v>
      </c>
      <c r="IP30">
        <v>1.0480324652325024</v>
      </c>
      <c r="IQ30">
        <v>3.8166939137146301</v>
      </c>
      <c r="IR30">
        <v>3.8107673062070333</v>
      </c>
      <c r="IS30">
        <v>7.7383168700000002</v>
      </c>
      <c r="IT30">
        <v>1.1768557133930742</v>
      </c>
      <c r="IU30">
        <v>1.0521820339936667</v>
      </c>
      <c r="IV30">
        <v>3.8186385225777784</v>
      </c>
      <c r="IW30">
        <v>3.7080110014227898</v>
      </c>
      <c r="IX30">
        <v>7.7383168700000002</v>
      </c>
      <c r="IY30">
        <v>1.1572395521158398</v>
      </c>
      <c r="IZ30">
        <v>1.0946362087576986</v>
      </c>
      <c r="JA30">
        <v>3.9047144242693719</v>
      </c>
      <c r="JB30">
        <v>3.8038192197369227</v>
      </c>
      <c r="JC30">
        <v>7.7383168700000002</v>
      </c>
      <c r="JD30">
        <v>1.1459397662188593</v>
      </c>
      <c r="JE30">
        <v>1.0852297645430014</v>
      </c>
      <c r="JF30">
        <v>3.8790808027512043</v>
      </c>
      <c r="JG30">
        <v>3.7811392882192365</v>
      </c>
      <c r="JH30">
        <v>7.7383168700000002</v>
      </c>
      <c r="JI30">
        <v>1.1353237595830379</v>
      </c>
      <c r="JJ30">
        <v>1.0766163469421244</v>
      </c>
      <c r="JK30">
        <v>3.8614684479795471</v>
      </c>
      <c r="JL30">
        <v>3.7696697067957814</v>
      </c>
      <c r="JM30">
        <v>7.7383168700000002</v>
      </c>
      <c r="JN30">
        <v>4.269922755466709</v>
      </c>
      <c r="JO30">
        <v>4.248712334060798</v>
      </c>
      <c r="JP30">
        <v>5.7853362874750545</v>
      </c>
      <c r="JQ30">
        <v>5.8039125842928598</v>
      </c>
      <c r="JR30">
        <v>7.7383168700000002</v>
      </c>
      <c r="JS30">
        <v>3.0323107084740855</v>
      </c>
      <c r="JT30">
        <v>2.9248666685889901</v>
      </c>
      <c r="JU30">
        <v>4.9674235204331509</v>
      </c>
      <c r="JV30">
        <v>4.849641609992922</v>
      </c>
      <c r="JW30">
        <v>7.7383168700000002</v>
      </c>
      <c r="JX30">
        <v>1.8170361908494854</v>
      </c>
      <c r="JY30">
        <v>1.73817031225704</v>
      </c>
      <c r="JZ30">
        <v>4.236336739528447</v>
      </c>
      <c r="KA30">
        <v>4.1299833651346134</v>
      </c>
      <c r="KB30">
        <v>7.7383168700000002</v>
      </c>
      <c r="KC30">
        <v>0.56302032835553462</v>
      </c>
      <c r="KD30">
        <v>0.51399674247573301</v>
      </c>
      <c r="KE30">
        <v>3.4642392951196541</v>
      </c>
      <c r="KF30">
        <v>3.3669730239860414</v>
      </c>
      <c r="KG30">
        <v>7.7383168700000002</v>
      </c>
      <c r="KH30">
        <v>0</v>
      </c>
      <c r="KI30">
        <v>0</v>
      </c>
      <c r="KJ30">
        <v>2.4850860186170678</v>
      </c>
      <c r="KK30">
        <v>2.4012005960926075</v>
      </c>
      <c r="KL30">
        <v>7.7383168700000002</v>
      </c>
      <c r="KM30">
        <v>1.0963736559144479</v>
      </c>
      <c r="KN30">
        <v>1.0368143574101651</v>
      </c>
      <c r="KO30">
        <v>3.7859077425640564</v>
      </c>
      <c r="KP30">
        <v>3.7929835537994023</v>
      </c>
      <c r="KQ30">
        <v>7.7383168700000002</v>
      </c>
      <c r="KR30">
        <v>1.0963737448103785</v>
      </c>
      <c r="KS30">
        <v>1.0368143574101651</v>
      </c>
      <c r="KT30">
        <v>3.785908028055978</v>
      </c>
      <c r="KU30">
        <v>3.7929835537994023</v>
      </c>
      <c r="KV30">
        <v>7.7383168700000002</v>
      </c>
      <c r="KW30">
        <v>1.1549094819647934</v>
      </c>
      <c r="KX30">
        <v>1.0368143574101651</v>
      </c>
      <c r="KY30">
        <v>3.7857140973092456</v>
      </c>
      <c r="KZ30">
        <v>3.7929835537994023</v>
      </c>
      <c r="LA30">
        <v>7.7383168700000002</v>
      </c>
      <c r="LB30">
        <v>1.1573674833711749</v>
      </c>
      <c r="LC30">
        <v>1.0368143574101651</v>
      </c>
      <c r="LD30">
        <v>3.8967007429220502</v>
      </c>
      <c r="LE30">
        <v>3.7929835537994023</v>
      </c>
      <c r="LF30">
        <v>7.7383168700000002</v>
      </c>
      <c r="LG30">
        <v>1.1587061793589299</v>
      </c>
      <c r="LH30">
        <v>1.0368143574101651</v>
      </c>
      <c r="LI30">
        <v>3.8973819385848785</v>
      </c>
      <c r="LJ30">
        <v>3.7929835537994023</v>
      </c>
      <c r="LK30">
        <v>7.7383168700000002</v>
      </c>
      <c r="LL30">
        <v>1.0956250156935852</v>
      </c>
      <c r="LM30">
        <v>1.0368143574101651</v>
      </c>
      <c r="LN30">
        <v>3.7874126511762469</v>
      </c>
      <c r="LO30">
        <v>3.7929835537994023</v>
      </c>
      <c r="LP30">
        <v>7.7383168700000002</v>
      </c>
      <c r="LQ30">
        <v>1.2633649815371726</v>
      </c>
      <c r="LR30">
        <v>1.1391754583038605</v>
      </c>
      <c r="LS30">
        <v>3.9801829750432276</v>
      </c>
      <c r="LT30">
        <v>3.8754615829197121</v>
      </c>
      <c r="LU30">
        <v>7.7383168700000002</v>
      </c>
      <c r="LV30">
        <v>1.3734091354477798</v>
      </c>
      <c r="LW30">
        <v>1.2444557178359901</v>
      </c>
      <c r="LX30">
        <v>4.065010825982796</v>
      </c>
      <c r="LY30">
        <v>3.9595409874071095</v>
      </c>
      <c r="LZ30">
        <v>7.7383168700000002</v>
      </c>
      <c r="MA30">
        <v>1.4235005618808572</v>
      </c>
      <c r="MB30">
        <v>1.3526844336202544</v>
      </c>
      <c r="MC30">
        <v>4.1507293400182448</v>
      </c>
      <c r="MD30">
        <v>4.0444870444247982</v>
      </c>
      <c r="ME30">
        <v>7.7383168700000002</v>
      </c>
      <c r="MF30">
        <v>5.3929749457037417</v>
      </c>
      <c r="MG30">
        <v>5.2311109379648215</v>
      </c>
      <c r="MH30">
        <v>6.3789916697598485</v>
      </c>
      <c r="MI30">
        <v>6.4013391470113348</v>
      </c>
      <c r="MJ30">
        <v>7.7383168700000002</v>
      </c>
      <c r="MK30">
        <v>0</v>
      </c>
      <c r="ML30">
        <v>0</v>
      </c>
      <c r="MM30">
        <v>1.3605156175633439</v>
      </c>
      <c r="MN30">
        <v>1.2265251915263633</v>
      </c>
      <c r="MO30">
        <v>7.7383168700000002</v>
      </c>
      <c r="MP30">
        <v>1.1849591779903648</v>
      </c>
      <c r="MQ30">
        <v>1.1274555671772788</v>
      </c>
      <c r="MR30">
        <v>3.8451175910534374</v>
      </c>
      <c r="MS30">
        <v>3.8688288276174561</v>
      </c>
      <c r="MT30">
        <v>7.7383168700000002</v>
      </c>
      <c r="MU30">
        <v>1.1159135781842124</v>
      </c>
      <c r="MV30">
        <v>1.118550098404917</v>
      </c>
      <c r="MW30">
        <v>3.8242039078463748</v>
      </c>
      <c r="MX30">
        <v>3.8554958189958413</v>
      </c>
      <c r="MY30">
        <v>7.7383168700000002</v>
      </c>
      <c r="MZ30">
        <v>1.1029840536425297</v>
      </c>
      <c r="NA30">
        <v>1.1089842414977369</v>
      </c>
      <c r="NB30">
        <v>3.8000477273910889</v>
      </c>
      <c r="NC30">
        <v>3.8397814517970517</v>
      </c>
      <c r="ND30">
        <v>7.7383168700000002</v>
      </c>
      <c r="NE30">
        <v>1.1869129644326719</v>
      </c>
      <c r="NF30">
        <v>1.0607252998662702</v>
      </c>
      <c r="NG30">
        <v>3.8345401705874025</v>
      </c>
      <c r="NH30">
        <v>3.72177819473103</v>
      </c>
      <c r="NI30">
        <v>7.7383168700000002</v>
      </c>
      <c r="NJ30">
        <v>1.1968942472646873</v>
      </c>
      <c r="NK30">
        <v>1.0686140161628686</v>
      </c>
      <c r="NL30">
        <v>3.8509454449205762</v>
      </c>
      <c r="NM30">
        <v>3.7340582857891107</v>
      </c>
      <c r="NN30">
        <v>7.7383168700000002</v>
      </c>
      <c r="NO30">
        <v>1.2067985169022961</v>
      </c>
      <c r="NP30">
        <v>1.0765316408453742</v>
      </c>
      <c r="NQ30">
        <v>3.867474899217612</v>
      </c>
      <c r="NR30">
        <v>3.7486500543028853</v>
      </c>
      <c r="NS30">
        <v>7.7383168700000002</v>
      </c>
      <c r="NT30">
        <v>1.0956249509621969</v>
      </c>
      <c r="NU30">
        <v>1.0368143459872954</v>
      </c>
      <c r="NV30">
        <v>3.7874127513036058</v>
      </c>
      <c r="NW30">
        <v>3.7929834832810272</v>
      </c>
      <c r="NX30">
        <v>7.7383168700000002</v>
      </c>
      <c r="NY30">
        <v>1.1593487430823117</v>
      </c>
      <c r="NZ30">
        <v>1.0368100111839809</v>
      </c>
      <c r="OA30">
        <v>3.8974035392810862</v>
      </c>
      <c r="OB30">
        <v>3.7929817855045656</v>
      </c>
      <c r="OC30">
        <v>7.7383168700000002</v>
      </c>
      <c r="OD30">
        <v>1.2209187442770855</v>
      </c>
      <c r="OE30">
        <v>1.0368143055714967</v>
      </c>
      <c r="OF30">
        <v>3.8992306882532333</v>
      </c>
      <c r="OG30">
        <v>3.7929834181849813</v>
      </c>
      <c r="OH30">
        <v>7.7383168700000002</v>
      </c>
      <c r="OI30">
        <v>1.1299394961821037</v>
      </c>
      <c r="OJ30">
        <v>1.0726838063592368</v>
      </c>
      <c r="OK30">
        <v>3.8524618398840929</v>
      </c>
      <c r="OL30">
        <v>3.7639282110728729</v>
      </c>
      <c r="OM30">
        <v>7.7383168700000002</v>
      </c>
      <c r="ON30">
        <v>1.1818914345175244</v>
      </c>
      <c r="OO30">
        <v>1.0580962164106893</v>
      </c>
      <c r="OP30">
        <v>3.8266220735347787</v>
      </c>
      <c r="OQ30">
        <v>3.7149727700927784</v>
      </c>
      <c r="OR30">
        <v>7.7383168700000002</v>
      </c>
      <c r="OS30">
        <v>1.0521881897085663</v>
      </c>
      <c r="OT30">
        <v>0.93628488389764186</v>
      </c>
      <c r="OU30">
        <v>3.7048052228741284</v>
      </c>
      <c r="OV30">
        <v>3.7094920821015265</v>
      </c>
      <c r="OW30">
        <v>7.7383168700000002</v>
      </c>
      <c r="OX30">
        <v>0.95081220068355776</v>
      </c>
      <c r="OY30">
        <v>0.8925842933235586</v>
      </c>
      <c r="OZ30">
        <v>3.6234190368781185</v>
      </c>
      <c r="PA30">
        <v>3.5249094100073535</v>
      </c>
      <c r="PB30">
        <v>7.7383168700000002</v>
      </c>
      <c r="PC30">
        <v>1.0078852163157279</v>
      </c>
      <c r="PD30">
        <v>0.94795136158245441</v>
      </c>
      <c r="PE30">
        <v>3.7372155352741672</v>
      </c>
      <c r="PF30">
        <v>3.6367059661917409</v>
      </c>
      <c r="PG30">
        <v>7.7383168700000002</v>
      </c>
      <c r="PH30">
        <v>1.3179975980756495</v>
      </c>
      <c r="PI30">
        <v>1.1914334725184546</v>
      </c>
      <c r="PJ30">
        <v>3.9659980962880752</v>
      </c>
      <c r="PK30">
        <v>3.8613385059001004</v>
      </c>
      <c r="PL30" s="7">
        <v>7.7383168700000002</v>
      </c>
      <c r="PM30" s="23">
        <v>3.6126075001255273</v>
      </c>
      <c r="PN30" s="23">
        <v>3.597358072271021</v>
      </c>
      <c r="PO30" s="23">
        <v>5.3638119621665368</v>
      </c>
      <c r="PP30" s="23">
        <v>5.3795065085779541</v>
      </c>
      <c r="PQ30">
        <v>7.7383168700000002</v>
      </c>
      <c r="PR30">
        <v>6.0520321331153752</v>
      </c>
      <c r="PS30">
        <v>6.0265677572356182</v>
      </c>
      <c r="PT30">
        <v>6.7929691182089584</v>
      </c>
      <c r="PU30">
        <v>6.8158161537757991</v>
      </c>
      <c r="PV30">
        <v>7.7383168700000002</v>
      </c>
      <c r="PW30">
        <v>0</v>
      </c>
      <c r="PX30">
        <v>0</v>
      </c>
      <c r="PY30">
        <v>1.7412529487972037</v>
      </c>
      <c r="PZ30">
        <v>1.6686837516124271</v>
      </c>
      <c r="QA30" s="7">
        <v>7.7383168700000002</v>
      </c>
      <c r="QB30" s="23">
        <v>0</v>
      </c>
      <c r="QC30" s="23">
        <v>0</v>
      </c>
      <c r="QD30" s="23">
        <v>0</v>
      </c>
      <c r="QE30" s="23">
        <v>0</v>
      </c>
    </row>
    <row r="31" spans="1:447" x14ac:dyDescent="0.15">
      <c r="A31" s="23" t="s">
        <v>149</v>
      </c>
      <c r="B31" s="7">
        <f>FixedParams!$B$6-B30</f>
        <v>59.793367389999993</v>
      </c>
      <c r="C31" s="23">
        <f>SUMPRODUCT(Sectors!$AB$17:$AB$217,Sectors!$AH$17:$AH$217)/COUNT(Sectors!$AB$17:$AB$217)</f>
        <v>56.810162671833055</v>
      </c>
      <c r="D31" s="23">
        <f>SUMPRODUCT(Sectors!$BM$17:$BM$217,Sectors!$BS$17:$BS$217)/COUNT(Sectors!$BM$17:$BM$217)</f>
        <v>56.886550549908399</v>
      </c>
      <c r="E31" s="23">
        <f>SUMPRODUCT(Sectors!$AV$17:$AV$217,Sectors!$BB$17:$BB$217)/COUNT(Sectors!$AV$17:$AV$217)</f>
        <v>54.620242720149228</v>
      </c>
      <c r="F31" s="23">
        <f>SUMPRODUCT(Sectors!$CG$17:$CG$217,Sectors!$CM$17:$CM$217)/COUNT(Sectors!$CG$17:$CG$217)</f>
        <v>54.938064948479891</v>
      </c>
      <c r="H31" s="7">
        <v>59.793367389999993</v>
      </c>
      <c r="I31" s="23">
        <v>56.810141335578692</v>
      </c>
      <c r="J31" s="23">
        <v>56.886561458684874</v>
      </c>
      <c r="K31" s="23">
        <v>47.095399660936828</v>
      </c>
      <c r="L31" s="23">
        <v>46.776058750489511</v>
      </c>
      <c r="M31" s="7">
        <v>59.793367389999993</v>
      </c>
      <c r="N31" s="23">
        <v>58.339881880658631</v>
      </c>
      <c r="O31" s="23">
        <v>58.212044448830873</v>
      </c>
      <c r="P31" s="23">
        <v>48.946544496124439</v>
      </c>
      <c r="Q31" s="23">
        <v>49.04393301793047</v>
      </c>
      <c r="R31" s="7">
        <v>59.793367389999993</v>
      </c>
      <c r="S31" s="23">
        <v>59.510179347810791</v>
      </c>
      <c r="T31" s="23">
        <v>59.594530854338679</v>
      </c>
      <c r="U31" s="23">
        <v>50.986298954741336</v>
      </c>
      <c r="V31" s="23">
        <v>51.103941153178283</v>
      </c>
      <c r="W31" s="7">
        <v>59.793367389999993</v>
      </c>
      <c r="X31" s="23">
        <v>60.894288066165075</v>
      </c>
      <c r="Y31" s="23">
        <v>60.814870524792589</v>
      </c>
      <c r="Z31" s="23">
        <v>52.842814086325795</v>
      </c>
      <c r="AA31" s="23">
        <v>52.974614104151385</v>
      </c>
      <c r="AB31" s="7">
        <v>59.793367389999993</v>
      </c>
      <c r="AC31" s="23">
        <v>62.23304071126995</v>
      </c>
      <c r="AD31" s="23">
        <v>62.174861367702455</v>
      </c>
      <c r="AE31" s="23">
        <v>54.620808413198006</v>
      </c>
      <c r="AF31" s="23">
        <v>54.9380687449774</v>
      </c>
      <c r="AG31" s="7">
        <v>59.793367389999993</v>
      </c>
      <c r="AH31" s="23">
        <v>63.367799746596681</v>
      </c>
      <c r="AI31" s="23">
        <v>63.442371468741101</v>
      </c>
      <c r="AJ31" s="23">
        <v>56.770631407980375</v>
      </c>
      <c r="AK31" s="23">
        <v>56.685743214005328</v>
      </c>
      <c r="AL31" s="7">
        <v>59.793367389999993</v>
      </c>
      <c r="AM31" s="23">
        <v>64.127857804316207</v>
      </c>
      <c r="AN31" s="23">
        <v>64.295556134626025</v>
      </c>
      <c r="AO31" s="23">
        <v>58.500665519727207</v>
      </c>
      <c r="AP31" s="23">
        <v>58.649921648268787</v>
      </c>
      <c r="AQ31" s="7">
        <v>59.793367389999993</v>
      </c>
      <c r="AR31" s="23">
        <v>64.136227605354932</v>
      </c>
      <c r="AS31" s="23">
        <v>64.296329259735998</v>
      </c>
      <c r="AT31" s="23">
        <v>60.355014443023926</v>
      </c>
      <c r="AU31" s="23">
        <v>60.501352417346794</v>
      </c>
      <c r="AV31" s="7">
        <v>59.793367389999993</v>
      </c>
      <c r="AW31" s="23">
        <v>64.144426082487328</v>
      </c>
      <c r="AX31" s="23">
        <v>64.297061500268271</v>
      </c>
      <c r="AY31" s="23">
        <v>61.910354691896686</v>
      </c>
      <c r="AZ31" s="23">
        <v>62.190550343139599</v>
      </c>
      <c r="BA31" s="7">
        <v>59.793367389999993</v>
      </c>
      <c r="BB31" s="23">
        <v>64.152497784468224</v>
      </c>
      <c r="BC31" s="23">
        <v>64.298906951184364</v>
      </c>
      <c r="BD31" s="23">
        <v>61.919714910216932</v>
      </c>
      <c r="BE31" s="23">
        <v>62.190685078826817</v>
      </c>
      <c r="BF31" s="7">
        <v>59.793367389999993</v>
      </c>
      <c r="BG31" s="23">
        <v>64.16018484150338</v>
      </c>
      <c r="BH31" s="23">
        <v>64.298803660743189</v>
      </c>
      <c r="BI31" s="23">
        <v>61.929356785830457</v>
      </c>
      <c r="BJ31" s="23">
        <v>62.190774357832552</v>
      </c>
      <c r="BK31" s="7">
        <v>59.793367389999993</v>
      </c>
      <c r="BL31" s="23">
        <v>64.090342401824032</v>
      </c>
      <c r="BM31" s="23">
        <v>64.201976710755361</v>
      </c>
      <c r="BN31" s="23">
        <v>61.964762708333815</v>
      </c>
      <c r="BO31" s="23">
        <v>62.191789920807629</v>
      </c>
      <c r="BP31" s="7">
        <v>59.793367389999993</v>
      </c>
      <c r="BQ31" s="23">
        <v>64.122446039270542</v>
      </c>
      <c r="BR31" s="23">
        <v>64.203613154714475</v>
      </c>
      <c r="BS31" s="23">
        <v>61.999681623272828</v>
      </c>
      <c r="BT31" s="23">
        <v>62.193308728304352</v>
      </c>
      <c r="BU31" s="7">
        <v>59.793367389999993</v>
      </c>
      <c r="BV31" s="23">
        <v>38.143945730305475</v>
      </c>
      <c r="BW31" s="23">
        <v>37.880612190324022</v>
      </c>
      <c r="BX31" s="23">
        <v>23.002311348583497</v>
      </c>
      <c r="BY31" s="23">
        <v>23.23824608170775</v>
      </c>
      <c r="BZ31" s="7">
        <v>59.793367389999993</v>
      </c>
      <c r="CA31" s="23">
        <v>41.13862688786665</v>
      </c>
      <c r="CB31" s="23">
        <v>40.92215644332493</v>
      </c>
      <c r="CC31" s="23">
        <v>27.243035846610336</v>
      </c>
      <c r="CD31" s="23">
        <v>26.809873684106385</v>
      </c>
      <c r="CE31" s="7">
        <v>59.793367389999993</v>
      </c>
      <c r="CF31" s="23">
        <v>43.437424078872532</v>
      </c>
      <c r="CG31" s="23">
        <v>43.252868697527454</v>
      </c>
      <c r="CH31" s="23">
        <v>31.129487878819987</v>
      </c>
      <c r="CI31" s="23">
        <v>30.769777405952198</v>
      </c>
      <c r="CJ31" s="7">
        <v>59.793367389999993</v>
      </c>
      <c r="CK31" s="23">
        <v>45.977605973750272</v>
      </c>
      <c r="CL31" s="23">
        <v>45.824602374376894</v>
      </c>
      <c r="CM31" s="23">
        <v>34.12143102159267</v>
      </c>
      <c r="CN31" s="23">
        <v>34.39917121807219</v>
      </c>
      <c r="CO31" s="7">
        <v>59.793367389999993</v>
      </c>
      <c r="CP31" s="23">
        <v>48.660087348209551</v>
      </c>
      <c r="CQ31" s="23">
        <v>48.538768707731656</v>
      </c>
      <c r="CR31" s="23">
        <v>37.964484150967181</v>
      </c>
      <c r="CS31" s="23">
        <v>37.722081217785608</v>
      </c>
      <c r="CT31" s="7">
        <v>59.793367389999993</v>
      </c>
      <c r="CU31" s="23">
        <v>51.067512773463982</v>
      </c>
      <c r="CV31" s="23">
        <v>50.968895656381939</v>
      </c>
      <c r="CW31" s="23">
        <v>41.43327873363657</v>
      </c>
      <c r="CX31" s="23">
        <v>41.242511936664357</v>
      </c>
      <c r="CY31" s="7">
        <v>59.793367389999993</v>
      </c>
      <c r="CZ31" s="23">
        <v>53.511620742530155</v>
      </c>
      <c r="DA31" s="23">
        <v>53.142763290408325</v>
      </c>
      <c r="DB31" s="23">
        <v>44.561494575489725</v>
      </c>
      <c r="DC31" s="23">
        <v>44.410480571739946</v>
      </c>
      <c r="DD31" s="7">
        <v>59.793367389999993</v>
      </c>
      <c r="DE31" s="23">
        <v>55.656723995087972</v>
      </c>
      <c r="DF31" s="23">
        <v>55.597692316994021</v>
      </c>
      <c r="DG31" s="23">
        <v>47.753318467349523</v>
      </c>
      <c r="DH31" s="23">
        <v>47.640760134981157</v>
      </c>
      <c r="DI31" s="7">
        <v>59.793367389999993</v>
      </c>
      <c r="DJ31" s="23">
        <v>57.978011916319218</v>
      </c>
      <c r="DK31" s="23">
        <v>57.926970822229642</v>
      </c>
      <c r="DL31" s="23">
        <v>50.90738107118765</v>
      </c>
      <c r="DM31" s="23">
        <v>50.824361900826219</v>
      </c>
      <c r="DN31" s="7">
        <v>59.793367389999993</v>
      </c>
      <c r="DO31" s="23">
        <v>60.960001914956784</v>
      </c>
      <c r="DP31" s="23">
        <v>61.074658598504833</v>
      </c>
      <c r="DQ31" s="23">
        <v>56.731614569675571</v>
      </c>
      <c r="DR31" s="23">
        <v>56.692826464145533</v>
      </c>
      <c r="DS31" s="7">
        <v>59.793367389999993</v>
      </c>
      <c r="DT31" s="23">
        <v>60.995185450899413</v>
      </c>
      <c r="DU31" s="23">
        <v>61.075872060417204</v>
      </c>
      <c r="DV31" s="23">
        <v>59.477306833673516</v>
      </c>
      <c r="DW31" s="23">
        <v>59.792155849910628</v>
      </c>
      <c r="DX31" s="7">
        <v>59.793367389999993</v>
      </c>
      <c r="DY31" s="23">
        <v>61.029969752752962</v>
      </c>
      <c r="DZ31" s="23">
        <v>61.076944249636284</v>
      </c>
      <c r="EA31" s="23">
        <v>59.700299061805779</v>
      </c>
      <c r="EB31" s="23">
        <v>59.792900661846836</v>
      </c>
      <c r="EC31" s="7">
        <v>59.793367389999993</v>
      </c>
      <c r="ED31" s="23">
        <v>61.615766763617231</v>
      </c>
      <c r="EE31" s="23">
        <v>61.727444633371178</v>
      </c>
      <c r="EF31" s="23">
        <v>54.739265384543522</v>
      </c>
      <c r="EG31" s="23">
        <v>54.900770150306585</v>
      </c>
      <c r="EH31" s="7">
        <v>59.793367389999993</v>
      </c>
      <c r="EI31" s="23">
        <v>62.721887422175499</v>
      </c>
      <c r="EJ31" s="23">
        <v>62.689993251351325</v>
      </c>
      <c r="EK31" s="23">
        <v>56.241245589150417</v>
      </c>
      <c r="EL31" s="23">
        <v>56.412493730811306</v>
      </c>
      <c r="EM31" s="7">
        <v>59.793367389999993</v>
      </c>
      <c r="EN31" s="23">
        <v>63.661083737248489</v>
      </c>
      <c r="EO31" s="23">
        <v>63.645490541478644</v>
      </c>
      <c r="EP31" s="23">
        <v>57.814793577622638</v>
      </c>
      <c r="EQ31" s="23">
        <v>57.77787930448261</v>
      </c>
      <c r="ER31" s="7">
        <v>59.793367389999993</v>
      </c>
      <c r="ES31" s="23">
        <v>64.562918829696997</v>
      </c>
      <c r="ET31" s="23">
        <v>64.651292675756508</v>
      </c>
      <c r="EU31" s="23">
        <v>59.213659593336679</v>
      </c>
      <c r="EV31" s="23">
        <v>59.394887026992059</v>
      </c>
      <c r="EW31" s="7">
        <v>59.793367389999993</v>
      </c>
      <c r="EX31" s="23">
        <v>64.92166337959469</v>
      </c>
      <c r="EY31" s="23">
        <v>65.085192733793448</v>
      </c>
      <c r="EZ31" s="23">
        <v>60.617939248926639</v>
      </c>
      <c r="FA31" s="23">
        <v>60.799477537759891</v>
      </c>
      <c r="FB31" s="7">
        <v>59.793367389999993</v>
      </c>
      <c r="FC31" s="23">
        <v>64.845500455800448</v>
      </c>
      <c r="FD31" s="23">
        <v>65.004022426854803</v>
      </c>
      <c r="FE31" s="23">
        <v>61.979627305915919</v>
      </c>
      <c r="FF31" s="23">
        <v>62.157036028817288</v>
      </c>
      <c r="FG31" s="7">
        <v>59.793367389999993</v>
      </c>
      <c r="FH31" s="23">
        <v>64.767776059026687</v>
      </c>
      <c r="FI31" s="23">
        <v>64.921243120514518</v>
      </c>
      <c r="FJ31" s="23">
        <v>62.77579622298645</v>
      </c>
      <c r="FK31" s="23">
        <v>63.067889216936535</v>
      </c>
      <c r="FL31" s="7">
        <v>59.793367389999993</v>
      </c>
      <c r="FM31" s="23">
        <v>64.688319608414744</v>
      </c>
      <c r="FN31" s="23">
        <v>64.836824867150995</v>
      </c>
      <c r="FO31" s="23">
        <v>62.660772878589476</v>
      </c>
      <c r="FP31" s="23">
        <v>62.947670071455889</v>
      </c>
      <c r="FQ31" s="7">
        <v>59.793367389999993</v>
      </c>
      <c r="FR31" s="23">
        <v>64.607368238619941</v>
      </c>
      <c r="FS31" s="23">
        <v>64.751326397704958</v>
      </c>
      <c r="FT31" s="23">
        <v>62.673583861074945</v>
      </c>
      <c r="FU31" s="23">
        <v>62.950759426766872</v>
      </c>
      <c r="FV31" s="7">
        <v>59.793367389999993</v>
      </c>
      <c r="FW31" s="23">
        <v>64.440475603387867</v>
      </c>
      <c r="FX31" s="23">
        <v>64.573433416415966</v>
      </c>
      <c r="FY31" s="23">
        <v>62.435849324245339</v>
      </c>
      <c r="FZ31" s="23">
        <v>62.831926324207686</v>
      </c>
      <c r="GA31" s="7">
        <v>59.793367389999993</v>
      </c>
      <c r="GB31" s="23">
        <v>64.188187665825509</v>
      </c>
      <c r="GC31" s="23">
        <v>64.297121392629478</v>
      </c>
      <c r="GD31" s="23">
        <v>62.214162014437996</v>
      </c>
      <c r="GE31" s="23">
        <v>62.454279100182248</v>
      </c>
      <c r="GF31" s="7">
        <v>59.793367389999993</v>
      </c>
      <c r="GG31" s="23">
        <v>64.026039455952215</v>
      </c>
      <c r="GH31" s="23">
        <v>64.107484013403337</v>
      </c>
      <c r="GI31" s="23">
        <v>61.982562741305955</v>
      </c>
      <c r="GJ31" s="23">
        <v>62.194811087501783</v>
      </c>
      <c r="GK31" s="7">
        <v>59.793367389999993</v>
      </c>
      <c r="GL31" s="23">
        <v>56.810130399727932</v>
      </c>
      <c r="GM31" s="23">
        <v>56.886560077745649</v>
      </c>
      <c r="GN31" s="23">
        <v>54.620808413198006</v>
      </c>
      <c r="GO31" s="23">
        <v>54.938068744977429</v>
      </c>
      <c r="GP31" s="7">
        <v>59.793367389999993</v>
      </c>
      <c r="GQ31" s="23">
        <v>59.897492203023418</v>
      </c>
      <c r="GR31" s="23">
        <v>60.161626261692639</v>
      </c>
      <c r="GS31" s="23">
        <v>59.441981745783949</v>
      </c>
      <c r="GT31" s="23">
        <v>59.996876772987285</v>
      </c>
      <c r="GU31" s="7">
        <v>59.793367389999993</v>
      </c>
      <c r="GV31" s="23">
        <v>59.229204657551165</v>
      </c>
      <c r="GW31" s="23">
        <v>59.700565808497245</v>
      </c>
      <c r="GX31" s="23">
        <v>59.024445713277828</v>
      </c>
      <c r="GY31" s="23">
        <v>59.741882294465739</v>
      </c>
      <c r="GZ31" s="7">
        <v>59.793367389999993</v>
      </c>
      <c r="HA31" s="23">
        <v>55.981458227426984</v>
      </c>
      <c r="HB31" s="23">
        <v>56.249155210711741</v>
      </c>
      <c r="HC31" s="23">
        <v>53.907643687199339</v>
      </c>
      <c r="HD31" s="23">
        <v>54.376634969067254</v>
      </c>
      <c r="HE31" s="7">
        <v>59.793367389999993</v>
      </c>
      <c r="HF31" s="23">
        <v>59.185484942882219</v>
      </c>
      <c r="HG31" s="23">
        <v>59.641273554233578</v>
      </c>
      <c r="HH31" s="23">
        <v>59.237856071532349</v>
      </c>
      <c r="HI31" s="23">
        <v>59.741884292676374</v>
      </c>
      <c r="HJ31" s="7">
        <v>59.793367389999993</v>
      </c>
      <c r="HK31" s="23">
        <v>56.896136443113797</v>
      </c>
      <c r="HL31" s="23">
        <v>57.005890863463925</v>
      </c>
      <c r="HM31" s="23">
        <v>54.926903431146584</v>
      </c>
      <c r="HN31" s="23">
        <v>55.001193018986214</v>
      </c>
      <c r="HO31">
        <v>59.793367389999993</v>
      </c>
      <c r="HP31">
        <v>56.960834275756014</v>
      </c>
      <c r="HQ31">
        <v>56.819927984281733</v>
      </c>
      <c r="HR31">
        <v>54.760720074180135</v>
      </c>
      <c r="HS31">
        <v>55.095755444638719</v>
      </c>
      <c r="HT31">
        <v>59.793367389999993</v>
      </c>
      <c r="HU31">
        <v>57.023964640441164</v>
      </c>
      <c r="HV31">
        <v>56.871420036925308</v>
      </c>
      <c r="HW31">
        <v>54.593102800393261</v>
      </c>
      <c r="HX31">
        <v>54.912220568097005</v>
      </c>
      <c r="HY31">
        <v>59.793367389999993</v>
      </c>
      <c r="HZ31">
        <v>56.877110943770319</v>
      </c>
      <c r="IA31">
        <v>56.928607887696131</v>
      </c>
      <c r="IB31">
        <v>54.458075647889096</v>
      </c>
      <c r="IC31">
        <v>54.788362079987209</v>
      </c>
      <c r="ID31">
        <v>59.793367389999993</v>
      </c>
      <c r="IE31">
        <v>56.832088399075715</v>
      </c>
      <c r="IF31">
        <v>56.908363976710717</v>
      </c>
      <c r="IG31">
        <v>54.638175555674117</v>
      </c>
      <c r="IH31">
        <v>54.958607358305215</v>
      </c>
      <c r="II31">
        <v>59.793367389999993</v>
      </c>
      <c r="IJ31">
        <v>56.856838719370231</v>
      </c>
      <c r="IK31">
        <v>56.932633739338755</v>
      </c>
      <c r="IL31">
        <v>54.645197783181253</v>
      </c>
      <c r="IM31">
        <v>54.697428984084922</v>
      </c>
      <c r="IN31">
        <v>59.793367389999993</v>
      </c>
      <c r="IO31" s="86">
        <v>56.982203378979925</v>
      </c>
      <c r="IP31">
        <v>56.941505229698627</v>
      </c>
      <c r="IQ31">
        <v>54.742460046921529</v>
      </c>
      <c r="IR31">
        <v>54.689257158972531</v>
      </c>
      <c r="IS31">
        <v>59.793367389999993</v>
      </c>
      <c r="IT31">
        <v>56.903569528407722</v>
      </c>
      <c r="IU31">
        <v>56.977611427426488</v>
      </c>
      <c r="IV31">
        <v>54.677432270396558</v>
      </c>
      <c r="IW31">
        <v>54.705345120695149</v>
      </c>
      <c r="IX31">
        <v>59.793367389999993</v>
      </c>
      <c r="IY31">
        <v>56.989344789690719</v>
      </c>
      <c r="IZ31">
        <v>56.83236483990715</v>
      </c>
      <c r="JA31">
        <v>54.575455739188897</v>
      </c>
      <c r="JB31">
        <v>54.891307918083761</v>
      </c>
      <c r="JC31">
        <v>59.793367389999993</v>
      </c>
      <c r="JD31">
        <v>56.763058906542781</v>
      </c>
      <c r="JE31">
        <v>56.873148847919822</v>
      </c>
      <c r="JF31">
        <v>54.593640537871451</v>
      </c>
      <c r="JG31">
        <v>54.909487673998527</v>
      </c>
      <c r="JH31">
        <v>59.793367389999993</v>
      </c>
      <c r="JI31">
        <v>56.715552600744481</v>
      </c>
      <c r="JJ31">
        <v>56.794312400559669</v>
      </c>
      <c r="JK31">
        <v>54.566906924510647</v>
      </c>
      <c r="JL31">
        <v>54.884118917432588</v>
      </c>
      <c r="JM31">
        <v>59.793367389999993</v>
      </c>
      <c r="JN31">
        <v>56.890957206269135</v>
      </c>
      <c r="JO31">
        <v>56.764606219503314</v>
      </c>
      <c r="JP31">
        <v>54.91666977508882</v>
      </c>
      <c r="JQ31">
        <v>55.000569685015108</v>
      </c>
      <c r="JR31">
        <v>59.793367389999993</v>
      </c>
      <c r="JS31">
        <v>56.938940441608437</v>
      </c>
      <c r="JT31">
        <v>56.801659362854309</v>
      </c>
      <c r="JU31">
        <v>54.726675712102939</v>
      </c>
      <c r="JV31">
        <v>55.065676265171383</v>
      </c>
      <c r="JW31">
        <v>59.793367389999993</v>
      </c>
      <c r="JX31">
        <v>57.002671677544448</v>
      </c>
      <c r="JY31">
        <v>56.854603311610191</v>
      </c>
      <c r="JZ31">
        <v>54.82476837658043</v>
      </c>
      <c r="KA31">
        <v>54.884462237928119</v>
      </c>
      <c r="KB31">
        <v>59.793367389999993</v>
      </c>
      <c r="KC31">
        <v>56.837631547326026</v>
      </c>
      <c r="KD31">
        <v>56.91649373270954</v>
      </c>
      <c r="KE31">
        <v>54.656056401891746</v>
      </c>
      <c r="KF31">
        <v>54.964794960441949</v>
      </c>
      <c r="KG31">
        <v>59.793367389999993</v>
      </c>
      <c r="KH31">
        <v>56.89022752881089</v>
      </c>
      <c r="KI31">
        <v>56.944617406564689</v>
      </c>
      <c r="KJ31">
        <v>54.496959513227303</v>
      </c>
      <c r="KK31">
        <v>54.776672870256029</v>
      </c>
      <c r="KL31">
        <v>59.793367389999993</v>
      </c>
      <c r="KM31">
        <v>56.892927386343622</v>
      </c>
      <c r="KN31">
        <v>56.886552038531633</v>
      </c>
      <c r="KO31">
        <v>54.788523463469062</v>
      </c>
      <c r="KP31">
        <v>54.938057365824946</v>
      </c>
      <c r="KQ31">
        <v>59.793367389999993</v>
      </c>
      <c r="KR31">
        <v>56.892931382770115</v>
      </c>
      <c r="KS31">
        <v>56.886552038531633</v>
      </c>
      <c r="KT31">
        <v>54.78852713806284</v>
      </c>
      <c r="KU31">
        <v>54.938057365824946</v>
      </c>
      <c r="KV31">
        <v>59.793367389999993</v>
      </c>
      <c r="KW31">
        <v>56.846264127133324</v>
      </c>
      <c r="KX31">
        <v>56.886552038531633</v>
      </c>
      <c r="KY31">
        <v>54.698471512603909</v>
      </c>
      <c r="KZ31">
        <v>54.938057365824946</v>
      </c>
      <c r="LA31">
        <v>59.793367389999993</v>
      </c>
      <c r="LB31">
        <v>57.01314008584859</v>
      </c>
      <c r="LC31">
        <v>56.886552038531633</v>
      </c>
      <c r="LD31">
        <v>54.556940971753725</v>
      </c>
      <c r="LE31">
        <v>54.938057365824946</v>
      </c>
      <c r="LF31">
        <v>59.793367389999993</v>
      </c>
      <c r="LG31">
        <v>56.990180394729627</v>
      </c>
      <c r="LH31">
        <v>56.886552038531633</v>
      </c>
      <c r="LI31">
        <v>54.503116481128195</v>
      </c>
      <c r="LJ31">
        <v>54.938057365824946</v>
      </c>
      <c r="LK31">
        <v>59.793367389999993</v>
      </c>
      <c r="LL31">
        <v>56.920055657924671</v>
      </c>
      <c r="LM31">
        <v>56.886552038531633</v>
      </c>
      <c r="LN31">
        <v>54.576856370298472</v>
      </c>
      <c r="LO31">
        <v>54.938057365824946</v>
      </c>
      <c r="LP31">
        <v>59.793367389999993</v>
      </c>
      <c r="LQ31">
        <v>56.861273808903228</v>
      </c>
      <c r="LR31">
        <v>56.935791315459511</v>
      </c>
      <c r="LS31">
        <v>54.677266350873502</v>
      </c>
      <c r="LT31">
        <v>54.993855639211546</v>
      </c>
      <c r="LU31">
        <v>59.793367389999993</v>
      </c>
      <c r="LV31">
        <v>56.912672165357236</v>
      </c>
      <c r="LW31">
        <v>56.986369937839775</v>
      </c>
      <c r="LX31">
        <v>54.73456048848093</v>
      </c>
      <c r="LY31">
        <v>55.05926811129261</v>
      </c>
      <c r="LZ31">
        <v>59.793367389999993</v>
      </c>
      <c r="MA31">
        <v>56.965638842420951</v>
      </c>
      <c r="MB31">
        <v>57.035037919142532</v>
      </c>
      <c r="MC31">
        <v>54.792102722844255</v>
      </c>
      <c r="MD31">
        <v>54.840153123140695</v>
      </c>
      <c r="ME31">
        <v>59.793367389999993</v>
      </c>
      <c r="MF31">
        <v>57.068067922608449</v>
      </c>
      <c r="MG31">
        <v>56.951000107586943</v>
      </c>
      <c r="MH31">
        <v>55.082363618325424</v>
      </c>
      <c r="MI31">
        <v>55.173908226008301</v>
      </c>
      <c r="MJ31">
        <v>59.793367389999993</v>
      </c>
      <c r="MK31">
        <v>56.670290167615569</v>
      </c>
      <c r="ML31">
        <v>56.725827143154397</v>
      </c>
      <c r="MM31">
        <v>54.572356375623592</v>
      </c>
      <c r="MN31">
        <v>54.81502955276293</v>
      </c>
      <c r="MO31">
        <v>59.793367389999993</v>
      </c>
      <c r="MP31">
        <v>56.69866153005249</v>
      </c>
      <c r="MQ31">
        <v>57.000861317955945</v>
      </c>
      <c r="MR31">
        <v>54.576360143276666</v>
      </c>
      <c r="MS31">
        <v>55.145812766413599</v>
      </c>
      <c r="MT31">
        <v>59.793367389999993</v>
      </c>
      <c r="MU31">
        <v>56.652365061733072</v>
      </c>
      <c r="MV31">
        <v>56.958821370266215</v>
      </c>
      <c r="MW31">
        <v>54.551718816174123</v>
      </c>
      <c r="MX31">
        <v>55.122819116625358</v>
      </c>
      <c r="MY31">
        <v>59.793367389999993</v>
      </c>
      <c r="MZ31">
        <v>56.613271304348544</v>
      </c>
      <c r="NA31">
        <v>56.923254353903623</v>
      </c>
      <c r="NB31">
        <v>54.535265610392401</v>
      </c>
      <c r="NC31">
        <v>55.106945255332676</v>
      </c>
      <c r="ND31">
        <v>59.793367389999993</v>
      </c>
      <c r="NE31">
        <v>56.949273911155544</v>
      </c>
      <c r="NF31">
        <v>56.789751858375375</v>
      </c>
      <c r="NG31">
        <v>54.704228985704276</v>
      </c>
      <c r="NH31">
        <v>54.753672345314811</v>
      </c>
      <c r="NI31">
        <v>59.793367389999993</v>
      </c>
      <c r="NJ31">
        <v>56.995137475435122</v>
      </c>
      <c r="NK31">
        <v>56.836422979420341</v>
      </c>
      <c r="NL31">
        <v>54.740159523051382</v>
      </c>
      <c r="NM31">
        <v>54.781923052753562</v>
      </c>
      <c r="NN31">
        <v>59.793367389999993</v>
      </c>
      <c r="NO31">
        <v>57.040615510219801</v>
      </c>
      <c r="NP31">
        <v>56.88240852077567</v>
      </c>
      <c r="NQ31">
        <v>54.494509421260965</v>
      </c>
      <c r="NR31">
        <v>54.53820900386583</v>
      </c>
      <c r="NS31">
        <v>59.793367389999993</v>
      </c>
      <c r="NT31">
        <v>56.920052891711777</v>
      </c>
      <c r="NU31">
        <v>56.886551705984431</v>
      </c>
      <c r="NV31">
        <v>54.576857686243045</v>
      </c>
      <c r="NW31">
        <v>54.938056646215642</v>
      </c>
      <c r="NX31">
        <v>59.793367389999993</v>
      </c>
      <c r="NY31">
        <v>56.980448086365435</v>
      </c>
      <c r="NZ31">
        <v>56.88634705383663</v>
      </c>
      <c r="OA31">
        <v>54.474683686614</v>
      </c>
      <c r="OB31">
        <v>54.938034824685715</v>
      </c>
      <c r="OC31">
        <v>59.793367389999993</v>
      </c>
      <c r="OD31">
        <v>56.942105020875545</v>
      </c>
      <c r="OE31">
        <v>56.886549800123056</v>
      </c>
      <c r="OF31">
        <v>54.643091655192713</v>
      </c>
      <c r="OG31">
        <v>54.938055812197398</v>
      </c>
      <c r="OH31">
        <v>59.793367389999993</v>
      </c>
      <c r="OI31">
        <v>56.69161487165524</v>
      </c>
      <c r="OJ31">
        <v>56.771292783974516</v>
      </c>
      <c r="OK31">
        <v>54.553466147473152</v>
      </c>
      <c r="OL31">
        <v>54.870580283850792</v>
      </c>
      <c r="OM31">
        <v>59.793367389999993</v>
      </c>
      <c r="ON31">
        <v>56.926280963254086</v>
      </c>
      <c r="OO31">
        <v>57.091621854364618</v>
      </c>
      <c r="OP31">
        <v>54.690839198890522</v>
      </c>
      <c r="OQ31">
        <v>54.730718579171103</v>
      </c>
      <c r="OR31">
        <v>59.793367389999993</v>
      </c>
      <c r="OS31">
        <v>57.002619250038641</v>
      </c>
      <c r="OT31">
        <v>56.787068386363856</v>
      </c>
      <c r="OU31">
        <v>54.574304577623082</v>
      </c>
      <c r="OV31">
        <v>54.858077339348092</v>
      </c>
      <c r="OW31">
        <v>59.793367389999993</v>
      </c>
      <c r="OX31">
        <v>56.941151204388447</v>
      </c>
      <c r="OY31">
        <v>56.795446555094408</v>
      </c>
      <c r="OZ31">
        <v>54.510817625680446</v>
      </c>
      <c r="PA31">
        <v>54.831366144139864</v>
      </c>
      <c r="PB31">
        <v>59.793367389999993</v>
      </c>
      <c r="PC31">
        <v>56.930551764967149</v>
      </c>
      <c r="PD31">
        <v>56.775835081714234</v>
      </c>
      <c r="PE31">
        <v>54.498021052154272</v>
      </c>
      <c r="PF31">
        <v>54.815334192495399</v>
      </c>
      <c r="PG31">
        <v>59.793367389999993</v>
      </c>
      <c r="PH31">
        <v>56.886934143034303</v>
      </c>
      <c r="PI31">
        <v>56.960513216184481</v>
      </c>
      <c r="PJ31">
        <v>54.707516931056603</v>
      </c>
      <c r="PK31">
        <v>55.022014582675936</v>
      </c>
      <c r="PL31" s="7">
        <v>59.793367389999993</v>
      </c>
      <c r="PM31" s="23">
        <v>56.863814818511948</v>
      </c>
      <c r="PN31" s="23">
        <v>56.784650453265129</v>
      </c>
      <c r="PO31" s="23">
        <v>54.954027819982819</v>
      </c>
      <c r="PP31" s="23">
        <v>55.031424225286379</v>
      </c>
      <c r="PQ31">
        <v>59.793367389999993</v>
      </c>
      <c r="PR31">
        <v>56.937716165448208</v>
      </c>
      <c r="PS31">
        <v>56.817667865585044</v>
      </c>
      <c r="PT31">
        <v>54.928154958473279</v>
      </c>
      <c r="PU31">
        <v>55.293119389482939</v>
      </c>
      <c r="PV31">
        <v>59.793367389999993</v>
      </c>
      <c r="PW31">
        <v>56.892612019504043</v>
      </c>
      <c r="PX31">
        <v>56.716727197677756</v>
      </c>
      <c r="PY31">
        <v>54.538824605260913</v>
      </c>
      <c r="PZ31">
        <v>54.794171789969056</v>
      </c>
      <c r="QA31" s="7">
        <v>59.793367389999993</v>
      </c>
      <c r="QB31" s="23">
        <v>56.466560576151515</v>
      </c>
      <c r="QC31" s="23">
        <v>56.526053441114897</v>
      </c>
      <c r="QD31" s="23">
        <v>54.449319895811776</v>
      </c>
      <c r="QE31" s="23">
        <v>54.632245630977437</v>
      </c>
    </row>
    <row r="32" spans="1:447" x14ac:dyDescent="0.15">
      <c r="A32" s="24" t="s">
        <v>56</v>
      </c>
      <c r="B32" s="24">
        <f>Sectors!$B11</f>
        <v>0.39101505882574561</v>
      </c>
      <c r="C32" s="24">
        <f>Sectors!$Z12</f>
        <v>0.33399382171776881</v>
      </c>
      <c r="D32" s="24">
        <f>Sectors!$BK12</f>
        <v>0.31760617982692968</v>
      </c>
      <c r="E32" s="24">
        <f>Sectors!$AT12</f>
        <v>0.33862775838018322</v>
      </c>
      <c r="F32" s="24">
        <f>Sectors!$CE12</f>
        <v>0.32307195866757576</v>
      </c>
      <c r="H32" s="24">
        <v>0.39101505882574561</v>
      </c>
      <c r="I32" s="24">
        <v>0.33399318286197238</v>
      </c>
      <c r="J32" s="24">
        <v>0.31760622339604133</v>
      </c>
      <c r="K32" s="24">
        <v>0.34312094778948304</v>
      </c>
      <c r="L32" s="24">
        <v>0.32939835533887712</v>
      </c>
      <c r="M32" s="24">
        <v>0.39101505882574561</v>
      </c>
      <c r="N32" s="24">
        <v>0.33223231756663701</v>
      </c>
      <c r="O32" s="24">
        <v>0.31525232264260167</v>
      </c>
      <c r="P32" s="24">
        <v>0.34153622192721805</v>
      </c>
      <c r="Q32" s="24">
        <v>0.32690853630167499</v>
      </c>
      <c r="R32" s="24">
        <v>0.39101505882574561</v>
      </c>
      <c r="S32" s="24">
        <v>0.33118584410877794</v>
      </c>
      <c r="T32" s="24">
        <v>0.31400498371901808</v>
      </c>
      <c r="U32" s="24">
        <v>0.34000797678111383</v>
      </c>
      <c r="V32" s="24">
        <v>0.3249161091712518</v>
      </c>
      <c r="W32" s="24">
        <v>0.39101505882574561</v>
      </c>
      <c r="X32" s="24">
        <v>0.33048965764984273</v>
      </c>
      <c r="Y32" s="24">
        <v>0.31294003300533663</v>
      </c>
      <c r="Z32" s="24">
        <v>0.33923699287204401</v>
      </c>
      <c r="AA32" s="24">
        <v>0.32389238262060144</v>
      </c>
      <c r="AB32" s="24">
        <v>0.39101505882574561</v>
      </c>
      <c r="AC32" s="24">
        <v>0.33048333862684026</v>
      </c>
      <c r="AD32" s="24">
        <v>0.31286613752007802</v>
      </c>
      <c r="AE32" s="24">
        <v>0.33862612530883057</v>
      </c>
      <c r="AF32" s="24">
        <v>0.32307197467348298</v>
      </c>
      <c r="AG32" s="24">
        <v>0.39101505882574561</v>
      </c>
      <c r="AH32" s="24">
        <v>0.33106824966935289</v>
      </c>
      <c r="AI32" s="24">
        <v>0.31294722620034671</v>
      </c>
      <c r="AJ32" s="24">
        <v>0.33858521138077957</v>
      </c>
      <c r="AK32" s="24">
        <v>0.32325394758400489</v>
      </c>
      <c r="AL32" s="24">
        <v>0.39101505882574561</v>
      </c>
      <c r="AM32" s="24">
        <v>0.33281009966595715</v>
      </c>
      <c r="AN32" s="24">
        <v>0.31496794255717714</v>
      </c>
      <c r="AO32" s="24">
        <v>0.33904608806133157</v>
      </c>
      <c r="AP32" s="24">
        <v>0.32313477466592289</v>
      </c>
      <c r="AQ32" s="24">
        <v>0.39101505882574561</v>
      </c>
      <c r="AR32" s="24">
        <v>0.33660116958702674</v>
      </c>
      <c r="AS32" s="24">
        <v>0.31979078105472331</v>
      </c>
      <c r="AT32" s="24">
        <v>0.33968940134995662</v>
      </c>
      <c r="AU32" s="24">
        <v>0.32393002661870501</v>
      </c>
      <c r="AV32" s="24">
        <v>0.39101505882574561</v>
      </c>
      <c r="AW32" s="24">
        <v>0.34040756966729624</v>
      </c>
      <c r="AX32" s="24">
        <v>0.3246522005172458</v>
      </c>
      <c r="AY32" s="24">
        <v>0.34096977081190233</v>
      </c>
      <c r="AZ32" s="24">
        <v>0.32569547262721205</v>
      </c>
      <c r="BA32" s="24">
        <v>0.39101505882574561</v>
      </c>
      <c r="BB32" s="24">
        <v>0.34423121531273532</v>
      </c>
      <c r="BC32" s="24">
        <v>0.32955874610673214</v>
      </c>
      <c r="BD32" s="24">
        <v>0.34478079688401814</v>
      </c>
      <c r="BE32" s="24">
        <v>0.33025030244609749</v>
      </c>
      <c r="BF32" s="24">
        <v>0.39101505882574561</v>
      </c>
      <c r="BG32" s="24">
        <v>0.34807585337795877</v>
      </c>
      <c r="BH32" s="24">
        <v>0.33450190969844446</v>
      </c>
      <c r="BI32" s="24">
        <v>0.34861010130084774</v>
      </c>
      <c r="BJ32" s="24">
        <v>0.33518302117134385</v>
      </c>
      <c r="BK32" s="24">
        <v>0.39101505882574561</v>
      </c>
      <c r="BL32" s="24">
        <v>0.36349955612842016</v>
      </c>
      <c r="BM32" s="24">
        <v>0.35454560655060041</v>
      </c>
      <c r="BN32" s="24">
        <v>0.36417354073687941</v>
      </c>
      <c r="BO32" s="24">
        <v>0.3554132315881342</v>
      </c>
      <c r="BP32" s="24">
        <v>0.39101505882574561</v>
      </c>
      <c r="BQ32" s="24">
        <v>0.37955030920029487</v>
      </c>
      <c r="BR32" s="24">
        <v>0.37571234584307406</v>
      </c>
      <c r="BS32" s="24">
        <v>0.38020751919265655</v>
      </c>
      <c r="BT32" s="24">
        <v>0.37657330996255767</v>
      </c>
      <c r="BU32" s="24">
        <v>0.39101505882574561</v>
      </c>
      <c r="BV32" s="24">
        <v>0.35012580456833153</v>
      </c>
      <c r="BW32" s="24">
        <v>0.3375682808676142</v>
      </c>
      <c r="BX32" s="24">
        <v>0.35863765609955417</v>
      </c>
      <c r="BY32" s="24">
        <v>0.34885856514443775</v>
      </c>
      <c r="BZ32" s="24">
        <v>0.39101505882574561</v>
      </c>
      <c r="CA32" s="24">
        <v>0.34786444475567641</v>
      </c>
      <c r="CB32" s="24">
        <v>0.33509838146418658</v>
      </c>
      <c r="CC32" s="24">
        <v>0.35655978659871096</v>
      </c>
      <c r="CD32" s="24">
        <v>0.34640016106656724</v>
      </c>
      <c r="CE32" s="24">
        <v>0.39101505882574561</v>
      </c>
      <c r="CF32" s="24">
        <v>0.34663854256918408</v>
      </c>
      <c r="CG32" s="24">
        <v>0.33348014362275841</v>
      </c>
      <c r="CH32" s="24">
        <v>0.35502883777990618</v>
      </c>
      <c r="CI32" s="24">
        <v>0.34391033582859765</v>
      </c>
      <c r="CJ32" s="24">
        <v>0.39101505882574561</v>
      </c>
      <c r="CK32" s="24">
        <v>0.34579815518278051</v>
      </c>
      <c r="CL32" s="24">
        <v>0.33191398938402789</v>
      </c>
      <c r="CM32" s="24">
        <v>0.35376254108634586</v>
      </c>
      <c r="CN32" s="24">
        <v>0.34229771733175529</v>
      </c>
      <c r="CO32" s="24">
        <v>0.39101505882574561</v>
      </c>
      <c r="CP32" s="24">
        <v>0.34471955467591064</v>
      </c>
      <c r="CQ32" s="24">
        <v>0.33091970926654551</v>
      </c>
      <c r="CR32" s="24">
        <v>0.35258611092899761</v>
      </c>
      <c r="CS32" s="24">
        <v>0.34110922932426163</v>
      </c>
      <c r="CT32" s="24">
        <v>0.39101505882574561</v>
      </c>
      <c r="CU32" s="24">
        <v>0.34440246606446601</v>
      </c>
      <c r="CV32" s="24">
        <v>0.33046034197037971</v>
      </c>
      <c r="CW32" s="24">
        <v>0.35178975030360499</v>
      </c>
      <c r="CX32" s="24">
        <v>0.34002751155185135</v>
      </c>
      <c r="CY32" s="24">
        <v>0.39101505882574561</v>
      </c>
      <c r="CZ32" s="24">
        <v>0.34429901406310282</v>
      </c>
      <c r="DA32" s="24">
        <v>0.33056799033344619</v>
      </c>
      <c r="DB32" s="24">
        <v>0.3516872212783439</v>
      </c>
      <c r="DC32" s="24">
        <v>0.33946355015912738</v>
      </c>
      <c r="DD32" s="24">
        <v>0.39101505882574561</v>
      </c>
      <c r="DE32" s="24">
        <v>0.34492511029664269</v>
      </c>
      <c r="DF32" s="24">
        <v>0.3307371405561163</v>
      </c>
      <c r="DG32" s="24">
        <v>0.35147350800597915</v>
      </c>
      <c r="DH32" s="24">
        <v>0.33951023539071362</v>
      </c>
      <c r="DI32" s="24">
        <v>0.39101505882574561</v>
      </c>
      <c r="DJ32" s="24">
        <v>0.34552112810137847</v>
      </c>
      <c r="DK32" s="24">
        <v>0.33141032197436721</v>
      </c>
      <c r="DL32" s="24">
        <v>0.35179915416950369</v>
      </c>
      <c r="DM32" s="24">
        <v>0.33954309225521051</v>
      </c>
      <c r="DN32" s="24">
        <v>0.39101505882574561</v>
      </c>
      <c r="DO32" s="24">
        <v>0.34966189293067101</v>
      </c>
      <c r="DP32" s="24">
        <v>0.33653333013500719</v>
      </c>
      <c r="DQ32" s="24">
        <v>0.35333656021986692</v>
      </c>
      <c r="DR32" s="24">
        <v>0.34175246118911873</v>
      </c>
      <c r="DS32" s="24">
        <v>0.39101505882574561</v>
      </c>
      <c r="DT32" s="24">
        <v>0.36522595582731338</v>
      </c>
      <c r="DU32" s="24">
        <v>0.35679341478786147</v>
      </c>
      <c r="DV32" s="24">
        <v>0.36657684168772242</v>
      </c>
      <c r="DW32" s="24">
        <v>0.35866018461267501</v>
      </c>
      <c r="DX32" s="24">
        <v>0.39101505882574561</v>
      </c>
      <c r="DY32" s="24">
        <v>0.38127879049188795</v>
      </c>
      <c r="DZ32" s="24">
        <v>0.37799988967728965</v>
      </c>
      <c r="EA32" s="24">
        <v>0.38273926843487049</v>
      </c>
      <c r="EB32" s="24">
        <v>0.37994480241380874</v>
      </c>
      <c r="EC32" s="24">
        <v>0.39101505882574561</v>
      </c>
      <c r="ED32" s="24">
        <v>0.33639615668716299</v>
      </c>
      <c r="EE32" s="24">
        <v>0.32022123917934309</v>
      </c>
      <c r="EF32" s="24">
        <v>0.34319591350364059</v>
      </c>
      <c r="EG32" s="24">
        <v>0.32895546800884068</v>
      </c>
      <c r="EH32" s="24">
        <v>0.39101505882574561</v>
      </c>
      <c r="EI32" s="24">
        <v>0.33520532442618056</v>
      </c>
      <c r="EJ32" s="24">
        <v>0.3188369421174887</v>
      </c>
      <c r="EK32" s="24">
        <v>0.34198351312354941</v>
      </c>
      <c r="EL32" s="24">
        <v>0.32737811064672695</v>
      </c>
      <c r="EM32" s="24">
        <v>0.39101505882574561</v>
      </c>
      <c r="EN32" s="24">
        <v>0.33439079052131315</v>
      </c>
      <c r="EO32" s="24">
        <v>0.31776712165324494</v>
      </c>
      <c r="EP32" s="24">
        <v>0.34092719335542648</v>
      </c>
      <c r="EQ32" s="24">
        <v>0.3262521029993441</v>
      </c>
      <c r="ER32" s="24">
        <v>0.39101505882574561</v>
      </c>
      <c r="ES32" s="24">
        <v>0.33424379920102698</v>
      </c>
      <c r="ET32" s="24">
        <v>0.31737275637277734</v>
      </c>
      <c r="EU32" s="24">
        <v>0.34061652874741932</v>
      </c>
      <c r="EV32" s="24">
        <v>0.32557077633148102</v>
      </c>
      <c r="EW32" s="24">
        <v>0.39101505882574561</v>
      </c>
      <c r="EX32" s="24">
        <v>0.33606403404168883</v>
      </c>
      <c r="EY32" s="24">
        <v>0.31911830708696987</v>
      </c>
      <c r="EZ32" s="24">
        <v>0.34054793018221102</v>
      </c>
      <c r="FA32" s="24">
        <v>0.32544727023248282</v>
      </c>
      <c r="FB32" s="24">
        <v>0.39101505882574561</v>
      </c>
      <c r="FC32" s="24">
        <v>0.33884562711071481</v>
      </c>
      <c r="FD32" s="24">
        <v>0.32266633502133096</v>
      </c>
      <c r="FE32" s="24">
        <v>0.3411000966135922</v>
      </c>
      <c r="FF32" s="24">
        <v>0.32611553802368731</v>
      </c>
      <c r="FG32" s="24">
        <v>0.39101505882574561</v>
      </c>
      <c r="FH32" s="24">
        <v>0.34164302593936291</v>
      </c>
      <c r="FI32" s="24">
        <v>0.32624441721401315</v>
      </c>
      <c r="FJ32" s="24">
        <v>0.34275364637573974</v>
      </c>
      <c r="FK32" s="24">
        <v>0.32766905376453387</v>
      </c>
      <c r="FL32" s="24">
        <v>0.39101505882574561</v>
      </c>
      <c r="FM32" s="24">
        <v>0.34445788166381597</v>
      </c>
      <c r="FN32" s="24">
        <v>0.32985387584560433</v>
      </c>
      <c r="FO32" s="24">
        <v>0.34567148194673752</v>
      </c>
      <c r="FP32" s="24">
        <v>0.33141565458339484</v>
      </c>
      <c r="FQ32" s="24">
        <v>0.39101505882574561</v>
      </c>
      <c r="FR32" s="24">
        <v>0.34728933292004061</v>
      </c>
      <c r="FS32" s="24">
        <v>0.33349822750550528</v>
      </c>
      <c r="FT32" s="24">
        <v>0.34878048180018706</v>
      </c>
      <c r="FU32" s="24">
        <v>0.33541682111290677</v>
      </c>
      <c r="FV32" s="24">
        <v>0.39101505882574561</v>
      </c>
      <c r="FW32" s="24">
        <v>0.35300841730821692</v>
      </c>
      <c r="FX32" s="24">
        <v>0.34088430054615043</v>
      </c>
      <c r="FY32" s="24">
        <v>0.35471528382206141</v>
      </c>
      <c r="FZ32" s="24">
        <v>0.34330496139861338</v>
      </c>
      <c r="GA32" s="24">
        <v>0.39101505882574561</v>
      </c>
      <c r="GB32" s="24">
        <v>0.36488345587222287</v>
      </c>
      <c r="GC32" s="24">
        <v>0.35635541315221192</v>
      </c>
      <c r="GD32" s="24">
        <v>0.36717085910700609</v>
      </c>
      <c r="GE32" s="24">
        <v>0.35935309080891636</v>
      </c>
      <c r="GF32" s="24">
        <v>0.39101505882574561</v>
      </c>
      <c r="GG32" s="24">
        <v>0.37729573506230479</v>
      </c>
      <c r="GH32" s="24">
        <v>0.37271399236213826</v>
      </c>
      <c r="GI32" s="24">
        <v>0.38001636353181362</v>
      </c>
      <c r="GJ32" s="24">
        <v>0.37632355106426529</v>
      </c>
      <c r="GK32" s="24">
        <v>0.39101505882574561</v>
      </c>
      <c r="GL32" s="24">
        <v>0.33399377198506508</v>
      </c>
      <c r="GM32" s="24">
        <v>0.31760621792333321</v>
      </c>
      <c r="GN32" s="24">
        <v>0.33862612530883057</v>
      </c>
      <c r="GO32" s="24">
        <v>0.32307197467348253</v>
      </c>
      <c r="GP32" s="24">
        <v>0.39101505882574561</v>
      </c>
      <c r="GQ32" s="24">
        <v>0.32966050797048596</v>
      </c>
      <c r="GR32" s="24">
        <v>0.31173006380928492</v>
      </c>
      <c r="GS32" s="24">
        <v>0.33359471590102929</v>
      </c>
      <c r="GT32" s="24">
        <v>0.31634243249531002</v>
      </c>
      <c r="GU32" s="24">
        <v>0.39101505882574561</v>
      </c>
      <c r="GV32" s="24">
        <v>0.33868308546536774</v>
      </c>
      <c r="GW32" s="24">
        <v>0.3214914034643373</v>
      </c>
      <c r="GX32" s="24">
        <v>0.33854128334132283</v>
      </c>
      <c r="GY32" s="24">
        <v>0.32118746253393549</v>
      </c>
      <c r="GZ32" s="24">
        <v>0.39101505882574561</v>
      </c>
      <c r="HA32" s="24">
        <v>0.34350034423247788</v>
      </c>
      <c r="HB32" s="24">
        <v>0.32778690653647957</v>
      </c>
      <c r="HC32" s="24">
        <v>0.34412577669829009</v>
      </c>
      <c r="HD32" s="24">
        <v>0.32886694827677088</v>
      </c>
      <c r="HE32" s="24">
        <v>0.39101505882574561</v>
      </c>
      <c r="HF32" s="24">
        <v>0.34058294858286881</v>
      </c>
      <c r="HG32" s="24">
        <v>0.32380692385946042</v>
      </c>
      <c r="HH32" s="24">
        <v>0.33854153984525159</v>
      </c>
      <c r="HI32" s="24">
        <v>0.32118747126136904</v>
      </c>
      <c r="HJ32" s="24">
        <v>0.39101505882574561</v>
      </c>
      <c r="HK32" s="24">
        <v>0.32057734901784851</v>
      </c>
      <c r="HL32" s="24">
        <v>0.30038032495516831</v>
      </c>
      <c r="HM32" s="24">
        <v>0.33404203528057774</v>
      </c>
      <c r="HN32" s="24">
        <v>0.31715715681524886</v>
      </c>
      <c r="HO32">
        <v>0.39101505882574561</v>
      </c>
      <c r="HP32">
        <v>0.32582126160750674</v>
      </c>
      <c r="HQ32">
        <v>0.30728745820561393</v>
      </c>
      <c r="HR32">
        <v>0.33596879484949488</v>
      </c>
      <c r="HS32">
        <v>0.31969497430463278</v>
      </c>
      <c r="HT32">
        <v>0.39101505882574561</v>
      </c>
      <c r="HU32">
        <v>0.33210188814175662</v>
      </c>
      <c r="HV32">
        <v>0.31559990164838175</v>
      </c>
      <c r="HW32">
        <v>0.33826272605994689</v>
      </c>
      <c r="HX32">
        <v>0.32260735501326665</v>
      </c>
      <c r="HY32">
        <v>0.39101505882574561</v>
      </c>
      <c r="HZ32">
        <v>0.34253679513767626</v>
      </c>
      <c r="IA32">
        <v>0.32754101974755245</v>
      </c>
      <c r="IB32">
        <v>0.34232869532135657</v>
      </c>
      <c r="IC32">
        <v>0.32795718462166606</v>
      </c>
      <c r="ID32">
        <v>0.39101505882574561</v>
      </c>
      <c r="IE32">
        <v>0.33364224699068112</v>
      </c>
      <c r="IF32">
        <v>0.31765288964339966</v>
      </c>
      <c r="IG32">
        <v>0.3383518481313097</v>
      </c>
      <c r="IH32">
        <v>0.32318902336812538</v>
      </c>
      <c r="II32">
        <v>0.39101505882574561</v>
      </c>
      <c r="IJ32">
        <v>0.33332109904264923</v>
      </c>
      <c r="IK32">
        <v>0.31770901489445369</v>
      </c>
      <c r="IL32">
        <v>0.33834772851476325</v>
      </c>
      <c r="IM32">
        <v>0.32356653104173322</v>
      </c>
      <c r="IN32">
        <v>0.39101505882574561</v>
      </c>
      <c r="IO32" s="86">
        <v>0.333321099040439</v>
      </c>
      <c r="IP32">
        <v>0.31770901489235887</v>
      </c>
      <c r="IQ32">
        <v>0.33834772851251971</v>
      </c>
      <c r="IR32">
        <v>0.32356653103958233</v>
      </c>
      <c r="IS32">
        <v>0.39101505882574561</v>
      </c>
      <c r="IT32">
        <v>0.33271787425226707</v>
      </c>
      <c r="IU32">
        <v>0.31780794506313131</v>
      </c>
      <c r="IV32">
        <v>0.33785197808347328</v>
      </c>
      <c r="IW32">
        <v>0.32406570377281024</v>
      </c>
      <c r="IX32">
        <v>0.39101505882574561</v>
      </c>
      <c r="IY32">
        <v>0.33405229574672818</v>
      </c>
      <c r="IZ32">
        <v>0.31708548810791382</v>
      </c>
      <c r="JA32">
        <v>0.33892201206276756</v>
      </c>
      <c r="JB32">
        <v>0.32295643902808485</v>
      </c>
      <c r="JC32">
        <v>0.39101505882574561</v>
      </c>
      <c r="JD32">
        <v>0.33474479895906678</v>
      </c>
      <c r="JE32">
        <v>0.31718576252033559</v>
      </c>
      <c r="JF32">
        <v>0.33927430236750855</v>
      </c>
      <c r="JG32">
        <v>0.32287800787946935</v>
      </c>
      <c r="JH32">
        <v>0.39101505882574561</v>
      </c>
      <c r="JI32">
        <v>0.33558600207685979</v>
      </c>
      <c r="JJ32">
        <v>0.31693517700039631</v>
      </c>
      <c r="JK32">
        <v>0.33999449539758675</v>
      </c>
      <c r="JL32">
        <v>0.32268160100634252</v>
      </c>
      <c r="JM32">
        <v>0.39101505882574561</v>
      </c>
      <c r="JN32">
        <v>0.31894995416403682</v>
      </c>
      <c r="JO32">
        <v>0.2982321532202174</v>
      </c>
      <c r="JP32">
        <v>0.33303379224572394</v>
      </c>
      <c r="JQ32">
        <v>0.31587915791416665</v>
      </c>
      <c r="JR32">
        <v>0.39101505882574561</v>
      </c>
      <c r="JS32">
        <v>0.32382345640340038</v>
      </c>
      <c r="JT32">
        <v>0.30479731332110888</v>
      </c>
      <c r="JU32">
        <v>0.33529713034022057</v>
      </c>
      <c r="JV32">
        <v>0.31884470208871601</v>
      </c>
      <c r="JW32">
        <v>0.39101505882574561</v>
      </c>
      <c r="JX32">
        <v>0.3297755933544978</v>
      </c>
      <c r="JY32">
        <v>0.31223129328029303</v>
      </c>
      <c r="JZ32">
        <v>0.33732589187621576</v>
      </c>
      <c r="KA32">
        <v>0.32173536036173894</v>
      </c>
      <c r="KB32">
        <v>0.39101505882574561</v>
      </c>
      <c r="KC32">
        <v>0.33801581050945312</v>
      </c>
      <c r="KD32">
        <v>0.32228419545875364</v>
      </c>
      <c r="KE32">
        <v>0.33998842528320095</v>
      </c>
      <c r="KF32">
        <v>0.32480570701752814</v>
      </c>
      <c r="KG32">
        <v>0.39101505882574561</v>
      </c>
      <c r="KH32">
        <v>0.34254384269863408</v>
      </c>
      <c r="KI32">
        <v>0.32755853593367329</v>
      </c>
      <c r="KJ32">
        <v>0.34371899110896326</v>
      </c>
      <c r="KK32">
        <v>0.32955829989995389</v>
      </c>
      <c r="KL32">
        <v>0.39101505882574561</v>
      </c>
      <c r="KM32">
        <v>0.32835696972502598</v>
      </c>
      <c r="KN32">
        <v>0.31760618573709987</v>
      </c>
      <c r="KO32">
        <v>0.33343292148905435</v>
      </c>
      <c r="KP32">
        <v>0.32307192707240445</v>
      </c>
      <c r="KQ32">
        <v>0.39101505882574561</v>
      </c>
      <c r="KR32">
        <v>0.32835698566831639</v>
      </c>
      <c r="KS32">
        <v>0.31760618573709987</v>
      </c>
      <c r="KT32">
        <v>0.33343293659039819</v>
      </c>
      <c r="KU32">
        <v>0.32307192707240445</v>
      </c>
      <c r="KV32">
        <v>0.39101505882574561</v>
      </c>
      <c r="KW32">
        <v>0.33113214481105285</v>
      </c>
      <c r="KX32">
        <v>0.31760618573709987</v>
      </c>
      <c r="KY32">
        <v>0.33633398209348392</v>
      </c>
      <c r="KZ32">
        <v>0.32307192707240445</v>
      </c>
      <c r="LA32">
        <v>0.39101505882574561</v>
      </c>
      <c r="LB32">
        <v>0.33631398287465164</v>
      </c>
      <c r="LC32">
        <v>0.31760618573709987</v>
      </c>
      <c r="LD32">
        <v>0.34102479263543817</v>
      </c>
      <c r="LE32">
        <v>0.32307192707240445</v>
      </c>
      <c r="LF32">
        <v>0.39101505882574561</v>
      </c>
      <c r="LG32">
        <v>0.33869967011382457</v>
      </c>
      <c r="LH32">
        <v>0.31760618573709987</v>
      </c>
      <c r="LI32">
        <v>0.34321230629988547</v>
      </c>
      <c r="LJ32">
        <v>0.32307192707240445</v>
      </c>
      <c r="LK32">
        <v>0.39101505882574561</v>
      </c>
      <c r="LL32">
        <v>0.32665595984390094</v>
      </c>
      <c r="LM32">
        <v>0.31760618573709987</v>
      </c>
      <c r="LN32">
        <v>0.33214365956889086</v>
      </c>
      <c r="LO32">
        <v>0.32307192707240445</v>
      </c>
      <c r="LP32">
        <v>0.39101505882574561</v>
      </c>
      <c r="LQ32">
        <v>0.3330617723339982</v>
      </c>
      <c r="LR32">
        <v>0.31641990507326978</v>
      </c>
      <c r="LS32">
        <v>0.3383192554938298</v>
      </c>
      <c r="LT32">
        <v>0.3226690477611921</v>
      </c>
      <c r="LU32">
        <v>0.39101505882574561</v>
      </c>
      <c r="LV32">
        <v>0.33214646879569532</v>
      </c>
      <c r="LW32">
        <v>0.31525982500780925</v>
      </c>
      <c r="LX32">
        <v>0.33802417921600192</v>
      </c>
      <c r="LY32">
        <v>0.32232057943819503</v>
      </c>
      <c r="LZ32">
        <v>0.39101505882574561</v>
      </c>
      <c r="MA32">
        <v>0.33159670742895891</v>
      </c>
      <c r="MB32">
        <v>0.31411374709621959</v>
      </c>
      <c r="MC32">
        <v>0.33774272738616512</v>
      </c>
      <c r="MD32">
        <v>0.32223251954211535</v>
      </c>
      <c r="ME32">
        <v>0.39101505882574561</v>
      </c>
      <c r="MF32">
        <v>0.31487881759063285</v>
      </c>
      <c r="MG32">
        <v>0.29370101984645897</v>
      </c>
      <c r="MH32">
        <v>0.33144759704463123</v>
      </c>
      <c r="MI32">
        <v>0.31387591073964094</v>
      </c>
      <c r="MJ32">
        <v>0.39101505882574561</v>
      </c>
      <c r="MK32">
        <v>0.34285853298207097</v>
      </c>
      <c r="ML32">
        <v>0.32796446150474184</v>
      </c>
      <c r="MM32">
        <v>0.34843538225838816</v>
      </c>
      <c r="MN32">
        <v>0.33598803895668877</v>
      </c>
      <c r="MO32">
        <v>0.39101505882574561</v>
      </c>
      <c r="MP32">
        <v>0.33593088356127837</v>
      </c>
      <c r="MQ32">
        <v>0.31566516232071329</v>
      </c>
      <c r="MR32">
        <v>0.34070312008659992</v>
      </c>
      <c r="MS32">
        <v>0.32160070200218183</v>
      </c>
      <c r="MT32">
        <v>0.39101505882574561</v>
      </c>
      <c r="MU32">
        <v>0.33737442535889928</v>
      </c>
      <c r="MV32">
        <v>0.3155544866240147</v>
      </c>
      <c r="MW32">
        <v>0.34162067128512519</v>
      </c>
      <c r="MX32">
        <v>0.32135833951223164</v>
      </c>
      <c r="MY32">
        <v>0.39101505882574561</v>
      </c>
      <c r="MZ32">
        <v>0.33858060746599622</v>
      </c>
      <c r="NA32">
        <v>0.3154001664848734</v>
      </c>
      <c r="NB32">
        <v>0.34263995201210584</v>
      </c>
      <c r="NC32">
        <v>0.32106097314496734</v>
      </c>
      <c r="ND32">
        <v>0.39101505882574561</v>
      </c>
      <c r="NE32">
        <v>0.33216986549851446</v>
      </c>
      <c r="NF32">
        <v>0.31830186476592931</v>
      </c>
      <c r="NG32">
        <v>0.33737583280702987</v>
      </c>
      <c r="NH32">
        <v>0.32429565217969653</v>
      </c>
      <c r="NI32">
        <v>0.39101505882574561</v>
      </c>
      <c r="NJ32">
        <v>0.33167641936275966</v>
      </c>
      <c r="NK32">
        <v>0.31840922495383539</v>
      </c>
      <c r="NL32">
        <v>0.33696966119656646</v>
      </c>
      <c r="NM32">
        <v>0.32444152344756078</v>
      </c>
      <c r="NN32">
        <v>0.39101505882574561</v>
      </c>
      <c r="NO32">
        <v>0.33122886750289954</v>
      </c>
      <c r="NP32">
        <v>0.31851442038284389</v>
      </c>
      <c r="NQ32">
        <v>0.33682020589527101</v>
      </c>
      <c r="NR32">
        <v>0.32490857344965357</v>
      </c>
      <c r="NS32">
        <v>0.39101505882574561</v>
      </c>
      <c r="NT32">
        <v>0.32665595040766376</v>
      </c>
      <c r="NU32">
        <v>0.31760618416635339</v>
      </c>
      <c r="NV32">
        <v>0.33214367008718143</v>
      </c>
      <c r="NW32">
        <v>0.32307192363890974</v>
      </c>
      <c r="NX32">
        <v>0.39101505882574561</v>
      </c>
      <c r="NY32">
        <v>0.33981640048955969</v>
      </c>
      <c r="NZ32">
        <v>0.31760536470010414</v>
      </c>
      <c r="OA32">
        <v>0.34421083120312007</v>
      </c>
      <c r="OB32">
        <v>0.32307183592955924</v>
      </c>
      <c r="OC32">
        <v>0.39101505882574561</v>
      </c>
      <c r="OD32">
        <v>0.34445872427945246</v>
      </c>
      <c r="OE32">
        <v>0.31760617647102474</v>
      </c>
      <c r="OF32">
        <v>0.34855696647897283</v>
      </c>
      <c r="OG32">
        <v>0.32307192019164571</v>
      </c>
      <c r="OH32">
        <v>0.39101505882574561</v>
      </c>
      <c r="OI32">
        <v>0.33604499200268256</v>
      </c>
      <c r="OJ32">
        <v>0.31687821879152661</v>
      </c>
      <c r="OK32">
        <v>0.34038586290942302</v>
      </c>
      <c r="OL32">
        <v>0.32257237969553215</v>
      </c>
      <c r="OM32">
        <v>0.39101505882574561</v>
      </c>
      <c r="ON32">
        <v>0.3324358579255291</v>
      </c>
      <c r="OO32">
        <v>0.31817821534567048</v>
      </c>
      <c r="OP32">
        <v>0.33760820175771722</v>
      </c>
      <c r="OQ32">
        <v>0.32418739420111592</v>
      </c>
      <c r="OR32">
        <v>0.39101505882574561</v>
      </c>
      <c r="OS32">
        <v>0.33467693635322038</v>
      </c>
      <c r="OT32">
        <v>0.31861298871852917</v>
      </c>
      <c r="OU32">
        <v>0.3393060744810894</v>
      </c>
      <c r="OV32">
        <v>0.3233894527245455</v>
      </c>
      <c r="OW32">
        <v>0.39101505882574561</v>
      </c>
      <c r="OX32">
        <v>0.33561397354599704</v>
      </c>
      <c r="OY32">
        <v>0.31961964061310094</v>
      </c>
      <c r="OZ32">
        <v>0.33962434090719296</v>
      </c>
      <c r="PA32">
        <v>0.32437818560207227</v>
      </c>
      <c r="PB32">
        <v>0.39101505882574561</v>
      </c>
      <c r="PC32">
        <v>0.33511841304737716</v>
      </c>
      <c r="PD32">
        <v>0.31896537806581088</v>
      </c>
      <c r="PE32">
        <v>0.33927163750644318</v>
      </c>
      <c r="PF32">
        <v>0.32390932451989274</v>
      </c>
      <c r="PG32">
        <v>0.39101505882574561</v>
      </c>
      <c r="PH32">
        <v>0.3326019818304739</v>
      </c>
      <c r="PI32">
        <v>0.31583498802835602</v>
      </c>
      <c r="PJ32">
        <v>0.33833010733895741</v>
      </c>
      <c r="PK32">
        <v>0.32267707313432725</v>
      </c>
      <c r="PL32" s="24">
        <v>0.39101505882574561</v>
      </c>
      <c r="PM32" s="24">
        <v>0.32124006525907367</v>
      </c>
      <c r="PN32" s="24">
        <v>0.30129824545324102</v>
      </c>
      <c r="PO32" s="24">
        <v>0.33403760451888564</v>
      </c>
      <c r="PP32" s="24">
        <v>0.31714331210347163</v>
      </c>
      <c r="PQ32">
        <v>0.39101505882574561</v>
      </c>
      <c r="PR32">
        <v>0.31311623649936349</v>
      </c>
      <c r="PS32">
        <v>0.29100636886264492</v>
      </c>
      <c r="PT32">
        <v>0.33071253068320272</v>
      </c>
      <c r="PU32">
        <v>0.31263024709914106</v>
      </c>
      <c r="PV32">
        <v>0.39101505882574561</v>
      </c>
      <c r="PW32">
        <v>0.34255417070782451</v>
      </c>
      <c r="PX32">
        <v>0.32794598463635399</v>
      </c>
      <c r="PY32">
        <v>0.34671160318920291</v>
      </c>
      <c r="PZ32">
        <v>0.33338065018091412</v>
      </c>
      <c r="QA32" s="24">
        <v>0.39101505882574561</v>
      </c>
      <c r="QB32" s="24">
        <v>0.34324465160980278</v>
      </c>
      <c r="QC32" s="24">
        <v>0.32846156532226106</v>
      </c>
      <c r="QD32" s="24">
        <v>0.35608723749464211</v>
      </c>
      <c r="QE32" s="24">
        <v>0.34505845623474729</v>
      </c>
    </row>
    <row r="33" spans="1:447" x14ac:dyDescent="0.15">
      <c r="A33" s="24" t="s">
        <v>57</v>
      </c>
      <c r="B33" s="24">
        <f>Sectors!$B12</f>
        <v>0.3745928365283252</v>
      </c>
      <c r="C33" s="24">
        <f>Sectors!$Z13</f>
        <v>0.43187184563106507</v>
      </c>
      <c r="D33" s="24">
        <f>Sectors!$BK13</f>
        <v>0.41068174962109105</v>
      </c>
      <c r="E33" s="24">
        <f>Sectors!$AT13</f>
        <v>0.41089128090616783</v>
      </c>
      <c r="F33" s="24">
        <f>Sectors!$CE13</f>
        <v>0.39201585704839609</v>
      </c>
      <c r="H33" s="24">
        <v>0.3745928365283252</v>
      </c>
      <c r="I33" s="24">
        <v>0.43187101955640744</v>
      </c>
      <c r="J33" s="24">
        <v>0.41068180595827886</v>
      </c>
      <c r="K33" s="24">
        <v>0.44313440103877089</v>
      </c>
      <c r="L33" s="24">
        <v>0.42541192496881869</v>
      </c>
      <c r="M33" s="24">
        <v>0.3745928365283252</v>
      </c>
      <c r="N33" s="24">
        <v>0.42284916415342011</v>
      </c>
      <c r="O33" s="24">
        <v>0.4012378509809213</v>
      </c>
      <c r="P33" s="24">
        <v>0.43417040756079223</v>
      </c>
      <c r="Q33" s="24">
        <v>0.4155752840512672</v>
      </c>
      <c r="R33" s="24">
        <v>0.3745928365283252</v>
      </c>
      <c r="S33" s="24">
        <v>0.41496225471949905</v>
      </c>
      <c r="T33" s="24">
        <v>0.39343534258791041</v>
      </c>
      <c r="U33" s="24">
        <v>0.42551346415513369</v>
      </c>
      <c r="V33" s="24">
        <v>0.40662628118949057</v>
      </c>
      <c r="W33" s="24">
        <v>0.3745928365283252</v>
      </c>
      <c r="X33" s="24">
        <v>0.40770821001543173</v>
      </c>
      <c r="Y33" s="24">
        <v>0.38605813448467119</v>
      </c>
      <c r="Z33" s="24">
        <v>0.41801239167080173</v>
      </c>
      <c r="AA33" s="24">
        <v>0.39910455624826224</v>
      </c>
      <c r="AB33" s="24">
        <v>0.3745928365283252</v>
      </c>
      <c r="AC33" s="24">
        <v>0.40146998176504733</v>
      </c>
      <c r="AD33" s="24">
        <v>0.38006866865658495</v>
      </c>
      <c r="AE33" s="24">
        <v>0.41088929933565776</v>
      </c>
      <c r="AF33" s="24">
        <v>0.39201587646997998</v>
      </c>
      <c r="AG33" s="24">
        <v>0.3745928365283252</v>
      </c>
      <c r="AH33" s="24">
        <v>0.39608278774362704</v>
      </c>
      <c r="AI33" s="24">
        <v>0.37440319297868074</v>
      </c>
      <c r="AJ33" s="24">
        <v>0.40461622555169435</v>
      </c>
      <c r="AK33" s="24">
        <v>0.38629505297274203</v>
      </c>
      <c r="AL33" s="24">
        <v>0.3745928365283252</v>
      </c>
      <c r="AM33" s="24">
        <v>0.39217406326500553</v>
      </c>
      <c r="AN33" s="24">
        <v>0.37114936702596107</v>
      </c>
      <c r="AO33" s="24">
        <v>0.39907408655613713</v>
      </c>
      <c r="AP33" s="24">
        <v>0.38034568035186767</v>
      </c>
      <c r="AQ33" s="24">
        <v>0.3745928365283252</v>
      </c>
      <c r="AR33" s="24">
        <v>0.39071230169492882</v>
      </c>
      <c r="AS33" s="24">
        <v>0.37119951864696565</v>
      </c>
      <c r="AT33" s="24">
        <v>0.39385918945162779</v>
      </c>
      <c r="AU33" s="24">
        <v>0.37558668953479746</v>
      </c>
      <c r="AV33" s="24">
        <v>0.3745928365283252</v>
      </c>
      <c r="AW33" s="24">
        <v>0.38926129423268502</v>
      </c>
      <c r="AX33" s="24">
        <v>0.37124478716012926</v>
      </c>
      <c r="AY33" s="24">
        <v>0.38947544635616277</v>
      </c>
      <c r="AZ33" s="24">
        <v>0.37202825715492083</v>
      </c>
      <c r="BA33" s="24">
        <v>0.3745928365283252</v>
      </c>
      <c r="BB33" s="24">
        <v>0.38782043210034628</v>
      </c>
      <c r="BC33" s="24">
        <v>0.37129002145097639</v>
      </c>
      <c r="BD33" s="24">
        <v>0.38801628408689326</v>
      </c>
      <c r="BE33" s="24">
        <v>0.37166366668852968</v>
      </c>
      <c r="BF33" s="24">
        <v>0.3745928365283252</v>
      </c>
      <c r="BG33" s="24">
        <v>0.38639114036611039</v>
      </c>
      <c r="BH33" s="24">
        <v>0.37132301217883923</v>
      </c>
      <c r="BI33" s="24">
        <v>0.38656588854987506</v>
      </c>
      <c r="BJ33" s="24">
        <v>0.37167690185234759</v>
      </c>
      <c r="BK33" s="24">
        <v>0.3745928365283252</v>
      </c>
      <c r="BL33" s="24">
        <v>0.380562871536892</v>
      </c>
      <c r="BM33" s="24">
        <v>0.37118860764720574</v>
      </c>
      <c r="BN33" s="24">
        <v>0.38086650673531514</v>
      </c>
      <c r="BO33" s="24">
        <v>0.37170464303524287</v>
      </c>
      <c r="BP33" s="24">
        <v>0.3745928365283252</v>
      </c>
      <c r="BQ33" s="24">
        <v>0.37502118668921436</v>
      </c>
      <c r="BR33" s="24">
        <v>0.37122902122970708</v>
      </c>
      <c r="BS33" s="24">
        <v>0.3752794612755086</v>
      </c>
      <c r="BT33" s="24">
        <v>0.37169235683073065</v>
      </c>
      <c r="BU33" s="24">
        <v>0.3745928365283252</v>
      </c>
      <c r="BV33" s="24">
        <v>0.45190652150133653</v>
      </c>
      <c r="BW33" s="24">
        <v>0.43569855630648829</v>
      </c>
      <c r="BX33" s="24">
        <v>0.46261198140472437</v>
      </c>
      <c r="BY33" s="24">
        <v>0.4499977883155647</v>
      </c>
      <c r="BZ33" s="24">
        <v>0.3745928365283252</v>
      </c>
      <c r="CA33" s="24">
        <v>0.44195063175679478</v>
      </c>
      <c r="CB33" s="24">
        <v>0.42573175735966051</v>
      </c>
      <c r="CC33" s="24">
        <v>0.4527271859763411</v>
      </c>
      <c r="CD33" s="24">
        <v>0.43982741754867666</v>
      </c>
      <c r="CE33" s="24">
        <v>0.3745928365283252</v>
      </c>
      <c r="CF33" s="24">
        <v>0.4335558557646188</v>
      </c>
      <c r="CG33" s="24">
        <v>0.41709807564176588</v>
      </c>
      <c r="CH33" s="24">
        <v>0.4437885109103627</v>
      </c>
      <c r="CI33" s="24">
        <v>0.42989030631554587</v>
      </c>
      <c r="CJ33" s="24">
        <v>0.3745928365283252</v>
      </c>
      <c r="CK33" s="24">
        <v>0.42584946364023357</v>
      </c>
      <c r="CL33" s="24">
        <v>0.40875115218346586</v>
      </c>
      <c r="CM33" s="24">
        <v>0.43540454230429854</v>
      </c>
      <c r="CN33" s="24">
        <v>0.42129384442165146</v>
      </c>
      <c r="CO33" s="24">
        <v>0.3745928365283252</v>
      </c>
      <c r="CP33" s="24">
        <v>0.41804303868270609</v>
      </c>
      <c r="CQ33" s="24">
        <v>0.40130790071321587</v>
      </c>
      <c r="CR33" s="24">
        <v>0.4273376573324083</v>
      </c>
      <c r="CS33" s="24">
        <v>0.41342756970721273</v>
      </c>
      <c r="CT33" s="24">
        <v>0.3745928365283252</v>
      </c>
      <c r="CU33" s="24">
        <v>0.41133460942833605</v>
      </c>
      <c r="CV33" s="24">
        <v>0.39468293374675456</v>
      </c>
      <c r="CW33" s="24">
        <v>0.41991949815333129</v>
      </c>
      <c r="CX33" s="24">
        <v>0.40587931253242171</v>
      </c>
      <c r="CY33" s="24">
        <v>0.3745928365283252</v>
      </c>
      <c r="CZ33" s="24">
        <v>0.40502983384561969</v>
      </c>
      <c r="DA33" s="24">
        <v>0.3888767981627067</v>
      </c>
      <c r="DB33" s="24">
        <v>0.41348944002678573</v>
      </c>
      <c r="DC33" s="24">
        <v>0.39911769541865244</v>
      </c>
      <c r="DD33" s="24">
        <v>0.3745928365283252</v>
      </c>
      <c r="DE33" s="24">
        <v>0.39970793856693754</v>
      </c>
      <c r="DF33" s="24">
        <v>0.38326656051661617</v>
      </c>
      <c r="DG33" s="24">
        <v>0.40707054284077571</v>
      </c>
      <c r="DH33" s="24">
        <v>0.39321488724591508</v>
      </c>
      <c r="DI33" s="24">
        <v>0.3745928365283252</v>
      </c>
      <c r="DJ33" s="24">
        <v>0.39445739996534979</v>
      </c>
      <c r="DK33" s="24">
        <v>0.37834807569085027</v>
      </c>
      <c r="DL33" s="24">
        <v>0.40140401532689007</v>
      </c>
      <c r="DM33" s="24">
        <v>0.38741980755894911</v>
      </c>
      <c r="DN33" s="24">
        <v>0.3745928365283252</v>
      </c>
      <c r="DO33" s="24">
        <v>0.38752272484801353</v>
      </c>
      <c r="DP33" s="24">
        <v>0.37297262221809196</v>
      </c>
      <c r="DQ33" s="24">
        <v>0.39138381623105123</v>
      </c>
      <c r="DR33" s="24">
        <v>0.37855234222951728</v>
      </c>
      <c r="DS33" s="24">
        <v>0.3745928365283252</v>
      </c>
      <c r="DT33" s="24">
        <v>0.38176583018944427</v>
      </c>
      <c r="DU33" s="24">
        <v>0.37295140728447673</v>
      </c>
      <c r="DV33" s="24">
        <v>0.38297597764299018</v>
      </c>
      <c r="DW33" s="24">
        <v>0.37470516198256348</v>
      </c>
      <c r="DX33" s="24">
        <v>0.3745928365283252</v>
      </c>
      <c r="DY33" s="24">
        <v>0.37614093093603168</v>
      </c>
      <c r="DZ33" s="24">
        <v>0.3729062144094219</v>
      </c>
      <c r="EA33" s="24">
        <v>0.37738518207862287</v>
      </c>
      <c r="EB33" s="24">
        <v>0.37462980745379421</v>
      </c>
      <c r="EC33" s="24">
        <v>0.3745928365283252</v>
      </c>
      <c r="ED33" s="24">
        <v>0.40862076202362291</v>
      </c>
      <c r="EE33" s="24">
        <v>0.38897307287400779</v>
      </c>
      <c r="EF33" s="24">
        <v>0.41270067013011452</v>
      </c>
      <c r="EG33" s="24">
        <v>0.39557621972900869</v>
      </c>
      <c r="EH33" s="24">
        <v>0.3745928365283252</v>
      </c>
      <c r="EI33" s="24">
        <v>0.40257930266755115</v>
      </c>
      <c r="EJ33" s="24">
        <v>0.38292098743371838</v>
      </c>
      <c r="EK33" s="24">
        <v>0.40662611891609285</v>
      </c>
      <c r="EL33" s="24">
        <v>0.38925996558865966</v>
      </c>
      <c r="EM33" s="24">
        <v>0.3745928365283252</v>
      </c>
      <c r="EN33" s="24">
        <v>0.3970949582770929</v>
      </c>
      <c r="EO33" s="24">
        <v>0.37735405845958725</v>
      </c>
      <c r="EP33" s="24">
        <v>0.40084426491054576</v>
      </c>
      <c r="EQ33" s="24">
        <v>0.38359006541890506</v>
      </c>
      <c r="ER33" s="24">
        <v>0.3745928365283252</v>
      </c>
      <c r="ES33" s="24">
        <v>0.39249099804807708</v>
      </c>
      <c r="ET33" s="24">
        <v>0.37267991268583528</v>
      </c>
      <c r="EU33" s="24">
        <v>0.39603079875841329</v>
      </c>
      <c r="EV33" s="24">
        <v>0.37853728084512406</v>
      </c>
      <c r="EW33" s="24">
        <v>0.3745928365283252</v>
      </c>
      <c r="EX33" s="24">
        <v>0.39024719806763186</v>
      </c>
      <c r="EY33" s="24">
        <v>0.37056933375181556</v>
      </c>
      <c r="EZ33" s="24">
        <v>0.39157451240153607</v>
      </c>
      <c r="FA33" s="24">
        <v>0.37421121921225592</v>
      </c>
      <c r="FB33" s="24">
        <v>0.3745928365283252</v>
      </c>
      <c r="FC33" s="24">
        <v>0.3891299291964665</v>
      </c>
      <c r="FD33" s="24">
        <v>0.37054964873401935</v>
      </c>
      <c r="FE33" s="24">
        <v>0.38789406099083229</v>
      </c>
      <c r="FF33" s="24">
        <v>0.37085383924566595</v>
      </c>
      <c r="FG33" s="24">
        <v>0.3745928365283252</v>
      </c>
      <c r="FH33" s="24">
        <v>0.38802736557005746</v>
      </c>
      <c r="FI33" s="24">
        <v>0.37053811180668028</v>
      </c>
      <c r="FJ33" s="24">
        <v>0.38550426605387039</v>
      </c>
      <c r="FK33" s="24">
        <v>0.36853821809261911</v>
      </c>
      <c r="FL33" s="24">
        <v>0.3745928365283252</v>
      </c>
      <c r="FM33" s="24">
        <v>0.38693991762311425</v>
      </c>
      <c r="FN33" s="24">
        <v>0.37053479784193466</v>
      </c>
      <c r="FO33" s="24">
        <v>0.38454371523360131</v>
      </c>
      <c r="FP33" s="24">
        <v>0.36868475924696509</v>
      </c>
      <c r="FQ33" s="24">
        <v>0.3745928365283252</v>
      </c>
      <c r="FR33" s="24">
        <v>0.38586517144015636</v>
      </c>
      <c r="FS33" s="24">
        <v>0.37054219215258299</v>
      </c>
      <c r="FT33" s="24">
        <v>0.38378431598720847</v>
      </c>
      <c r="FU33" s="24">
        <v>0.369079469691104</v>
      </c>
      <c r="FV33" s="24">
        <v>0.3745928365283252</v>
      </c>
      <c r="FW33" s="24">
        <v>0.38375526254952647</v>
      </c>
      <c r="FX33" s="24">
        <v>0.37057514167114641</v>
      </c>
      <c r="FY33" s="24">
        <v>0.38191668158549164</v>
      </c>
      <c r="FZ33" s="24">
        <v>0.36963135677842796</v>
      </c>
      <c r="GA33" s="24">
        <v>0.3745928365283252</v>
      </c>
      <c r="GB33" s="24">
        <v>0.37987647010032122</v>
      </c>
      <c r="GC33" s="24">
        <v>0.37099801120281239</v>
      </c>
      <c r="GD33" s="24">
        <v>0.37863295268723801</v>
      </c>
      <c r="GE33" s="24">
        <v>0.37057113454260215</v>
      </c>
      <c r="GF33" s="24">
        <v>0.3745928365283252</v>
      </c>
      <c r="GG33" s="24">
        <v>0.37630876200145269</v>
      </c>
      <c r="GH33" s="24">
        <v>0.37173900474452487</v>
      </c>
      <c r="GI33" s="24">
        <v>0.37544880048090878</v>
      </c>
      <c r="GJ33" s="24">
        <v>0.3718003733488337</v>
      </c>
      <c r="GK33" s="24">
        <v>0.3745928365283252</v>
      </c>
      <c r="GL33" s="24">
        <v>0.43187178132402354</v>
      </c>
      <c r="GM33" s="24">
        <v>0.41068179888177503</v>
      </c>
      <c r="GN33" s="24">
        <v>0.41088929933565776</v>
      </c>
      <c r="GO33" s="24">
        <v>0.39201587646998032</v>
      </c>
      <c r="GP33" s="24">
        <v>0.3745928365283252</v>
      </c>
      <c r="GQ33" s="24">
        <v>0.42626863957140654</v>
      </c>
      <c r="GR33" s="24">
        <v>0.40308361784538732</v>
      </c>
      <c r="GS33" s="24">
        <v>0.40478418182779607</v>
      </c>
      <c r="GT33" s="24">
        <v>0.38385024285881919</v>
      </c>
      <c r="GU33" s="24">
        <v>0.3745928365283252</v>
      </c>
      <c r="GV33" s="24">
        <v>0.4379353140476685</v>
      </c>
      <c r="GW33" s="24">
        <v>0.41570555124217173</v>
      </c>
      <c r="GX33" s="24">
        <v>0.41078635200236585</v>
      </c>
      <c r="GY33" s="24">
        <v>0.3897292074425926</v>
      </c>
      <c r="GZ33" s="24">
        <v>0.3745928365283252</v>
      </c>
      <c r="HA33" s="24">
        <v>0.44416428685900483</v>
      </c>
      <c r="HB33" s="24">
        <v>0.42384597287320303</v>
      </c>
      <c r="HC33" s="24">
        <v>0.41756258216032016</v>
      </c>
      <c r="HD33" s="24">
        <v>0.39904750358189384</v>
      </c>
      <c r="HE33" s="24">
        <v>0.3745928365283252</v>
      </c>
      <c r="HF33" s="24">
        <v>0.41373895193984689</v>
      </c>
      <c r="HG33" s="24">
        <v>0.3933594969035325</v>
      </c>
      <c r="HH33" s="24">
        <v>0.41078666324450486</v>
      </c>
      <c r="HI33" s="24">
        <v>0.38972921803246968</v>
      </c>
      <c r="HJ33" s="24">
        <v>0.3745928365283252</v>
      </c>
      <c r="HK33" s="24">
        <v>0.4145236300354197</v>
      </c>
      <c r="HL33" s="24">
        <v>0.38840779946902249</v>
      </c>
      <c r="HM33" s="24">
        <v>0.40532695963702237</v>
      </c>
      <c r="HN33" s="24">
        <v>0.38483883021210175</v>
      </c>
      <c r="HO33">
        <v>0.3745928365283252</v>
      </c>
      <c r="HP33">
        <v>0.42130428902119399</v>
      </c>
      <c r="HQ33">
        <v>0.39733909157960029</v>
      </c>
      <c r="HR33">
        <v>0.40766489173998288</v>
      </c>
      <c r="HS33">
        <v>0.38791822064337378</v>
      </c>
      <c r="HT33">
        <v>0.3745928365283252</v>
      </c>
      <c r="HU33">
        <v>0.42942547449437313</v>
      </c>
      <c r="HV33">
        <v>0.40808752480770216</v>
      </c>
      <c r="HW33">
        <v>0.41044835030192112</v>
      </c>
      <c r="HX33">
        <v>0.3914521064818568</v>
      </c>
      <c r="HY33">
        <v>0.3745928365283252</v>
      </c>
      <c r="HZ33">
        <v>0.44291836642913607</v>
      </c>
      <c r="IA33">
        <v>0.42352802812559037</v>
      </c>
      <c r="IB33">
        <v>0.41538200171294937</v>
      </c>
      <c r="IC33">
        <v>0.39794359539859536</v>
      </c>
      <c r="ID33">
        <v>0.3745928365283252</v>
      </c>
      <c r="IE33">
        <v>0.43141724073602927</v>
      </c>
      <c r="IF33">
        <v>0.41074214790793429</v>
      </c>
      <c r="IG33">
        <v>0.41055649111776688</v>
      </c>
      <c r="IH33">
        <v>0.39215790348011159</v>
      </c>
      <c r="II33">
        <v>0.3745928365283252</v>
      </c>
      <c r="IJ33">
        <v>0.43100197929100059</v>
      </c>
      <c r="IK33">
        <v>0.41081472085444737</v>
      </c>
      <c r="IL33">
        <v>0.41055149237068334</v>
      </c>
      <c r="IM33">
        <v>0.39261597169136109</v>
      </c>
      <c r="IN33">
        <v>0.3745928365283252</v>
      </c>
      <c r="IO33" s="86">
        <v>0.43100197928814266</v>
      </c>
      <c r="IP33">
        <v>0.41081472085173859</v>
      </c>
      <c r="IQ33">
        <v>0.41055149236796101</v>
      </c>
      <c r="IR33">
        <v>0.39261597168875118</v>
      </c>
      <c r="IS33">
        <v>0.3745928365283252</v>
      </c>
      <c r="IT33">
        <v>0.43022197742685564</v>
      </c>
      <c r="IU33">
        <v>0.41094264284508675</v>
      </c>
      <c r="IV33">
        <v>0.4099499482719452</v>
      </c>
      <c r="IW33">
        <v>0.39322166841228789</v>
      </c>
      <c r="IX33">
        <v>0.3745928365283252</v>
      </c>
      <c r="IY33">
        <v>0.43194745567282655</v>
      </c>
      <c r="IZ33">
        <v>0.41000846742521196</v>
      </c>
      <c r="JA33">
        <v>0.41124832863647437</v>
      </c>
      <c r="JB33">
        <v>0.39187568539540668</v>
      </c>
      <c r="JC33">
        <v>0.3745928365283252</v>
      </c>
      <c r="JD33">
        <v>0.43284289930372949</v>
      </c>
      <c r="JE33">
        <v>0.41013812759479062</v>
      </c>
      <c r="JF33">
        <v>0.41167579806561472</v>
      </c>
      <c r="JG33">
        <v>0.39178051695655303</v>
      </c>
      <c r="JH33">
        <v>0.3745928365283252</v>
      </c>
      <c r="JI33">
        <v>0.43393061985246129</v>
      </c>
      <c r="JJ33">
        <v>0.40981410713708277</v>
      </c>
      <c r="JK33">
        <v>0.41254968105159334</v>
      </c>
      <c r="JL33">
        <v>0.39154219664854312</v>
      </c>
      <c r="JM33">
        <v>0.3745928365283252</v>
      </c>
      <c r="JN33">
        <v>0.41241932159201367</v>
      </c>
      <c r="JO33">
        <v>0.38563009871056447</v>
      </c>
      <c r="JP33">
        <v>0.40410355646996521</v>
      </c>
      <c r="JQ33">
        <v>0.38328810499106775</v>
      </c>
      <c r="JR33">
        <v>0.3745928365283252</v>
      </c>
      <c r="JS33">
        <v>0.41872102021618646</v>
      </c>
      <c r="JT33">
        <v>0.39411920127854944</v>
      </c>
      <c r="JU33">
        <v>0.40684989331257965</v>
      </c>
      <c r="JV33">
        <v>0.3868864994354369</v>
      </c>
      <c r="JW33">
        <v>0.3745928365283252</v>
      </c>
      <c r="JX33">
        <v>0.42641745111810736</v>
      </c>
      <c r="JY33">
        <v>0.40373173431537362</v>
      </c>
      <c r="JZ33">
        <v>0.40931159471049733</v>
      </c>
      <c r="KA33">
        <v>0.39039402724752748</v>
      </c>
      <c r="KB33">
        <v>0.3745928365283252</v>
      </c>
      <c r="KC33">
        <v>0.4370724918994261</v>
      </c>
      <c r="KD33">
        <v>0.41673067362338584</v>
      </c>
      <c r="KE33">
        <v>0.41254231556836429</v>
      </c>
      <c r="KF33">
        <v>0.39411958913370576</v>
      </c>
      <c r="KG33">
        <v>0.3745928365283252</v>
      </c>
      <c r="KH33">
        <v>0.44292747930177062</v>
      </c>
      <c r="KI33">
        <v>0.42355067748955016</v>
      </c>
      <c r="KJ33">
        <v>0.41706898809510767</v>
      </c>
      <c r="KK33">
        <v>0.39988639037417884</v>
      </c>
      <c r="KL33">
        <v>0.3745928365283252</v>
      </c>
      <c r="KM33">
        <v>0.42458309501545605</v>
      </c>
      <c r="KN33">
        <v>0.41068175726325667</v>
      </c>
      <c r="KO33">
        <v>0.40458786031683119</v>
      </c>
      <c r="KP33">
        <v>0.39201581871078173</v>
      </c>
      <c r="KQ33">
        <v>0.3745928365283252</v>
      </c>
      <c r="KR33">
        <v>0.42458311563098183</v>
      </c>
      <c r="KS33">
        <v>0.41068175726325667</v>
      </c>
      <c r="KT33">
        <v>0.40458787864081786</v>
      </c>
      <c r="KU33">
        <v>0.39201581871078173</v>
      </c>
      <c r="KV33">
        <v>0.3745928365283252</v>
      </c>
      <c r="KW33">
        <v>0.42817154458673146</v>
      </c>
      <c r="KX33">
        <v>0.41068175726325667</v>
      </c>
      <c r="KY33">
        <v>0.40810801032887539</v>
      </c>
      <c r="KZ33">
        <v>0.39201581871078173</v>
      </c>
      <c r="LA33">
        <v>0.3745928365283252</v>
      </c>
      <c r="LB33">
        <v>0.43487193789573936</v>
      </c>
      <c r="LC33">
        <v>0.41068175726325667</v>
      </c>
      <c r="LD33">
        <v>0.41379984481194154</v>
      </c>
      <c r="LE33">
        <v>0.39201581871078173</v>
      </c>
      <c r="LF33">
        <v>0.3745928365283252</v>
      </c>
      <c r="LG33">
        <v>0.43795675888368779</v>
      </c>
      <c r="LH33">
        <v>0.41068175726325667</v>
      </c>
      <c r="LI33">
        <v>0.41645417621077319</v>
      </c>
      <c r="LJ33">
        <v>0.39201581871078173</v>
      </c>
      <c r="LK33">
        <v>0.3745928365283252</v>
      </c>
      <c r="LL33">
        <v>0.42238359841093825</v>
      </c>
      <c r="LM33">
        <v>0.41068175726325667</v>
      </c>
      <c r="LN33">
        <v>0.40302346853650717</v>
      </c>
      <c r="LO33">
        <v>0.39201581871078173</v>
      </c>
      <c r="LP33">
        <v>0.3745928365283252</v>
      </c>
      <c r="LQ33">
        <v>0.4306666560095383</v>
      </c>
      <c r="LR33">
        <v>0.40914783302151525</v>
      </c>
      <c r="LS33">
        <v>0.41051694317690618</v>
      </c>
      <c r="LT33">
        <v>0.39152696452757335</v>
      </c>
      <c r="LU33">
        <v>0.3745928365283252</v>
      </c>
      <c r="LV33">
        <v>0.42948311966037328</v>
      </c>
      <c r="LW33">
        <v>0.40764778755248982</v>
      </c>
      <c r="LX33">
        <v>0.41015889730865929</v>
      </c>
      <c r="LY33">
        <v>0.39110413269513172</v>
      </c>
      <c r="LZ33">
        <v>0.3745928365283252</v>
      </c>
      <c r="MA33">
        <v>0.42877224885776982</v>
      </c>
      <c r="MB33">
        <v>0.40616584761608737</v>
      </c>
      <c r="MC33">
        <v>0.40981738336004436</v>
      </c>
      <c r="MD33">
        <v>0.39099728072390016</v>
      </c>
      <c r="ME33">
        <v>0.3745928365283252</v>
      </c>
      <c r="MF33">
        <v>0.40715512461756237</v>
      </c>
      <c r="MG33">
        <v>0.37977110131096836</v>
      </c>
      <c r="MH33">
        <v>0.40217886553186299</v>
      </c>
      <c r="MI33">
        <v>0.38085736274639803</v>
      </c>
      <c r="MJ33">
        <v>0.3745928365283252</v>
      </c>
      <c r="MK33">
        <v>0.4433343906416603</v>
      </c>
      <c r="ML33">
        <v>0.42407556092800597</v>
      </c>
      <c r="MM33">
        <v>0.42279186211438985</v>
      </c>
      <c r="MN33">
        <v>0.40768824256004743</v>
      </c>
      <c r="MO33">
        <v>0.3745928365283252</v>
      </c>
      <c r="MP33">
        <v>0.43437657002732916</v>
      </c>
      <c r="MQ33">
        <v>0.40817191034172784</v>
      </c>
      <c r="MR33">
        <v>0.41340952700026318</v>
      </c>
      <c r="MS33">
        <v>0.39023063265132601</v>
      </c>
      <c r="MT33">
        <v>0.3745928365283252</v>
      </c>
      <c r="MU33">
        <v>0.43624314665194386</v>
      </c>
      <c r="MV33">
        <v>0.40802880075618553</v>
      </c>
      <c r="MW33">
        <v>0.41452288459700154</v>
      </c>
      <c r="MX33">
        <v>0.38993654974915759</v>
      </c>
      <c r="MY33">
        <v>0.3745928365283252</v>
      </c>
      <c r="MZ33">
        <v>0.43780280452249964</v>
      </c>
      <c r="NA33">
        <v>0.40782925657609798</v>
      </c>
      <c r="NB33">
        <v>0.41575968091138354</v>
      </c>
      <c r="NC33">
        <v>0.38957572508396149</v>
      </c>
      <c r="ND33">
        <v>0.3745928365283252</v>
      </c>
      <c r="NE33">
        <v>0.42951337284642388</v>
      </c>
      <c r="NF33">
        <v>0.41158130739446019</v>
      </c>
      <c r="NG33">
        <v>0.40937219308887607</v>
      </c>
      <c r="NH33">
        <v>0.39350068805290983</v>
      </c>
      <c r="NI33">
        <v>0.3745928365283252</v>
      </c>
      <c r="NJ33">
        <v>0.42887532064452411</v>
      </c>
      <c r="NK33">
        <v>0.41172012985009682</v>
      </c>
      <c r="NL33">
        <v>0.40887934402626713</v>
      </c>
      <c r="NM33">
        <v>0.39367768840393491</v>
      </c>
      <c r="NN33">
        <v>0.3745928365283252</v>
      </c>
      <c r="NO33">
        <v>0.42829661219195658</v>
      </c>
      <c r="NP33">
        <v>0.41185615315688789</v>
      </c>
      <c r="NQ33">
        <v>0.40869799480527808</v>
      </c>
      <c r="NR33">
        <v>0.39424440737146765</v>
      </c>
      <c r="NS33">
        <v>0.3745928365283252</v>
      </c>
      <c r="NT33">
        <v>0.42238358620937971</v>
      </c>
      <c r="NU33">
        <v>0.41068175523219763</v>
      </c>
      <c r="NV33">
        <v>0.40302348129941207</v>
      </c>
      <c r="NW33">
        <v>0.39201581454457562</v>
      </c>
      <c r="NX33">
        <v>0.3745928365283252</v>
      </c>
      <c r="NY33">
        <v>0.4394007508891703</v>
      </c>
      <c r="NZ33">
        <v>0.41068069561858056</v>
      </c>
      <c r="OA33">
        <v>0.41766578738662413</v>
      </c>
      <c r="OB33">
        <v>0.39201570811795677</v>
      </c>
      <c r="OC33">
        <v>0.3745928365283252</v>
      </c>
      <c r="OD33">
        <v>0.44540352343402345</v>
      </c>
      <c r="OE33">
        <v>0.41068174528172674</v>
      </c>
      <c r="OF33">
        <v>0.42293939253650581</v>
      </c>
      <c r="OG33">
        <v>0.39201581036166178</v>
      </c>
      <c r="OH33">
        <v>0.3745928365283252</v>
      </c>
      <c r="OI33">
        <v>0.43452411833507282</v>
      </c>
      <c r="OJ33">
        <v>0.40974045713163687</v>
      </c>
      <c r="OK33">
        <v>0.41302456680523825</v>
      </c>
      <c r="OL33">
        <v>0.39140966739424987</v>
      </c>
      <c r="OM33">
        <v>0.3745928365283252</v>
      </c>
      <c r="ON33">
        <v>0.42985731525765741</v>
      </c>
      <c r="OO33">
        <v>0.41142142209160121</v>
      </c>
      <c r="OP33">
        <v>0.4096541498199115</v>
      </c>
      <c r="OQ33">
        <v>0.39336932770696509</v>
      </c>
      <c r="OR33">
        <v>0.3745928365283252</v>
      </c>
      <c r="OS33">
        <v>0.4327551493307345</v>
      </c>
      <c r="OT33">
        <v>0.41198360727814753</v>
      </c>
      <c r="OU33">
        <v>0.41171435038190674</v>
      </c>
      <c r="OV33">
        <v>0.39240110467361267</v>
      </c>
      <c r="OW33">
        <v>0.3745928365283252</v>
      </c>
      <c r="OX33">
        <v>0.43396678845563835</v>
      </c>
      <c r="OY33">
        <v>0.41328526192966408</v>
      </c>
      <c r="OZ33">
        <v>0.41210053520064893</v>
      </c>
      <c r="PA33">
        <v>0.39360083419509184</v>
      </c>
      <c r="PB33">
        <v>0.3745928365283252</v>
      </c>
      <c r="PC33">
        <v>0.43332600226965412</v>
      </c>
      <c r="PD33">
        <v>0.41243926552059218</v>
      </c>
      <c r="PE33">
        <v>0.41167256452037371</v>
      </c>
      <c r="PF33">
        <v>0.39303191766106244</v>
      </c>
      <c r="PG33">
        <v>0.3745928365283252</v>
      </c>
      <c r="PH33">
        <v>0.43007212233721043</v>
      </c>
      <c r="PI33">
        <v>0.40839150404983315</v>
      </c>
      <c r="PJ33">
        <v>0.41053011081728508</v>
      </c>
      <c r="PK33">
        <v>0.3915367025238411</v>
      </c>
      <c r="PL33" s="24">
        <v>0.3745928365283252</v>
      </c>
      <c r="PM33" s="24">
        <v>0.41538055752214864</v>
      </c>
      <c r="PN33" s="24">
        <v>0.38959471968690673</v>
      </c>
      <c r="PO33" s="24">
        <v>0.40532158334608936</v>
      </c>
      <c r="PP33" s="24">
        <v>0.38482203102415824</v>
      </c>
      <c r="PQ33">
        <v>0.3745928365283252</v>
      </c>
      <c r="PR33">
        <v>0.40487601315063187</v>
      </c>
      <c r="PS33">
        <v>0.37628677370357111</v>
      </c>
      <c r="PT33">
        <v>0.4012869352298607</v>
      </c>
      <c r="PU33">
        <v>0.37934587316482454</v>
      </c>
      <c r="PV33">
        <v>0.3745928365283252</v>
      </c>
      <c r="PW33">
        <v>0.44294083396913492</v>
      </c>
      <c r="PX33">
        <v>0.4240516693505777</v>
      </c>
      <c r="PY33">
        <v>0.42070022676492874</v>
      </c>
      <c r="PZ33">
        <v>0.40452443425613521</v>
      </c>
      <c r="QA33" s="24">
        <v>0.3745928365283252</v>
      </c>
      <c r="QB33" s="24">
        <v>0.44383366264475738</v>
      </c>
      <c r="QC33" s="24">
        <v>0.42471834270773506</v>
      </c>
      <c r="QD33" s="24">
        <v>0.43207663136772151</v>
      </c>
      <c r="QE33" s="24">
        <v>0.41869429649833856</v>
      </c>
    </row>
    <row r="34" spans="1:447" x14ac:dyDescent="0.15">
      <c r="A34" s="24" t="s">
        <v>191</v>
      </c>
      <c r="B34" s="24">
        <f>Sectors!S13</f>
        <v>0.80042846768153675</v>
      </c>
      <c r="C34" s="24">
        <f>Sectors!AN13</f>
        <v>0.76740191776365929</v>
      </c>
      <c r="D34" s="24">
        <f>Sectors!BY13</f>
        <v>0.77360150396943084</v>
      </c>
      <c r="E34" s="24">
        <f>Sectors!BH13</f>
        <v>0.77778793761801501</v>
      </c>
      <c r="F34" s="24">
        <f>Sectors!CS13</f>
        <v>0.78385850295947745</v>
      </c>
      <c r="H34" s="24">
        <v>0.80042846768153675</v>
      </c>
      <c r="I34" s="24">
        <v>0.76740215026920422</v>
      </c>
      <c r="J34" s="24">
        <v>0.77360148682820562</v>
      </c>
      <c r="K34" s="24">
        <v>0.77028780735486946</v>
      </c>
      <c r="L34" s="24">
        <v>0.77541211394815235</v>
      </c>
      <c r="M34" s="24">
        <v>0.80042846768153675</v>
      </c>
      <c r="N34" s="24">
        <v>0.76960636128714632</v>
      </c>
      <c r="O34" s="24">
        <v>0.77609811845976406</v>
      </c>
      <c r="P34" s="24">
        <v>0.77217196485444251</v>
      </c>
      <c r="Q34" s="24">
        <v>0.77768297472981684</v>
      </c>
      <c r="R34" s="24">
        <v>0.80042846768153675</v>
      </c>
      <c r="S34" s="24">
        <v>0.77169139751950111</v>
      </c>
      <c r="T34" s="24">
        <v>0.77830552134557041</v>
      </c>
      <c r="U34" s="24">
        <v>0.77415655094230962</v>
      </c>
      <c r="V34" s="24">
        <v>0.77989189241588897</v>
      </c>
      <c r="W34" s="24">
        <v>0.80042846768153675</v>
      </c>
      <c r="X34" s="24">
        <v>0.7737899733937883</v>
      </c>
      <c r="Y34" s="24">
        <v>0.7805895669557219</v>
      </c>
      <c r="Z34" s="24">
        <v>0.77598849713538731</v>
      </c>
      <c r="AA34" s="24">
        <v>0.78185170353844946</v>
      </c>
      <c r="AB34" s="24">
        <v>0.80042846768153675</v>
      </c>
      <c r="AC34" s="24">
        <v>0.77577784271025174</v>
      </c>
      <c r="AD34" s="24">
        <v>0.78262562114392042</v>
      </c>
      <c r="AE34" s="24">
        <v>0.77778853412221227</v>
      </c>
      <c r="AF34" s="24">
        <v>0.78385849666903795</v>
      </c>
      <c r="AG34" s="24">
        <v>0.80042846768153675</v>
      </c>
      <c r="AH34" s="24">
        <v>0.7776972992105784</v>
      </c>
      <c r="AI34" s="24">
        <v>0.78475627759691136</v>
      </c>
      <c r="AJ34" s="24">
        <v>0.77969877916397479</v>
      </c>
      <c r="AK34" s="24">
        <v>0.7856015434806215</v>
      </c>
      <c r="AL34" s="24">
        <v>0.80042846768153675</v>
      </c>
      <c r="AM34" s="24">
        <v>0.77933408624936917</v>
      </c>
      <c r="AN34" s="24">
        <v>0.78626207177016527</v>
      </c>
      <c r="AO34" s="24">
        <v>0.7814613570182225</v>
      </c>
      <c r="AP34" s="24">
        <v>0.78759904402104886</v>
      </c>
      <c r="AQ34" s="24">
        <v>0.80042846768153675</v>
      </c>
      <c r="AR34" s="24">
        <v>0.78023767458216731</v>
      </c>
      <c r="AS34" s="24">
        <v>0.78668928324267973</v>
      </c>
      <c r="AT34" s="24">
        <v>0.78329874070206607</v>
      </c>
      <c r="AU34" s="24">
        <v>0.78938137061469815</v>
      </c>
      <c r="AV34" s="24">
        <v>0.80042846768153675</v>
      </c>
      <c r="AW34" s="24">
        <v>0.78113912113364981</v>
      </c>
      <c r="AX34" s="24">
        <v>0.7871161762215888</v>
      </c>
      <c r="AY34" s="24">
        <v>0.78505565414276124</v>
      </c>
      <c r="AZ34" s="24">
        <v>0.79093997591056808</v>
      </c>
      <c r="BA34" s="24">
        <v>0.80042846768153675</v>
      </c>
      <c r="BB34" s="24">
        <v>0.7820386627416368</v>
      </c>
      <c r="BC34" s="24">
        <v>0.78754117147454161</v>
      </c>
      <c r="BD34" s="24">
        <v>0.78595486218997834</v>
      </c>
      <c r="BE34" s="24">
        <v>0.79149688929120932</v>
      </c>
      <c r="BF34" s="24">
        <v>0.80042846768153675</v>
      </c>
      <c r="BG34" s="24">
        <v>0.78293587406818732</v>
      </c>
      <c r="BH34" s="24">
        <v>0.7879685518739995</v>
      </c>
      <c r="BI34" s="24">
        <v>0.7868533634626047</v>
      </c>
      <c r="BJ34" s="24">
        <v>0.79192280436536988</v>
      </c>
      <c r="BK34" s="24">
        <v>0.80042846768153675</v>
      </c>
      <c r="BL34" s="24">
        <v>0.78657768261912375</v>
      </c>
      <c r="BM34" s="24">
        <v>0.78975320987901809</v>
      </c>
      <c r="BN34" s="24">
        <v>0.79043563204799916</v>
      </c>
      <c r="BO34" s="24">
        <v>0.79362514123040606</v>
      </c>
      <c r="BP34" s="24">
        <v>0.80042846768153675</v>
      </c>
      <c r="BQ34" s="24">
        <v>0.79015197372239909</v>
      </c>
      <c r="BR34" s="24">
        <v>0.79145391566596268</v>
      </c>
      <c r="BS34" s="24">
        <v>0.79401611289981278</v>
      </c>
      <c r="BT34" s="24">
        <v>0.79532661049781139</v>
      </c>
      <c r="BU34" s="24">
        <v>0.80042846768153675</v>
      </c>
      <c r="BV34" s="24">
        <v>0.77211970946557451</v>
      </c>
      <c r="BW34" s="24">
        <v>0.77665917077002378</v>
      </c>
      <c r="BX34" s="24">
        <v>0.77453800254322969</v>
      </c>
      <c r="BY34" s="24">
        <v>0.77800427378358095</v>
      </c>
      <c r="BZ34" s="24">
        <v>0.80042846768153675</v>
      </c>
      <c r="CA34" s="24">
        <v>0.77407006898498065</v>
      </c>
      <c r="CB34" s="24">
        <v>0.7787309167592199</v>
      </c>
      <c r="CC34" s="24">
        <v>0.77617859873206108</v>
      </c>
      <c r="CD34" s="24">
        <v>0.77981106537027778</v>
      </c>
      <c r="CE34" s="24">
        <v>0.80042846768153675</v>
      </c>
      <c r="CF34" s="24">
        <v>0.7757669538403773</v>
      </c>
      <c r="CG34" s="24">
        <v>0.780601801364881</v>
      </c>
      <c r="CH34" s="24">
        <v>0.77773893579422615</v>
      </c>
      <c r="CI34" s="24">
        <v>0.78174623407269761</v>
      </c>
      <c r="CJ34" s="24">
        <v>0.80042846768153675</v>
      </c>
      <c r="CK34" s="24">
        <v>0.77743830427247895</v>
      </c>
      <c r="CL34" s="24">
        <v>0.78257063455353604</v>
      </c>
      <c r="CM34" s="24">
        <v>0.7793172814257886</v>
      </c>
      <c r="CN34" s="24">
        <v>0.7834744768479992</v>
      </c>
      <c r="CO34" s="24">
        <v>0.80042846768153675</v>
      </c>
      <c r="CP34" s="24">
        <v>0.77930971818196337</v>
      </c>
      <c r="CQ34" s="24">
        <v>0.78444056655043215</v>
      </c>
      <c r="CR34" s="24">
        <v>0.78097481633806509</v>
      </c>
      <c r="CS34" s="24">
        <v>0.78516012390334511</v>
      </c>
      <c r="CT34" s="24">
        <v>0.80042846768153675</v>
      </c>
      <c r="CU34" s="24">
        <v>0.78102441092097052</v>
      </c>
      <c r="CV34" s="24">
        <v>0.78622617065043532</v>
      </c>
      <c r="CW34" s="24">
        <v>0.78261063621952187</v>
      </c>
      <c r="CX34" s="24">
        <v>0.78692212555772123</v>
      </c>
      <c r="CY34" s="24">
        <v>0.80042846768153675</v>
      </c>
      <c r="CZ34" s="24">
        <v>0.78278353385504551</v>
      </c>
      <c r="DA34" s="24">
        <v>0.78791873216240904</v>
      </c>
      <c r="DB34" s="24">
        <v>0.78411695559232986</v>
      </c>
      <c r="DC34" s="24">
        <v>0.7886101347599761</v>
      </c>
      <c r="DD34" s="24">
        <v>0.80042846768153675</v>
      </c>
      <c r="DE34" s="24">
        <v>0.78440717119453796</v>
      </c>
      <c r="DF34" s="24">
        <v>0.78972010448255336</v>
      </c>
      <c r="DG34" s="24">
        <v>0.78578384106983845</v>
      </c>
      <c r="DH34" s="24">
        <v>0.79019221010056018</v>
      </c>
      <c r="DI34" s="24">
        <v>0.80042846768153675</v>
      </c>
      <c r="DJ34" s="24">
        <v>0.78618149364802614</v>
      </c>
      <c r="DK34" s="24">
        <v>0.79146875151625506</v>
      </c>
      <c r="DL34" s="24">
        <v>0.78738737829713956</v>
      </c>
      <c r="DM34" s="24">
        <v>0.79191191859713128</v>
      </c>
      <c r="DN34" s="24">
        <v>0.80042846768153675</v>
      </c>
      <c r="DO34" s="24">
        <v>0.78909852549887782</v>
      </c>
      <c r="DP34" s="24">
        <v>0.79397173437314661</v>
      </c>
      <c r="DQ34" s="24">
        <v>0.79070909966439218</v>
      </c>
      <c r="DR34" s="24">
        <v>0.79498265907856369</v>
      </c>
      <c r="DS34" s="24">
        <v>0.80042846768153675</v>
      </c>
      <c r="DT34" s="24">
        <v>0.79268057242150669</v>
      </c>
      <c r="DU34" s="24">
        <v>0.7956734342038948</v>
      </c>
      <c r="DV34" s="24">
        <v>0.79504145704893225</v>
      </c>
      <c r="DW34" s="24">
        <v>0.79786710843800435</v>
      </c>
      <c r="DX34" s="24">
        <v>0.80042846768153675</v>
      </c>
      <c r="DY34" s="24">
        <v>0.79626367588250868</v>
      </c>
      <c r="DZ34" s="24">
        <v>0.79737702988926973</v>
      </c>
      <c r="EA34" s="24">
        <v>0.79860504989636949</v>
      </c>
      <c r="EB34" s="24">
        <v>0.79957393233039586</v>
      </c>
      <c r="EC34" s="24">
        <v>0.80042846768153675</v>
      </c>
      <c r="ED34" s="24">
        <v>0.77068377495745755</v>
      </c>
      <c r="EE34" s="24">
        <v>0.77679394968123328</v>
      </c>
      <c r="EF34" s="24">
        <v>0.77350078044811199</v>
      </c>
      <c r="EG34" s="24">
        <v>0.77884368009618621</v>
      </c>
      <c r="EH34" s="24">
        <v>0.80042846768153675</v>
      </c>
      <c r="EI34" s="24">
        <v>0.77266707686956959</v>
      </c>
      <c r="EJ34" s="24">
        <v>0.77889498400458068</v>
      </c>
      <c r="EK34" s="24">
        <v>0.77532014006760885</v>
      </c>
      <c r="EL34" s="24">
        <v>0.78083847645422133</v>
      </c>
      <c r="EM34" s="24">
        <v>0.80042846768153675</v>
      </c>
      <c r="EN34" s="24">
        <v>0.77464452913471515</v>
      </c>
      <c r="EO34" s="24">
        <v>0.78100917180647234</v>
      </c>
      <c r="EP34" s="24">
        <v>0.77719483404048817</v>
      </c>
      <c r="EQ34" s="24">
        <v>0.78277563586240129</v>
      </c>
      <c r="ER34" s="24">
        <v>0.80042846768153675</v>
      </c>
      <c r="ES34" s="24">
        <v>0.77650770071647734</v>
      </c>
      <c r="ET34" s="24">
        <v>0.78299181328919409</v>
      </c>
      <c r="EU34" s="24">
        <v>0.77891098832944594</v>
      </c>
      <c r="EV34" s="24">
        <v>0.7846552715306141</v>
      </c>
      <c r="EW34" s="24">
        <v>0.80042846768153675</v>
      </c>
      <c r="EX34" s="24">
        <v>0.77775321045779244</v>
      </c>
      <c r="EY34" s="24">
        <v>0.78424424933931502</v>
      </c>
      <c r="EZ34" s="24">
        <v>0.78065121587589537</v>
      </c>
      <c r="FA34" s="24">
        <v>0.78643377235359913</v>
      </c>
      <c r="FB34" s="24">
        <v>0.80042846768153675</v>
      </c>
      <c r="FC34" s="24">
        <v>0.77865708817669999</v>
      </c>
      <c r="FD34" s="24">
        <v>0.78480455919391123</v>
      </c>
      <c r="FE34" s="24">
        <v>0.78228251924496051</v>
      </c>
      <c r="FF34" s="24">
        <v>0.7880217965986549</v>
      </c>
      <c r="FG34" s="24">
        <v>0.80042846768153675</v>
      </c>
      <c r="FH34" s="24">
        <v>0.77955850458667475</v>
      </c>
      <c r="FI34" s="24">
        <v>0.78536225372571022</v>
      </c>
      <c r="FJ34" s="24">
        <v>0.78362173159143167</v>
      </c>
      <c r="FK34" s="24">
        <v>0.78938400587276603</v>
      </c>
      <c r="FL34" s="24">
        <v>0.80042846768153675</v>
      </c>
      <c r="FM34" s="24">
        <v>0.7804572039148342</v>
      </c>
      <c r="FN34" s="24">
        <v>0.78591722771767403</v>
      </c>
      <c r="FO34" s="24">
        <v>0.784520629586685</v>
      </c>
      <c r="FP34" s="24">
        <v>0.78992535310991641</v>
      </c>
      <c r="FQ34" s="24">
        <v>0.80042846768153675</v>
      </c>
      <c r="FR34" s="24">
        <v>0.7813538442044724</v>
      </c>
      <c r="FS34" s="24">
        <v>0.78646854879210526</v>
      </c>
      <c r="FT34" s="24">
        <v>0.78535550036259516</v>
      </c>
      <c r="FU34" s="24">
        <v>0.79038028964688634</v>
      </c>
      <c r="FV34" s="24">
        <v>0.80042846768153675</v>
      </c>
      <c r="FW34" s="24">
        <v>0.78314003087388007</v>
      </c>
      <c r="FX34" s="24">
        <v>0.78756474709133861</v>
      </c>
      <c r="FY34" s="24">
        <v>0.78714064412531937</v>
      </c>
      <c r="FZ34" s="24">
        <v>0.7913696396762836</v>
      </c>
      <c r="GA34" s="24">
        <v>0.80042846768153675</v>
      </c>
      <c r="GB34" s="24">
        <v>0.78662328434997719</v>
      </c>
      <c r="GC34" s="24">
        <v>0.7896348400362323</v>
      </c>
      <c r="GD34" s="24">
        <v>0.79057778225060382</v>
      </c>
      <c r="GE34" s="24">
        <v>0.79340144255103018</v>
      </c>
      <c r="GF34" s="24">
        <v>0.80042846768153675</v>
      </c>
      <c r="GG34" s="24">
        <v>0.79003206865221443</v>
      </c>
      <c r="GH34" s="24">
        <v>0.79159662837050426</v>
      </c>
      <c r="GI34" s="24">
        <v>0.79400436748815195</v>
      </c>
      <c r="GJ34" s="24">
        <v>0.79533192340639736</v>
      </c>
      <c r="GK34" s="24">
        <v>0.80042846768153675</v>
      </c>
      <c r="GL34" s="24">
        <v>0.76740193586243655</v>
      </c>
      <c r="GM34" s="24">
        <v>0.7736014889817967</v>
      </c>
      <c r="GN34" s="24">
        <v>0.77778853412221227</v>
      </c>
      <c r="GO34" s="24">
        <v>0.78385849666903795</v>
      </c>
      <c r="GP34" s="24">
        <v>0.80042846768153675</v>
      </c>
      <c r="GQ34" s="24">
        <v>0.76879231026954531</v>
      </c>
      <c r="GR34" s="24">
        <v>0.77569293532876116</v>
      </c>
      <c r="GS34" s="24">
        <v>0.77928563165125642</v>
      </c>
      <c r="GT34" s="24">
        <v>0.78612154205466123</v>
      </c>
      <c r="GU34" s="24">
        <v>1.835709848372074</v>
      </c>
      <c r="GV34" s="24">
        <v>1.7556135065089473</v>
      </c>
      <c r="GW34" s="24">
        <v>1.7706053505459738</v>
      </c>
      <c r="GX34" s="24">
        <v>1.7739131134162789</v>
      </c>
      <c r="GY34" s="24">
        <v>1.7987045219361135</v>
      </c>
      <c r="GZ34" s="24">
        <v>1.835709848372074</v>
      </c>
      <c r="HA34" s="24">
        <v>1.7520584186494301</v>
      </c>
      <c r="HB34" s="24">
        <v>1.7655353312784934</v>
      </c>
      <c r="HC34" s="24">
        <v>1.7697911644459947</v>
      </c>
      <c r="HD34" s="24">
        <v>1.7927718312891712</v>
      </c>
      <c r="HE34" s="24">
        <v>1.835709848372074</v>
      </c>
      <c r="HF34" s="24">
        <v>1.7699171518442316</v>
      </c>
      <c r="HG34" s="24">
        <v>1.7846174573768852</v>
      </c>
      <c r="HH34" s="24">
        <v>1.7780303832189841</v>
      </c>
      <c r="HI34" s="24">
        <v>1.7987045139498756</v>
      </c>
      <c r="HJ34" s="24">
        <v>0.77270444685086548</v>
      </c>
      <c r="HK34" s="24">
        <v>0.7433564388587226</v>
      </c>
      <c r="HL34" s="24">
        <v>0.75114895116571345</v>
      </c>
      <c r="HM34" s="24">
        <v>0.7518117349547494</v>
      </c>
      <c r="HN34" s="24">
        <v>0.75829566690579875</v>
      </c>
      <c r="HO34">
        <v>0.79410386607388816</v>
      </c>
      <c r="HP34">
        <v>0.76293340383269637</v>
      </c>
      <c r="HQ34">
        <v>0.7701213030010009</v>
      </c>
      <c r="HR34">
        <v>0.7722195920218804</v>
      </c>
      <c r="HS34">
        <v>0.77859000964979319</v>
      </c>
      <c r="HT34">
        <v>0.80188585529012146</v>
      </c>
      <c r="HU34">
        <v>0.7692651329554171</v>
      </c>
      <c r="HV34">
        <v>0.77556391967415528</v>
      </c>
      <c r="HW34">
        <v>0.7792948242875386</v>
      </c>
      <c r="HX34">
        <v>0.78542463915211569</v>
      </c>
      <c r="HY34">
        <v>0.80180780882327951</v>
      </c>
      <c r="HZ34">
        <v>0.76749819474208625</v>
      </c>
      <c r="IA34">
        <v>0.77300192609176199</v>
      </c>
      <c r="IB34">
        <v>0.77832886909803778</v>
      </c>
      <c r="IC34">
        <v>0.78385349976181762</v>
      </c>
      <c r="ID34">
        <v>0.79912340067590981</v>
      </c>
      <c r="IE34">
        <v>0.76632063785062532</v>
      </c>
      <c r="IF34">
        <v>0.77235763775548849</v>
      </c>
      <c r="IG34">
        <v>0.77664488939238474</v>
      </c>
      <c r="IH34">
        <v>0.78255445301108995</v>
      </c>
      <c r="II34">
        <v>0.7978846157616909</v>
      </c>
      <c r="IJ34">
        <v>0.7652909879064913</v>
      </c>
      <c r="IK34">
        <v>0.77117412060275381</v>
      </c>
      <c r="IL34">
        <v>0.77546916042998948</v>
      </c>
      <c r="IM34">
        <v>0.78121376770389572</v>
      </c>
      <c r="IN34">
        <v>0.79670690852594106</v>
      </c>
      <c r="IO34" s="86">
        <v>0.76420297877489152</v>
      </c>
      <c r="IP34">
        <v>0.77007156358329532</v>
      </c>
      <c r="IQ34">
        <v>0.77434884798401904</v>
      </c>
      <c r="IR34">
        <v>0.78008084545919976</v>
      </c>
      <c r="IS34">
        <v>0.79558599026541643</v>
      </c>
      <c r="IT34">
        <v>0.76338675731520811</v>
      </c>
      <c r="IU34">
        <v>0.76898515246687549</v>
      </c>
      <c r="IV34">
        <v>0.77346298651642631</v>
      </c>
      <c r="IW34">
        <v>0.77880904742945711</v>
      </c>
      <c r="IX34">
        <v>0.80101515086574093</v>
      </c>
      <c r="IY34">
        <v>0.76786529913306445</v>
      </c>
      <c r="IZ34">
        <v>0.77430114736454714</v>
      </c>
      <c r="JA34">
        <v>0.77820902323348951</v>
      </c>
      <c r="JB34">
        <v>0.78444053802468716</v>
      </c>
      <c r="JC34">
        <v>0.80325583582890525</v>
      </c>
      <c r="JD34">
        <v>0.76975218964080516</v>
      </c>
      <c r="JE34">
        <v>0.77642826939983578</v>
      </c>
      <c r="JF34">
        <v>0.78024831081400403</v>
      </c>
      <c r="JG34">
        <v>0.78666384057137739</v>
      </c>
      <c r="JH34">
        <v>0.80641662747044396</v>
      </c>
      <c r="JI34">
        <v>0.77238431406421004</v>
      </c>
      <c r="JJ34">
        <v>0.77951103051836579</v>
      </c>
      <c r="JK34">
        <v>0.78300214811722846</v>
      </c>
      <c r="JL34">
        <v>0.78979710898638456</v>
      </c>
      <c r="JM34">
        <v>0.75329821710114453</v>
      </c>
      <c r="JN34">
        <v>0.72479529642846896</v>
      </c>
      <c r="JO34">
        <v>0.7326365198841428</v>
      </c>
      <c r="JP34">
        <v>0.73308039858225449</v>
      </c>
      <c r="JQ34">
        <v>0.73952937330949708</v>
      </c>
      <c r="JR34">
        <v>0.78897794262292742</v>
      </c>
      <c r="JS34">
        <v>0.75841183127491008</v>
      </c>
      <c r="JT34">
        <v>0.76580332652685135</v>
      </c>
      <c r="JU34">
        <v>0.76737599638907639</v>
      </c>
      <c r="JV34">
        <v>0.77379345501624563</v>
      </c>
      <c r="JW34">
        <v>0.80030224943110839</v>
      </c>
      <c r="JX34">
        <v>0.76817755404981458</v>
      </c>
      <c r="JY34">
        <v>0.7749299577977119</v>
      </c>
      <c r="JZ34">
        <v>0.77797524549170383</v>
      </c>
      <c r="KA34">
        <v>0.78409080809107778</v>
      </c>
      <c r="KB34">
        <v>0.80289655757066192</v>
      </c>
      <c r="KC34">
        <v>0.76904250912032712</v>
      </c>
      <c r="KD34">
        <v>0.77492197361966997</v>
      </c>
      <c r="KE34">
        <v>0.77992056427574885</v>
      </c>
      <c r="KF34">
        <v>0.78582788860461061</v>
      </c>
      <c r="KG34">
        <v>0.80082826630966031</v>
      </c>
      <c r="KH34">
        <v>0.76709467238802642</v>
      </c>
      <c r="KI34">
        <v>0.77259226943113457</v>
      </c>
      <c r="KJ34">
        <v>0.77705882000446447</v>
      </c>
      <c r="KK34">
        <v>0.78245958739728905</v>
      </c>
      <c r="KL34">
        <v>0.80042846768153675</v>
      </c>
      <c r="KM34">
        <v>0.76948027424750043</v>
      </c>
      <c r="KN34">
        <v>0.77360150164450503</v>
      </c>
      <c r="KO34">
        <v>0.77971106572745674</v>
      </c>
      <c r="KP34">
        <v>0.78385851537668239</v>
      </c>
      <c r="KQ34">
        <v>0.80042846768153675</v>
      </c>
      <c r="KR34">
        <v>0.76948026828947491</v>
      </c>
      <c r="KS34">
        <v>0.77360150164450503</v>
      </c>
      <c r="KT34">
        <v>0.77971106007724023</v>
      </c>
      <c r="KU34">
        <v>0.78385851537668239</v>
      </c>
      <c r="KV34">
        <v>0.80042846768153675</v>
      </c>
      <c r="KW34">
        <v>0.76845024633411563</v>
      </c>
      <c r="KX34">
        <v>0.77360150164450503</v>
      </c>
      <c r="KY34">
        <v>0.77863280412768332</v>
      </c>
      <c r="KZ34">
        <v>0.78385851537668239</v>
      </c>
      <c r="LA34">
        <v>0.80042846768153675</v>
      </c>
      <c r="LB34">
        <v>0.76656221336083097</v>
      </c>
      <c r="LC34">
        <v>0.77360150164450503</v>
      </c>
      <c r="LD34">
        <v>0.77691709010508558</v>
      </c>
      <c r="LE34">
        <v>0.78385851537668239</v>
      </c>
      <c r="LF34">
        <v>0.80042846768153675</v>
      </c>
      <c r="LG34">
        <v>0.76570808366448873</v>
      </c>
      <c r="LH34">
        <v>0.77360150164450503</v>
      </c>
      <c r="LI34">
        <v>0.77613047750105502</v>
      </c>
      <c r="LJ34">
        <v>0.78385851537668239</v>
      </c>
      <c r="LK34">
        <v>0.80042846768153675</v>
      </c>
      <c r="LL34">
        <v>0.77011837016412654</v>
      </c>
      <c r="LM34">
        <v>0.77360150164450503</v>
      </c>
      <c r="LN34">
        <v>0.78019491700432797</v>
      </c>
      <c r="LO34">
        <v>0.78385851537668239</v>
      </c>
      <c r="LP34">
        <v>0.80200558118561471</v>
      </c>
      <c r="LQ34">
        <v>0.76939850543486088</v>
      </c>
      <c r="LR34">
        <v>0.77572628907083807</v>
      </c>
      <c r="LS34">
        <v>0.77966768330167702</v>
      </c>
      <c r="LT34">
        <v>0.78579086074590143</v>
      </c>
      <c r="LU34">
        <v>0.80359365334975474</v>
      </c>
      <c r="LV34">
        <v>0.77141040172975517</v>
      </c>
      <c r="LW34">
        <v>0.77786371123609066</v>
      </c>
      <c r="LX34">
        <v>0.78156118484747816</v>
      </c>
      <c r="LY34">
        <v>0.78772084572579482</v>
      </c>
      <c r="LZ34">
        <v>0.80519231819036319</v>
      </c>
      <c r="MA34">
        <v>0.77330890616238168</v>
      </c>
      <c r="MB34">
        <v>0.78001809018834256</v>
      </c>
      <c r="MC34">
        <v>0.78346802238956847</v>
      </c>
      <c r="MD34">
        <v>0.78956658211779218</v>
      </c>
      <c r="ME34">
        <v>0.68414357170601658</v>
      </c>
      <c r="MF34">
        <v>0.65894484301599565</v>
      </c>
      <c r="MG34">
        <v>0.66633695884470923</v>
      </c>
      <c r="MH34">
        <v>0.66608060288432502</v>
      </c>
      <c r="MI34">
        <v>0.67211906301080848</v>
      </c>
      <c r="MJ34">
        <v>0.80125337360668936</v>
      </c>
      <c r="MK34">
        <v>0.76889337375567035</v>
      </c>
      <c r="ML34">
        <v>0.77436416200581215</v>
      </c>
      <c r="MM34">
        <v>0.77655004695960717</v>
      </c>
      <c r="MN34">
        <v>0.78118806971390531</v>
      </c>
      <c r="MO34">
        <v>0.81103624470681501</v>
      </c>
      <c r="MP34">
        <v>0.77658832989588866</v>
      </c>
      <c r="MQ34">
        <v>0.78440349551240518</v>
      </c>
      <c r="MR34">
        <v>0.78719901375414492</v>
      </c>
      <c r="MS34">
        <v>0.79473089587955692</v>
      </c>
      <c r="MT34">
        <v>0.8150710770358871</v>
      </c>
      <c r="MU34">
        <v>0.77982677161922609</v>
      </c>
      <c r="MV34">
        <v>0.78828406139413787</v>
      </c>
      <c r="MW34">
        <v>0.79072018753667295</v>
      </c>
      <c r="MX34">
        <v>0.79874444202586292</v>
      </c>
      <c r="MY34">
        <v>0.81988731399356873</v>
      </c>
      <c r="MZ34">
        <v>0.78389799967945684</v>
      </c>
      <c r="NA34">
        <v>0.79294338521716845</v>
      </c>
      <c r="NB34">
        <v>0.79496055417623834</v>
      </c>
      <c r="NC34">
        <v>0.80355137670800636</v>
      </c>
      <c r="ND34">
        <v>0.79349923305382675</v>
      </c>
      <c r="NE34">
        <v>0.76166302147274156</v>
      </c>
      <c r="NF34">
        <v>0.76684740431371679</v>
      </c>
      <c r="NG34">
        <v>0.77165371146910888</v>
      </c>
      <c r="NH34">
        <v>0.7767177678246403</v>
      </c>
      <c r="NI34">
        <v>0.7915969698344113</v>
      </c>
      <c r="NJ34">
        <v>0.76009427557880471</v>
      </c>
      <c r="NK34">
        <v>0.76503886139733845</v>
      </c>
      <c r="NL34">
        <v>0.76999689827917284</v>
      </c>
      <c r="NM34">
        <v>0.77483999686488414</v>
      </c>
      <c r="NN34">
        <v>0.78985625018810479</v>
      </c>
      <c r="NO34">
        <v>0.75866204266823734</v>
      </c>
      <c r="NP34">
        <v>0.76338716410005547</v>
      </c>
      <c r="NQ34">
        <v>0.76840387880272309</v>
      </c>
      <c r="NR34">
        <v>0.77299709580073972</v>
      </c>
      <c r="NS34">
        <v>0.8004284696677666</v>
      </c>
      <c r="NT34">
        <v>0.77011837577973707</v>
      </c>
      <c r="NU34">
        <v>0.77360150433241304</v>
      </c>
      <c r="NV34">
        <v>0.78019491504405691</v>
      </c>
      <c r="NW34">
        <v>0.78385851873044698</v>
      </c>
      <c r="NX34">
        <v>0.8004284696677666</v>
      </c>
      <c r="NY34">
        <v>0.76531141300017091</v>
      </c>
      <c r="NZ34">
        <v>0.77360182673053191</v>
      </c>
      <c r="OA34">
        <v>0.77577395688178297</v>
      </c>
      <c r="OB34">
        <v>0.78385855320203413</v>
      </c>
      <c r="OC34">
        <v>0.8004284696677666</v>
      </c>
      <c r="OD34">
        <v>0.76368403715229449</v>
      </c>
      <c r="OE34">
        <v>0.77360150735964583</v>
      </c>
      <c r="OF34">
        <v>0.77424095584259311</v>
      </c>
      <c r="OG34">
        <v>0.78385852008615076</v>
      </c>
      <c r="OH34">
        <v>0.80813995518269366</v>
      </c>
      <c r="OI34">
        <v>0.77382114616511388</v>
      </c>
      <c r="OJ34">
        <v>0.78116348043047179</v>
      </c>
      <c r="OK34">
        <v>0.78450484998237902</v>
      </c>
      <c r="OL34">
        <v>0.79150827349470154</v>
      </c>
      <c r="OM34">
        <v>0.79451795389012847</v>
      </c>
      <c r="ON34">
        <v>0.76250444452528809</v>
      </c>
      <c r="OO34">
        <v>0.76784421560313521</v>
      </c>
      <c r="OP34">
        <v>0.77253666764442386</v>
      </c>
      <c r="OQ34">
        <v>0.77773660858494187</v>
      </c>
      <c r="OR34">
        <v>0.79886080812786242</v>
      </c>
      <c r="OS34">
        <v>0.76551565237342956</v>
      </c>
      <c r="OT34">
        <v>0.77156849220953927</v>
      </c>
      <c r="OU34">
        <v>0.77579330477119601</v>
      </c>
      <c r="OV34">
        <v>0.78197720463555587</v>
      </c>
      <c r="OW34">
        <v>0.79730371193256955</v>
      </c>
      <c r="OX34">
        <v>0.76355825155632595</v>
      </c>
      <c r="OY34">
        <v>0.7695574806365133</v>
      </c>
      <c r="OZ34">
        <v>0.77394606215607342</v>
      </c>
      <c r="PA34">
        <v>0.77985237247426065</v>
      </c>
      <c r="PB34">
        <v>0.79715922960646068</v>
      </c>
      <c r="PC34">
        <v>0.76361693961519517</v>
      </c>
      <c r="PD34">
        <v>0.76968338388336632</v>
      </c>
      <c r="PE34">
        <v>0.77402105094015783</v>
      </c>
      <c r="PF34">
        <v>0.77997856531208132</v>
      </c>
      <c r="PG34">
        <v>0.80279830109446271</v>
      </c>
      <c r="PH34">
        <v>0.77040261887763462</v>
      </c>
      <c r="PI34">
        <v>0.77679412234801948</v>
      </c>
      <c r="PJ34">
        <v>0.7805554299734313</v>
      </c>
      <c r="PK34">
        <v>0.78668134429394554</v>
      </c>
      <c r="PL34" s="24">
        <v>0.77424914228432817</v>
      </c>
      <c r="PM34" s="24">
        <v>0.74463213690234697</v>
      </c>
      <c r="PN34" s="24">
        <v>0.75231744449110838</v>
      </c>
      <c r="PO34" s="24">
        <v>0.75329824968349568</v>
      </c>
      <c r="PP34" s="24">
        <v>0.75979954051994758</v>
      </c>
      <c r="PQ34">
        <v>0.6081005301658029</v>
      </c>
      <c r="PR34">
        <v>0.58582897955138591</v>
      </c>
      <c r="PS34">
        <v>0.59274064869926579</v>
      </c>
      <c r="PT34">
        <v>0.59209712063834607</v>
      </c>
      <c r="PU34">
        <v>0.5976335185978322</v>
      </c>
      <c r="PV34">
        <v>0.80259992432166782</v>
      </c>
      <c r="PW34">
        <v>0.7697915692347802</v>
      </c>
      <c r="PX34">
        <v>0.77516566352600913</v>
      </c>
      <c r="PY34">
        <v>0.7781831925133893</v>
      </c>
      <c r="PZ34">
        <v>0.78320345474823283</v>
      </c>
      <c r="QA34" s="24">
        <v>0.78879054979339647</v>
      </c>
      <c r="QB34" s="24">
        <v>0.75832955973750704</v>
      </c>
      <c r="QC34" s="24">
        <v>0.76367985633430702</v>
      </c>
      <c r="QD34" s="24">
        <v>0.76316031245069027</v>
      </c>
      <c r="QE34" s="24">
        <v>0.76703308665770631</v>
      </c>
    </row>
    <row r="35" spans="1:447" x14ac:dyDescent="0.15">
      <c r="A35" s="24" t="s">
        <v>190</v>
      </c>
      <c r="B35" s="24">
        <f>Sectors!S14</f>
        <v>0.31297958437629753</v>
      </c>
      <c r="C35" s="24">
        <f>Sectors!AN14</f>
        <v>0.25630749930742952</v>
      </c>
      <c r="D35" s="24">
        <f>Sectors!BY14</f>
        <v>0.24570061838409832</v>
      </c>
      <c r="E35" s="24">
        <f>Sectors!BH14</f>
        <v>0.2633805858107342</v>
      </c>
      <c r="F35" s="24">
        <f>Sectors!CS14</f>
        <v>0.2532427018693521</v>
      </c>
      <c r="H35" s="24">
        <v>0.31297958437629753</v>
      </c>
      <c r="I35" s="24">
        <v>0.25630708670353314</v>
      </c>
      <c r="J35" s="24">
        <v>0.2457006466450688</v>
      </c>
      <c r="K35" s="24">
        <v>0.26430188253028553</v>
      </c>
      <c r="L35" s="24">
        <v>0.25541947504436335</v>
      </c>
      <c r="M35" s="24">
        <v>0.31297958437629753</v>
      </c>
      <c r="N35" s="24">
        <v>0.25568810502445516</v>
      </c>
      <c r="O35" s="24">
        <v>0.24466673444299364</v>
      </c>
      <c r="P35" s="24">
        <v>0.2637246955545029</v>
      </c>
      <c r="Q35" s="24">
        <v>0.25423120297565693</v>
      </c>
      <c r="R35" s="24">
        <v>0.31297958437629753</v>
      </c>
      <c r="S35" s="24">
        <v>0.25557326687897847</v>
      </c>
      <c r="T35" s="24">
        <v>0.2443918125585377</v>
      </c>
      <c r="U35" s="24">
        <v>0.26321940259773996</v>
      </c>
      <c r="V35" s="24">
        <v>0.25339943925797515</v>
      </c>
      <c r="W35" s="24">
        <v>0.31297958437629753</v>
      </c>
      <c r="X35" s="24">
        <v>0.25572958339979401</v>
      </c>
      <c r="Y35" s="24">
        <v>0.24427772484674504</v>
      </c>
      <c r="Z35" s="24">
        <v>0.26324400427150552</v>
      </c>
      <c r="AA35" s="24">
        <v>0.25323581111504451</v>
      </c>
      <c r="AB35" s="24">
        <v>0.31297958437629753</v>
      </c>
      <c r="AC35" s="24">
        <v>0.25638165149161174</v>
      </c>
      <c r="AD35" s="24">
        <v>0.2448570552115503</v>
      </c>
      <c r="AE35" s="24">
        <v>0.2633795176194399</v>
      </c>
      <c r="AF35" s="24">
        <v>0.25324271238345403</v>
      </c>
      <c r="AG35" s="24">
        <v>0.31297958437629753</v>
      </c>
      <c r="AH35" s="24">
        <v>0.2574708836222292</v>
      </c>
      <c r="AI35" s="24">
        <v>0.2455873003172627</v>
      </c>
      <c r="AJ35" s="24">
        <v>0.26399447595657016</v>
      </c>
      <c r="AK35" s="24">
        <v>0.25394880015819815</v>
      </c>
      <c r="AL35" s="24">
        <v>0.31297958437629753</v>
      </c>
      <c r="AM35" s="24">
        <v>0.25937025491773019</v>
      </c>
      <c r="AN35" s="24">
        <v>0.24764734705619251</v>
      </c>
      <c r="AO35" s="24">
        <v>0.26495141606812794</v>
      </c>
      <c r="AP35" s="24">
        <v>0.25450063961683789</v>
      </c>
      <c r="AQ35" s="24">
        <v>0.31297958437629753</v>
      </c>
      <c r="AR35" s="24">
        <v>0.26262891382021947</v>
      </c>
      <c r="AS35" s="24">
        <v>0.251575980335557</v>
      </c>
      <c r="AT35" s="24">
        <v>0.26607828030725972</v>
      </c>
      <c r="AU35" s="24">
        <v>0.25570432839552903</v>
      </c>
      <c r="AV35" s="24">
        <v>0.31297958437629753</v>
      </c>
      <c r="AW35" s="24">
        <v>0.26590566979715347</v>
      </c>
      <c r="AX35" s="24">
        <v>0.25553899867305901</v>
      </c>
      <c r="AY35" s="24">
        <v>0.26768024646764538</v>
      </c>
      <c r="AZ35" s="24">
        <v>0.25760556927394818</v>
      </c>
      <c r="BA35" s="24">
        <v>0.31297958437629753</v>
      </c>
      <c r="BB35" s="24">
        <v>0.26920211929709997</v>
      </c>
      <c r="BC35" s="24">
        <v>0.25954108097857687</v>
      </c>
      <c r="BD35" s="24">
        <v>0.27098214370072937</v>
      </c>
      <c r="BE35" s="24">
        <v>0.2613920870735672</v>
      </c>
      <c r="BF35" s="24">
        <v>0.31297958437629753</v>
      </c>
      <c r="BG35" s="24">
        <v>0.27252107250650237</v>
      </c>
      <c r="BH35" s="24">
        <v>0.26357698538417063</v>
      </c>
      <c r="BI35" s="24">
        <v>0.27430503074561141</v>
      </c>
      <c r="BJ35" s="24">
        <v>0.26543907810166778</v>
      </c>
      <c r="BK35" s="24">
        <v>0.31297958437629753</v>
      </c>
      <c r="BL35" s="24">
        <v>0.28592063849257282</v>
      </c>
      <c r="BM35" s="24">
        <v>0.2800035308218401</v>
      </c>
      <c r="BN35" s="24">
        <v>0.28785574284751303</v>
      </c>
      <c r="BO35" s="24">
        <v>0.28206487611428804</v>
      </c>
      <c r="BP35" s="24">
        <v>0.31297958437629753</v>
      </c>
      <c r="BQ35" s="24">
        <v>0.29990242594155986</v>
      </c>
      <c r="BR35" s="24">
        <v>0.29735900728154535</v>
      </c>
      <c r="BS35" s="24">
        <v>0.30189089648463413</v>
      </c>
      <c r="BT35" s="24">
        <v>0.2994987742164627</v>
      </c>
      <c r="BU35" s="24">
        <v>0.31297958437629753</v>
      </c>
      <c r="BV35" s="24">
        <v>0.27033903449970065</v>
      </c>
      <c r="BW35" s="24">
        <v>0.26217550109690374</v>
      </c>
      <c r="BX35" s="24">
        <v>0.27777849379213443</v>
      </c>
      <c r="BY35" s="24">
        <v>0.27141345462838035</v>
      </c>
      <c r="BZ35" s="24">
        <v>0.31297958437629753</v>
      </c>
      <c r="CA35" s="24">
        <v>0.26927145474944841</v>
      </c>
      <c r="CB35" s="24">
        <v>0.26095146980213679</v>
      </c>
      <c r="CC35" s="24">
        <v>0.2767540755263902</v>
      </c>
      <c r="CD35" s="24">
        <v>0.27012667864575562</v>
      </c>
      <c r="CE35" s="24">
        <v>0.31297958437629753</v>
      </c>
      <c r="CF35" s="24">
        <v>0.2689107262525639</v>
      </c>
      <c r="CG35" s="24">
        <v>0.26031520083134446</v>
      </c>
      <c r="CH35" s="24">
        <v>0.27611975047120518</v>
      </c>
      <c r="CI35" s="24">
        <v>0.26885060989268295</v>
      </c>
      <c r="CJ35" s="24">
        <v>0.31297958437629753</v>
      </c>
      <c r="CK35" s="24">
        <v>0.2688367313858524</v>
      </c>
      <c r="CL35" s="24">
        <v>0.25974614128945434</v>
      </c>
      <c r="CM35" s="24">
        <v>0.27569326178968989</v>
      </c>
      <c r="CN35" s="24">
        <v>0.26818152501276127</v>
      </c>
      <c r="CO35" s="24">
        <v>0.31297958437629753</v>
      </c>
      <c r="CP35" s="24">
        <v>0.26864329900629585</v>
      </c>
      <c r="CQ35" s="24">
        <v>0.25958684421975325</v>
      </c>
      <c r="CR35" s="24">
        <v>0.27536087322612657</v>
      </c>
      <c r="CS35" s="24">
        <v>0.26782536476081181</v>
      </c>
      <c r="CT35" s="24">
        <v>0.31297958437629753</v>
      </c>
      <c r="CU35" s="24">
        <v>0.26898673317772909</v>
      </c>
      <c r="CV35" s="24">
        <v>0.25981656921920498</v>
      </c>
      <c r="CW35" s="24">
        <v>0.27531440030061105</v>
      </c>
      <c r="CX35" s="24">
        <v>0.26757517213848547</v>
      </c>
      <c r="CY35" s="24">
        <v>0.31297958437629753</v>
      </c>
      <c r="CZ35" s="24">
        <v>0.26951159893112364</v>
      </c>
      <c r="DA35" s="24">
        <v>0.26046071183700442</v>
      </c>
      <c r="DB35" s="24">
        <v>0.27576391326950106</v>
      </c>
      <c r="DC35" s="24">
        <v>0.26770439603708934</v>
      </c>
      <c r="DD35" s="24">
        <v>0.31297958437629753</v>
      </c>
      <c r="DE35" s="24">
        <v>0.27056173004175349</v>
      </c>
      <c r="DF35" s="24">
        <v>0.2611897691962371</v>
      </c>
      <c r="DG35" s="24">
        <v>0.2761822031552289</v>
      </c>
      <c r="DH35" s="24">
        <v>0.26827834325514943</v>
      </c>
      <c r="DI35" s="24">
        <v>0.31297958437629753</v>
      </c>
      <c r="DJ35" s="24">
        <v>0.27164231657769272</v>
      </c>
      <c r="DK35" s="24">
        <v>0.26230091377265252</v>
      </c>
      <c r="DL35" s="24">
        <v>0.27700221368867672</v>
      </c>
      <c r="DM35" s="24">
        <v>0.26888822163422649</v>
      </c>
      <c r="DN35" s="24">
        <v>0.31297958437629753</v>
      </c>
      <c r="DO35" s="24">
        <v>0.27591768413473899</v>
      </c>
      <c r="DP35" s="24">
        <v>0.26719795180166239</v>
      </c>
      <c r="DQ35" s="24">
        <v>0.27938643340996427</v>
      </c>
      <c r="DR35" s="24">
        <v>0.27168728034276923</v>
      </c>
      <c r="DS35" s="24">
        <v>0.31297958437629753</v>
      </c>
      <c r="DT35" s="24">
        <v>0.28950751972838668</v>
      </c>
      <c r="DU35" s="24">
        <v>0.28389104164559242</v>
      </c>
      <c r="DV35" s="24">
        <v>0.29144378633580259</v>
      </c>
      <c r="DW35" s="24">
        <v>0.28616316440875583</v>
      </c>
      <c r="DX35" s="24">
        <v>0.31297958437629753</v>
      </c>
      <c r="DY35" s="24">
        <v>0.30359845125310758</v>
      </c>
      <c r="DZ35" s="24">
        <v>0.30140842932934886</v>
      </c>
      <c r="EA35" s="24">
        <v>0.30565751256572971</v>
      </c>
      <c r="EB35" s="24">
        <v>0.30379395973450435</v>
      </c>
      <c r="EC35" s="24">
        <v>0.31297958437629753</v>
      </c>
      <c r="ED35" s="24">
        <v>0.25925505991684317</v>
      </c>
      <c r="EE35" s="24">
        <v>0.24874592115394081</v>
      </c>
      <c r="EF35" s="24">
        <v>0.26546230694166872</v>
      </c>
      <c r="EG35" s="24">
        <v>0.25620488729176871</v>
      </c>
      <c r="EH35" s="24">
        <v>0.31297958437629753</v>
      </c>
      <c r="EI35" s="24">
        <v>0.25900211817549268</v>
      </c>
      <c r="EJ35" s="24">
        <v>0.24834049493067079</v>
      </c>
      <c r="EK35" s="24">
        <v>0.26514670529576329</v>
      </c>
      <c r="EL35" s="24">
        <v>0.25562942514185177</v>
      </c>
      <c r="EM35" s="24">
        <v>0.31297958437629753</v>
      </c>
      <c r="EN35" s="24">
        <v>0.25903399647036779</v>
      </c>
      <c r="EO35" s="24">
        <v>0.24817903650972739</v>
      </c>
      <c r="EP35" s="24">
        <v>0.26496685345976012</v>
      </c>
      <c r="EQ35" s="24">
        <v>0.25538219737675721</v>
      </c>
      <c r="ER35" s="24">
        <v>0.31297958437629753</v>
      </c>
      <c r="ES35" s="24">
        <v>0.25954288399632941</v>
      </c>
      <c r="ET35" s="24">
        <v>0.24850027000091057</v>
      </c>
      <c r="EU35" s="24">
        <v>0.26530995704799754</v>
      </c>
      <c r="EV35" s="24">
        <v>0.25546082590481106</v>
      </c>
      <c r="EW35" s="24">
        <v>0.31297958437629753</v>
      </c>
      <c r="EX35" s="24">
        <v>0.26137488139532034</v>
      </c>
      <c r="EY35" s="24">
        <v>0.25026669719185368</v>
      </c>
      <c r="EZ35" s="24">
        <v>0.26584915576076257</v>
      </c>
      <c r="FA35" s="24">
        <v>0.25594272443111266</v>
      </c>
      <c r="FB35" s="24">
        <v>0.31297958437629753</v>
      </c>
      <c r="FC35" s="24">
        <v>0.26384454934743706</v>
      </c>
      <c r="FD35" s="24">
        <v>0.25323001082313051</v>
      </c>
      <c r="FE35" s="24">
        <v>0.26683664289358033</v>
      </c>
      <c r="FF35" s="24">
        <v>0.25698615217216303</v>
      </c>
      <c r="FG35" s="24">
        <v>0.31297958437629753</v>
      </c>
      <c r="FH35" s="24">
        <v>0.26633072640375627</v>
      </c>
      <c r="FI35" s="24">
        <v>0.25622005076862825</v>
      </c>
      <c r="FJ35" s="24">
        <v>0.26858920588223439</v>
      </c>
      <c r="FK35" s="24">
        <v>0.25865671026118647</v>
      </c>
      <c r="FL35" s="24">
        <v>0.31297958437629753</v>
      </c>
      <c r="FM35" s="24">
        <v>0.26883463518976863</v>
      </c>
      <c r="FN35" s="24">
        <v>0.25923784365650721</v>
      </c>
      <c r="FO35" s="24">
        <v>0.27118640864701693</v>
      </c>
      <c r="FP35" s="24">
        <v>0.26179362797294226</v>
      </c>
      <c r="FQ35" s="24">
        <v>0.31297958437629753</v>
      </c>
      <c r="FR35" s="24">
        <v>0.27135585532828055</v>
      </c>
      <c r="FS35" s="24">
        <v>0.2622858670109941</v>
      </c>
      <c r="FT35" s="24">
        <v>0.27391666980089291</v>
      </c>
      <c r="FU35" s="24">
        <v>0.2651068442236571</v>
      </c>
      <c r="FV35" s="24">
        <v>0.31297958437629753</v>
      </c>
      <c r="FW35" s="24">
        <v>0.27645502282949652</v>
      </c>
      <c r="FX35" s="24">
        <v>0.26846845794703683</v>
      </c>
      <c r="FY35" s="24">
        <v>0.27921081698879291</v>
      </c>
      <c r="FZ35" s="24">
        <v>0.27168112360110114</v>
      </c>
      <c r="GA35" s="24">
        <v>0.31297958437629753</v>
      </c>
      <c r="GB35" s="24">
        <v>0.28702582246317793</v>
      </c>
      <c r="GC35" s="24">
        <v>0.28139064966049232</v>
      </c>
      <c r="GD35" s="24">
        <v>0.29027712349986579</v>
      </c>
      <c r="GE35" s="24">
        <v>0.2851112606329656</v>
      </c>
      <c r="GF35" s="24">
        <v>0.31297958437629753</v>
      </c>
      <c r="GG35" s="24">
        <v>0.29807573006493049</v>
      </c>
      <c r="GH35" s="24">
        <v>0.29503913970037854</v>
      </c>
      <c r="GI35" s="24">
        <v>0.30173465236122526</v>
      </c>
      <c r="GJ35" s="24">
        <v>0.29930213369106773</v>
      </c>
      <c r="GK35" s="24">
        <v>0.31297958437629753</v>
      </c>
      <c r="GL35" s="24">
        <v>0.25630746718733616</v>
      </c>
      <c r="GM35" s="24">
        <v>0.24570064309536757</v>
      </c>
      <c r="GN35" s="24">
        <v>0.2633795176194399</v>
      </c>
      <c r="GO35" s="24">
        <v>0.25324271238345353</v>
      </c>
      <c r="GP35" s="24">
        <v>0.31297958437629753</v>
      </c>
      <c r="GQ35" s="24">
        <v>0.25344046352726174</v>
      </c>
      <c r="GR35" s="24">
        <v>0.24180680822644623</v>
      </c>
      <c r="GS35" s="24">
        <v>0.25996556889645506</v>
      </c>
      <c r="GT35" s="24">
        <v>0.24868360085053567</v>
      </c>
      <c r="GU35" s="24">
        <v>0.71779019434820701</v>
      </c>
      <c r="GV35" s="24">
        <v>0.59459659926912378</v>
      </c>
      <c r="GW35" s="24">
        <v>0.56923439912849005</v>
      </c>
      <c r="GX35" s="24">
        <v>0.60054282195194864</v>
      </c>
      <c r="GY35" s="24">
        <v>0.57772134124897578</v>
      </c>
      <c r="GZ35" s="24">
        <v>0.71779019434820701</v>
      </c>
      <c r="HA35" s="24">
        <v>0.60183266992149009</v>
      </c>
      <c r="HB35" s="24">
        <v>0.578719364620636</v>
      </c>
      <c r="HC35" s="24">
        <v>0.60903075905874915</v>
      </c>
      <c r="HD35" s="24">
        <v>0.58958340111262764</v>
      </c>
      <c r="HE35" s="24">
        <v>0.71779019434820701</v>
      </c>
      <c r="HF35" s="24">
        <v>0.60280360232250152</v>
      </c>
      <c r="HG35" s="24">
        <v>0.57787148913910091</v>
      </c>
      <c r="HH35" s="24">
        <v>0.60193714382659769</v>
      </c>
      <c r="HI35" s="24">
        <v>0.57772135438197048</v>
      </c>
      <c r="HJ35" s="24">
        <v>0.30213907474030638</v>
      </c>
      <c r="HK35" s="24">
        <v>0.23830323654467769</v>
      </c>
      <c r="HL35" s="24">
        <v>0.22563036604089087</v>
      </c>
      <c r="HM35" s="24">
        <v>0.25113672209210675</v>
      </c>
      <c r="HN35" s="24">
        <v>0.24049889774116615</v>
      </c>
      <c r="HO35">
        <v>0.31050656990663339</v>
      </c>
      <c r="HP35">
        <v>0.24857992415927854</v>
      </c>
      <c r="HQ35">
        <v>0.236648617709173</v>
      </c>
      <c r="HR35">
        <v>0.25944168569075976</v>
      </c>
      <c r="HS35">
        <v>0.24891131312883441</v>
      </c>
      <c r="HT35">
        <v>0.31354944487780018</v>
      </c>
      <c r="HU35">
        <v>0.25547440313611347</v>
      </c>
      <c r="HV35">
        <v>0.24476789677119684</v>
      </c>
      <c r="HW35">
        <v>0.26360639166791011</v>
      </c>
      <c r="HX35">
        <v>0.25338376539911345</v>
      </c>
      <c r="HY35">
        <v>0.31351892753397681</v>
      </c>
      <c r="HZ35">
        <v>0.26289637190090637</v>
      </c>
      <c r="IA35">
        <v>0.2531898391389179</v>
      </c>
      <c r="IB35">
        <v>0.26644430628927818</v>
      </c>
      <c r="IC35">
        <v>0.25707038693772549</v>
      </c>
      <c r="ID35">
        <v>0.31246928352432074</v>
      </c>
      <c r="IE35">
        <v>0.25567693952781462</v>
      </c>
      <c r="IF35">
        <v>0.24534163547118104</v>
      </c>
      <c r="IG35">
        <v>0.26277923366764999</v>
      </c>
      <c r="IH35">
        <v>0.25291300940103173</v>
      </c>
      <c r="II35">
        <v>0.31198489996821499</v>
      </c>
      <c r="IJ35">
        <v>0.25508763317642646</v>
      </c>
      <c r="IK35">
        <v>0.24500897016879752</v>
      </c>
      <c r="IL35">
        <v>0.26237822896473745</v>
      </c>
      <c r="IM35">
        <v>0.25277462881799195</v>
      </c>
      <c r="IN35">
        <v>0.31152439870414877</v>
      </c>
      <c r="IO35" s="86">
        <v>0.2547249767752241</v>
      </c>
      <c r="IP35">
        <v>0.24465867786266723</v>
      </c>
      <c r="IQ35">
        <v>0.26199917379167925</v>
      </c>
      <c r="IR35">
        <v>0.25240805309565778</v>
      </c>
      <c r="IS35">
        <v>0.31108610278457088</v>
      </c>
      <c r="IT35">
        <v>0.25399241912624732</v>
      </c>
      <c r="IU35">
        <v>0.24438959108955641</v>
      </c>
      <c r="IV35">
        <v>0.26131599996892546</v>
      </c>
      <c r="IW35">
        <v>0.25238530205985898</v>
      </c>
      <c r="IX35">
        <v>0.31320898633608119</v>
      </c>
      <c r="IY35">
        <v>0.25650716599964835</v>
      </c>
      <c r="IZ35">
        <v>0.24551965725460514</v>
      </c>
      <c r="JA35">
        <v>0.26375216795969531</v>
      </c>
      <c r="JB35">
        <v>0.25334012278972795</v>
      </c>
      <c r="JC35">
        <v>0.31408512789876286</v>
      </c>
      <c r="JD35">
        <v>0.25767054196961275</v>
      </c>
      <c r="JE35">
        <v>0.24627199267193145</v>
      </c>
      <c r="JF35">
        <v>0.26471820132484819</v>
      </c>
      <c r="JG35">
        <v>0.2539964537144988</v>
      </c>
      <c r="JH35">
        <v>0.31532104502841501</v>
      </c>
      <c r="JI35">
        <v>0.25920136402368593</v>
      </c>
      <c r="JJ35">
        <v>0.24705446643109957</v>
      </c>
      <c r="JK35">
        <v>0.26621642024434355</v>
      </c>
      <c r="JL35">
        <v>0.25485299559790736</v>
      </c>
      <c r="JM35">
        <v>0.29455094667313331</v>
      </c>
      <c r="JN35">
        <v>0.23117342657416967</v>
      </c>
      <c r="JO35">
        <v>0.21849576685281452</v>
      </c>
      <c r="JP35">
        <v>0.24414054516085504</v>
      </c>
      <c r="JQ35">
        <v>0.23360191569379535</v>
      </c>
      <c r="JR35">
        <v>0.30850225664691971</v>
      </c>
      <c r="JS35">
        <v>0.24559154058067389</v>
      </c>
      <c r="JT35">
        <v>0.23341479645775215</v>
      </c>
      <c r="JU35">
        <v>0.25729896948122477</v>
      </c>
      <c r="JV35">
        <v>0.2467199436428531</v>
      </c>
      <c r="JW35">
        <v>0.31293023113968138</v>
      </c>
      <c r="JX35">
        <v>0.2533262086883844</v>
      </c>
      <c r="JY35">
        <v>0.24195738292482249</v>
      </c>
      <c r="JZ35">
        <v>0.2624311935431069</v>
      </c>
      <c r="KA35">
        <v>0.25226973869751002</v>
      </c>
      <c r="KB35">
        <v>0.31394464468948102</v>
      </c>
      <c r="KC35">
        <v>0.25994852703653087</v>
      </c>
      <c r="KD35">
        <v>0.24974510481132484</v>
      </c>
      <c r="KE35">
        <v>0.26516396449409735</v>
      </c>
      <c r="KF35">
        <v>0.25524138295231191</v>
      </c>
      <c r="KG35">
        <v>0.31313591166039167</v>
      </c>
      <c r="KH35">
        <v>0.26276355679344437</v>
      </c>
      <c r="KI35">
        <v>0.2530691926485365</v>
      </c>
      <c r="KJ35">
        <v>0.26708987364425602</v>
      </c>
      <c r="KK35">
        <v>0.25786605136306995</v>
      </c>
      <c r="KL35">
        <v>0.31297958437629753</v>
      </c>
      <c r="KM35">
        <v>0.25266421111509119</v>
      </c>
      <c r="KN35">
        <v>0.24570062221780403</v>
      </c>
      <c r="KO35">
        <v>0.25998133856285</v>
      </c>
      <c r="KP35">
        <v>0.25324268111485876</v>
      </c>
      <c r="KQ35">
        <v>0.31297958437629753</v>
      </c>
      <c r="KR35">
        <v>0.25266422142677936</v>
      </c>
      <c r="KS35">
        <v>0.24570062221780403</v>
      </c>
      <c r="KT35">
        <v>0.25998134845356657</v>
      </c>
      <c r="KU35">
        <v>0.25324268111485876</v>
      </c>
      <c r="KV35">
        <v>0.31297958437629753</v>
      </c>
      <c r="KW35">
        <v>0.2544585782491976</v>
      </c>
      <c r="KX35">
        <v>0.24570062221780403</v>
      </c>
      <c r="KY35">
        <v>0.26188067160087941</v>
      </c>
      <c r="KZ35">
        <v>0.25324268111485876</v>
      </c>
      <c r="LA35">
        <v>0.31297958437629753</v>
      </c>
      <c r="LB35">
        <v>0.25780559109658957</v>
      </c>
      <c r="LC35">
        <v>0.24570062221780403</v>
      </c>
      <c r="LD35">
        <v>0.26494798954801485</v>
      </c>
      <c r="LE35">
        <v>0.25324268111485876</v>
      </c>
      <c r="LF35">
        <v>0.31297958437629753</v>
      </c>
      <c r="LG35">
        <v>0.2593450753406511</v>
      </c>
      <c r="LH35">
        <v>0.24570062221780403</v>
      </c>
      <c r="LI35">
        <v>0.26637753117276847</v>
      </c>
      <c r="LJ35">
        <v>0.25324268111485876</v>
      </c>
      <c r="LK35">
        <v>0.31297958437629753</v>
      </c>
      <c r="LL35">
        <v>0.25156375539938336</v>
      </c>
      <c r="LM35">
        <v>0.24570062221780403</v>
      </c>
      <c r="LN35">
        <v>0.25913679491086455</v>
      </c>
      <c r="LO35">
        <v>0.25324268111485876</v>
      </c>
      <c r="LP35">
        <v>0.31359625950586945</v>
      </c>
      <c r="LQ35">
        <v>0.25625722985126409</v>
      </c>
      <c r="LR35">
        <v>0.24545523875063441</v>
      </c>
      <c r="LS35">
        <v>0.26377659014722243</v>
      </c>
      <c r="LT35">
        <v>0.25355038877632752</v>
      </c>
      <c r="LU35">
        <v>0.31421721963655019</v>
      </c>
      <c r="LV35">
        <v>0.25622124092680693</v>
      </c>
      <c r="LW35">
        <v>0.24522917748421502</v>
      </c>
      <c r="LX35">
        <v>0.26418657801515477</v>
      </c>
      <c r="LY35">
        <v>0.25389863942988322</v>
      </c>
      <c r="LZ35">
        <v>0.31484232166324333</v>
      </c>
      <c r="MA35">
        <v>0.25642668710893551</v>
      </c>
      <c r="MB35">
        <v>0.24501440511189723</v>
      </c>
      <c r="MC35">
        <v>0.26461062670169794</v>
      </c>
      <c r="MD35">
        <v>0.25442402910207268</v>
      </c>
      <c r="ME35">
        <v>0.26751043893588378</v>
      </c>
      <c r="MF35">
        <v>0.2074877730263219</v>
      </c>
      <c r="MG35">
        <v>0.19570384437407906</v>
      </c>
      <c r="MH35">
        <v>0.22077081526404879</v>
      </c>
      <c r="MI35">
        <v>0.21096198302799163</v>
      </c>
      <c r="MJ35">
        <v>0.31330213501514675</v>
      </c>
      <c r="MK35">
        <v>0.26362165414550431</v>
      </c>
      <c r="ML35">
        <v>0.25396392540080687</v>
      </c>
      <c r="MM35">
        <v>0.27057751245514</v>
      </c>
      <c r="MN35">
        <v>0.26246984759953612</v>
      </c>
      <c r="MO35">
        <v>0.31712738493384707</v>
      </c>
      <c r="MP35">
        <v>0.26088000382530341</v>
      </c>
      <c r="MQ35">
        <v>0.24760885673585828</v>
      </c>
      <c r="MR35">
        <v>0.26820116011513145</v>
      </c>
      <c r="MS35">
        <v>0.25558601401768838</v>
      </c>
      <c r="MT35">
        <v>0.31870506513435121</v>
      </c>
      <c r="MU35">
        <v>0.263093608954522</v>
      </c>
      <c r="MV35">
        <v>0.24874657230712047</v>
      </c>
      <c r="MW35">
        <v>0.2701263612649783</v>
      </c>
      <c r="MX35">
        <v>0.25668318758405528</v>
      </c>
      <c r="MY35">
        <v>0.32058828631167785</v>
      </c>
      <c r="MZ35">
        <v>0.26541266092284982</v>
      </c>
      <c r="NA35">
        <v>0.25009447571057403</v>
      </c>
      <c r="NB35">
        <v>0.27238524613446335</v>
      </c>
      <c r="NC35">
        <v>0.25798898697785078</v>
      </c>
      <c r="ND35">
        <v>0.3102701492907261</v>
      </c>
      <c r="NE35">
        <v>0.2530015033977927</v>
      </c>
      <c r="NF35">
        <v>0.24408895878396858</v>
      </c>
      <c r="NG35">
        <v>0.26033731354552614</v>
      </c>
      <c r="NH35">
        <v>0.25188619507624982</v>
      </c>
      <c r="NI35">
        <v>0.30952633572608429</v>
      </c>
      <c r="NJ35">
        <v>0.25210534770210863</v>
      </c>
      <c r="NK35">
        <v>0.24359543091709124</v>
      </c>
      <c r="NL35">
        <v>0.25946559393553992</v>
      </c>
      <c r="NM35">
        <v>0.25139026901094624</v>
      </c>
      <c r="NN35">
        <v>0.30884568813118463</v>
      </c>
      <c r="NO35">
        <v>0.25129076921043669</v>
      </c>
      <c r="NP35">
        <v>0.24314982010103212</v>
      </c>
      <c r="NQ35">
        <v>0.25881395266905804</v>
      </c>
      <c r="NR35">
        <v>0.25115338367734352</v>
      </c>
      <c r="NS35">
        <v>0.31297958515294327</v>
      </c>
      <c r="NT35">
        <v>0.25156374996673636</v>
      </c>
      <c r="NU35">
        <v>0.2457006218563684</v>
      </c>
      <c r="NV35">
        <v>0.25913680246608978</v>
      </c>
      <c r="NW35">
        <v>0.25324267950699186</v>
      </c>
      <c r="NX35">
        <v>0.31297958515294327</v>
      </c>
      <c r="NY35">
        <v>0.26006536961929688</v>
      </c>
      <c r="NZ35">
        <v>0.24570009031141735</v>
      </c>
      <c r="OA35">
        <v>0.26702979852401193</v>
      </c>
      <c r="OB35">
        <v>0.25324262189206925</v>
      </c>
      <c r="OC35">
        <v>0.31297958515294327</v>
      </c>
      <c r="OD35">
        <v>0.26305762919006132</v>
      </c>
      <c r="OE35">
        <v>0.24570061686471842</v>
      </c>
      <c r="OF35">
        <v>0.26986707889227463</v>
      </c>
      <c r="OG35">
        <v>0.25324267724281441</v>
      </c>
      <c r="OH35">
        <v>0.31599489211519638</v>
      </c>
      <c r="OI35">
        <v>0.26003872087456237</v>
      </c>
      <c r="OJ35">
        <v>0.24753369226379746</v>
      </c>
      <c r="OK35">
        <v>0.26703436031787953</v>
      </c>
      <c r="OL35">
        <v>0.25531870732988798</v>
      </c>
      <c r="OM35">
        <v>0.31066848447845963</v>
      </c>
      <c r="ON35">
        <v>0.25348381918779317</v>
      </c>
      <c r="OO35">
        <v>0.24431130218410177</v>
      </c>
      <c r="OP35">
        <v>0.26081471515533317</v>
      </c>
      <c r="OQ35">
        <v>0.25213240451196556</v>
      </c>
      <c r="OR35">
        <v>0.3123666058836988</v>
      </c>
      <c r="OS35">
        <v>0.25620043326677627</v>
      </c>
      <c r="OT35">
        <v>0.24583174330393048</v>
      </c>
      <c r="OU35">
        <v>0.26323138085062592</v>
      </c>
      <c r="OV35">
        <v>0.25288318025016232</v>
      </c>
      <c r="OW35">
        <v>0.31175775782329901</v>
      </c>
      <c r="OX35">
        <v>0.25626081883865254</v>
      </c>
      <c r="OY35">
        <v>0.24596568539216576</v>
      </c>
      <c r="OZ35">
        <v>0.26285092125747384</v>
      </c>
      <c r="PA35">
        <v>0.2529670976206721</v>
      </c>
      <c r="PB35">
        <v>0.31170126305805629</v>
      </c>
      <c r="PC35">
        <v>0.25590209697993904</v>
      </c>
      <c r="PD35">
        <v>0.2455023515313306</v>
      </c>
      <c r="PE35">
        <v>0.2626033894169254</v>
      </c>
      <c r="PF35">
        <v>0.2526423302302313</v>
      </c>
      <c r="PG35">
        <v>0.31390622492765996</v>
      </c>
      <c r="PH35">
        <v>0.25623743784608854</v>
      </c>
      <c r="PI35">
        <v>0.24533876233228405</v>
      </c>
      <c r="PJ35">
        <v>0.26408540240691708</v>
      </c>
      <c r="PK35">
        <v>0.25384403366614833</v>
      </c>
      <c r="PL35" s="24">
        <v>0.30274307391608968</v>
      </c>
      <c r="PM35" s="24">
        <v>0.23920567625251343</v>
      </c>
      <c r="PN35" s="24">
        <v>0.22667192604903699</v>
      </c>
      <c r="PO35" s="24">
        <v>0.2516299428125443</v>
      </c>
      <c r="PP35" s="24">
        <v>0.24096534281519208</v>
      </c>
      <c r="PQ35">
        <v>0.23777646457474852</v>
      </c>
      <c r="PR35">
        <v>0.18343256530939253</v>
      </c>
      <c r="PS35">
        <v>0.17249130385526198</v>
      </c>
      <c r="PT35">
        <v>0.19581393717654499</v>
      </c>
      <c r="PU35">
        <v>0.18683831459396938</v>
      </c>
      <c r="PV35">
        <v>0.31382865662217591</v>
      </c>
      <c r="PW35">
        <v>0.263695312617095</v>
      </c>
      <c r="PX35">
        <v>0.25421246678132975</v>
      </c>
      <c r="PY35">
        <v>0.26980514225120933</v>
      </c>
      <c r="PZ35">
        <v>0.26110487696790402</v>
      </c>
      <c r="QA35" s="24">
        <v>0.30842898322865714</v>
      </c>
      <c r="QB35" s="24">
        <v>0.26029256553751573</v>
      </c>
      <c r="QC35" s="24">
        <v>0.25083948101664594</v>
      </c>
      <c r="QD35" s="24">
        <v>0.27175164742611424</v>
      </c>
      <c r="QE35" s="24">
        <v>0.26467125276308129</v>
      </c>
    </row>
    <row r="36" spans="1:447" x14ac:dyDescent="0.15">
      <c r="A36" s="24" t="s">
        <v>195</v>
      </c>
      <c r="B36" s="24">
        <f>Sectors!S15</f>
        <v>67.66652077115701</v>
      </c>
      <c r="C36" s="24">
        <f>Sectors!AN15</f>
        <v>65.442696303106459</v>
      </c>
      <c r="D36" s="24">
        <f>Sectors!BY15</f>
        <v>66.504065315730841</v>
      </c>
      <c r="E36" s="24">
        <f>Sectors!BH15</f>
        <v>67.017500272612679</v>
      </c>
      <c r="F36" s="24">
        <f>Sectors!CS15</f>
        <v>67.203329826646097</v>
      </c>
      <c r="H36" s="24">
        <v>67.66652077115701</v>
      </c>
      <c r="I36" s="24">
        <v>65.442697421722073</v>
      </c>
      <c r="J36" s="24">
        <v>66.504076160483578</v>
      </c>
      <c r="K36" s="24">
        <v>66.236363356828363</v>
      </c>
      <c r="L36" s="24">
        <v>66.803705312042538</v>
      </c>
      <c r="M36" s="24">
        <v>67.66652077115701</v>
      </c>
      <c r="N36" s="24">
        <v>65.574604186158197</v>
      </c>
      <c r="O36" s="24">
        <v>66.655857552676508</v>
      </c>
      <c r="P36" s="24">
        <v>66.332449912272139</v>
      </c>
      <c r="Q36" s="24">
        <v>66.915690014075636</v>
      </c>
      <c r="R36" s="24">
        <v>67.66652077115701</v>
      </c>
      <c r="S36" s="24">
        <v>65.709558794359424</v>
      </c>
      <c r="T36" s="24">
        <v>66.769557764691285</v>
      </c>
      <c r="U36" s="24">
        <v>66.428374032958416</v>
      </c>
      <c r="V36" s="24">
        <v>67.02549907925362</v>
      </c>
      <c r="W36" s="24">
        <v>67.66652077115701</v>
      </c>
      <c r="X36" s="24">
        <v>65.835352460758756</v>
      </c>
      <c r="Y36" s="24">
        <v>66.900789028161284</v>
      </c>
      <c r="Z36" s="24">
        <v>66.513771360542549</v>
      </c>
      <c r="AA36" s="24">
        <v>67.115479182969167</v>
      </c>
      <c r="AB36" s="24">
        <v>67.66652077115701</v>
      </c>
      <c r="AC36" s="24">
        <v>65.950880572789799</v>
      </c>
      <c r="AD36" s="24">
        <v>66.991975547811492</v>
      </c>
      <c r="AE36" s="24">
        <v>67.018261785134897</v>
      </c>
      <c r="AF36" s="24">
        <v>67.203333775865204</v>
      </c>
      <c r="AG36" s="24">
        <v>67.66652077115701</v>
      </c>
      <c r="AH36" s="24">
        <v>66.068314159975756</v>
      </c>
      <c r="AI36" s="24">
        <v>67.098933192571792</v>
      </c>
      <c r="AJ36" s="24">
        <v>66.669664912752282</v>
      </c>
      <c r="AK36" s="24">
        <v>67.269908939568325</v>
      </c>
      <c r="AL36" s="24">
        <v>67.66652077115701</v>
      </c>
      <c r="AM36" s="24">
        <v>66.172580089520523</v>
      </c>
      <c r="AN36" s="24">
        <v>67.16131675490945</v>
      </c>
      <c r="AO36" s="24">
        <v>66.745576755703297</v>
      </c>
      <c r="AP36" s="24">
        <v>67.351200840598608</v>
      </c>
      <c r="AQ36" s="24">
        <v>67.66652077115701</v>
      </c>
      <c r="AR36" s="24">
        <v>66.238068076173562</v>
      </c>
      <c r="AS36" s="24">
        <v>67.162706816248644</v>
      </c>
      <c r="AT36" s="24">
        <v>66.818680254152696</v>
      </c>
      <c r="AU36" s="24">
        <v>67.41124837965792</v>
      </c>
      <c r="AV36" s="24">
        <v>67.66652077115701</v>
      </c>
      <c r="AW36" s="24">
        <v>66.303139421406286</v>
      </c>
      <c r="AX36" s="24">
        <v>67.16406240296881</v>
      </c>
      <c r="AY36" s="24">
        <v>66.895030653649741</v>
      </c>
      <c r="AZ36" s="24">
        <v>67.451526820808439</v>
      </c>
      <c r="BA36" s="24">
        <v>67.66652077115701</v>
      </c>
      <c r="BB36" s="24">
        <v>66.367865123823975</v>
      </c>
      <c r="BC36" s="24">
        <v>67.16640020020472</v>
      </c>
      <c r="BD36" s="24">
        <v>66.958990378862751</v>
      </c>
      <c r="BE36" s="24">
        <v>67.467478781066916</v>
      </c>
      <c r="BF36" s="24">
        <v>67.66652077115701</v>
      </c>
      <c r="BG36" s="24">
        <v>66.431925882597895</v>
      </c>
      <c r="BH36" s="24">
        <v>67.167023492646194</v>
      </c>
      <c r="BI36" s="24">
        <v>67.023294470752759</v>
      </c>
      <c r="BJ36" s="24">
        <v>67.468235391606754</v>
      </c>
      <c r="BK36" s="24">
        <v>67.66652077115701</v>
      </c>
      <c r="BL36" s="24">
        <v>66.701167018241122</v>
      </c>
      <c r="BM36" s="24">
        <v>67.189708672566709</v>
      </c>
      <c r="BN36" s="24">
        <v>67.2768288952945</v>
      </c>
      <c r="BO36" s="24">
        <v>67.471935905638944</v>
      </c>
      <c r="BP36" s="24">
        <v>67.66652077115701</v>
      </c>
      <c r="BQ36" s="24">
        <v>66.956933863236515</v>
      </c>
      <c r="BR36" s="24">
        <v>67.194106804509076</v>
      </c>
      <c r="BS36" s="24">
        <v>67.531180213747874</v>
      </c>
      <c r="BT36" s="24">
        <v>67.47622173727855</v>
      </c>
      <c r="BU36" s="24">
        <v>67.66652077115701</v>
      </c>
      <c r="BV36" s="24">
        <v>66.010335002049672</v>
      </c>
      <c r="BW36" s="24">
        <v>66.955949181797578</v>
      </c>
      <c r="BX36" s="24">
        <v>66.582969827518539</v>
      </c>
      <c r="BY36" s="24">
        <v>67.076011250061697</v>
      </c>
      <c r="BZ36" s="24">
        <v>67.66652077115701</v>
      </c>
      <c r="CA36" s="24">
        <v>66.112697149626626</v>
      </c>
      <c r="CB36" s="24">
        <v>67.043645114748983</v>
      </c>
      <c r="CC36" s="24">
        <v>66.669083500060282</v>
      </c>
      <c r="CD36" s="24">
        <v>67.156173860207517</v>
      </c>
      <c r="CE36" s="24">
        <v>67.66652077115701</v>
      </c>
      <c r="CF36" s="24">
        <v>66.20565827797202</v>
      </c>
      <c r="CG36" s="24">
        <v>67.130541385193212</v>
      </c>
      <c r="CH36" s="24">
        <v>66.722292843825315</v>
      </c>
      <c r="CI36" s="24">
        <v>67.235512458044752</v>
      </c>
      <c r="CJ36" s="24">
        <v>67.66652077115701</v>
      </c>
      <c r="CK36" s="24">
        <v>66.288979198409265</v>
      </c>
      <c r="CL36" s="24">
        <v>67.215981206641359</v>
      </c>
      <c r="CM36" s="24">
        <v>66.793743410774439</v>
      </c>
      <c r="CN36" s="24">
        <v>67.29775173895024</v>
      </c>
      <c r="CO36" s="24">
        <v>67.66652077115701</v>
      </c>
      <c r="CP36" s="24">
        <v>66.385702387554147</v>
      </c>
      <c r="CQ36" s="24">
        <v>67.282774268994444</v>
      </c>
      <c r="CR36" s="24">
        <v>66.850964579487894</v>
      </c>
      <c r="CS36" s="24">
        <v>67.358621307707708</v>
      </c>
      <c r="CT36" s="24">
        <v>67.66652077115701</v>
      </c>
      <c r="CU36" s="24">
        <v>66.472902139633021</v>
      </c>
      <c r="CV36" s="24">
        <v>67.346228188046368</v>
      </c>
      <c r="CW36" s="24">
        <v>66.911352126688627</v>
      </c>
      <c r="CX36" s="24">
        <v>67.417684374958114</v>
      </c>
      <c r="CY36" s="24">
        <v>67.66652077115701</v>
      </c>
      <c r="CZ36" s="24">
        <v>66.561220465834609</v>
      </c>
      <c r="DA36" s="24">
        <v>67.407924173403629</v>
      </c>
      <c r="DB36" s="24">
        <v>66.964483970610289</v>
      </c>
      <c r="DC36" s="24">
        <v>67.473893955063474</v>
      </c>
      <c r="DD36" s="24">
        <v>67.66652077115701</v>
      </c>
      <c r="DE36" s="24">
        <v>66.636953589923891</v>
      </c>
      <c r="DF36" s="24">
        <v>67.466042952898064</v>
      </c>
      <c r="DG36" s="24">
        <v>67.028295012493501</v>
      </c>
      <c r="DH36" s="24">
        <v>67.514090848474908</v>
      </c>
      <c r="DI36" s="24">
        <v>67.66652077115701</v>
      </c>
      <c r="DJ36" s="24">
        <v>66.732143851766438</v>
      </c>
      <c r="DK36" s="24">
        <v>67.519791693383524</v>
      </c>
      <c r="DL36" s="24">
        <v>67.083510472112252</v>
      </c>
      <c r="DM36" s="24">
        <v>67.563672748373364</v>
      </c>
      <c r="DN36" s="24">
        <v>67.66652077115701</v>
      </c>
      <c r="DO36" s="24">
        <v>66.889927376181333</v>
      </c>
      <c r="DP36" s="24">
        <v>67.572731582722369</v>
      </c>
      <c r="DQ36" s="24">
        <v>67.207493768584953</v>
      </c>
      <c r="DR36" s="24">
        <v>67.629643287901999</v>
      </c>
      <c r="DS36" s="24">
        <v>67.66652077115701</v>
      </c>
      <c r="DT36" s="24">
        <v>67.146403995697554</v>
      </c>
      <c r="DU36" s="24">
        <v>67.576756861622655</v>
      </c>
      <c r="DV36" s="24">
        <v>67.459584510129631</v>
      </c>
      <c r="DW36" s="24">
        <v>67.660737414559506</v>
      </c>
      <c r="DX36" s="24">
        <v>67.66652077115701</v>
      </c>
      <c r="DY36" s="24">
        <v>67.401996724353609</v>
      </c>
      <c r="DZ36" s="24">
        <v>67.580723250245924</v>
      </c>
      <c r="EA36" s="24">
        <v>67.707341902030237</v>
      </c>
      <c r="EB36" s="24">
        <v>67.664516388314794</v>
      </c>
      <c r="EC36" s="24">
        <v>67.66652077115701</v>
      </c>
      <c r="ED36" s="24">
        <v>65.571157813589679</v>
      </c>
      <c r="EE36" s="24">
        <v>66.559732072461657</v>
      </c>
      <c r="EF36" s="24">
        <v>66.282213868485528</v>
      </c>
      <c r="EG36" s="24">
        <v>66.840647995196193</v>
      </c>
      <c r="EH36" s="24">
        <v>67.66652077115701</v>
      </c>
      <c r="EI36" s="24">
        <v>65.709864951354689</v>
      </c>
      <c r="EJ36" s="24">
        <v>66.68544718535928</v>
      </c>
      <c r="EK36" s="24">
        <v>66.381072476439471</v>
      </c>
      <c r="EL36" s="24">
        <v>66.948396282806087</v>
      </c>
      <c r="EM36" s="24">
        <v>67.66652077115701</v>
      </c>
      <c r="EN36" s="24">
        <v>65.83905718338977</v>
      </c>
      <c r="EO36" s="24">
        <v>66.8111501836906</v>
      </c>
      <c r="EP36" s="24">
        <v>66.481008392749359</v>
      </c>
      <c r="EQ36" s="24">
        <v>67.054235290665787</v>
      </c>
      <c r="ER36" s="24">
        <v>67.66652077115701</v>
      </c>
      <c r="ES36" s="24">
        <v>65.959899404358069</v>
      </c>
      <c r="ET36" s="24">
        <v>66.916841144189036</v>
      </c>
      <c r="EU36" s="24">
        <v>66.569178667792357</v>
      </c>
      <c r="EV36" s="24">
        <v>67.140327554092906</v>
      </c>
      <c r="EW36" s="24">
        <v>67.66652077115701</v>
      </c>
      <c r="EX36" s="24">
        <v>66.041986109535529</v>
      </c>
      <c r="EY36" s="24">
        <v>66.979494438754088</v>
      </c>
      <c r="EZ36" s="24">
        <v>66.657504009494858</v>
      </c>
      <c r="FA36" s="24">
        <v>67.222958518077704</v>
      </c>
      <c r="FB36" s="24">
        <v>67.66652077115701</v>
      </c>
      <c r="FC36" s="24">
        <v>66.10983363489872</v>
      </c>
      <c r="FD36" s="24">
        <v>67.00087072476758</v>
      </c>
      <c r="FE36" s="24">
        <v>66.733210413914904</v>
      </c>
      <c r="FF36" s="24">
        <v>67.285002918570243</v>
      </c>
      <c r="FG36" s="24">
        <v>67.66652077115701</v>
      </c>
      <c r="FH36" s="24">
        <v>66.177544454199307</v>
      </c>
      <c r="FI36" s="24">
        <v>67.022122724889996</v>
      </c>
      <c r="FJ36" s="24">
        <v>66.803735909605393</v>
      </c>
      <c r="FK36" s="24">
        <v>67.342145472661045</v>
      </c>
      <c r="FL36" s="24">
        <v>67.66652077115701</v>
      </c>
      <c r="FM36" s="24">
        <v>66.244948998681309</v>
      </c>
      <c r="FN36" s="24">
        <v>67.043242967349173</v>
      </c>
      <c r="FO36" s="24">
        <v>66.874119579689975</v>
      </c>
      <c r="FP36" s="24">
        <v>67.36069135982433</v>
      </c>
      <c r="FQ36" s="24">
        <v>67.66652077115701</v>
      </c>
      <c r="FR36" s="24">
        <v>66.312402961745562</v>
      </c>
      <c r="FS36" s="24">
        <v>67.06473615061411</v>
      </c>
      <c r="FT36" s="24">
        <v>66.929611612978661</v>
      </c>
      <c r="FU36" s="24">
        <v>67.363046378824805</v>
      </c>
      <c r="FV36" s="24">
        <v>67.66652077115701</v>
      </c>
      <c r="FW36" s="24">
        <v>66.446978457358171</v>
      </c>
      <c r="FX36" s="24">
        <v>67.105737083137228</v>
      </c>
      <c r="FY36" s="24">
        <v>67.069014379610167</v>
      </c>
      <c r="FZ36" s="24">
        <v>67.384023243804492</v>
      </c>
      <c r="GA36" s="24">
        <v>67.66652077115701</v>
      </c>
      <c r="GB36" s="24">
        <v>66.702770560214532</v>
      </c>
      <c r="GC36" s="24">
        <v>67.16944579504937</v>
      </c>
      <c r="GD36" s="24">
        <v>67.319152417599341</v>
      </c>
      <c r="GE36" s="24">
        <v>67.439358501901296</v>
      </c>
      <c r="GF36" s="24">
        <v>67.66652077115701</v>
      </c>
      <c r="GG36" s="24">
        <v>66.94596062415448</v>
      </c>
      <c r="GH36" s="24">
        <v>67.214077572876775</v>
      </c>
      <c r="GI36" s="24">
        <v>67.569740696737654</v>
      </c>
      <c r="GJ36" s="24">
        <v>67.477167456190202</v>
      </c>
      <c r="GK36" s="24">
        <v>67.66652077115701</v>
      </c>
      <c r="GL36" s="24">
        <v>65.442661127462856</v>
      </c>
      <c r="GM36" s="24">
        <v>66.504074785820777</v>
      </c>
      <c r="GN36" s="24">
        <v>67.018261785134897</v>
      </c>
      <c r="GO36" s="24">
        <v>67.203333775865232</v>
      </c>
      <c r="GP36" s="24">
        <v>67.66652077115701</v>
      </c>
      <c r="GQ36" s="24">
        <v>65.445184557984987</v>
      </c>
      <c r="GR36" s="24">
        <v>66.515738415912722</v>
      </c>
      <c r="GS36" s="24">
        <v>66.995987182454229</v>
      </c>
      <c r="GT36" s="24">
        <v>67.20826666778845</v>
      </c>
      <c r="GU36" s="24">
        <v>155.18695819427307</v>
      </c>
      <c r="GV36" s="24">
        <v>149.95848322456345</v>
      </c>
      <c r="GW36" s="24">
        <v>152.374863434687</v>
      </c>
      <c r="GX36" s="24">
        <v>152.81268666599286</v>
      </c>
      <c r="GY36" s="24">
        <v>154.05154146254017</v>
      </c>
      <c r="GZ36" s="24">
        <v>155.18695819427307</v>
      </c>
      <c r="HA36" s="24">
        <v>149.95836763307136</v>
      </c>
      <c r="HB36" s="24">
        <v>152.4043283456638</v>
      </c>
      <c r="HC36" s="24">
        <v>152.85008043157387</v>
      </c>
      <c r="HD36" s="24">
        <v>154.05709941482658</v>
      </c>
      <c r="HE36" s="24">
        <v>155.18695819427307</v>
      </c>
      <c r="HF36" s="24">
        <v>151.16238261320339</v>
      </c>
      <c r="HG36" s="24">
        <v>153.54716493823128</v>
      </c>
      <c r="HH36" s="24">
        <v>152.06690629072284</v>
      </c>
      <c r="HI36" s="24">
        <v>154.05154594508636</v>
      </c>
      <c r="HJ36" s="24">
        <v>65.322777045811137</v>
      </c>
      <c r="HK36" s="24">
        <v>63.452379443500085</v>
      </c>
      <c r="HL36" s="24">
        <v>64.730549363203252</v>
      </c>
      <c r="HM36" s="24">
        <v>64.847363808216528</v>
      </c>
      <c r="HN36" s="24">
        <v>65.057663234122032</v>
      </c>
      <c r="HO36">
        <v>67.131837995642371</v>
      </c>
      <c r="HP36">
        <v>65.092626591658046</v>
      </c>
      <c r="HQ36">
        <v>66.30598943306083</v>
      </c>
      <c r="HR36">
        <v>66.579317647605109</v>
      </c>
      <c r="HS36">
        <v>66.772034470834384</v>
      </c>
      <c r="HT36">
        <v>67.789710957958206</v>
      </c>
      <c r="HU36">
        <v>65.600625717911143</v>
      </c>
      <c r="HV36">
        <v>66.691887270334973</v>
      </c>
      <c r="HW36">
        <v>67.155021947035962</v>
      </c>
      <c r="HX36">
        <v>67.342434954873156</v>
      </c>
      <c r="HY36">
        <v>67.783112738121702</v>
      </c>
      <c r="HZ36">
        <v>65.413678301020141</v>
      </c>
      <c r="IA36">
        <v>66.362213466098694</v>
      </c>
      <c r="IB36">
        <v>67.006174496979483</v>
      </c>
      <c r="IC36">
        <v>67.223173970349052</v>
      </c>
      <c r="ID36">
        <v>67.556178811523864</v>
      </c>
      <c r="IE36">
        <v>65.334769932404029</v>
      </c>
      <c r="IF36">
        <v>66.391941118470498</v>
      </c>
      <c r="IG36">
        <v>66.912014125989273</v>
      </c>
      <c r="IH36">
        <v>67.099559107124122</v>
      </c>
      <c r="II36">
        <v>67.451454591124133</v>
      </c>
      <c r="IJ36">
        <v>65.23505103966022</v>
      </c>
      <c r="IK36">
        <v>66.287774636161487</v>
      </c>
      <c r="IL36">
        <v>66.78072788429526</v>
      </c>
      <c r="IM36">
        <v>66.985626375527175</v>
      </c>
      <c r="IN36">
        <v>67.351893746208816</v>
      </c>
      <c r="IO36" s="86">
        <v>65.24263775739901</v>
      </c>
      <c r="IP36">
        <v>66.173405610706453</v>
      </c>
      <c r="IQ36">
        <v>66.771602727564883</v>
      </c>
      <c r="IR36">
        <v>66.862342685873685</v>
      </c>
      <c r="IS36">
        <v>67.257133720278588</v>
      </c>
      <c r="IT36">
        <v>65.04767762871505</v>
      </c>
      <c r="IU36">
        <v>66.090851981148376</v>
      </c>
      <c r="IV36">
        <v>66.591542078368249</v>
      </c>
      <c r="IW36">
        <v>66.750261882361016</v>
      </c>
      <c r="IX36">
        <v>67.721917801767319</v>
      </c>
      <c r="IY36">
        <v>65.490878723640407</v>
      </c>
      <c r="IZ36">
        <v>66.573026688349941</v>
      </c>
      <c r="JA36">
        <v>67.069643899644163</v>
      </c>
      <c r="JB36">
        <v>67.254285594909234</v>
      </c>
      <c r="JC36">
        <v>67.905526018674024</v>
      </c>
      <c r="JD36">
        <v>65.673347101866241</v>
      </c>
      <c r="JE36">
        <v>66.795820524683052</v>
      </c>
      <c r="JF36">
        <v>67.256269552471693</v>
      </c>
      <c r="JG36">
        <v>67.442240033753947</v>
      </c>
      <c r="JH36">
        <v>68.172732566643703</v>
      </c>
      <c r="JI36">
        <v>65.931093952264618</v>
      </c>
      <c r="JJ36">
        <v>67.030560748874166</v>
      </c>
      <c r="JK36">
        <v>67.522953133849128</v>
      </c>
      <c r="JL36">
        <v>67.712572426303893</v>
      </c>
      <c r="JM36">
        <v>63.682215986144897</v>
      </c>
      <c r="JN36">
        <v>61.877662455938783</v>
      </c>
      <c r="JO36">
        <v>63.174283506756893</v>
      </c>
      <c r="JP36">
        <v>63.251320450140611</v>
      </c>
      <c r="JQ36">
        <v>63.459199966387239</v>
      </c>
      <c r="JR36">
        <v>66.698503538244339</v>
      </c>
      <c r="JS36">
        <v>64.717933810817115</v>
      </c>
      <c r="JT36">
        <v>65.96041505694896</v>
      </c>
      <c r="JU36">
        <v>66.175852509442336</v>
      </c>
      <c r="JV36">
        <v>66.369360035192614</v>
      </c>
      <c r="JW36">
        <v>67.65583615736918</v>
      </c>
      <c r="JX36">
        <v>65.519317454791846</v>
      </c>
      <c r="JY36">
        <v>66.669844603398474</v>
      </c>
      <c r="JZ36">
        <v>67.047309977817108</v>
      </c>
      <c r="KA36">
        <v>67.236522811530222</v>
      </c>
      <c r="KB36">
        <v>67.875153401745251</v>
      </c>
      <c r="KC36">
        <v>65.564055235450468</v>
      </c>
      <c r="KD36">
        <v>66.590922696135863</v>
      </c>
      <c r="KE36">
        <v>67.1747076131591</v>
      </c>
      <c r="KF36">
        <v>67.358123716773406</v>
      </c>
      <c r="KG36">
        <v>67.699459735857729</v>
      </c>
      <c r="KH36">
        <v>65.377125781125415</v>
      </c>
      <c r="KI36">
        <v>66.326571605624309</v>
      </c>
      <c r="KJ36">
        <v>66.869780859146417</v>
      </c>
      <c r="KK36">
        <v>67.04009232305377</v>
      </c>
      <c r="KL36">
        <v>67.66652077115701</v>
      </c>
      <c r="KM36">
        <v>65.768196076380562</v>
      </c>
      <c r="KN36">
        <v>66.504066797189111</v>
      </c>
      <c r="KO36">
        <v>67.434775742949526</v>
      </c>
      <c r="KP36">
        <v>67.203321922774364</v>
      </c>
      <c r="KQ36">
        <v>67.66652077115701</v>
      </c>
      <c r="KR36">
        <v>65.768200036171649</v>
      </c>
      <c r="KS36">
        <v>66.504066797189111</v>
      </c>
      <c r="KT36">
        <v>67.434779624680914</v>
      </c>
      <c r="KU36">
        <v>67.203321922774364</v>
      </c>
      <c r="KV36">
        <v>67.66652077115701</v>
      </c>
      <c r="KW36">
        <v>65.600251798380441</v>
      </c>
      <c r="KX36">
        <v>66.504066797189111</v>
      </c>
      <c r="KY36">
        <v>67.201840735604449</v>
      </c>
      <c r="KZ36">
        <v>67.203321922774364</v>
      </c>
      <c r="LA36">
        <v>67.66652077115701</v>
      </c>
      <c r="LB36">
        <v>65.305856935975498</v>
      </c>
      <c r="LC36">
        <v>66.504066797189111</v>
      </c>
      <c r="LD36">
        <v>66.841535499204753</v>
      </c>
      <c r="LE36">
        <v>67.203321922774364</v>
      </c>
      <c r="LF36">
        <v>67.66652077115701</v>
      </c>
      <c r="LG36">
        <v>65.185189966418335</v>
      </c>
      <c r="LH36">
        <v>66.504066797189111</v>
      </c>
      <c r="LI36">
        <v>66.686928876989811</v>
      </c>
      <c r="LJ36">
        <v>67.203321922774364</v>
      </c>
      <c r="LK36">
        <v>67.66652077115701</v>
      </c>
      <c r="LL36">
        <v>65.870297169458581</v>
      </c>
      <c r="LM36">
        <v>66.504066797189111</v>
      </c>
      <c r="LN36">
        <v>67.566003935210986</v>
      </c>
      <c r="LO36">
        <v>67.203321922774364</v>
      </c>
      <c r="LP36">
        <v>67.799832141533955</v>
      </c>
      <c r="LQ36">
        <v>65.604819476582236</v>
      </c>
      <c r="LR36">
        <v>66.678410020540611</v>
      </c>
      <c r="LS36">
        <v>67.17336994043022</v>
      </c>
      <c r="LT36">
        <v>67.355539310456493</v>
      </c>
      <c r="LU36">
        <v>67.934084410880772</v>
      </c>
      <c r="LV36">
        <v>65.768250843944045</v>
      </c>
      <c r="LW36">
        <v>66.854998391356432</v>
      </c>
      <c r="LX36">
        <v>67.330402714840645</v>
      </c>
      <c r="LY36">
        <v>67.518541526813181</v>
      </c>
      <c r="LZ36">
        <v>68.069232081885374</v>
      </c>
      <c r="MA36">
        <v>65.920256591407309</v>
      </c>
      <c r="MB36">
        <v>67.030534713599721</v>
      </c>
      <c r="MC36">
        <v>67.488559224260811</v>
      </c>
      <c r="MD36">
        <v>67.661907416623094</v>
      </c>
      <c r="ME36">
        <v>57.836028535332261</v>
      </c>
      <c r="MF36">
        <v>56.271910743779287</v>
      </c>
      <c r="MG36">
        <v>57.493192893509381</v>
      </c>
      <c r="MH36">
        <v>57.490562983587907</v>
      </c>
      <c r="MI36">
        <v>57.68395226337244</v>
      </c>
      <c r="MJ36">
        <v>67.736242153033857</v>
      </c>
      <c r="MK36">
        <v>65.539378603601094</v>
      </c>
      <c r="ML36">
        <v>66.490498642585592</v>
      </c>
      <c r="MM36">
        <v>66.740501874954006</v>
      </c>
      <c r="MN36">
        <v>66.880920404405074</v>
      </c>
      <c r="MO36">
        <v>68.600984397337299</v>
      </c>
      <c r="MP36">
        <v>66.334703106857006</v>
      </c>
      <c r="MQ36">
        <v>67.442193709038577</v>
      </c>
      <c r="MR36">
        <v>67.921487604355647</v>
      </c>
      <c r="MS36">
        <v>68.119992218168221</v>
      </c>
      <c r="MT36">
        <v>68.940501997749521</v>
      </c>
      <c r="MU36">
        <v>66.650304316027103</v>
      </c>
      <c r="MV36">
        <v>67.782616644549449</v>
      </c>
      <c r="MW36">
        <v>68.26090685584505</v>
      </c>
      <c r="MX36">
        <v>68.462165651136928</v>
      </c>
      <c r="MY36">
        <v>69.349168528721094</v>
      </c>
      <c r="MZ36">
        <v>67.043831502151349</v>
      </c>
      <c r="NA36">
        <v>68.188535583594046</v>
      </c>
      <c r="NB36">
        <v>68.666530584597666</v>
      </c>
      <c r="NC36">
        <v>68.869813689841138</v>
      </c>
      <c r="ND36">
        <v>67.080723740257085</v>
      </c>
      <c r="NE36">
        <v>64.876866390394625</v>
      </c>
      <c r="NF36">
        <v>65.913585714781718</v>
      </c>
      <c r="NG36">
        <v>66.414790018323501</v>
      </c>
      <c r="NH36">
        <v>66.593482368762963</v>
      </c>
      <c r="NI36">
        <v>66.919910485309202</v>
      </c>
      <c r="NJ36">
        <v>64.721436250288136</v>
      </c>
      <c r="NK36">
        <v>65.751169338824013</v>
      </c>
      <c r="NL36">
        <v>66.263313796384068</v>
      </c>
      <c r="NM36">
        <v>66.431250687537059</v>
      </c>
      <c r="NN36">
        <v>66.772753777677494</v>
      </c>
      <c r="NO36">
        <v>64.578992295794123</v>
      </c>
      <c r="NP36">
        <v>65.601613399815889</v>
      </c>
      <c r="NQ36">
        <v>66.105683963270693</v>
      </c>
      <c r="NR36">
        <v>66.280301234717683</v>
      </c>
      <c r="NS36">
        <v>67.666521008103615</v>
      </c>
      <c r="NT36">
        <v>65.870294496621838</v>
      </c>
      <c r="NU36">
        <v>66.504066612189234</v>
      </c>
      <c r="NV36">
        <v>67.566005239410757</v>
      </c>
      <c r="NW36">
        <v>67.203321316424095</v>
      </c>
      <c r="NX36">
        <v>67.666521008103615</v>
      </c>
      <c r="NY36">
        <v>65.130253924401799</v>
      </c>
      <c r="NZ36">
        <v>66.503863252715263</v>
      </c>
      <c r="OA36">
        <v>66.611987708173046</v>
      </c>
      <c r="OB36">
        <v>67.203298430956266</v>
      </c>
      <c r="OC36">
        <v>67.666521008103615</v>
      </c>
      <c r="OD36">
        <v>64.906916611668137</v>
      </c>
      <c r="OE36">
        <v>66.504064721140153</v>
      </c>
      <c r="OF36">
        <v>66.318312561080248</v>
      </c>
      <c r="OG36">
        <v>67.203320445940761</v>
      </c>
      <c r="OH36">
        <v>68.318418992863897</v>
      </c>
      <c r="OI36">
        <v>66.071574749187846</v>
      </c>
      <c r="OJ36">
        <v>67.17621170837127</v>
      </c>
      <c r="OK36">
        <v>67.66825512934679</v>
      </c>
      <c r="OL36">
        <v>67.858892912314701</v>
      </c>
      <c r="OM36">
        <v>67.166844115416282</v>
      </c>
      <c r="ON36">
        <v>64.960113226766964</v>
      </c>
      <c r="OO36">
        <v>66.08974529429436</v>
      </c>
      <c r="OP36">
        <v>66.501102019896891</v>
      </c>
      <c r="OQ36">
        <v>66.671058343124002</v>
      </c>
      <c r="OR36">
        <v>67.533976954824723</v>
      </c>
      <c r="OS36">
        <v>65.293990222751347</v>
      </c>
      <c r="OT36">
        <v>66.28067261553548</v>
      </c>
      <c r="OU36">
        <v>66.854413450615851</v>
      </c>
      <c r="OV36">
        <v>67.026572076490197</v>
      </c>
      <c r="OW36">
        <v>67.402345999097264</v>
      </c>
      <c r="OX36">
        <v>65.122299194627061</v>
      </c>
      <c r="OY36">
        <v>66.184887794927775</v>
      </c>
      <c r="OZ36">
        <v>66.693029012868479</v>
      </c>
      <c r="PA36">
        <v>66.887287350857335</v>
      </c>
      <c r="PB36">
        <v>67.39264991757743</v>
      </c>
      <c r="PC36">
        <v>65.125288085374748</v>
      </c>
      <c r="PD36">
        <v>66.185377751885468</v>
      </c>
      <c r="PE36">
        <v>66.701044767330657</v>
      </c>
      <c r="PF36">
        <v>66.890226888286932</v>
      </c>
      <c r="PG36">
        <v>67.866847010954714</v>
      </c>
      <c r="PH36">
        <v>65.686372585642175</v>
      </c>
      <c r="PI36">
        <v>66.766028047959338</v>
      </c>
      <c r="PJ36">
        <v>67.243598475884809</v>
      </c>
      <c r="PK36">
        <v>67.42332673375779</v>
      </c>
      <c r="PL36" s="24">
        <v>65.453362343078311</v>
      </c>
      <c r="PM36" s="24">
        <v>63.500280557204377</v>
      </c>
      <c r="PN36" s="24">
        <v>64.838198965168203</v>
      </c>
      <c r="PO36" s="24">
        <v>64.97381442808458</v>
      </c>
      <c r="PP36" s="24">
        <v>65.182937638636048</v>
      </c>
      <c r="PQ36">
        <v>51.422313622307989</v>
      </c>
      <c r="PR36">
        <v>50.045602647698587</v>
      </c>
      <c r="PS36">
        <v>51.17510445190694</v>
      </c>
      <c r="PT36">
        <v>51.12439591670271</v>
      </c>
      <c r="PU36">
        <v>51.293975412038428</v>
      </c>
      <c r="PV36">
        <v>67.850076611949873</v>
      </c>
      <c r="PW36">
        <v>65.607291068366962</v>
      </c>
      <c r="PX36">
        <v>66.559530506499726</v>
      </c>
      <c r="PY36">
        <v>66.912145522567855</v>
      </c>
      <c r="PZ36">
        <v>67.073763226104674</v>
      </c>
      <c r="QA36" s="24">
        <v>66.682661750831755</v>
      </c>
      <c r="QB36" s="24">
        <v>64.647825309626782</v>
      </c>
      <c r="QC36" s="24">
        <v>65.584719925498291</v>
      </c>
      <c r="QD36" s="24">
        <v>65.467307386510953</v>
      </c>
      <c r="QE36" s="24">
        <v>65.61325719261157</v>
      </c>
    </row>
    <row r="37" spans="1:447" x14ac:dyDescent="0.15">
      <c r="A37" s="21" t="s">
        <v>187</v>
      </c>
      <c r="C37" s="17">
        <f>FixedParams!C72</f>
        <v>0.3607075364298542</v>
      </c>
      <c r="D37" s="17">
        <f>C37</f>
        <v>0.3607075364298542</v>
      </c>
      <c r="E37" s="17">
        <f>FixedParams!D72</f>
        <v>0.27583866542895685</v>
      </c>
      <c r="F37" s="17">
        <f>E37</f>
        <v>0.27583866542895685</v>
      </c>
      <c r="I37" s="17">
        <v>0.3607075364298542</v>
      </c>
      <c r="J37" s="17">
        <v>0.3607075364298542</v>
      </c>
      <c r="K37" s="17">
        <v>0.3607075364298542</v>
      </c>
      <c r="L37" s="17">
        <v>0.3607075364298542</v>
      </c>
      <c r="N37" s="17">
        <v>0.33868842859319948</v>
      </c>
      <c r="O37" s="17">
        <v>0.33868842859319948</v>
      </c>
      <c r="P37" s="17">
        <v>0.33868842859319948</v>
      </c>
      <c r="Q37" s="17">
        <v>0.33868842859319948</v>
      </c>
      <c r="S37" s="17">
        <v>0.31722273424810399</v>
      </c>
      <c r="T37" s="17">
        <v>0.31722273424810399</v>
      </c>
      <c r="U37" s="17">
        <v>0.31722273424810399</v>
      </c>
      <c r="V37" s="17">
        <v>0.31722273424810399</v>
      </c>
      <c r="X37" s="17">
        <v>0.29628174214233671</v>
      </c>
      <c r="Y37" s="17">
        <v>0.29628174214233671</v>
      </c>
      <c r="Z37" s="17">
        <v>0.29628174214233671</v>
      </c>
      <c r="AA37" s="17">
        <v>0.29628174214233671</v>
      </c>
      <c r="AC37" s="17">
        <v>0.27583866542895685</v>
      </c>
      <c r="AD37" s="17">
        <v>0.27583866542895685</v>
      </c>
      <c r="AE37" s="17">
        <v>0.27583866542895685</v>
      </c>
      <c r="AF37" s="17">
        <v>0.27583866542895702</v>
      </c>
      <c r="AH37" s="17">
        <v>0.25586847343752206</v>
      </c>
      <c r="AI37" s="17">
        <v>0.25586847343752206</v>
      </c>
      <c r="AJ37" s="17">
        <v>0.25586847343752206</v>
      </c>
      <c r="AK37" s="17">
        <v>0.25586847343752206</v>
      </c>
      <c r="AM37" s="17">
        <v>0.23634774085124488</v>
      </c>
      <c r="AN37" s="17">
        <v>0.23634774085124488</v>
      </c>
      <c r="AO37" s="17">
        <v>0.23634774085124488</v>
      </c>
      <c r="AP37" s="17">
        <v>0.23634774085124488</v>
      </c>
      <c r="AR37" s="17">
        <v>0.21725451218297565</v>
      </c>
      <c r="AS37" s="17">
        <v>0.21725451218297565</v>
      </c>
      <c r="AT37" s="17">
        <v>0.21725451218297565</v>
      </c>
      <c r="AU37" s="17">
        <v>0.21725451218297565</v>
      </c>
      <c r="AW37" s="17">
        <v>0.19856817973075125</v>
      </c>
      <c r="AX37" s="17">
        <v>0.19856817973075125</v>
      </c>
      <c r="AY37" s="17">
        <v>0.19856817973075125</v>
      </c>
      <c r="AZ37" s="17">
        <v>0.19856817973075125</v>
      </c>
      <c r="BB37" s="17">
        <v>0.18026937343761285</v>
      </c>
      <c r="BC37" s="17">
        <v>0.18026937343761285</v>
      </c>
      <c r="BD37" s="17">
        <v>0.18026937343761285</v>
      </c>
      <c r="BE37" s="17">
        <v>0.18026937343761285</v>
      </c>
      <c r="BG37" s="17">
        <v>0.16233986128779132</v>
      </c>
      <c r="BH37" s="17">
        <v>0.16233986128779132</v>
      </c>
      <c r="BI37" s="17">
        <v>0.16233986128779132</v>
      </c>
      <c r="BJ37" s="17">
        <v>0.16233986128779132</v>
      </c>
      <c r="BL37" s="17">
        <v>9.3985116156242832E-2</v>
      </c>
      <c r="BM37" s="17">
        <v>9.3985116156242832E-2</v>
      </c>
      <c r="BN37" s="17">
        <v>9.3985116156242832E-2</v>
      </c>
      <c r="BO37" s="17">
        <v>9.3985116156242832E-2</v>
      </c>
      <c r="BQ37" s="17">
        <v>3.0321585593216849E-2</v>
      </c>
      <c r="BR37" s="17">
        <v>3.0321585593216849E-2</v>
      </c>
      <c r="BS37" s="17">
        <v>3.0321585593216849E-2</v>
      </c>
      <c r="BT37" s="17">
        <v>3.0321585593216849E-2</v>
      </c>
      <c r="BV37" s="17">
        <v>0.3607075364298542</v>
      </c>
      <c r="BW37" s="17">
        <v>0.3607075364298542</v>
      </c>
      <c r="BX37" s="17">
        <v>0.3607075364298542</v>
      </c>
      <c r="BY37" s="17">
        <v>0.3607075364298542</v>
      </c>
      <c r="CA37" s="17">
        <v>0.33868842859319948</v>
      </c>
      <c r="CB37" s="17">
        <v>0.33868842859319948</v>
      </c>
      <c r="CC37" s="17">
        <v>0.33868842859319948</v>
      </c>
      <c r="CD37" s="17">
        <v>0.33868842859319948</v>
      </c>
      <c r="CF37" s="17">
        <v>0.31722273424810399</v>
      </c>
      <c r="CG37" s="17">
        <v>0.31722273424810399</v>
      </c>
      <c r="CH37" s="17">
        <v>0.31722273424810399</v>
      </c>
      <c r="CI37" s="17">
        <v>0.31722273424810399</v>
      </c>
      <c r="CK37" s="17">
        <v>0.29628174214233671</v>
      </c>
      <c r="CL37" s="17">
        <v>0.29628174214233671</v>
      </c>
      <c r="CM37" s="17">
        <v>0.29628174214233671</v>
      </c>
      <c r="CN37" s="17">
        <v>0.29628174214233671</v>
      </c>
      <c r="CP37" s="17">
        <v>0.27583866542895685</v>
      </c>
      <c r="CQ37" s="17">
        <v>0.27583866542895685</v>
      </c>
      <c r="CR37" s="17">
        <v>0.27583866542895685</v>
      </c>
      <c r="CS37" s="17">
        <v>0.27583866542895685</v>
      </c>
      <c r="CU37" s="17">
        <v>0.25586847343752206</v>
      </c>
      <c r="CV37" s="17">
        <v>0.25586847343752206</v>
      </c>
      <c r="CW37" s="17">
        <v>0.25586847343752206</v>
      </c>
      <c r="CX37" s="17">
        <v>0.25586847343752206</v>
      </c>
      <c r="CZ37" s="17">
        <v>0.23634774085124488</v>
      </c>
      <c r="DA37" s="17">
        <v>0.23634774085124488</v>
      </c>
      <c r="DB37" s="17">
        <v>0.23634774085124488</v>
      </c>
      <c r="DC37" s="17">
        <v>0.23634774085124488</v>
      </c>
      <c r="DE37" s="17">
        <v>0.21725451218297565</v>
      </c>
      <c r="DF37" s="17">
        <v>0.21725451218297565</v>
      </c>
      <c r="DG37" s="17">
        <v>0.21725451218297565</v>
      </c>
      <c r="DH37" s="17">
        <v>0.21725451218297565</v>
      </c>
      <c r="DJ37" s="17">
        <v>0.19856817973075125</v>
      </c>
      <c r="DK37" s="17">
        <v>0.19856817973075125</v>
      </c>
      <c r="DL37" s="17">
        <v>0.19856817973075125</v>
      </c>
      <c r="DM37" s="17">
        <v>0.19856817973075125</v>
      </c>
      <c r="DO37" s="17">
        <v>0.16233986128779132</v>
      </c>
      <c r="DP37" s="17">
        <v>0.16233986128779132</v>
      </c>
      <c r="DQ37" s="17">
        <v>0.16233986128779132</v>
      </c>
      <c r="DR37" s="17">
        <v>0.16233986128779132</v>
      </c>
      <c r="DT37" s="17">
        <v>9.3985116156242832E-2</v>
      </c>
      <c r="DU37" s="17">
        <v>9.3985116156242832E-2</v>
      </c>
      <c r="DV37" s="17">
        <v>9.3985116156242832E-2</v>
      </c>
      <c r="DW37" s="17">
        <v>9.3985116156242832E-2</v>
      </c>
      <c r="DY37" s="17">
        <v>3.0321585593216849E-2</v>
      </c>
      <c r="DZ37" s="17">
        <v>3.0321585593216849E-2</v>
      </c>
      <c r="EA37" s="17">
        <v>3.0321585593216849E-2</v>
      </c>
      <c r="EB37" s="17">
        <v>3.0321585593216849E-2</v>
      </c>
      <c r="ED37" s="17">
        <v>0.3607075364298542</v>
      </c>
      <c r="EE37" s="17">
        <v>0.3607075364298542</v>
      </c>
      <c r="EF37" s="17">
        <v>0.3607075364298542</v>
      </c>
      <c r="EG37" s="17">
        <v>0.3607075364298542</v>
      </c>
      <c r="EI37" s="17">
        <v>0.33868842859319948</v>
      </c>
      <c r="EJ37" s="17">
        <v>0.33868842859319948</v>
      </c>
      <c r="EK37" s="17">
        <v>0.33868842859319948</v>
      </c>
      <c r="EL37" s="17">
        <v>0.33868842859319948</v>
      </c>
      <c r="EN37" s="17">
        <v>0.31722273424810399</v>
      </c>
      <c r="EO37" s="17">
        <v>0.31722273424810399</v>
      </c>
      <c r="EP37" s="17">
        <v>0.31722273424810399</v>
      </c>
      <c r="EQ37" s="17">
        <v>0.31722273424810399</v>
      </c>
      <c r="ES37" s="17">
        <v>0.29628174214233671</v>
      </c>
      <c r="ET37" s="17">
        <v>0.29628174214233671</v>
      </c>
      <c r="EU37" s="17">
        <v>0.29628174214233671</v>
      </c>
      <c r="EV37" s="17">
        <v>0.29628174214233671</v>
      </c>
      <c r="EX37" s="17">
        <v>0.27583866542895685</v>
      </c>
      <c r="EY37" s="17">
        <v>0.27583866542895685</v>
      </c>
      <c r="EZ37" s="17">
        <v>0.27583866542895685</v>
      </c>
      <c r="FA37" s="17">
        <v>0.27583866542895685</v>
      </c>
      <c r="FC37" s="17">
        <v>0.25586847343752206</v>
      </c>
      <c r="FD37" s="17">
        <v>0.25586847343752206</v>
      </c>
      <c r="FE37" s="17">
        <v>0.25586847343752206</v>
      </c>
      <c r="FF37" s="17">
        <v>0.25586847343752206</v>
      </c>
      <c r="FH37" s="17">
        <v>0.23634774085124488</v>
      </c>
      <c r="FI37" s="17">
        <v>0.23634774085124488</v>
      </c>
      <c r="FJ37" s="17">
        <v>0.23634774085124488</v>
      </c>
      <c r="FK37" s="17">
        <v>0.23634774085124488</v>
      </c>
      <c r="FM37" s="17">
        <v>0.21725451218297565</v>
      </c>
      <c r="FN37" s="17">
        <v>0.21725451218297565</v>
      </c>
      <c r="FO37" s="17">
        <v>0.21725451218297565</v>
      </c>
      <c r="FP37" s="17">
        <v>0.21725451218297565</v>
      </c>
      <c r="FR37" s="17">
        <v>0.19856817973075125</v>
      </c>
      <c r="FS37" s="17">
        <v>0.19856817973075125</v>
      </c>
      <c r="FT37" s="17">
        <v>0.19856817973075125</v>
      </c>
      <c r="FU37" s="17">
        <v>0.19856817973075125</v>
      </c>
      <c r="FW37" s="17">
        <v>0.16233986128779132</v>
      </c>
      <c r="FX37" s="17">
        <v>0.16233986128779132</v>
      </c>
      <c r="FY37" s="17">
        <v>0.16233986128779132</v>
      </c>
      <c r="FZ37" s="17">
        <v>0.16233986128779132</v>
      </c>
      <c r="GB37" s="17">
        <v>9.3985116156242832E-2</v>
      </c>
      <c r="GC37" s="17">
        <v>9.3985116156242832E-2</v>
      </c>
      <c r="GD37" s="17">
        <v>9.3985116156242832E-2</v>
      </c>
      <c r="GE37" s="17">
        <v>9.3985116156242832E-2</v>
      </c>
      <c r="GG37" s="17">
        <v>3.0321585593216849E-2</v>
      </c>
      <c r="GH37" s="17">
        <v>3.0321585593216849E-2</v>
      </c>
      <c r="GI37" s="17">
        <v>3.0321585593216849E-2</v>
      </c>
      <c r="GJ37" s="17">
        <v>3.0321585593216849E-2</v>
      </c>
      <c r="GL37" s="17">
        <v>0.3607075364298542</v>
      </c>
      <c r="GM37" s="17">
        <v>0.3607075364298542</v>
      </c>
      <c r="GN37" s="17">
        <v>0.27583866542895685</v>
      </c>
      <c r="GO37" s="17">
        <v>0.27583866542895685</v>
      </c>
      <c r="GQ37" s="17">
        <v>0.3607075364298542</v>
      </c>
      <c r="GR37" s="17">
        <v>0.3607075364298542</v>
      </c>
      <c r="GS37" s="17">
        <v>0.27583866542895685</v>
      </c>
      <c r="GT37" s="17">
        <v>0.27583866542895685</v>
      </c>
      <c r="GV37" s="17">
        <v>0.3607075364298542</v>
      </c>
      <c r="GW37" s="17">
        <v>0.3607075364298542</v>
      </c>
      <c r="GX37" s="17">
        <v>0.27583866542895685</v>
      </c>
      <c r="GY37" s="17">
        <v>0.27583866542895685</v>
      </c>
      <c r="HA37" s="17">
        <v>0.3607075364298542</v>
      </c>
      <c r="HB37" s="17">
        <v>0.3607075364298542</v>
      </c>
      <c r="HC37" s="17">
        <v>0.27583866542895685</v>
      </c>
      <c r="HD37" s="17">
        <v>0.27583866542895685</v>
      </c>
      <c r="HF37" s="17">
        <v>0.27583866542895685</v>
      </c>
      <c r="HG37" s="17">
        <v>0.27583866542895685</v>
      </c>
      <c r="HH37" s="17">
        <v>0.27583866542895685</v>
      </c>
      <c r="HI37" s="17">
        <v>0.27583866542895685</v>
      </c>
      <c r="HK37" s="17">
        <v>0.3607075364298542</v>
      </c>
      <c r="HL37" s="17">
        <v>0.3607075364298542</v>
      </c>
      <c r="HM37" s="17">
        <v>0.27583866542895685</v>
      </c>
      <c r="HN37" s="17">
        <v>0.27583866542895685</v>
      </c>
      <c r="HP37">
        <v>0.3607075364298542</v>
      </c>
      <c r="HQ37">
        <v>0.3607075364298542</v>
      </c>
      <c r="HR37">
        <v>0.27583866542895685</v>
      </c>
      <c r="HS37">
        <v>0.27583866542895685</v>
      </c>
      <c r="HU37">
        <v>0.3607075364298542</v>
      </c>
      <c r="HV37">
        <v>0.3607075364298542</v>
      </c>
      <c r="HW37">
        <v>0.27583866542895685</v>
      </c>
      <c r="HX37">
        <v>0.27583866542895685</v>
      </c>
      <c r="HZ37">
        <v>0.3607075364298542</v>
      </c>
      <c r="IA37">
        <v>0.3607075364298542</v>
      </c>
      <c r="IB37">
        <v>0.27583866542895685</v>
      </c>
      <c r="IC37">
        <v>0.27583866542895685</v>
      </c>
      <c r="IE37">
        <v>0.3607075364298542</v>
      </c>
      <c r="IF37">
        <v>0.3607075364298542</v>
      </c>
      <c r="IG37">
        <v>0.27583866542895685</v>
      </c>
      <c r="IH37">
        <v>0.27583866542895685</v>
      </c>
      <c r="IJ37">
        <v>0.3607075364298542</v>
      </c>
      <c r="IK37">
        <v>0.3607075364298542</v>
      </c>
      <c r="IL37">
        <v>0.27583866542895685</v>
      </c>
      <c r="IM37">
        <v>0.27583866542895685</v>
      </c>
      <c r="IO37" s="86">
        <v>0.3607075364298542</v>
      </c>
      <c r="IP37">
        <v>0.3607075364298542</v>
      </c>
      <c r="IQ37">
        <v>0.27583866542895685</v>
      </c>
      <c r="IR37">
        <v>0.27583866542895685</v>
      </c>
      <c r="IT37">
        <v>0.3607075364298542</v>
      </c>
      <c r="IU37">
        <v>0.3607075364298542</v>
      </c>
      <c r="IV37">
        <v>0.27583866542895685</v>
      </c>
      <c r="IW37">
        <v>0.27583866542895685</v>
      </c>
      <c r="IY37">
        <v>0.3607075364298542</v>
      </c>
      <c r="IZ37">
        <v>0.3607075364298542</v>
      </c>
      <c r="JA37">
        <v>0.27583866542895685</v>
      </c>
      <c r="JB37">
        <v>0.27583866542895685</v>
      </c>
      <c r="JD37">
        <v>0.3607075364298542</v>
      </c>
      <c r="JE37">
        <v>0.3607075364298542</v>
      </c>
      <c r="JF37">
        <v>0.27583866542895685</v>
      </c>
      <c r="JG37">
        <v>0.27583866542895685</v>
      </c>
      <c r="JI37">
        <v>0.3607075364298542</v>
      </c>
      <c r="JJ37">
        <v>0.3607075364298542</v>
      </c>
      <c r="JK37">
        <v>0.27583866542895685</v>
      </c>
      <c r="JL37">
        <v>0.27583866542895685</v>
      </c>
      <c r="JN37">
        <v>0.3607075364298542</v>
      </c>
      <c r="JO37">
        <v>0.3607075364298542</v>
      </c>
      <c r="JP37">
        <v>0.27583866542895685</v>
      </c>
      <c r="JQ37">
        <v>0.27583866542895685</v>
      </c>
      <c r="JS37">
        <v>0.3607075364298542</v>
      </c>
      <c r="JT37">
        <v>0.3607075364298542</v>
      </c>
      <c r="JU37">
        <v>0.27583866542895685</v>
      </c>
      <c r="JV37">
        <v>0.27583866542895685</v>
      </c>
      <c r="JX37">
        <v>0.3607075364298542</v>
      </c>
      <c r="JY37">
        <v>0.3607075364298542</v>
      </c>
      <c r="JZ37">
        <v>0.27583866542895685</v>
      </c>
      <c r="KA37">
        <v>0.27583866542895685</v>
      </c>
      <c r="KC37">
        <v>0.3607075364298542</v>
      </c>
      <c r="KD37">
        <v>0.3607075364298542</v>
      </c>
      <c r="KE37">
        <v>0.27583866542895685</v>
      </c>
      <c r="KF37">
        <v>0.27583866542895685</v>
      </c>
      <c r="KH37">
        <v>0.3607075364298542</v>
      </c>
      <c r="KI37">
        <v>0.3607075364298542</v>
      </c>
      <c r="KJ37">
        <v>0.27583866542895685</v>
      </c>
      <c r="KK37">
        <v>0.27583866542895685</v>
      </c>
      <c r="KM37">
        <v>0.3607075364298542</v>
      </c>
      <c r="KN37">
        <v>0.3607075364298542</v>
      </c>
      <c r="KO37">
        <v>0.27583866542895685</v>
      </c>
      <c r="KP37">
        <v>0.27583866542895685</v>
      </c>
      <c r="KR37">
        <v>0.3607075364298542</v>
      </c>
      <c r="KS37">
        <v>0.3607075364298542</v>
      </c>
      <c r="KT37">
        <v>0.27583866542895685</v>
      </c>
      <c r="KU37">
        <v>0.27583866542895685</v>
      </c>
      <c r="KW37">
        <v>0.3607075364298542</v>
      </c>
      <c r="KX37">
        <v>0.3607075364298542</v>
      </c>
      <c r="KY37">
        <v>0.27583866542895685</v>
      </c>
      <c r="KZ37">
        <v>0.27583866542895685</v>
      </c>
      <c r="LB37">
        <v>0.3607075364298542</v>
      </c>
      <c r="LC37">
        <v>0.3607075364298542</v>
      </c>
      <c r="LD37">
        <v>0.27583866542895685</v>
      </c>
      <c r="LE37">
        <v>0.27583866542895685</v>
      </c>
      <c r="LG37">
        <v>0.3607075364298542</v>
      </c>
      <c r="LH37">
        <v>0.3607075364298542</v>
      </c>
      <c r="LI37">
        <v>0.27583866542895685</v>
      </c>
      <c r="LJ37">
        <v>0.27583866542895685</v>
      </c>
      <c r="LL37">
        <v>0.3607075364298542</v>
      </c>
      <c r="LM37">
        <v>0.3607075364298542</v>
      </c>
      <c r="LN37">
        <v>0.27583866542895685</v>
      </c>
      <c r="LO37">
        <v>0.27583866542895685</v>
      </c>
      <c r="LQ37">
        <v>0.3607075364298542</v>
      </c>
      <c r="LR37">
        <v>0.3607075364298542</v>
      </c>
      <c r="LS37">
        <v>0.27583866542895685</v>
      </c>
      <c r="LT37">
        <v>0.27583866542895685</v>
      </c>
      <c r="LV37">
        <v>0.3607075364298542</v>
      </c>
      <c r="LW37">
        <v>0.3607075364298542</v>
      </c>
      <c r="LX37">
        <v>0.27583866542895685</v>
      </c>
      <c r="LY37">
        <v>0.27583866542895685</v>
      </c>
      <c r="MA37">
        <v>0.3607075364298542</v>
      </c>
      <c r="MB37">
        <v>0.3607075364298542</v>
      </c>
      <c r="MC37">
        <v>0.27583866542895685</v>
      </c>
      <c r="MD37">
        <v>0.27583866542895685</v>
      </c>
      <c r="MF37">
        <v>0.3607075364298542</v>
      </c>
      <c r="MG37">
        <v>0.3607075364298542</v>
      </c>
      <c r="MH37">
        <v>0.27583866542895685</v>
      </c>
      <c r="MI37">
        <v>0.27583866542895685</v>
      </c>
      <c r="MK37">
        <v>0.3607075364298542</v>
      </c>
      <c r="ML37">
        <v>0.3607075364298542</v>
      </c>
      <c r="MM37">
        <v>0.27583866542895685</v>
      </c>
      <c r="MN37">
        <v>0.27583866542895685</v>
      </c>
      <c r="MP37">
        <v>0.3607075364298542</v>
      </c>
      <c r="MQ37">
        <v>0.3607075364298542</v>
      </c>
      <c r="MR37">
        <v>0.27583866542895685</v>
      </c>
      <c r="MS37">
        <v>0.27583866542895685</v>
      </c>
      <c r="MU37">
        <v>0.3607075364298542</v>
      </c>
      <c r="MV37">
        <v>0.3607075364298542</v>
      </c>
      <c r="MW37">
        <v>0.27583866542895685</v>
      </c>
      <c r="MX37">
        <v>0.27583866542895685</v>
      </c>
      <c r="MZ37">
        <v>0.3607075364298542</v>
      </c>
      <c r="NA37">
        <v>0.3607075364298542</v>
      </c>
      <c r="NB37">
        <v>0.27583866542895685</v>
      </c>
      <c r="NC37">
        <v>0.27583866542895685</v>
      </c>
      <c r="NE37">
        <v>0.3607075364298542</v>
      </c>
      <c r="NF37">
        <v>0.3607075364298542</v>
      </c>
      <c r="NG37">
        <v>0.27583866542895685</v>
      </c>
      <c r="NH37">
        <v>0.27583866542895685</v>
      </c>
      <c r="NJ37">
        <v>0.3607075364298542</v>
      </c>
      <c r="NK37">
        <v>0.3607075364298542</v>
      </c>
      <c r="NL37">
        <v>0.27583866542895685</v>
      </c>
      <c r="NM37">
        <v>0.27583866542895685</v>
      </c>
      <c r="NO37">
        <v>0.3607075364298542</v>
      </c>
      <c r="NP37">
        <v>0.3607075364298542</v>
      </c>
      <c r="NQ37">
        <v>0.27583866542895685</v>
      </c>
      <c r="NR37">
        <v>0.27583866542895685</v>
      </c>
      <c r="NT37">
        <v>0.3607075364298542</v>
      </c>
      <c r="NU37">
        <v>0.3607075364298542</v>
      </c>
      <c r="NV37">
        <v>0.27583866542895685</v>
      </c>
      <c r="NW37">
        <v>0.27583866542895685</v>
      </c>
      <c r="NY37">
        <v>0.3607075364298542</v>
      </c>
      <c r="NZ37">
        <v>0.3607075364298542</v>
      </c>
      <c r="OA37">
        <v>0.27583866542895685</v>
      </c>
      <c r="OB37">
        <v>0.27583866542895685</v>
      </c>
      <c r="OD37">
        <v>0.3607075364298542</v>
      </c>
      <c r="OE37">
        <v>0.3607075364298542</v>
      </c>
      <c r="OF37">
        <v>0.27583866542895685</v>
      </c>
      <c r="OG37">
        <v>0.27583866542895685</v>
      </c>
      <c r="OI37">
        <v>0.3607075364298542</v>
      </c>
      <c r="OJ37">
        <v>0.3607075364298542</v>
      </c>
      <c r="OK37">
        <v>0.27583866542895685</v>
      </c>
      <c r="OL37">
        <v>0.27583866542895685</v>
      </c>
      <c r="ON37">
        <v>0.3607075364298542</v>
      </c>
      <c r="OO37">
        <v>0.3607075364298542</v>
      </c>
      <c r="OP37">
        <v>0.27583866542895685</v>
      </c>
      <c r="OQ37">
        <v>0.27583866542895685</v>
      </c>
      <c r="OS37">
        <v>0.3607075364298542</v>
      </c>
      <c r="OT37">
        <v>0.3607075364298542</v>
      </c>
      <c r="OU37">
        <v>0.27583866542895685</v>
      </c>
      <c r="OV37">
        <v>0.27583866542895685</v>
      </c>
      <c r="OX37">
        <v>0.3607075364298542</v>
      </c>
      <c r="OY37">
        <v>0.3607075364298542</v>
      </c>
      <c r="OZ37">
        <v>0.27583866542895685</v>
      </c>
      <c r="PA37">
        <v>0.27583866542895685</v>
      </c>
      <c r="PC37">
        <v>0.3607075364298542</v>
      </c>
      <c r="PD37">
        <v>0.3607075364298542</v>
      </c>
      <c r="PE37">
        <v>0.27583866542895685</v>
      </c>
      <c r="PF37">
        <v>0.27583866542895685</v>
      </c>
      <c r="PH37">
        <v>0.3607075364298542</v>
      </c>
      <c r="PI37">
        <v>0.3607075364298542</v>
      </c>
      <c r="PJ37">
        <v>0.27583866542895685</v>
      </c>
      <c r="PK37">
        <v>0.27583866542895685</v>
      </c>
      <c r="PM37" s="17">
        <v>0.3607075364298542</v>
      </c>
      <c r="PN37" s="17">
        <v>0.3607075364298542</v>
      </c>
      <c r="PO37" s="17">
        <v>0.27583866542895685</v>
      </c>
      <c r="PP37" s="17">
        <v>0.27583866542895685</v>
      </c>
      <c r="PR37">
        <v>0.3607075364298542</v>
      </c>
      <c r="PS37">
        <v>0.3607075364298542</v>
      </c>
      <c r="PT37">
        <v>0.27583866542895685</v>
      </c>
      <c r="PU37">
        <v>0.27583866542895685</v>
      </c>
      <c r="PW37">
        <v>0.3607075364298542</v>
      </c>
      <c r="PX37">
        <v>0.3607075364298542</v>
      </c>
      <c r="PY37">
        <v>0.27583866542895685</v>
      </c>
      <c r="PZ37">
        <v>0.27583866542895685</v>
      </c>
      <c r="QB37" s="17">
        <v>0.3607075364298542</v>
      </c>
      <c r="QC37" s="17">
        <v>0.3607075364298542</v>
      </c>
      <c r="QD37" s="17">
        <v>0.27583866542895685</v>
      </c>
      <c r="QE37" s="17">
        <v>0.27583866542895685</v>
      </c>
    </row>
    <row r="38" spans="1:447" x14ac:dyDescent="0.15">
      <c r="A38" s="21" t="s">
        <v>188</v>
      </c>
      <c r="C38" s="17">
        <f>FixedParams!C73</f>
        <v>1.0577874811235066E-2</v>
      </c>
      <c r="D38" s="17">
        <f>C38</f>
        <v>1.0577874811235066E-2</v>
      </c>
      <c r="E38" s="17">
        <f>FixedParams!D73</f>
        <v>8.4532734021673939E-3</v>
      </c>
      <c r="F38" s="17">
        <f>E38</f>
        <v>8.4532734021673939E-3</v>
      </c>
      <c r="I38" s="17">
        <v>1.0577874811235066E-2</v>
      </c>
      <c r="J38" s="17">
        <v>1.0577874811235066E-2</v>
      </c>
      <c r="K38" s="17">
        <v>1.0577874811235066E-2</v>
      </c>
      <c r="L38" s="17">
        <v>1.0577874811235066E-2</v>
      </c>
      <c r="N38" s="17">
        <v>1.0046297102513257E-2</v>
      </c>
      <c r="O38" s="17">
        <v>1.0046297102513257E-2</v>
      </c>
      <c r="P38" s="17">
        <v>1.0046297102513257E-2</v>
      </c>
      <c r="Q38" s="17">
        <v>1.0046297102513257E-2</v>
      </c>
      <c r="S38" s="17">
        <v>9.5150045979113251E-3</v>
      </c>
      <c r="T38" s="17">
        <v>9.5150045979113251E-3</v>
      </c>
      <c r="U38" s="17">
        <v>9.5150045979113251E-3</v>
      </c>
      <c r="V38" s="17">
        <v>9.5150045979113251E-3</v>
      </c>
      <c r="X38" s="17">
        <v>8.983996847523823E-3</v>
      </c>
      <c r="Y38" s="17">
        <v>8.983996847523823E-3</v>
      </c>
      <c r="Z38" s="17">
        <v>8.983996847523823E-3</v>
      </c>
      <c r="AA38" s="17">
        <v>8.983996847523823E-3</v>
      </c>
      <c r="AC38" s="17">
        <v>8.4532734021673939E-3</v>
      </c>
      <c r="AD38" s="17">
        <v>8.4532734021673939E-3</v>
      </c>
      <c r="AE38" s="17">
        <v>8.4532734021673939E-3</v>
      </c>
      <c r="AF38" s="17">
        <v>8.4532734021674008E-3</v>
      </c>
      <c r="AH38" s="17">
        <v>7.9228338133803256E-3</v>
      </c>
      <c r="AI38" s="17">
        <v>7.9228338133803256E-3</v>
      </c>
      <c r="AJ38" s="17">
        <v>7.9228338133803256E-3</v>
      </c>
      <c r="AK38" s="17">
        <v>7.9228338133803256E-3</v>
      </c>
      <c r="AM38" s="17">
        <v>7.3926776334189981E-3</v>
      </c>
      <c r="AN38" s="17">
        <v>7.3926776334189981E-3</v>
      </c>
      <c r="AO38" s="17">
        <v>7.3926776334189981E-3</v>
      </c>
      <c r="AP38" s="17">
        <v>7.3926776334189981E-3</v>
      </c>
      <c r="AR38" s="17">
        <v>6.8628044152583279E-3</v>
      </c>
      <c r="AS38" s="17">
        <v>6.8628044152583279E-3</v>
      </c>
      <c r="AT38" s="17">
        <v>6.8628044152583279E-3</v>
      </c>
      <c r="AU38" s="17">
        <v>6.8628044152583279E-3</v>
      </c>
      <c r="AW38" s="17">
        <v>6.3332137125875487E-3</v>
      </c>
      <c r="AX38" s="17">
        <v>6.3332137125875487E-3</v>
      </c>
      <c r="AY38" s="17">
        <v>6.3332137125875487E-3</v>
      </c>
      <c r="AZ38" s="17">
        <v>6.3332137125875487E-3</v>
      </c>
      <c r="BB38" s="17">
        <v>5.803905079809768E-3</v>
      </c>
      <c r="BC38" s="17">
        <v>5.803905079809768E-3</v>
      </c>
      <c r="BD38" s="17">
        <v>5.803905079809768E-3</v>
      </c>
      <c r="BE38" s="17">
        <v>5.803905079809768E-3</v>
      </c>
      <c r="BG38" s="17">
        <v>5.2748780720393018E-3</v>
      </c>
      <c r="BH38" s="17">
        <v>5.2748780720393018E-3</v>
      </c>
      <c r="BI38" s="17">
        <v>5.2748780720393018E-3</v>
      </c>
      <c r="BJ38" s="17">
        <v>5.2748780720393018E-3</v>
      </c>
      <c r="BL38" s="17">
        <v>3.1615774181257272E-3</v>
      </c>
      <c r="BM38" s="17">
        <v>3.1615774181257272E-3</v>
      </c>
      <c r="BN38" s="17">
        <v>3.1615774181257272E-3</v>
      </c>
      <c r="BO38" s="17">
        <v>3.1615774181257272E-3</v>
      </c>
      <c r="BQ38" s="17">
        <v>1.0527473572388146E-3</v>
      </c>
      <c r="BR38" s="17">
        <v>1.0527473572388146E-3</v>
      </c>
      <c r="BS38" s="17">
        <v>1.0527473572388146E-3</v>
      </c>
      <c r="BT38" s="17">
        <v>1.0527473572388146E-3</v>
      </c>
      <c r="BV38" s="17">
        <v>1.0577874811235066E-2</v>
      </c>
      <c r="BW38" s="17">
        <v>1.0577874811235066E-2</v>
      </c>
      <c r="BX38" s="17">
        <v>1.0577874811235066E-2</v>
      </c>
      <c r="BY38" s="17">
        <v>1.0577874811235066E-2</v>
      </c>
      <c r="CA38" s="17">
        <v>1.0046297102513257E-2</v>
      </c>
      <c r="CB38" s="17">
        <v>1.0046297102513257E-2</v>
      </c>
      <c r="CC38" s="17">
        <v>1.0046297102513257E-2</v>
      </c>
      <c r="CD38" s="17">
        <v>1.0046297102513257E-2</v>
      </c>
      <c r="CF38" s="17">
        <v>9.5150045979113251E-3</v>
      </c>
      <c r="CG38" s="17">
        <v>9.5150045979113251E-3</v>
      </c>
      <c r="CH38" s="17">
        <v>9.5150045979113251E-3</v>
      </c>
      <c r="CI38" s="17">
        <v>9.5150045979113251E-3</v>
      </c>
      <c r="CK38" s="17">
        <v>8.983996847523823E-3</v>
      </c>
      <c r="CL38" s="17">
        <v>8.983996847523823E-3</v>
      </c>
      <c r="CM38" s="17">
        <v>8.983996847523823E-3</v>
      </c>
      <c r="CN38" s="17">
        <v>8.983996847523823E-3</v>
      </c>
      <c r="CP38" s="17">
        <v>8.4532734021673939E-3</v>
      </c>
      <c r="CQ38" s="17">
        <v>8.4532734021673939E-3</v>
      </c>
      <c r="CR38" s="17">
        <v>8.4532734021673939E-3</v>
      </c>
      <c r="CS38" s="17">
        <v>8.4532734021673939E-3</v>
      </c>
      <c r="CU38" s="17">
        <v>7.9228338133803256E-3</v>
      </c>
      <c r="CV38" s="17">
        <v>7.9228338133803256E-3</v>
      </c>
      <c r="CW38" s="17">
        <v>7.9228338133803256E-3</v>
      </c>
      <c r="CX38" s="17">
        <v>7.9228338133803256E-3</v>
      </c>
      <c r="CZ38" s="17">
        <v>7.3926776334189981E-3</v>
      </c>
      <c r="DA38" s="17">
        <v>7.3926776334189981E-3</v>
      </c>
      <c r="DB38" s="17">
        <v>7.3926776334189981E-3</v>
      </c>
      <c r="DC38" s="17">
        <v>7.3926776334189981E-3</v>
      </c>
      <c r="DE38" s="17">
        <v>6.8628044152583279E-3</v>
      </c>
      <c r="DF38" s="17">
        <v>6.8628044152583279E-3</v>
      </c>
      <c r="DG38" s="17">
        <v>6.8628044152583279E-3</v>
      </c>
      <c r="DH38" s="17">
        <v>6.8628044152583279E-3</v>
      </c>
      <c r="DJ38" s="17">
        <v>6.3332137125875487E-3</v>
      </c>
      <c r="DK38" s="17">
        <v>6.3332137125875487E-3</v>
      </c>
      <c r="DL38" s="17">
        <v>6.3332137125875487E-3</v>
      </c>
      <c r="DM38" s="17">
        <v>6.3332137125875487E-3</v>
      </c>
      <c r="DO38" s="17">
        <v>5.2748780720393018E-3</v>
      </c>
      <c r="DP38" s="17">
        <v>5.2748780720393018E-3</v>
      </c>
      <c r="DQ38" s="17">
        <v>5.2748780720393018E-3</v>
      </c>
      <c r="DR38" s="17">
        <v>5.2748780720393018E-3</v>
      </c>
      <c r="DT38" s="17">
        <v>3.1615774181257272E-3</v>
      </c>
      <c r="DU38" s="17">
        <v>3.1615774181257272E-3</v>
      </c>
      <c r="DV38" s="17">
        <v>3.1615774181257272E-3</v>
      </c>
      <c r="DW38" s="17">
        <v>3.1615774181257272E-3</v>
      </c>
      <c r="DY38" s="17">
        <v>1.0527473572388146E-3</v>
      </c>
      <c r="DZ38" s="17">
        <v>1.0527473572388146E-3</v>
      </c>
      <c r="EA38" s="17">
        <v>1.0527473572388146E-3</v>
      </c>
      <c r="EB38" s="17">
        <v>1.0527473572388146E-3</v>
      </c>
      <c r="ED38" s="17">
        <v>1.0577874811235066E-2</v>
      </c>
      <c r="EE38" s="17">
        <v>1.0577874811235066E-2</v>
      </c>
      <c r="EF38" s="17">
        <v>1.0577874811235066E-2</v>
      </c>
      <c r="EG38" s="17">
        <v>1.0577874811235066E-2</v>
      </c>
      <c r="EI38" s="17">
        <v>1.0046297102513257E-2</v>
      </c>
      <c r="EJ38" s="17">
        <v>1.0046297102513257E-2</v>
      </c>
      <c r="EK38" s="17">
        <v>1.0046297102513257E-2</v>
      </c>
      <c r="EL38" s="17">
        <v>1.0046297102513257E-2</v>
      </c>
      <c r="EN38" s="17">
        <v>9.5150045979113251E-3</v>
      </c>
      <c r="EO38" s="17">
        <v>9.5150045979113251E-3</v>
      </c>
      <c r="EP38" s="17">
        <v>9.5150045979113251E-3</v>
      </c>
      <c r="EQ38" s="17">
        <v>9.5150045979113251E-3</v>
      </c>
      <c r="ES38" s="17">
        <v>8.983996847523823E-3</v>
      </c>
      <c r="ET38" s="17">
        <v>8.983996847523823E-3</v>
      </c>
      <c r="EU38" s="17">
        <v>8.983996847523823E-3</v>
      </c>
      <c r="EV38" s="17">
        <v>8.983996847523823E-3</v>
      </c>
      <c r="EX38" s="17">
        <v>8.4532734021673939E-3</v>
      </c>
      <c r="EY38" s="17">
        <v>8.4532734021673939E-3</v>
      </c>
      <c r="EZ38" s="17">
        <v>8.4532734021673939E-3</v>
      </c>
      <c r="FA38" s="17">
        <v>8.4532734021673939E-3</v>
      </c>
      <c r="FC38" s="17">
        <v>7.9228338133803256E-3</v>
      </c>
      <c r="FD38" s="17">
        <v>7.9228338133803256E-3</v>
      </c>
      <c r="FE38" s="17">
        <v>7.9228338133803256E-3</v>
      </c>
      <c r="FF38" s="17">
        <v>7.9228338133803256E-3</v>
      </c>
      <c r="FH38" s="17">
        <v>7.3926776334189981E-3</v>
      </c>
      <c r="FI38" s="17">
        <v>7.3926776334189981E-3</v>
      </c>
      <c r="FJ38" s="17">
        <v>7.3926776334189981E-3</v>
      </c>
      <c r="FK38" s="17">
        <v>7.3926776334189981E-3</v>
      </c>
      <c r="FM38" s="17">
        <v>6.8628044152583279E-3</v>
      </c>
      <c r="FN38" s="17">
        <v>6.8628044152583279E-3</v>
      </c>
      <c r="FO38" s="17">
        <v>6.8628044152583279E-3</v>
      </c>
      <c r="FP38" s="17">
        <v>6.8628044152583279E-3</v>
      </c>
      <c r="FR38" s="17">
        <v>6.3332137125875487E-3</v>
      </c>
      <c r="FS38" s="17">
        <v>6.3332137125875487E-3</v>
      </c>
      <c r="FT38" s="17">
        <v>6.3332137125875487E-3</v>
      </c>
      <c r="FU38" s="17">
        <v>6.3332137125875487E-3</v>
      </c>
      <c r="FW38" s="17">
        <v>5.2748780720393018E-3</v>
      </c>
      <c r="FX38" s="17">
        <v>5.2748780720393018E-3</v>
      </c>
      <c r="FY38" s="17">
        <v>5.2748780720393018E-3</v>
      </c>
      <c r="FZ38" s="17">
        <v>5.2748780720393018E-3</v>
      </c>
      <c r="GB38" s="17">
        <v>3.1615774181257272E-3</v>
      </c>
      <c r="GC38" s="17">
        <v>3.1615774181257272E-3</v>
      </c>
      <c r="GD38" s="17">
        <v>3.1615774181257272E-3</v>
      </c>
      <c r="GE38" s="17">
        <v>3.1615774181257272E-3</v>
      </c>
      <c r="GG38" s="17">
        <v>1.0527473572388146E-3</v>
      </c>
      <c r="GH38" s="17">
        <v>1.0527473572388146E-3</v>
      </c>
      <c r="GI38" s="17">
        <v>1.0527473572388146E-3</v>
      </c>
      <c r="GJ38" s="17">
        <v>1.0527473572388146E-3</v>
      </c>
      <c r="GL38" s="17">
        <v>1.0577874811235066E-2</v>
      </c>
      <c r="GM38" s="17">
        <v>1.0577874811235066E-2</v>
      </c>
      <c r="GN38" s="17">
        <v>8.4532734021673939E-3</v>
      </c>
      <c r="GO38" s="17">
        <v>8.4532734021673939E-3</v>
      </c>
      <c r="GQ38" s="17">
        <v>1.0577874811235066E-2</v>
      </c>
      <c r="GR38" s="17">
        <v>1.0577874811235066E-2</v>
      </c>
      <c r="GS38" s="17">
        <v>8.4532734021673939E-3</v>
      </c>
      <c r="GT38" s="17">
        <v>8.4532734021673939E-3</v>
      </c>
      <c r="GV38" s="17">
        <v>1.0577874811235066E-2</v>
      </c>
      <c r="GW38" s="17">
        <v>1.0577874811235066E-2</v>
      </c>
      <c r="GX38" s="17">
        <v>8.4532734021673939E-3</v>
      </c>
      <c r="GY38" s="17">
        <v>8.4532734021673939E-3</v>
      </c>
      <c r="HA38" s="17">
        <v>1.0577874811235066E-2</v>
      </c>
      <c r="HB38" s="17">
        <v>1.0577874811235066E-2</v>
      </c>
      <c r="HC38" s="17">
        <v>8.4532734021673939E-3</v>
      </c>
      <c r="HD38" s="17">
        <v>8.4532734021673939E-3</v>
      </c>
      <c r="HF38" s="17">
        <v>8.4532734021673939E-3</v>
      </c>
      <c r="HG38" s="17">
        <v>8.4532734021673939E-3</v>
      </c>
      <c r="HH38" s="17">
        <v>8.4532734021673939E-3</v>
      </c>
      <c r="HI38" s="17">
        <v>8.4532734021673939E-3</v>
      </c>
      <c r="HK38" s="17">
        <v>1.0577874811235066E-2</v>
      </c>
      <c r="HL38" s="17">
        <v>1.0577874811235066E-2</v>
      </c>
      <c r="HM38" s="17">
        <v>8.4532734021673939E-3</v>
      </c>
      <c r="HN38" s="17">
        <v>8.4532734021673939E-3</v>
      </c>
      <c r="HP38">
        <v>1.0577874811235066E-2</v>
      </c>
      <c r="HQ38">
        <v>1.0577874811235066E-2</v>
      </c>
      <c r="HR38">
        <v>8.4532734021673939E-3</v>
      </c>
      <c r="HS38">
        <v>8.4532734021673939E-3</v>
      </c>
      <c r="HU38">
        <v>1.0577874811235066E-2</v>
      </c>
      <c r="HV38">
        <v>1.0577874811235066E-2</v>
      </c>
      <c r="HW38">
        <v>8.4532734021673939E-3</v>
      </c>
      <c r="HX38">
        <v>8.4532734021673939E-3</v>
      </c>
      <c r="HZ38">
        <v>1.0577874811235066E-2</v>
      </c>
      <c r="IA38">
        <v>1.0577874811235066E-2</v>
      </c>
      <c r="IB38">
        <v>8.4532734021673939E-3</v>
      </c>
      <c r="IC38">
        <v>8.4532734021673939E-3</v>
      </c>
      <c r="IE38">
        <v>1.0577874811235066E-2</v>
      </c>
      <c r="IF38">
        <v>1.0577874811235066E-2</v>
      </c>
      <c r="IG38">
        <v>8.4532734021673939E-3</v>
      </c>
      <c r="IH38">
        <v>8.4532734021673939E-3</v>
      </c>
      <c r="IJ38">
        <v>1.0577874811235066E-2</v>
      </c>
      <c r="IK38">
        <v>1.0577874811235066E-2</v>
      </c>
      <c r="IL38">
        <v>8.4532734021673939E-3</v>
      </c>
      <c r="IM38">
        <v>8.4532734021673939E-3</v>
      </c>
      <c r="IO38" s="86">
        <v>1.0577874811235066E-2</v>
      </c>
      <c r="IP38">
        <v>1.0577874811235066E-2</v>
      </c>
      <c r="IQ38">
        <v>8.4532734021673939E-3</v>
      </c>
      <c r="IR38">
        <v>8.4532734021673939E-3</v>
      </c>
      <c r="IT38">
        <v>1.0577874811235066E-2</v>
      </c>
      <c r="IU38">
        <v>1.0577874811235066E-2</v>
      </c>
      <c r="IV38">
        <v>8.4532734021673939E-3</v>
      </c>
      <c r="IW38">
        <v>8.4532734021673939E-3</v>
      </c>
      <c r="IY38">
        <v>1.0577874811235066E-2</v>
      </c>
      <c r="IZ38">
        <v>1.0577874811235066E-2</v>
      </c>
      <c r="JA38">
        <v>8.4532734021673939E-3</v>
      </c>
      <c r="JB38">
        <v>8.4532734021673939E-3</v>
      </c>
      <c r="JD38">
        <v>1.0577874811235066E-2</v>
      </c>
      <c r="JE38">
        <v>1.0577874811235066E-2</v>
      </c>
      <c r="JF38">
        <v>8.4532734021673939E-3</v>
      </c>
      <c r="JG38">
        <v>8.4532734021673939E-3</v>
      </c>
      <c r="JI38">
        <v>1.0577874811235066E-2</v>
      </c>
      <c r="JJ38">
        <v>1.0577874811235066E-2</v>
      </c>
      <c r="JK38">
        <v>8.4532734021673939E-3</v>
      </c>
      <c r="JL38">
        <v>8.4532734021673939E-3</v>
      </c>
      <c r="JN38">
        <v>1.0577874811235066E-2</v>
      </c>
      <c r="JO38">
        <v>1.0577874811235066E-2</v>
      </c>
      <c r="JP38">
        <v>8.4532734021673939E-3</v>
      </c>
      <c r="JQ38">
        <v>8.4532734021673939E-3</v>
      </c>
      <c r="JS38">
        <v>1.0577874811235066E-2</v>
      </c>
      <c r="JT38">
        <v>1.0577874811235066E-2</v>
      </c>
      <c r="JU38">
        <v>8.4532734021673939E-3</v>
      </c>
      <c r="JV38">
        <v>8.4532734021673939E-3</v>
      </c>
      <c r="JX38">
        <v>1.0577874811235066E-2</v>
      </c>
      <c r="JY38">
        <v>1.0577874811235066E-2</v>
      </c>
      <c r="JZ38">
        <v>8.4532734021673939E-3</v>
      </c>
      <c r="KA38">
        <v>8.4532734021673939E-3</v>
      </c>
      <c r="KC38">
        <v>1.0577874811235066E-2</v>
      </c>
      <c r="KD38">
        <v>1.0577874811235066E-2</v>
      </c>
      <c r="KE38">
        <v>8.4532734021673939E-3</v>
      </c>
      <c r="KF38">
        <v>8.4532734021673939E-3</v>
      </c>
      <c r="KH38">
        <v>1.0577874811235066E-2</v>
      </c>
      <c r="KI38">
        <v>1.0577874811235066E-2</v>
      </c>
      <c r="KJ38">
        <v>8.4532734021673939E-3</v>
      </c>
      <c r="KK38">
        <v>8.4532734021673939E-3</v>
      </c>
      <c r="KM38">
        <v>1.0577874811235066E-2</v>
      </c>
      <c r="KN38">
        <v>1.0577874811235066E-2</v>
      </c>
      <c r="KO38">
        <v>8.4532734021673939E-3</v>
      </c>
      <c r="KP38">
        <v>8.4532734021673939E-3</v>
      </c>
      <c r="KR38">
        <v>1.0577874811235066E-2</v>
      </c>
      <c r="KS38">
        <v>1.0577874811235066E-2</v>
      </c>
      <c r="KT38">
        <v>8.4532734021673939E-3</v>
      </c>
      <c r="KU38">
        <v>8.4532734021673939E-3</v>
      </c>
      <c r="KW38">
        <v>1.0577874811235066E-2</v>
      </c>
      <c r="KX38">
        <v>1.0577874811235066E-2</v>
      </c>
      <c r="KY38">
        <v>8.4532734021673939E-3</v>
      </c>
      <c r="KZ38">
        <v>8.4532734021673939E-3</v>
      </c>
      <c r="LB38">
        <v>1.0577874811235066E-2</v>
      </c>
      <c r="LC38">
        <v>1.0577874811235066E-2</v>
      </c>
      <c r="LD38">
        <v>8.4532734021673939E-3</v>
      </c>
      <c r="LE38">
        <v>8.4532734021673939E-3</v>
      </c>
      <c r="LG38">
        <v>1.0577874811235066E-2</v>
      </c>
      <c r="LH38">
        <v>1.0577874811235066E-2</v>
      </c>
      <c r="LI38">
        <v>8.4532734021673939E-3</v>
      </c>
      <c r="LJ38">
        <v>8.4532734021673939E-3</v>
      </c>
      <c r="LL38">
        <v>1.0577874811235066E-2</v>
      </c>
      <c r="LM38">
        <v>1.0577874811235066E-2</v>
      </c>
      <c r="LN38">
        <v>8.4532734021673939E-3</v>
      </c>
      <c r="LO38">
        <v>8.4532734021673939E-3</v>
      </c>
      <c r="LQ38">
        <v>1.0577874811235066E-2</v>
      </c>
      <c r="LR38">
        <v>1.0577874811235066E-2</v>
      </c>
      <c r="LS38">
        <v>8.4532734021673939E-3</v>
      </c>
      <c r="LT38">
        <v>8.4532734021673939E-3</v>
      </c>
      <c r="LV38">
        <v>1.0577874811235066E-2</v>
      </c>
      <c r="LW38">
        <v>1.0577874811235066E-2</v>
      </c>
      <c r="LX38">
        <v>8.4532734021673939E-3</v>
      </c>
      <c r="LY38">
        <v>8.4532734021673939E-3</v>
      </c>
      <c r="MA38">
        <v>1.0577874811235066E-2</v>
      </c>
      <c r="MB38">
        <v>1.0577874811235066E-2</v>
      </c>
      <c r="MC38">
        <v>8.4532734021673939E-3</v>
      </c>
      <c r="MD38">
        <v>8.4532734021673939E-3</v>
      </c>
      <c r="MF38">
        <v>1.0577874811235066E-2</v>
      </c>
      <c r="MG38">
        <v>1.0577874811235066E-2</v>
      </c>
      <c r="MH38">
        <v>8.4532734021673939E-3</v>
      </c>
      <c r="MI38">
        <v>8.4532734021673939E-3</v>
      </c>
      <c r="MK38">
        <v>1.0577874811235066E-2</v>
      </c>
      <c r="ML38">
        <v>1.0577874811235066E-2</v>
      </c>
      <c r="MM38">
        <v>8.4532734021673939E-3</v>
      </c>
      <c r="MN38">
        <v>8.4532734021673939E-3</v>
      </c>
      <c r="MP38">
        <v>1.0577874811235066E-2</v>
      </c>
      <c r="MQ38">
        <v>1.0577874811235066E-2</v>
      </c>
      <c r="MR38">
        <v>8.4532734021673939E-3</v>
      </c>
      <c r="MS38">
        <v>8.4532734021673939E-3</v>
      </c>
      <c r="MU38">
        <v>1.0577874811235066E-2</v>
      </c>
      <c r="MV38">
        <v>1.0577874811235066E-2</v>
      </c>
      <c r="MW38">
        <v>8.4532734021673939E-3</v>
      </c>
      <c r="MX38">
        <v>8.4532734021673939E-3</v>
      </c>
      <c r="MZ38">
        <v>1.0577874811235066E-2</v>
      </c>
      <c r="NA38">
        <v>1.0577874811235066E-2</v>
      </c>
      <c r="NB38">
        <v>8.4532734021673939E-3</v>
      </c>
      <c r="NC38">
        <v>8.4532734021673939E-3</v>
      </c>
      <c r="NE38">
        <v>1.0577874811235066E-2</v>
      </c>
      <c r="NF38">
        <v>1.0577874811235066E-2</v>
      </c>
      <c r="NG38">
        <v>8.4532734021673939E-3</v>
      </c>
      <c r="NH38">
        <v>8.4532734021673939E-3</v>
      </c>
      <c r="NJ38">
        <v>1.0577874811235066E-2</v>
      </c>
      <c r="NK38">
        <v>1.0577874811235066E-2</v>
      </c>
      <c r="NL38">
        <v>8.4532734021673939E-3</v>
      </c>
      <c r="NM38">
        <v>8.4532734021673939E-3</v>
      </c>
      <c r="NO38">
        <v>1.0577874811235066E-2</v>
      </c>
      <c r="NP38">
        <v>1.0577874811235066E-2</v>
      </c>
      <c r="NQ38">
        <v>8.4532734021673939E-3</v>
      </c>
      <c r="NR38">
        <v>8.4532734021673939E-3</v>
      </c>
      <c r="NT38">
        <v>1.0577874811235066E-2</v>
      </c>
      <c r="NU38">
        <v>1.0577874811235066E-2</v>
      </c>
      <c r="NV38">
        <v>8.4532734021673939E-3</v>
      </c>
      <c r="NW38">
        <v>8.4532734021673939E-3</v>
      </c>
      <c r="NY38">
        <v>1.0577874811235066E-2</v>
      </c>
      <c r="NZ38">
        <v>1.0577874811235066E-2</v>
      </c>
      <c r="OA38">
        <v>8.4532734021673939E-3</v>
      </c>
      <c r="OB38">
        <v>8.4532734021673939E-3</v>
      </c>
      <c r="OD38">
        <v>1.0577874811235066E-2</v>
      </c>
      <c r="OE38">
        <v>1.0577874811235066E-2</v>
      </c>
      <c r="OF38">
        <v>8.4532734021673939E-3</v>
      </c>
      <c r="OG38">
        <v>8.4532734021673939E-3</v>
      </c>
      <c r="OI38">
        <v>1.0577874811235066E-2</v>
      </c>
      <c r="OJ38">
        <v>1.0577874811235066E-2</v>
      </c>
      <c r="OK38">
        <v>8.4532734021673939E-3</v>
      </c>
      <c r="OL38">
        <v>8.4532734021673939E-3</v>
      </c>
      <c r="ON38">
        <v>1.0577874811235066E-2</v>
      </c>
      <c r="OO38">
        <v>1.0577874811235066E-2</v>
      </c>
      <c r="OP38">
        <v>8.4532734021673939E-3</v>
      </c>
      <c r="OQ38">
        <v>8.4532734021673939E-3</v>
      </c>
      <c r="OS38">
        <v>1.0577874811235066E-2</v>
      </c>
      <c r="OT38">
        <v>1.0577874811235066E-2</v>
      </c>
      <c r="OU38">
        <v>8.4532734021673939E-3</v>
      </c>
      <c r="OV38">
        <v>8.4532734021673939E-3</v>
      </c>
      <c r="OX38">
        <v>1.0577874811235066E-2</v>
      </c>
      <c r="OY38">
        <v>1.0577874811235066E-2</v>
      </c>
      <c r="OZ38">
        <v>8.4532734021673939E-3</v>
      </c>
      <c r="PA38">
        <v>8.4532734021673939E-3</v>
      </c>
      <c r="PC38">
        <v>1.0577874811235066E-2</v>
      </c>
      <c r="PD38">
        <v>1.0577874811235066E-2</v>
      </c>
      <c r="PE38">
        <v>8.4532734021673939E-3</v>
      </c>
      <c r="PF38">
        <v>8.4532734021673939E-3</v>
      </c>
      <c r="PH38">
        <v>1.0577874811235066E-2</v>
      </c>
      <c r="PI38">
        <v>1.0577874811235066E-2</v>
      </c>
      <c r="PJ38">
        <v>8.4532734021673939E-3</v>
      </c>
      <c r="PK38">
        <v>8.4532734021673939E-3</v>
      </c>
      <c r="PM38" s="17">
        <v>1.0577874811235066E-2</v>
      </c>
      <c r="PN38" s="17">
        <v>1.0577874811235066E-2</v>
      </c>
      <c r="PO38" s="17">
        <v>8.4532734021673939E-3</v>
      </c>
      <c r="PP38" s="17">
        <v>8.4532734021673939E-3</v>
      </c>
      <c r="PR38">
        <v>1.0577874811235066E-2</v>
      </c>
      <c r="PS38">
        <v>1.0577874811235066E-2</v>
      </c>
      <c r="PT38">
        <v>8.4532734021673939E-3</v>
      </c>
      <c r="PU38">
        <v>8.4532734021673939E-3</v>
      </c>
      <c r="PW38">
        <v>1.0577874811235066E-2</v>
      </c>
      <c r="PX38">
        <v>1.0577874811235066E-2</v>
      </c>
      <c r="PY38">
        <v>8.4532734021673939E-3</v>
      </c>
      <c r="PZ38">
        <v>8.4532734021673939E-3</v>
      </c>
      <c r="QB38" s="17">
        <v>1.0577874811235066E-2</v>
      </c>
      <c r="QC38" s="17">
        <v>1.0577874811235066E-2</v>
      </c>
      <c r="QD38" s="17">
        <v>8.4532734021673939E-3</v>
      </c>
      <c r="QE38" s="17">
        <v>8.4532734021673939E-3</v>
      </c>
    </row>
    <row r="39" spans="1:447" x14ac:dyDescent="0.15">
      <c r="A39" s="23" t="s">
        <v>166</v>
      </c>
      <c r="C39" s="23">
        <f>SUM(C26:C31)-SUM(B26:B31)</f>
        <v>-2.9994330000628224</v>
      </c>
      <c r="D39" s="23">
        <f>SUM(D26:D31)-SUM(B26:B31)</f>
        <v>-4.3741238020118089E-2</v>
      </c>
      <c r="E39" s="23">
        <f>SUM(E26:E31)-SUM(B26:B31)</f>
        <v>-3.2922532129996824</v>
      </c>
      <c r="F39" s="23">
        <f>SUM(F26:F31)-SUM(B26:B31)</f>
        <v>-3.9466858753186784E-2</v>
      </c>
      <c r="I39" s="23">
        <v>-2.9993884447055734</v>
      </c>
      <c r="J39" s="23">
        <v>-4.3728145035601074E-2</v>
      </c>
      <c r="K39" s="23">
        <v>-2.9855208634465242</v>
      </c>
      <c r="L39" s="23">
        <v>-3.8648861984810878E-2</v>
      </c>
      <c r="N39" s="23">
        <v>-3.0397696087491965</v>
      </c>
      <c r="O39" s="23">
        <v>-4.4511787263758151E-2</v>
      </c>
      <c r="P39" s="23">
        <v>-3.0093251896487629</v>
      </c>
      <c r="Q39" s="23">
        <v>-3.8477813146045037E-2</v>
      </c>
      <c r="S39" s="23">
        <v>-3.0568157074287399</v>
      </c>
      <c r="T39" s="23">
        <v>-4.4604899606184745E-2</v>
      </c>
      <c r="U39" s="23">
        <v>-3.0246637723936232</v>
      </c>
      <c r="V39" s="23">
        <v>-3.9728783681795221E-2</v>
      </c>
      <c r="X39" s="23">
        <v>-3.0500472571944215</v>
      </c>
      <c r="Y39" s="23">
        <v>-4.4690969669204605E-2</v>
      </c>
      <c r="Z39" s="23">
        <v>-3.0071350265843648</v>
      </c>
      <c r="AA39" s="23">
        <v>-3.9673748807246056E-2</v>
      </c>
      <c r="AC39" s="23">
        <v>-3.0103842149405011</v>
      </c>
      <c r="AD39" s="23">
        <v>-4.4102453504365258E-2</v>
      </c>
      <c r="AE39" s="23">
        <v>-3.2910305649307645</v>
      </c>
      <c r="AF39" s="23">
        <v>-3.9462149627098597E-2</v>
      </c>
      <c r="AH39" s="23">
        <v>-2.9475756390001919</v>
      </c>
      <c r="AI39" s="23">
        <v>-4.2903954801218447E-2</v>
      </c>
      <c r="AJ39" s="23">
        <v>-2.9202066099795303</v>
      </c>
      <c r="AK39" s="23">
        <v>-3.9026548981823339E-2</v>
      </c>
      <c r="AM39" s="23">
        <v>-2.8414578865960607</v>
      </c>
      <c r="AN39" s="23">
        <v>-4.1897010269892121E-2</v>
      </c>
      <c r="AO39" s="23">
        <v>-2.8413313130077142</v>
      </c>
      <c r="AP39" s="23">
        <v>-3.8135750018128078E-2</v>
      </c>
      <c r="AR39" s="23">
        <v>-2.6555306662781675</v>
      </c>
      <c r="AS39" s="23">
        <v>-3.9061486789194078E-2</v>
      </c>
      <c r="AT39" s="23">
        <v>-2.7496557626820675</v>
      </c>
      <c r="AU39" s="23">
        <v>-3.7021039208354978E-2</v>
      </c>
      <c r="AW39" s="23">
        <v>-2.4700023932551858</v>
      </c>
      <c r="AX39" s="23">
        <v>-3.6241889903891433E-2</v>
      </c>
      <c r="AY39" s="23">
        <v>-2.6363170729292449</v>
      </c>
      <c r="AZ39" s="23">
        <v>-3.5406246449653622E-2</v>
      </c>
      <c r="BB39" s="23">
        <v>-2.2847366507497497</v>
      </c>
      <c r="BC39" s="23">
        <v>-3.2222476498503738E-2</v>
      </c>
      <c r="BD39" s="23">
        <v>-2.4508656869068943</v>
      </c>
      <c r="BE39" s="23">
        <v>-3.281292393592139E-2</v>
      </c>
      <c r="BG39" s="23">
        <v>-2.1003019811923735</v>
      </c>
      <c r="BH39" s="23">
        <v>-3.0233401949459449E-2</v>
      </c>
      <c r="BI39" s="23">
        <v>-2.2646893373889441</v>
      </c>
      <c r="BJ39" s="23">
        <v>-3.0438384272855501E-2</v>
      </c>
      <c r="BL39" s="23">
        <v>-1.368827662474402</v>
      </c>
      <c r="BM39" s="23">
        <v>-1.8902774667594713E-2</v>
      </c>
      <c r="BN39" s="23">
        <v>-1.5241419674703849</v>
      </c>
      <c r="BO39" s="23">
        <v>-2.0094418780104206E-2</v>
      </c>
      <c r="BQ39" s="23">
        <v>-0.62001210927968486</v>
      </c>
      <c r="BR39" s="23">
        <v>-8.1009307140931242E-3</v>
      </c>
      <c r="BS39" s="23">
        <v>-0.77710528316016791</v>
      </c>
      <c r="BT39" s="23">
        <v>-8.9578374074221756E-3</v>
      </c>
      <c r="BV39" s="23">
        <v>-2.3791795616176614</v>
      </c>
      <c r="BW39" s="23">
        <v>-3.483782888493181E-2</v>
      </c>
      <c r="BX39" s="23">
        <v>-2.312819838202131</v>
      </c>
      <c r="BY39" s="23">
        <v>-2.9295119392315883E-2</v>
      </c>
      <c r="CA39" s="23">
        <v>-2.434200913481277</v>
      </c>
      <c r="CB39" s="23">
        <v>-3.5398785885035977E-2</v>
      </c>
      <c r="CC39" s="23">
        <v>-2.3199477845149801</v>
      </c>
      <c r="CD39" s="23">
        <v>-2.9927642130502363E-2</v>
      </c>
      <c r="CF39" s="23">
        <v>-2.4509326850297271</v>
      </c>
      <c r="CG39" s="23">
        <v>-3.5653842484080656E-2</v>
      </c>
      <c r="CH39" s="23">
        <v>-2.329143783550407</v>
      </c>
      <c r="CI39" s="23">
        <v>-3.048941273618766E-2</v>
      </c>
      <c r="CK39" s="23">
        <v>-2.4457522003500429</v>
      </c>
      <c r="CL39" s="23">
        <v>-3.581785397059889E-2</v>
      </c>
      <c r="CM39" s="23">
        <v>-2.3389059139485795</v>
      </c>
      <c r="CN39" s="23">
        <v>-3.0638114589550014E-2</v>
      </c>
      <c r="CP39" s="23">
        <v>-2.4484864880588759</v>
      </c>
      <c r="CQ39" s="23">
        <v>-3.5621158162911115E-2</v>
      </c>
      <c r="CR39" s="23">
        <v>-2.3292978190955296</v>
      </c>
      <c r="CS39" s="23">
        <v>-3.0589467965086214E-2</v>
      </c>
      <c r="CU39" s="23">
        <v>-2.4187032906451407</v>
      </c>
      <c r="CV39" s="23">
        <v>-3.6151971112346359E-2</v>
      </c>
      <c r="CW39" s="23">
        <v>-2.3065206321442417</v>
      </c>
      <c r="CX39" s="23">
        <v>-3.0438495212848693E-2</v>
      </c>
      <c r="CZ39" s="23">
        <v>-2.378227966491238</v>
      </c>
      <c r="DA39" s="23">
        <v>-3.4504282287443289E-2</v>
      </c>
      <c r="DB39" s="23">
        <v>-2.2550171657684075</v>
      </c>
      <c r="DC39" s="23">
        <v>-3.0054743201120004E-2</v>
      </c>
      <c r="DE39" s="23">
        <v>-2.3076042609359035</v>
      </c>
      <c r="DF39" s="23">
        <v>-3.3692340077323024E-2</v>
      </c>
      <c r="DG39" s="23">
        <v>-2.2066723327272939</v>
      </c>
      <c r="DH39" s="23">
        <v>-2.9319965899333056E-2</v>
      </c>
      <c r="DJ39" s="23">
        <v>-2.2344523743663132</v>
      </c>
      <c r="DK39" s="23">
        <v>-3.2641934774318315E-2</v>
      </c>
      <c r="DL39" s="23">
        <v>-2.1317089086926302</v>
      </c>
      <c r="DM39" s="23">
        <v>-2.9198491496572387E-2</v>
      </c>
      <c r="DO39" s="23">
        <v>-1.9780239545420102</v>
      </c>
      <c r="DP39" s="23">
        <v>-2.8834366999490157E-2</v>
      </c>
      <c r="DQ39" s="23">
        <v>-1.9447547691173668</v>
      </c>
      <c r="DR39" s="23">
        <v>-2.6007241125810765E-2</v>
      </c>
      <c r="DT39" s="23">
        <v>-1.2378837801083478</v>
      </c>
      <c r="DU39" s="23">
        <v>-1.7869729281727587E-2</v>
      </c>
      <c r="DV39" s="23">
        <v>-1.2612871700779067</v>
      </c>
      <c r="DW39" s="23">
        <v>-1.6218938661978655E-2</v>
      </c>
      <c r="DY39" s="23">
        <v>-0.49116199075342593</v>
      </c>
      <c r="DZ39" s="23">
        <v>-6.9763023050484207E-3</v>
      </c>
      <c r="EA39" s="23">
        <v>-0.5055564473272085</v>
      </c>
      <c r="EB39" s="23">
        <v>-5.4785416305094259E-3</v>
      </c>
      <c r="ED39" s="23">
        <v>-2.7946142805085969</v>
      </c>
      <c r="EE39" s="23">
        <v>-4.068216244891687E-2</v>
      </c>
      <c r="EF39" s="23">
        <v>-2.8110948898149815</v>
      </c>
      <c r="EG39" s="23">
        <v>-3.6920710573227211E-2</v>
      </c>
      <c r="EI39" s="23">
        <v>-2.8067698779890407</v>
      </c>
      <c r="EJ39" s="23">
        <v>-4.0994612727672575E-2</v>
      </c>
      <c r="EK39" s="23">
        <v>-2.8245063285328484</v>
      </c>
      <c r="EL39" s="23">
        <v>-3.7254988464241023E-2</v>
      </c>
      <c r="EN39" s="23">
        <v>-2.81736174064946</v>
      </c>
      <c r="EO39" s="23">
        <v>-4.1145551868709163E-2</v>
      </c>
      <c r="EP39" s="23">
        <v>-2.8274416495082733</v>
      </c>
      <c r="EQ39" s="23">
        <v>-3.7378314061612627E-2</v>
      </c>
      <c r="ES39" s="23">
        <v>-2.79440021503639</v>
      </c>
      <c r="ET39" s="23">
        <v>-4.0876271387872976E-2</v>
      </c>
      <c r="EU39" s="23">
        <v>-2.7985140182388477</v>
      </c>
      <c r="EV39" s="23">
        <v>-3.7171130596476587E-2</v>
      </c>
      <c r="EX39" s="23">
        <v>-2.6917142402315051</v>
      </c>
      <c r="EY39" s="23">
        <v>-3.9605297215331348E-2</v>
      </c>
      <c r="EZ39" s="23">
        <v>-2.7576665323643681</v>
      </c>
      <c r="FA39" s="23">
        <v>-3.6712158942222572E-2</v>
      </c>
      <c r="FC39" s="23">
        <v>-2.5555910241299671</v>
      </c>
      <c r="FD39" s="23">
        <v>-3.7536365601596344E-2</v>
      </c>
      <c r="FE39" s="23">
        <v>-2.6853470430898199</v>
      </c>
      <c r="FF39" s="23">
        <v>-3.5805024577271638E-2</v>
      </c>
      <c r="FH39" s="23">
        <v>-2.4192822713718982</v>
      </c>
      <c r="FI39" s="23">
        <v>-3.5469311147124927E-2</v>
      </c>
      <c r="FJ39" s="23">
        <v>-2.5768652421590446</v>
      </c>
      <c r="FK39" s="23">
        <v>-3.4556846692481713E-2</v>
      </c>
      <c r="FM39" s="23">
        <v>-2.2830602302278891</v>
      </c>
      <c r="FN39" s="23">
        <v>-3.3405540972083259E-2</v>
      </c>
      <c r="FO39" s="23">
        <v>-2.4371751478110184</v>
      </c>
      <c r="FP39" s="23">
        <v>-3.2425305531830872E-2</v>
      </c>
      <c r="FR39" s="23">
        <v>-2.1462405182297175</v>
      </c>
      <c r="FS39" s="23">
        <v>-3.0735476365634895E-2</v>
      </c>
      <c r="FT39" s="23">
        <v>-2.2832516469020732</v>
      </c>
      <c r="FU39" s="23">
        <v>-3.0678132437628847E-2</v>
      </c>
      <c r="FW39" s="23">
        <v>-1.8715714650617485</v>
      </c>
      <c r="FX39" s="23">
        <v>-2.7246724354498042E-2</v>
      </c>
      <c r="FY39" s="23">
        <v>-2.004050868655753</v>
      </c>
      <c r="FZ39" s="23">
        <v>-2.6118766511643798E-2</v>
      </c>
      <c r="GB39" s="23">
        <v>-1.3052519981312969</v>
      </c>
      <c r="GC39" s="23">
        <v>-1.8879628374804724E-2</v>
      </c>
      <c r="GD39" s="23">
        <v>-1.4126231975829739</v>
      </c>
      <c r="GE39" s="23">
        <v>-1.7076653791932017E-2</v>
      </c>
      <c r="GG39" s="23">
        <v>-0.71937451733700186</v>
      </c>
      <c r="GH39" s="23">
        <v>-1.0351979219933582E-2</v>
      </c>
      <c r="GI39" s="23">
        <v>-0.8141685257364486</v>
      </c>
      <c r="GJ39" s="23">
        <v>-8.3086620544747802E-3</v>
      </c>
      <c r="GL39" s="23">
        <v>-2.9994825713428099</v>
      </c>
      <c r="GM39" s="23">
        <v>-4.3729808695658789E-2</v>
      </c>
      <c r="GN39" s="23">
        <v>-3.2910305649307645</v>
      </c>
      <c r="GO39" s="23">
        <v>-3.9462149627098597E-2</v>
      </c>
      <c r="GQ39" s="23">
        <v>-3.1146464616391398</v>
      </c>
      <c r="GR39" s="23">
        <v>-4.5613795910028898E-2</v>
      </c>
      <c r="GS39" s="23">
        <v>-3.4159617609395809</v>
      </c>
      <c r="GT39" s="23">
        <v>-4.002919036754804E-2</v>
      </c>
      <c r="GV39" s="23">
        <v>-2.8611208859110775</v>
      </c>
      <c r="GW39" s="23">
        <v>-4.2208144172533935E-2</v>
      </c>
      <c r="GX39" s="23">
        <v>-3.2853757634064777</v>
      </c>
      <c r="GY39" s="23">
        <v>-3.9936993158363521E-2</v>
      </c>
      <c r="HA39" s="23">
        <v>-2.7387307001948784</v>
      </c>
      <c r="HB39" s="23">
        <v>-3.7828940902102204E-2</v>
      </c>
      <c r="HC39" s="23">
        <v>-3.1546414718318943</v>
      </c>
      <c r="HD39" s="23">
        <v>-3.7625483970288087E-2</v>
      </c>
      <c r="HF39" s="23">
        <v>-2.7673706288276065</v>
      </c>
      <c r="HG39" s="23">
        <v>-4.0884344083650603E-2</v>
      </c>
      <c r="HH39" s="23">
        <v>-2.9305342001743213</v>
      </c>
      <c r="HI39" s="23">
        <v>-3.9934667254968303E-2</v>
      </c>
      <c r="HK39" s="23">
        <v>-3.67887732766836</v>
      </c>
      <c r="HL39" s="23">
        <v>-5.4398784671306544E-2</v>
      </c>
      <c r="HM39" s="23">
        <v>-3.5559944675056272</v>
      </c>
      <c r="HN39" s="23">
        <v>-4.2954043214734838E-2</v>
      </c>
      <c r="HP39">
        <v>-3.406836717381708</v>
      </c>
      <c r="HQ39">
        <v>-5.009764895778801E-2</v>
      </c>
      <c r="HR39">
        <v>-3.4458482901221714</v>
      </c>
      <c r="HS39">
        <v>-4.1400618754082075E-2</v>
      </c>
      <c r="HU39">
        <v>-3.0872048810719122</v>
      </c>
      <c r="HV39">
        <v>-4.4948554107520522E-2</v>
      </c>
      <c r="HW39">
        <v>-3.3147239379519249</v>
      </c>
      <c r="HX39">
        <v>-3.9746651823179491E-2</v>
      </c>
      <c r="HZ39">
        <v>-2.5721901169022772</v>
      </c>
      <c r="IA39">
        <v>-3.7828053086315094E-2</v>
      </c>
      <c r="IB39">
        <v>-3.0782967107245156</v>
      </c>
      <c r="IC39">
        <v>1.4691549452493291E-2</v>
      </c>
      <c r="IE39">
        <v>-3.0066671716350299</v>
      </c>
      <c r="IF39">
        <v>-4.5292949855863185E-2</v>
      </c>
      <c r="IG39">
        <v>-3.2913495417128757</v>
      </c>
      <c r="IH39">
        <v>-3.0548617667903954E-2</v>
      </c>
      <c r="IJ39">
        <v>-3.0100931934637742</v>
      </c>
      <c r="IK39">
        <v>-4.3885642823582316E-2</v>
      </c>
      <c r="IL39">
        <v>-3.2869969069267597</v>
      </c>
      <c r="IM39">
        <v>-3.934544828955211E-2</v>
      </c>
      <c r="IO39" s="86">
        <v>-2.8808950577856649</v>
      </c>
      <c r="IP39">
        <v>-6.1081549065079344E-2</v>
      </c>
      <c r="IQ39">
        <v>-3.1770548753145391</v>
      </c>
      <c r="IR39">
        <v>-6.6740227863519408E-2</v>
      </c>
      <c r="IT39">
        <v>-3.0188115122455628</v>
      </c>
      <c r="IU39">
        <v>-4.5282757334121015E-2</v>
      </c>
      <c r="IV39">
        <v>-3.2888284038677966</v>
      </c>
      <c r="IW39">
        <v>-6.4975672562425757E-2</v>
      </c>
      <c r="IY39">
        <v>-2.9989999706743902</v>
      </c>
      <c r="IZ39">
        <v>-4.4042559470270248E-2</v>
      </c>
      <c r="JA39">
        <v>-3.2860822885242271</v>
      </c>
      <c r="JB39">
        <v>-3.9502332094343728E-2</v>
      </c>
      <c r="JD39">
        <v>-2.9870518557116554</v>
      </c>
      <c r="JE39">
        <v>-4.5889860231511648E-3</v>
      </c>
      <c r="JF39">
        <v>-3.2819875799384448</v>
      </c>
      <c r="JG39">
        <v>-4.1601673971499054E-2</v>
      </c>
      <c r="JI39">
        <v>-2.9726230154680024</v>
      </c>
      <c r="JJ39">
        <v>-4.423388290771868E-2</v>
      </c>
      <c r="JK39">
        <v>-3.2701172115150143</v>
      </c>
      <c r="JL39">
        <v>-3.967245645623052E-2</v>
      </c>
      <c r="JN39">
        <v>-3.7641388868349424</v>
      </c>
      <c r="JO39">
        <v>-5.5939176160961779E-2</v>
      </c>
      <c r="JP39">
        <v>-3.6180353852830081</v>
      </c>
      <c r="JQ39">
        <v>-4.3742169315436286E-2</v>
      </c>
      <c r="JS39">
        <v>-3.5098151062966849</v>
      </c>
      <c r="JT39">
        <v>-5.1687981001151684E-2</v>
      </c>
      <c r="JU39">
        <v>-3.4874233784361479</v>
      </c>
      <c r="JV39">
        <v>-4.1925735927989649E-2</v>
      </c>
      <c r="JX39">
        <v>-3.2049276328396274</v>
      </c>
      <c r="JY39">
        <v>-4.7026004574149738E-2</v>
      </c>
      <c r="JZ39">
        <v>-3.3624030239544993</v>
      </c>
      <c r="KA39">
        <v>-4.0279208094773367E-2</v>
      </c>
      <c r="KC39">
        <v>-2.7982199373345367</v>
      </c>
      <c r="KD39">
        <v>-2.4158191302376508E-2</v>
      </c>
      <c r="KE39">
        <v>-3.2101389887853031</v>
      </c>
      <c r="KF39">
        <v>-3.7111803276445698E-2</v>
      </c>
      <c r="KH39">
        <v>-2.573520412245216</v>
      </c>
      <c r="KI39">
        <v>-3.78295196140499E-2</v>
      </c>
      <c r="KJ39">
        <v>-2.9964022585149621</v>
      </c>
      <c r="KK39">
        <v>-3.5790102245698563E-2</v>
      </c>
      <c r="KM39">
        <v>-2.0583209490156094</v>
      </c>
      <c r="KN39">
        <v>-4.3739446190258491E-2</v>
      </c>
      <c r="KO39">
        <v>-2.2625866489934765</v>
      </c>
      <c r="KP39">
        <v>-3.9476317733218025E-2</v>
      </c>
      <c r="KR39">
        <v>-2.0583160962105467</v>
      </c>
      <c r="KS39">
        <v>-4.3739446190258491E-2</v>
      </c>
      <c r="KT39">
        <v>-2.2625819877183062</v>
      </c>
      <c r="KU39">
        <v>-3.9476317733218025E-2</v>
      </c>
      <c r="KW39">
        <v>-2.567609253176542</v>
      </c>
      <c r="KX39">
        <v>-4.3739446190258491E-2</v>
      </c>
      <c r="KY39">
        <v>-2.8032277698313948</v>
      </c>
      <c r="KZ39">
        <v>-3.9476317733218025E-2</v>
      </c>
      <c r="LB39">
        <v>-3.3862614356098106</v>
      </c>
      <c r="LC39">
        <v>-4.3739446190258491E-2</v>
      </c>
      <c r="LD39">
        <v>-3.705712669055913</v>
      </c>
      <c r="LE39">
        <v>-3.9476317733218025E-2</v>
      </c>
      <c r="LG39">
        <v>-3.7219410365697456</v>
      </c>
      <c r="LH39">
        <v>-4.3739446190258491E-2</v>
      </c>
      <c r="LI39">
        <v>-4.0709130106541949</v>
      </c>
      <c r="LJ39">
        <v>-3.9476317733218025E-2</v>
      </c>
      <c r="LL39">
        <v>-1.7823641750601382</v>
      </c>
      <c r="LM39">
        <v>-4.3739446190258491E-2</v>
      </c>
      <c r="LN39">
        <v>-1.9567833737601177</v>
      </c>
      <c r="LO39">
        <v>-3.9476317733218025E-2</v>
      </c>
      <c r="LQ39">
        <v>-3.0368988126712111</v>
      </c>
      <c r="LR39">
        <v>-4.4313883159645684E-2</v>
      </c>
      <c r="LS39">
        <v>-3.3020511260534988</v>
      </c>
      <c r="LT39">
        <v>-3.9591679289657122E-2</v>
      </c>
      <c r="LV39">
        <v>-3.0736662672907471</v>
      </c>
      <c r="LW39">
        <v>-4.3573863116478151E-2</v>
      </c>
      <c r="LX39">
        <v>-3.3112278669937751</v>
      </c>
      <c r="LY39">
        <v>-2.7817361145920927E-2</v>
      </c>
      <c r="MA39">
        <v>-3.0920754494690215</v>
      </c>
      <c r="MB39">
        <v>-4.5424042110596474E-2</v>
      </c>
      <c r="MC39">
        <v>-3.3197851945868422</v>
      </c>
      <c r="MD39">
        <v>-3.9687498978381086E-2</v>
      </c>
      <c r="MF39">
        <v>-3.9731427130014652</v>
      </c>
      <c r="MG39">
        <v>-5.8848275723079269E-2</v>
      </c>
      <c r="MH39">
        <v>-3.7089601568169712</v>
      </c>
      <c r="MI39">
        <v>-4.4895185242651792E-2</v>
      </c>
      <c r="MK39">
        <v>-2.5651558533060097</v>
      </c>
      <c r="ML39">
        <v>-3.7704178593230608E-2</v>
      </c>
      <c r="MM39">
        <v>-2.717215424781557</v>
      </c>
      <c r="MN39">
        <v>-3.2117076502146347E-2</v>
      </c>
      <c r="MP39">
        <v>-2.9627223960621478</v>
      </c>
      <c r="MQ39">
        <v>-4.4560331476588999E-2</v>
      </c>
      <c r="MR39">
        <v>-3.2369873001343308</v>
      </c>
      <c r="MS39">
        <v>-3.9849917076921315E-2</v>
      </c>
      <c r="MU39">
        <v>-2.9256898607033293</v>
      </c>
      <c r="MV39">
        <v>-4.4685509253184819E-2</v>
      </c>
      <c r="MW39">
        <v>-3.2217096818825723</v>
      </c>
      <c r="MX39">
        <v>-3.9976100006640536E-2</v>
      </c>
      <c r="MZ39">
        <v>-2.9023117892990058</v>
      </c>
      <c r="NA39">
        <v>-4.4796552564747572E-2</v>
      </c>
      <c r="NB39">
        <v>-3.2023377706084801</v>
      </c>
      <c r="NC39">
        <v>-4.0083823079186232E-2</v>
      </c>
      <c r="NE39">
        <v>-3.0268395112713478</v>
      </c>
      <c r="NF39">
        <v>-4.3306001117713322E-2</v>
      </c>
      <c r="NG39">
        <v>-3.2953334142723349</v>
      </c>
      <c r="NH39">
        <v>-3.8870146976023534E-2</v>
      </c>
      <c r="NJ39">
        <v>-3.0332497977766195</v>
      </c>
      <c r="NK39">
        <v>-4.2836951473390172E-2</v>
      </c>
      <c r="NL39">
        <v>-3.2885382258407816</v>
      </c>
      <c r="NM39">
        <v>-3.7975512567243186E-2</v>
      </c>
      <c r="NO39">
        <v>-3.0387789714105793</v>
      </c>
      <c r="NP39">
        <v>-4.3085380152149355E-2</v>
      </c>
      <c r="NQ39">
        <v>-3.2992377886773028</v>
      </c>
      <c r="NR39">
        <v>-3.8581215073008934E-2</v>
      </c>
      <c r="NT39">
        <v>-1.78236782663204</v>
      </c>
      <c r="NU39">
        <v>-4.3739898151216039E-2</v>
      </c>
      <c r="NV39">
        <v>-1.9567824648630534</v>
      </c>
      <c r="NW39">
        <v>-3.947724355377602E-2</v>
      </c>
      <c r="NY39">
        <v>-3.8755082412941704</v>
      </c>
      <c r="NZ39">
        <v>-4.3985221357075943E-2</v>
      </c>
      <c r="OA39">
        <v>-4.2429414021231366</v>
      </c>
      <c r="OB39">
        <v>-3.9504926480333324E-2</v>
      </c>
      <c r="OD39">
        <v>-4.5568299202773943</v>
      </c>
      <c r="OE39">
        <v>-4.3742173456280398E-2</v>
      </c>
      <c r="OF39">
        <v>-4.9571932214322914</v>
      </c>
      <c r="OG39">
        <v>-3.9478287954267444E-2</v>
      </c>
      <c r="OI39">
        <v>-2.9645515270365337</v>
      </c>
      <c r="OJ39">
        <v>-4.4291393431095116E-2</v>
      </c>
      <c r="OK39">
        <v>-3.2635131564707649</v>
      </c>
      <c r="OL39">
        <v>-3.973234930553815E-2</v>
      </c>
      <c r="ON39">
        <v>-3.0231396789975093</v>
      </c>
      <c r="OO39">
        <v>6.4108440308686454E-2</v>
      </c>
      <c r="OP39">
        <v>-3.2922082648442199</v>
      </c>
      <c r="OQ39">
        <v>-5.0443555392902795E-2</v>
      </c>
      <c r="OS39">
        <v>-2.9525238339033564</v>
      </c>
      <c r="OT39">
        <v>-0.10394019312271041</v>
      </c>
      <c r="OU39">
        <v>-3.2509716484578632</v>
      </c>
      <c r="OV39">
        <v>-6.9690045806083845E-2</v>
      </c>
      <c r="OX39">
        <v>-2.9300335526775143</v>
      </c>
      <c r="OY39">
        <v>-3.4271306279805458E-2</v>
      </c>
      <c r="OZ39">
        <v>-3.2493859391338447</v>
      </c>
      <c r="PA39">
        <v>-3.4292944766903588E-2</v>
      </c>
      <c r="PC39">
        <v>-2.9491856434738679</v>
      </c>
      <c r="PD39">
        <v>-4.3127563222057574E-2</v>
      </c>
      <c r="PE39">
        <v>-3.2667070284624629</v>
      </c>
      <c r="PF39">
        <v>-3.9159677209426036E-2</v>
      </c>
      <c r="PH39">
        <v>-3.0553771690130134</v>
      </c>
      <c r="PI39">
        <v>-4.4592054848067164E-2</v>
      </c>
      <c r="PJ39">
        <v>-3.2969873301755399</v>
      </c>
      <c r="PK39">
        <v>-3.9519463233546048E-2</v>
      </c>
      <c r="PM39" s="23">
        <v>-3.701599840491113</v>
      </c>
      <c r="PN39" s="23">
        <v>-5.205983836307837E-2</v>
      </c>
      <c r="PO39" s="23">
        <v>-3.5563120759894531</v>
      </c>
      <c r="PP39" s="23">
        <v>-4.5730088934703872E-2</v>
      </c>
      <c r="PR39">
        <v>-4.0610631180522176</v>
      </c>
      <c r="PS39">
        <v>-6.0578220371596103E-2</v>
      </c>
      <c r="PT39">
        <v>-3.7477806094175889</v>
      </c>
      <c r="PU39">
        <v>-4.545368749903389E-2</v>
      </c>
      <c r="PW39">
        <v>-2.5726702623787645</v>
      </c>
      <c r="PX39">
        <v>-3.7709987475750495E-2</v>
      </c>
      <c r="PY39">
        <v>-2.8188854313389129</v>
      </c>
      <c r="PZ39">
        <v>-3.3603378124666961E-2</v>
      </c>
      <c r="QB39" s="23">
        <v>-2.5541515388308227</v>
      </c>
      <c r="QC39" s="23">
        <v>-3.7531971967098343E-2</v>
      </c>
      <c r="QD39" s="23">
        <v>-2.2780186409797238</v>
      </c>
      <c r="QE39" s="23">
        <v>-2.7184291532861948E-2</v>
      </c>
    </row>
    <row r="40" spans="1:447" x14ac:dyDescent="0.15">
      <c r="A40" s="23" t="s">
        <v>167</v>
      </c>
      <c r="C40" s="23">
        <f>C28*(1-C5)-B28+C31-B31</f>
        <v>-9.0822000941300729</v>
      </c>
      <c r="D40" s="23">
        <f>D28*(1-D5)-B28+D31-B31</f>
        <v>-8.0008450720023703</v>
      </c>
      <c r="E40" s="23">
        <f>E28*(1-E5)-B28+E31-B31</f>
        <v>-11.459729058539935</v>
      </c>
      <c r="F40" s="23">
        <f>F28*(1-F5)-B28+F31-B31</f>
        <v>-10.157818281633212</v>
      </c>
      <c r="I40" s="23">
        <v>-9.0821868639377499</v>
      </c>
      <c r="J40" s="23">
        <v>-8.000834349859403</v>
      </c>
      <c r="K40" s="23">
        <v>-23.853109477849749</v>
      </c>
      <c r="L40" s="23">
        <v>-23.815669002348095</v>
      </c>
      <c r="N40" s="23">
        <v>-6.0012450898032839</v>
      </c>
      <c r="O40" s="23">
        <v>-5.1279828028976979</v>
      </c>
      <c r="P40" s="23">
        <v>-20.999424523438137</v>
      </c>
      <c r="Q40" s="23">
        <v>-20.287951831143396</v>
      </c>
      <c r="S40" s="23">
        <v>-3.4141144962139549</v>
      </c>
      <c r="T40" s="23">
        <v>-2.0280041250939078</v>
      </c>
      <c r="U40" s="23">
        <v>-17.749349680230971</v>
      </c>
      <c r="V40" s="23">
        <v>-16.909305455341588</v>
      </c>
      <c r="X40" s="23">
        <v>-0.24312028508560246</v>
      </c>
      <c r="Y40" s="23">
        <v>0.9747993699151678</v>
      </c>
      <c r="Z40" s="23">
        <v>-14.651821671123322</v>
      </c>
      <c r="AA40" s="23">
        <v>-13.696296303885795</v>
      </c>
      <c r="AC40" s="23">
        <v>3.0631603973370787</v>
      </c>
      <c r="AD40" s="23">
        <v>4.4606391485648729</v>
      </c>
      <c r="AE40" s="23">
        <v>-11.458921309148778</v>
      </c>
      <c r="AF40" s="23">
        <v>-10.1578145551224</v>
      </c>
      <c r="AH40" s="23">
        <v>6.1680495717621611</v>
      </c>
      <c r="AI40" s="23">
        <v>8.0905033881719461</v>
      </c>
      <c r="AJ40" s="23">
        <v>-7.602390583465116</v>
      </c>
      <c r="AK40" s="23">
        <v>-6.8295458210110596</v>
      </c>
      <c r="AM40" s="23">
        <v>8.473508522789011</v>
      </c>
      <c r="AN40" s="23">
        <v>10.751877382173085</v>
      </c>
      <c r="AO40" s="23">
        <v>-4.1726032934847694</v>
      </c>
      <c r="AP40" s="23">
        <v>-2.8246447140756459</v>
      </c>
      <c r="AR40" s="23">
        <v>8.6183067063291432</v>
      </c>
      <c r="AS40" s="23">
        <v>10.7477422283932</v>
      </c>
      <c r="AT40" s="23">
        <v>-0.21729020961009837</v>
      </c>
      <c r="AU40" s="23">
        <v>1.2561970179636859</v>
      </c>
      <c r="AW40" s="23">
        <v>8.7631426299498045</v>
      </c>
      <c r="AX40" s="23">
        <v>10.744059559096335</v>
      </c>
      <c r="AY40" s="23">
        <v>3.4477940360029962</v>
      </c>
      <c r="AZ40" s="23">
        <v>5.3316141083949233</v>
      </c>
      <c r="BB40" s="23">
        <v>8.9081223120816944</v>
      </c>
      <c r="BC40" s="23">
        <v>10.741950649073992</v>
      </c>
      <c r="BD40" s="23">
        <v>3.5794826271007665</v>
      </c>
      <c r="BE40" s="23">
        <v>5.3651563205706552</v>
      </c>
      <c r="BG40" s="23">
        <v>9.0527433080860291</v>
      </c>
      <c r="BH40" s="23">
        <v>10.738370897747508</v>
      </c>
      <c r="BI40" s="23">
        <v>3.7119743365050581</v>
      </c>
      <c r="BJ40" s="23">
        <v>5.3640663449470694</v>
      </c>
      <c r="BL40" s="23">
        <v>9.3752459907109866</v>
      </c>
      <c r="BM40" s="23">
        <v>10.471490622643636</v>
      </c>
      <c r="BN40" s="23">
        <v>4.2405283169338119</v>
      </c>
      <c r="BO40" s="23">
        <v>5.3629175134991343</v>
      </c>
      <c r="BQ40" s="23">
        <v>9.968423317159484</v>
      </c>
      <c r="BR40" s="23">
        <v>10.469611740151812</v>
      </c>
      <c r="BS40" s="23">
        <v>4.7770777337421251</v>
      </c>
      <c r="BT40" s="23">
        <v>5.366124440167404</v>
      </c>
      <c r="BV40" s="23">
        <v>-35.713123116191362</v>
      </c>
      <c r="BW40" s="23">
        <v>-35.731404170325916</v>
      </c>
      <c r="BX40" s="23">
        <v>-53.987178227610791</v>
      </c>
      <c r="BY40" s="23">
        <v>-53.598156969861734</v>
      </c>
      <c r="CA40" s="23">
        <v>-31.702745382831189</v>
      </c>
      <c r="CB40" s="23">
        <v>-31.610600352523409</v>
      </c>
      <c r="CC40" s="23">
        <v>-48.923065123044395</v>
      </c>
      <c r="CD40" s="23">
        <v>-49.284537707926887</v>
      </c>
      <c r="CF40" s="23">
        <v>-28.493253353993421</v>
      </c>
      <c r="CG40" s="23">
        <v>-28.303909614292078</v>
      </c>
      <c r="CH40" s="23">
        <v>-44.160314376246468</v>
      </c>
      <c r="CI40" s="23">
        <v>-44.389830174859974</v>
      </c>
      <c r="CK40" s="23">
        <v>-24.855231767175916</v>
      </c>
      <c r="CL40" s="23">
        <v>-24.540746276591868</v>
      </c>
      <c r="CM40" s="23">
        <v>-40.369562445987796</v>
      </c>
      <c r="CN40" s="23">
        <v>-39.77318368153653</v>
      </c>
      <c r="CP40" s="23">
        <v>-20.8465109831182</v>
      </c>
      <c r="CQ40" s="23">
        <v>-20.423655036950542</v>
      </c>
      <c r="CR40" s="23">
        <v>-35.397571227007155</v>
      </c>
      <c r="CS40" s="23">
        <v>-35.40599910679542</v>
      </c>
      <c r="CU40" s="23">
        <v>-17.071080320440068</v>
      </c>
      <c r="CV40" s="23">
        <v>-16.536971289819768</v>
      </c>
      <c r="CW40" s="23">
        <v>-30.734243507505678</v>
      </c>
      <c r="CX40" s="23">
        <v>-30.622045529460436</v>
      </c>
      <c r="CZ40" s="23">
        <v>-13.03343704258684</v>
      </c>
      <c r="DA40" s="23">
        <v>-12.864245206625526</v>
      </c>
      <c r="DB40" s="23">
        <v>-26.361274487582911</v>
      </c>
      <c r="DC40" s="23">
        <v>-26.129004796771277</v>
      </c>
      <c r="DE40" s="23">
        <v>-9.2629094414658155</v>
      </c>
      <c r="DF40" s="23">
        <v>-8.4827603603937618</v>
      </c>
      <c r="DG40" s="23">
        <v>-21.690171357439915</v>
      </c>
      <c r="DH40" s="23">
        <v>-21.355749744629492</v>
      </c>
      <c r="DJ40" s="23">
        <v>-4.8927894015216182</v>
      </c>
      <c r="DK40" s="23">
        <v>-3.992491805630813</v>
      </c>
      <c r="DL40" s="23">
        <v>-16.833081937684646</v>
      </c>
      <c r="DM40" s="23">
        <v>-16.36960616782374</v>
      </c>
      <c r="DO40" s="23">
        <v>1.4343556454787745</v>
      </c>
      <c r="DP40" s="23">
        <v>2.7755789986983288</v>
      </c>
      <c r="DQ40" s="23">
        <v>-6.8662704057702086</v>
      </c>
      <c r="DR40" s="23">
        <v>-6.2046057446008689</v>
      </c>
      <c r="DT40" s="23">
        <v>1.9374532233655302</v>
      </c>
      <c r="DU40" s="23">
        <v>2.7790378612109592</v>
      </c>
      <c r="DV40" s="23">
        <v>-1.1910607024793265</v>
      </c>
      <c r="DW40" s="23">
        <v>-1.0557356939401075E-2</v>
      </c>
      <c r="DY40" s="23">
        <v>2.4468377748023542</v>
      </c>
      <c r="DZ40" s="23">
        <v>2.7843597769233597</v>
      </c>
      <c r="EA40" s="23">
        <v>-0.34395902112120069</v>
      </c>
      <c r="EB40" s="23">
        <v>-3.5747330415816236E-3</v>
      </c>
      <c r="ED40" s="23">
        <v>-3.6404474257754984</v>
      </c>
      <c r="EE40" s="23">
        <v>-2.4913034366678843</v>
      </c>
      <c r="EF40" s="23">
        <v>-14.835068249623696</v>
      </c>
      <c r="EG40" s="23">
        <v>-14.046166323208361</v>
      </c>
      <c r="EI40" s="23">
        <v>-1.190649612128837</v>
      </c>
      <c r="EJ40" s="23">
        <v>-0.2093435938491055</v>
      </c>
      <c r="EK40" s="23">
        <v>-12.355619561627073</v>
      </c>
      <c r="EL40" s="23">
        <v>-11.472833934966395</v>
      </c>
      <c r="EN40" s="23">
        <v>1.1000253793371684</v>
      </c>
      <c r="EO40" s="23">
        <v>2.2188451284873665</v>
      </c>
      <c r="EP40" s="23">
        <v>-9.6434725094472782</v>
      </c>
      <c r="EQ40" s="23">
        <v>-9.0252763925549644</v>
      </c>
      <c r="ES40" s="23">
        <v>3.4585461992014714</v>
      </c>
      <c r="ET40" s="23">
        <v>4.9474753177477808</v>
      </c>
      <c r="EU40" s="23">
        <v>-7.1043507982246155</v>
      </c>
      <c r="EV40" s="23">
        <v>-6.0325515872992241</v>
      </c>
      <c r="EX40" s="23">
        <v>4.4887762077079501</v>
      </c>
      <c r="EY40" s="23">
        <v>6.2351002514035869</v>
      </c>
      <c r="EZ40" s="23">
        <v>-4.4060655845626684</v>
      </c>
      <c r="FA40" s="23">
        <v>-3.2445712397009103</v>
      </c>
      <c r="FC40" s="23">
        <v>4.3693792803663527</v>
      </c>
      <c r="FD40" s="23">
        <v>6.0199386705496565</v>
      </c>
      <c r="FE40" s="23">
        <v>-1.6240884863242613</v>
      </c>
      <c r="FF40" s="23">
        <v>-0.38492357107190145</v>
      </c>
      <c r="FH40" s="23">
        <v>4.2466289696589214</v>
      </c>
      <c r="FI40" s="23">
        <v>5.8021457175670932</v>
      </c>
      <c r="FJ40" s="23">
        <v>0.13215205503617966</v>
      </c>
      <c r="FK40" s="23">
        <v>1.6918207730308694</v>
      </c>
      <c r="FM40" s="23">
        <v>4.1202772236420273</v>
      </c>
      <c r="FN40" s="23">
        <v>5.5817055071100228</v>
      </c>
      <c r="FO40" s="23">
        <v>-5.1442250798771738E-2</v>
      </c>
      <c r="FP40" s="23">
        <v>1.418610615733904</v>
      </c>
      <c r="FR40" s="23">
        <v>3.9908127607251558</v>
      </c>
      <c r="FS40" s="23">
        <v>5.3591822475479134</v>
      </c>
      <c r="FT40" s="23">
        <v>1.4989265343672287E-2</v>
      </c>
      <c r="FU40" s="23">
        <v>1.393681328241442</v>
      </c>
      <c r="FW40" s="23">
        <v>3.7218020288328049</v>
      </c>
      <c r="FX40" s="23">
        <v>4.9043296965795591</v>
      </c>
      <c r="FY40" s="23">
        <v>-0.36593655255232704</v>
      </c>
      <c r="FZ40" s="23">
        <v>1.0937736950199834</v>
      </c>
      <c r="GB40" s="23">
        <v>3.3665481451589443</v>
      </c>
      <c r="GC40" s="23">
        <v>4.1824609961205041</v>
      </c>
      <c r="GD40" s="23">
        <v>-0.63316550855649467</v>
      </c>
      <c r="GE40" s="23">
        <v>0.22448949560021703</v>
      </c>
      <c r="GG40" s="23">
        <v>3.2095426787719319</v>
      </c>
      <c r="GH40" s="23">
        <v>3.6610328067859044</v>
      </c>
      <c r="GI40" s="23">
        <v>-0.91961286914663987</v>
      </c>
      <c r="GJ40" s="23">
        <v>-0.40179369833433043</v>
      </c>
      <c r="GL40" s="23">
        <v>-9.082237210667536</v>
      </c>
      <c r="GM40" s="23">
        <v>-8.0008357101723604</v>
      </c>
      <c r="GN40" s="23">
        <v>-11.458921309148778</v>
      </c>
      <c r="GO40" s="23">
        <v>-10.157814555122386</v>
      </c>
      <c r="GQ40" s="23">
        <v>-3.3700785404031919</v>
      </c>
      <c r="GR40" s="23">
        <v>-1.5896640132129463</v>
      </c>
      <c r="GS40" s="23">
        <v>-2.637608500506353</v>
      </c>
      <c r="GT40" s="23">
        <v>-0.44463597878996097</v>
      </c>
      <c r="GV40" s="23">
        <v>-4.7762576914723383</v>
      </c>
      <c r="GW40" s="23">
        <v>-2.9262170551180375</v>
      </c>
      <c r="GX40" s="23">
        <v>-3.5015328507441623</v>
      </c>
      <c r="GY40" s="23">
        <v>-1.1850332538883279</v>
      </c>
      <c r="HA40" s="23">
        <v>-10.69285077756318</v>
      </c>
      <c r="HB40" s="23">
        <v>-9.5322937071037614</v>
      </c>
      <c r="HC40" s="23">
        <v>-12.799700459197105</v>
      </c>
      <c r="HD40" s="23">
        <v>-11.413472107592035</v>
      </c>
      <c r="HF40" s="23">
        <v>-3.4724343794387309</v>
      </c>
      <c r="HG40" s="23">
        <v>-1.5693857082946963</v>
      </c>
      <c r="HH40" s="23">
        <v>-3.2254072399170397</v>
      </c>
      <c r="HI40" s="23">
        <v>-1.1850313660490031</v>
      </c>
      <c r="HK40" s="23">
        <v>-7.9619505245906836</v>
      </c>
      <c r="HL40" s="23">
        <v>-6.4020002891239969</v>
      </c>
      <c r="HM40" s="23">
        <v>-10.552733326269724</v>
      </c>
      <c r="HN40" s="23">
        <v>-9.51149212523665</v>
      </c>
      <c r="HP40">
        <v>-8.2493276226314762</v>
      </c>
      <c r="HQ40">
        <v>-7.3068547943821969</v>
      </c>
      <c r="HR40">
        <v>-10.995914441079435</v>
      </c>
      <c r="HS40">
        <v>-9.5881457730987094</v>
      </c>
      <c r="HU40">
        <v>-8.5945527719051924</v>
      </c>
      <c r="HV40">
        <v>-7.8716009205183397</v>
      </c>
      <c r="HW40">
        <v>-11.463916766186699</v>
      </c>
      <c r="HX40">
        <v>-10.150294615742744</v>
      </c>
      <c r="HZ40">
        <v>-9.5330828084372428</v>
      </c>
      <c r="IA40">
        <v>-8.6403842755090139</v>
      </c>
      <c r="IB40">
        <v>-12.005034597140593</v>
      </c>
      <c r="IC40">
        <v>-10.804407238882561</v>
      </c>
      <c r="IE40">
        <v>-9.1314158098346496</v>
      </c>
      <c r="IF40">
        <v>-8.0463754876391036</v>
      </c>
      <c r="IG40">
        <v>-11.485652883879212</v>
      </c>
      <c r="IH40">
        <v>-10.176503693011</v>
      </c>
      <c r="IJ40">
        <v>-9.1773256507167673</v>
      </c>
      <c r="IK40">
        <v>-8.0894296615514278</v>
      </c>
      <c r="IL40">
        <v>-11.541473093289241</v>
      </c>
      <c r="IM40">
        <v>-10.673756688614667</v>
      </c>
      <c r="IO40" s="86">
        <v>-9.1183175584901122</v>
      </c>
      <c r="IP40">
        <v>-8.1475612178472829</v>
      </c>
      <c r="IQ40">
        <v>-11.484520621901503</v>
      </c>
      <c r="IR40">
        <v>-10.72120404289165</v>
      </c>
      <c r="IT40">
        <v>-9.2702931148309204</v>
      </c>
      <c r="IU40">
        <v>-8.1788357801785025</v>
      </c>
      <c r="IV40">
        <v>-11.59646075378101</v>
      </c>
      <c r="IW40">
        <v>-10.775370558561484</v>
      </c>
      <c r="IY40">
        <v>-8.6603385413293665</v>
      </c>
      <c r="IZ40">
        <v>-7.9574165234706626</v>
      </c>
      <c r="JA40">
        <v>-11.460437460667237</v>
      </c>
      <c r="JB40">
        <v>-10.165397565166913</v>
      </c>
      <c r="JD40">
        <v>-8.985094413241363</v>
      </c>
      <c r="JE40">
        <v>-7.8495197705004074</v>
      </c>
      <c r="JF40">
        <v>-11.39784147139212</v>
      </c>
      <c r="JG40">
        <v>-10.108361505556722</v>
      </c>
      <c r="JI40">
        <v>-8.8856347138378169</v>
      </c>
      <c r="JJ40">
        <v>-7.7939854301347609</v>
      </c>
      <c r="JK40">
        <v>-11.334189795750881</v>
      </c>
      <c r="JL40">
        <v>-10.056033167879868</v>
      </c>
      <c r="JN40">
        <v>-7.8542529537931571</v>
      </c>
      <c r="JO40">
        <v>-6.6472539613803932</v>
      </c>
      <c r="JP40">
        <v>-10.500655909316521</v>
      </c>
      <c r="JQ40">
        <v>-9.4195326932112877</v>
      </c>
      <c r="JS40">
        <v>-8.1381738759702742</v>
      </c>
      <c r="JT40">
        <v>-7.133447158169723</v>
      </c>
      <c r="JU40">
        <v>-10.99137402097238</v>
      </c>
      <c r="JV40">
        <v>-9.5601868561970988</v>
      </c>
      <c r="JX40">
        <v>-8.4664576715242461</v>
      </c>
      <c r="JY40">
        <v>-7.6432735192631114</v>
      </c>
      <c r="JZ40">
        <v>-11.012045817082964</v>
      </c>
      <c r="KA40">
        <v>-10.117741590525249</v>
      </c>
      <c r="KC40">
        <v>-9.300691051335825</v>
      </c>
      <c r="KD40">
        <v>-8.2924497870951868</v>
      </c>
      <c r="KE40">
        <v>-11.505271314780423</v>
      </c>
      <c r="KF40">
        <v>-10.250541913600152</v>
      </c>
      <c r="KH40">
        <v>-9.5258868930115028</v>
      </c>
      <c r="KI40">
        <v>-8.6312874923269334</v>
      </c>
      <c r="KJ40">
        <v>-12.049748108844916</v>
      </c>
      <c r="KK40">
        <v>-10.936106117487689</v>
      </c>
      <c r="KM40">
        <v>-8.6196890877177168</v>
      </c>
      <c r="KN40">
        <v>-8.0008436063660326</v>
      </c>
      <c r="KO40">
        <v>-10.926383533699507</v>
      </c>
      <c r="KP40">
        <v>-10.157825749943193</v>
      </c>
      <c r="KR40">
        <v>-8.6196851204464409</v>
      </c>
      <c r="KS40">
        <v>-8.0008436063660326</v>
      </c>
      <c r="KT40">
        <v>-10.926379865148895</v>
      </c>
      <c r="KU40">
        <v>-10.157825749943193</v>
      </c>
      <c r="KW40">
        <v>-8.8568164891934771</v>
      </c>
      <c r="KX40">
        <v>-8.0008436063660326</v>
      </c>
      <c r="KY40">
        <v>-11.221074355486749</v>
      </c>
      <c r="KZ40">
        <v>-10.157825749943193</v>
      </c>
      <c r="LB40">
        <v>-8.8780277261085061</v>
      </c>
      <c r="LC40">
        <v>-8.0008436063660326</v>
      </c>
      <c r="LD40">
        <v>-11.683133683265176</v>
      </c>
      <c r="LE40">
        <v>-10.157825749943193</v>
      </c>
      <c r="LG40">
        <v>-9.0529250883014569</v>
      </c>
      <c r="LH40">
        <v>-8.0008436063660326</v>
      </c>
      <c r="LI40">
        <v>-11.879618856478963</v>
      </c>
      <c r="LJ40">
        <v>-10.157825749943193</v>
      </c>
      <c r="LL40">
        <v>-8.4741774830711307</v>
      </c>
      <c r="LM40">
        <v>-8.0008436063660326</v>
      </c>
      <c r="LN40">
        <v>-11.209945892004498</v>
      </c>
      <c r="LO40">
        <v>-10.157825749943193</v>
      </c>
      <c r="LQ40">
        <v>-8.9563453086185163</v>
      </c>
      <c r="LR40">
        <v>-7.8504652660513372</v>
      </c>
      <c r="LS40">
        <v>-11.364134459569414</v>
      </c>
      <c r="LT40">
        <v>-10.053446442172891</v>
      </c>
      <c r="LV40">
        <v>-8.8306349181485828</v>
      </c>
      <c r="LW40">
        <v>-7.699275102768695</v>
      </c>
      <c r="LX40">
        <v>-11.268900984776486</v>
      </c>
      <c r="LY40">
        <v>-9.9404065454610873</v>
      </c>
      <c r="MA40">
        <v>-8.7257170681712921</v>
      </c>
      <c r="MB40">
        <v>-7.5505376962022979</v>
      </c>
      <c r="MC40">
        <v>-11.174065395625668</v>
      </c>
      <c r="MD40">
        <v>-10.309463267403757</v>
      </c>
      <c r="MF40">
        <v>-7.2266366389617431</v>
      </c>
      <c r="MG40">
        <v>-5.9032515324969097</v>
      </c>
      <c r="MH40">
        <v>-10.079146661168011</v>
      </c>
      <c r="MI40">
        <v>-8.9317406617090285</v>
      </c>
      <c r="MK40">
        <v>-9.9228198105099423</v>
      </c>
      <c r="ML40">
        <v>-9.0458398826423618</v>
      </c>
      <c r="MM40">
        <v>-12.243807631310034</v>
      </c>
      <c r="MN40">
        <v>-11.311748079281863</v>
      </c>
      <c r="MP40">
        <v>-8.5468724456235066</v>
      </c>
      <c r="MQ40">
        <v>-7.0308322429155297</v>
      </c>
      <c r="MR40">
        <v>-11.040844267201948</v>
      </c>
      <c r="MS40">
        <v>-9.2930149182036601</v>
      </c>
      <c r="MU40">
        <v>-8.4654718430050835</v>
      </c>
      <c r="MV40">
        <v>-6.9491316854307428</v>
      </c>
      <c r="MW40">
        <v>-10.978152901844119</v>
      </c>
      <c r="MX40">
        <v>-9.2500838816514559</v>
      </c>
      <c r="MZ40">
        <v>-8.338289077020768</v>
      </c>
      <c r="NA40">
        <v>-6.8435511992020039</v>
      </c>
      <c r="NB40">
        <v>-10.888005631930909</v>
      </c>
      <c r="NC40">
        <v>-9.1831016609050593</v>
      </c>
      <c r="NE40">
        <v>-9.3622675237298978</v>
      </c>
      <c r="NF40">
        <v>-8.6926457455721504</v>
      </c>
      <c r="NG40">
        <v>-11.655139880286328</v>
      </c>
      <c r="NH40">
        <v>-10.808269343787174</v>
      </c>
      <c r="NJ40">
        <v>-9.4524277243524253</v>
      </c>
      <c r="NK40">
        <v>-8.7802900877195853</v>
      </c>
      <c r="NL40">
        <v>-11.703394215006547</v>
      </c>
      <c r="NM40">
        <v>-10.861035553905971</v>
      </c>
      <c r="NO40">
        <v>-9.5414288899253705</v>
      </c>
      <c r="NP40">
        <v>-8.8682820477623991</v>
      </c>
      <c r="NQ40">
        <v>-12.212456868199688</v>
      </c>
      <c r="NR40">
        <v>-11.384593724079934</v>
      </c>
      <c r="NT40">
        <v>-8.474180335936552</v>
      </c>
      <c r="NU40">
        <v>-8.0008439218219891</v>
      </c>
      <c r="NV40">
        <v>-11.209944906011422</v>
      </c>
      <c r="NW40">
        <v>-10.157826433871897</v>
      </c>
      <c r="NY40">
        <v>-9.1326170543169383</v>
      </c>
      <c r="NZ40">
        <v>-8.0010449254471396</v>
      </c>
      <c r="OA40">
        <v>-11.973360890370344</v>
      </c>
      <c r="OB40">
        <v>-10.157848145628556</v>
      </c>
      <c r="OD40">
        <v>-9.4552187857199712</v>
      </c>
      <c r="OE40">
        <v>-8.0008457892163918</v>
      </c>
      <c r="OF40">
        <v>-11.920375539052422</v>
      </c>
      <c r="OG40">
        <v>-10.157827257215594</v>
      </c>
      <c r="OI40">
        <v>-8.8349279165526866</v>
      </c>
      <c r="OJ40">
        <v>-7.7499524367334161</v>
      </c>
      <c r="OK40">
        <v>-11.301625601196427</v>
      </c>
      <c r="OL40">
        <v>-10.030836460168125</v>
      </c>
      <c r="ON40">
        <v>-9.3166151003519317</v>
      </c>
      <c r="OO40">
        <v>-8.1340047622452971</v>
      </c>
      <c r="OP40">
        <v>-11.625933835474719</v>
      </c>
      <c r="OQ40">
        <v>-10.790616820671836</v>
      </c>
      <c r="OS40">
        <v>-8.7927532473916443</v>
      </c>
      <c r="OT40">
        <v>-8.2011368218183662</v>
      </c>
      <c r="OU40">
        <v>-11.563636289110761</v>
      </c>
      <c r="OV40">
        <v>-10.286858377106796</v>
      </c>
      <c r="OX40">
        <v>-8.9313342668978777</v>
      </c>
      <c r="OY40">
        <v>-8.2645598005309324</v>
      </c>
      <c r="OZ40">
        <v>-11.667553861542196</v>
      </c>
      <c r="PA40">
        <v>-10.393481541370981</v>
      </c>
      <c r="PC40">
        <v>-8.9012368464878122</v>
      </c>
      <c r="PD40">
        <v>-8.2300180088877681</v>
      </c>
      <c r="PE40">
        <v>-11.647268923625482</v>
      </c>
      <c r="PF40">
        <v>-10.36563614359715</v>
      </c>
      <c r="PH40">
        <v>-8.8934729458289183</v>
      </c>
      <c r="PI40">
        <v>-7.7753626135909784</v>
      </c>
      <c r="PJ40">
        <v>-11.324189376300296</v>
      </c>
      <c r="PK40">
        <v>-10.015225490605268</v>
      </c>
      <c r="PM40" s="23">
        <v>-8.0520099082330248</v>
      </c>
      <c r="PN40" s="23">
        <v>-6.8743823905281332</v>
      </c>
      <c r="PO40" s="23">
        <v>-10.522247076182431</v>
      </c>
      <c r="PP40" s="23">
        <v>-9.47652809267111</v>
      </c>
      <c r="PR40">
        <v>-7.2197091537431746</v>
      </c>
      <c r="PS40">
        <v>-5.7924498097453423</v>
      </c>
      <c r="PT40">
        <v>-10.180343488360641</v>
      </c>
      <c r="PU40">
        <v>-8.5250376162433028</v>
      </c>
      <c r="PW40">
        <v>-9.5287864130999012</v>
      </c>
      <c r="PX40">
        <v>-9.0469053594670044</v>
      </c>
      <c r="PY40">
        <v>-12.177280767022374</v>
      </c>
      <c r="PZ40">
        <v>-11.164870080647951</v>
      </c>
      <c r="QB40" s="23">
        <v>-10.338907232737292</v>
      </c>
      <c r="QC40" s="23">
        <v>-9.4818977277336529</v>
      </c>
      <c r="QD40" s="23">
        <v>-12.967774836943683</v>
      </c>
      <c r="QE40" s="23">
        <v>-12.240202021934167</v>
      </c>
    </row>
    <row r="41" spans="1:447" x14ac:dyDescent="0.15">
      <c r="A41" s="23" t="s">
        <v>168</v>
      </c>
      <c r="C41" s="23">
        <f>D41</f>
        <v>17.750792397763263</v>
      </c>
      <c r="D41" s="23">
        <f>D40+D26+D29-D39+(D5*D28)</f>
        <v>17.750792397763263</v>
      </c>
      <c r="E41" s="23">
        <f>F41</f>
        <v>9.6407813253319414</v>
      </c>
      <c r="F41" s="23">
        <f>F40+F26+F29-F39+(F5*F28)</f>
        <v>9.6407813253319414</v>
      </c>
      <c r="I41" s="23">
        <v>17.750792119008942</v>
      </c>
      <c r="J41" s="23">
        <v>17.750792119008942</v>
      </c>
      <c r="K41" s="23">
        <v>14.488729438840021</v>
      </c>
      <c r="L41" s="23">
        <v>14.488729438840021</v>
      </c>
      <c r="N41" s="23">
        <v>16.370017488086759</v>
      </c>
      <c r="O41" s="23">
        <v>16.370017488086759</v>
      </c>
      <c r="P41" s="23">
        <v>13.25886403153646</v>
      </c>
      <c r="Q41" s="23">
        <v>13.25886403153646</v>
      </c>
      <c r="S41" s="23">
        <v>15.28428559395388</v>
      </c>
      <c r="T41" s="23">
        <v>15.28428559395388</v>
      </c>
      <c r="U41" s="23">
        <v>11.948688642314218</v>
      </c>
      <c r="V41" s="23">
        <v>11.948688642314218</v>
      </c>
      <c r="X41" s="23">
        <v>13.904355477560181</v>
      </c>
      <c r="Y41" s="23">
        <v>13.904355477560181</v>
      </c>
      <c r="Z41" s="23">
        <v>10.823009916241363</v>
      </c>
      <c r="AA41" s="23">
        <v>10.823009916241363</v>
      </c>
      <c r="AC41" s="23">
        <v>12.903196888502418</v>
      </c>
      <c r="AD41" s="23">
        <v>12.903196888502418</v>
      </c>
      <c r="AE41" s="23">
        <v>9.6407809919119387</v>
      </c>
      <c r="AF41" s="23">
        <v>9.6407809919119405</v>
      </c>
      <c r="AH41" s="23">
        <v>11.609026782883815</v>
      </c>
      <c r="AI41" s="23">
        <v>11.609026782883815</v>
      </c>
      <c r="AJ41" s="23">
        <v>8.6993763612660384</v>
      </c>
      <c r="AK41" s="23">
        <v>8.6993763612660384</v>
      </c>
      <c r="AM41" s="23">
        <v>10.793774392442977</v>
      </c>
      <c r="AN41" s="23">
        <v>10.793774392442977</v>
      </c>
      <c r="AO41" s="23">
        <v>7.4270311121089563</v>
      </c>
      <c r="AP41" s="23">
        <v>7.4270311121089563</v>
      </c>
      <c r="AR41" s="23">
        <v>10.786803715182394</v>
      </c>
      <c r="AS41" s="23">
        <v>10.786803715182394</v>
      </c>
      <c r="AT41" s="23">
        <v>6.4212979521214688</v>
      </c>
      <c r="AU41" s="23">
        <v>6.4212979521214688</v>
      </c>
      <c r="AW41" s="23">
        <v>10.780301449000227</v>
      </c>
      <c r="AX41" s="23">
        <v>10.780301449000227</v>
      </c>
      <c r="AY41" s="23">
        <v>5.7185140247230635</v>
      </c>
      <c r="AZ41" s="23">
        <v>5.7185140247230635</v>
      </c>
      <c r="BB41" s="23">
        <v>10.774173125572496</v>
      </c>
      <c r="BC41" s="23">
        <v>10.774173125572496</v>
      </c>
      <c r="BD41" s="23">
        <v>5.3979692445065766</v>
      </c>
      <c r="BE41" s="23">
        <v>5.3979692445065766</v>
      </c>
      <c r="BG41" s="23">
        <v>10.768604299696968</v>
      </c>
      <c r="BH41" s="23">
        <v>10.768604299696968</v>
      </c>
      <c r="BI41" s="23">
        <v>5.3945047292199249</v>
      </c>
      <c r="BJ41" s="23">
        <v>5.3945047292199249</v>
      </c>
      <c r="BL41" s="23">
        <v>10.49039339731123</v>
      </c>
      <c r="BM41" s="23">
        <v>10.49039339731123</v>
      </c>
      <c r="BN41" s="23">
        <v>5.3830119322792385</v>
      </c>
      <c r="BO41" s="23">
        <v>5.3830119322792385</v>
      </c>
      <c r="BQ41" s="23">
        <v>10.477712670865905</v>
      </c>
      <c r="BR41" s="23">
        <v>10.477712670865905</v>
      </c>
      <c r="BS41" s="23">
        <v>5.3750822775748262</v>
      </c>
      <c r="BT41" s="23">
        <v>5.3750822775748262</v>
      </c>
      <c r="BV41" s="23">
        <v>12.653545857286066</v>
      </c>
      <c r="BW41" s="23">
        <v>12.653545857286066</v>
      </c>
      <c r="BX41" s="23">
        <v>11.216844184847563</v>
      </c>
      <c r="BY41" s="23">
        <v>11.216844184847563</v>
      </c>
      <c r="CA41" s="23">
        <v>11.548714287041374</v>
      </c>
      <c r="CB41" s="23">
        <v>11.548714287041374</v>
      </c>
      <c r="CC41" s="23">
        <v>10.037604831542144</v>
      </c>
      <c r="CD41" s="23">
        <v>10.037604831542144</v>
      </c>
      <c r="CF41" s="23">
        <v>10.394417041391414</v>
      </c>
      <c r="CG41" s="23">
        <v>10.394417041391414</v>
      </c>
      <c r="CH41" s="23">
        <v>8.7882865413359745</v>
      </c>
      <c r="CI41" s="23">
        <v>8.7882865413359745</v>
      </c>
      <c r="CK41" s="23">
        <v>9.1761934129599645</v>
      </c>
      <c r="CL41" s="23">
        <v>9.1761934129599645</v>
      </c>
      <c r="CM41" s="23">
        <v>7.7730323915231061</v>
      </c>
      <c r="CN41" s="23">
        <v>7.7730323915231061</v>
      </c>
      <c r="CP41" s="23">
        <v>8.187287408599591</v>
      </c>
      <c r="CQ41" s="23">
        <v>8.187287408599591</v>
      </c>
      <c r="CR41" s="23">
        <v>6.7238623221070739</v>
      </c>
      <c r="CS41" s="23">
        <v>6.7238623221070739</v>
      </c>
      <c r="CU41" s="23">
        <v>7.1713157166301542</v>
      </c>
      <c r="CV41" s="23">
        <v>7.1713157166301542</v>
      </c>
      <c r="CW41" s="23">
        <v>5.6336383470617335</v>
      </c>
      <c r="CX41" s="23">
        <v>5.6336383470617335</v>
      </c>
      <c r="CZ41" s="23">
        <v>6.1313350004395772</v>
      </c>
      <c r="DA41" s="23">
        <v>6.1313350004395772</v>
      </c>
      <c r="DB41" s="23">
        <v>4.5145496663998781</v>
      </c>
      <c r="DC41" s="23">
        <v>4.5145496663998781</v>
      </c>
      <c r="DE41" s="23">
        <v>5.0552921532414956</v>
      </c>
      <c r="DF41" s="23">
        <v>5.0552921532414956</v>
      </c>
      <c r="DG41" s="23">
        <v>3.6989554090778149</v>
      </c>
      <c r="DH41" s="23">
        <v>3.6989554090778149</v>
      </c>
      <c r="DJ41" s="23">
        <v>3.95770809399917</v>
      </c>
      <c r="DK41" s="23">
        <v>3.95770809399917</v>
      </c>
      <c r="DL41" s="23">
        <v>2.5270148399105796</v>
      </c>
      <c r="DM41" s="23">
        <v>2.5270148399105796</v>
      </c>
      <c r="DO41" s="23">
        <v>2.804413365697819</v>
      </c>
      <c r="DP41" s="23">
        <v>2.804413365697819</v>
      </c>
      <c r="DQ41" s="23">
        <v>0.85247488979705022</v>
      </c>
      <c r="DR41" s="23">
        <v>0.85247488979705022</v>
      </c>
      <c r="DT41" s="23">
        <v>2.7969075904926868</v>
      </c>
      <c r="DU41" s="23">
        <v>2.7969075904926868</v>
      </c>
      <c r="DV41" s="23">
        <v>5.66158172257758E-3</v>
      </c>
      <c r="DW41" s="23">
        <v>5.66158172257758E-3</v>
      </c>
      <c r="DY41" s="23">
        <v>2.7913360792284081</v>
      </c>
      <c r="DZ41" s="23">
        <v>2.7913360792284081</v>
      </c>
      <c r="EA41" s="23">
        <v>1.9038085889278022E-3</v>
      </c>
      <c r="EB41" s="23">
        <v>1.9038085889278022E-3</v>
      </c>
      <c r="ED41" s="23">
        <v>17.612334222506298</v>
      </c>
      <c r="EE41" s="23">
        <v>17.612334222506298</v>
      </c>
      <c r="EF41" s="23">
        <v>14.508503047699493</v>
      </c>
      <c r="EG41" s="23">
        <v>14.508503047699493</v>
      </c>
      <c r="EI41" s="23">
        <v>16.433559300541386</v>
      </c>
      <c r="EJ41" s="23">
        <v>16.433559300541386</v>
      </c>
      <c r="EK41" s="23">
        <v>13.297638134343142</v>
      </c>
      <c r="EL41" s="23">
        <v>13.297638134343142</v>
      </c>
      <c r="EN41" s="23">
        <v>15.159303603658749</v>
      </c>
      <c r="EO41" s="23">
        <v>15.159303603658749</v>
      </c>
      <c r="EP41" s="23">
        <v>12.010688689573584</v>
      </c>
      <c r="EQ41" s="23">
        <v>12.010688689573584</v>
      </c>
      <c r="ES41" s="23">
        <v>14.012115507121361</v>
      </c>
      <c r="ET41" s="23">
        <v>14.012115507121361</v>
      </c>
      <c r="EU41" s="23">
        <v>10.900575730292076</v>
      </c>
      <c r="EV41" s="23">
        <v>10.900575730292076</v>
      </c>
      <c r="EX41" s="23">
        <v>13.283630281155631</v>
      </c>
      <c r="EY41" s="23">
        <v>13.283630281155631</v>
      </c>
      <c r="EZ41" s="23">
        <v>9.7441295424927077</v>
      </c>
      <c r="FA41" s="23">
        <v>9.7441295424927077</v>
      </c>
      <c r="FC41" s="23">
        <v>13.0217360107162</v>
      </c>
      <c r="FD41" s="23">
        <v>13.0217360107162</v>
      </c>
      <c r="FE41" s="23">
        <v>8.8239242412522003</v>
      </c>
      <c r="FF41" s="23">
        <v>8.8239242412522003</v>
      </c>
      <c r="FH41" s="23">
        <v>12.756871454398413</v>
      </c>
      <c r="FI41" s="23">
        <v>12.756871454398413</v>
      </c>
      <c r="FJ41" s="23">
        <v>7.8933103650881282</v>
      </c>
      <c r="FK41" s="23">
        <v>7.8933103650881282</v>
      </c>
      <c r="FM41" s="23">
        <v>12.489026821401781</v>
      </c>
      <c r="FN41" s="23">
        <v>12.489026821401781</v>
      </c>
      <c r="FO41" s="23">
        <v>7.5669716626917385</v>
      </c>
      <c r="FP41" s="23">
        <v>7.5669716626917385</v>
      </c>
      <c r="FR41" s="23">
        <v>12.218158567194532</v>
      </c>
      <c r="FS41" s="23">
        <v>12.218158567194532</v>
      </c>
      <c r="FT41" s="23">
        <v>7.5309556545039271</v>
      </c>
      <c r="FU41" s="23">
        <v>7.5309556545039271</v>
      </c>
      <c r="FW41" s="23">
        <v>11.667497407655253</v>
      </c>
      <c r="FX41" s="23">
        <v>11.667497407655253</v>
      </c>
      <c r="FY41" s="23">
        <v>7.166130478469058</v>
      </c>
      <c r="FZ41" s="23">
        <v>7.166130478469058</v>
      </c>
      <c r="GB41" s="23">
        <v>10.788742718992317</v>
      </c>
      <c r="GC41" s="23">
        <v>10.788742718992317</v>
      </c>
      <c r="GD41" s="23">
        <v>6.1239251745314727</v>
      </c>
      <c r="GE41" s="23">
        <v>6.1239251745314727</v>
      </c>
      <c r="GG41" s="23">
        <v>10.148189943800027</v>
      </c>
      <c r="GH41" s="23">
        <v>10.148189943800027</v>
      </c>
      <c r="GI41" s="23">
        <v>5.3666022617747728</v>
      </c>
      <c r="GJ41" s="23">
        <v>5.3666022617747728</v>
      </c>
      <c r="GL41" s="23">
        <v>17.750792154738456</v>
      </c>
      <c r="GM41" s="23">
        <v>17.750792154738456</v>
      </c>
      <c r="GN41" s="23">
        <v>9.6407809919119387</v>
      </c>
      <c r="GO41" s="23">
        <v>9.6407809919119387</v>
      </c>
      <c r="GQ41" s="23">
        <v>17.701805013324744</v>
      </c>
      <c r="GR41" s="23">
        <v>17.701805013324744</v>
      </c>
      <c r="GS41" s="23">
        <v>9.7403358155202113</v>
      </c>
      <c r="GT41" s="23">
        <v>9.7403358155202113</v>
      </c>
      <c r="GV41" s="23">
        <v>18.424300354713321</v>
      </c>
      <c r="GW41" s="23">
        <v>18.424300354713321</v>
      </c>
      <c r="GX41" s="23">
        <v>10.299009158464472</v>
      </c>
      <c r="GY41" s="23">
        <v>10.299009158464472</v>
      </c>
      <c r="HA41" s="23">
        <v>18.266509489876164</v>
      </c>
      <c r="HB41" s="23">
        <v>18.266509489876164</v>
      </c>
      <c r="HC41" s="23">
        <v>10.09889249200689</v>
      </c>
      <c r="HD41" s="23">
        <v>10.09889249200689</v>
      </c>
      <c r="HF41" s="23">
        <v>13.330649361972119</v>
      </c>
      <c r="HG41" s="23">
        <v>13.330649361972119</v>
      </c>
      <c r="HH41" s="23">
        <v>10.299008926126511</v>
      </c>
      <c r="HI41" s="23">
        <v>10.299008926126511</v>
      </c>
      <c r="HK41" s="23">
        <v>10.09054065611101</v>
      </c>
      <c r="HL41" s="23">
        <v>10.09054065611101</v>
      </c>
      <c r="HM41" s="23">
        <v>5.7715449289385736</v>
      </c>
      <c r="HN41" s="23">
        <v>5.7715449289385736</v>
      </c>
      <c r="HP41">
        <v>13.285838888259681</v>
      </c>
      <c r="HQ41">
        <v>13.285838888259681</v>
      </c>
      <c r="HR41">
        <v>7.5878281435004986</v>
      </c>
      <c r="HS41">
        <v>7.5878281435004986</v>
      </c>
      <c r="HU41">
        <v>16.931601145226161</v>
      </c>
      <c r="HV41">
        <v>16.931601145226161</v>
      </c>
      <c r="HW41">
        <v>9.3424226197442977</v>
      </c>
      <c r="HX41">
        <v>9.3424226197442977</v>
      </c>
      <c r="HZ41">
        <v>21.557167669999984</v>
      </c>
      <c r="IA41">
        <v>21.557167669999984</v>
      </c>
      <c r="IB41">
        <v>12.396756271219814</v>
      </c>
      <c r="IC41">
        <v>12.396756271219814</v>
      </c>
      <c r="IE41">
        <v>17.756131473373387</v>
      </c>
      <c r="IF41">
        <v>17.756131473373387</v>
      </c>
      <c r="IG41">
        <v>9.6505731846816065</v>
      </c>
      <c r="IH41">
        <v>9.6505731846816065</v>
      </c>
      <c r="IJ41">
        <v>17.761420778897186</v>
      </c>
      <c r="IK41">
        <v>17.761420778897186</v>
      </c>
      <c r="IL41">
        <v>9.6693735048011487</v>
      </c>
      <c r="IM41">
        <v>9.6693735048011487</v>
      </c>
      <c r="IO41" s="86">
        <v>17.76714292021758</v>
      </c>
      <c r="IP41">
        <v>17.76714292021758</v>
      </c>
      <c r="IQ41">
        <v>9.6819859799097987</v>
      </c>
      <c r="IR41">
        <v>9.6819859799097987</v>
      </c>
      <c r="IT41">
        <v>17.772124203394352</v>
      </c>
      <c r="IU41">
        <v>17.772124203394352</v>
      </c>
      <c r="IV41">
        <v>9.9657075234096233</v>
      </c>
      <c r="IW41">
        <v>9.9657075234096233</v>
      </c>
      <c r="IY41">
        <v>17.554333017655779</v>
      </c>
      <c r="IZ41">
        <v>17.554333017655779</v>
      </c>
      <c r="JA41">
        <v>9.6106182507853717</v>
      </c>
      <c r="JB41">
        <v>9.6106182507853717</v>
      </c>
      <c r="JD41">
        <v>17.556126752783548</v>
      </c>
      <c r="JE41">
        <v>17.556126752783548</v>
      </c>
      <c r="JF41">
        <v>9.6199557219797018</v>
      </c>
      <c r="JG41">
        <v>9.6199557219797018</v>
      </c>
      <c r="JI41">
        <v>17.545913421860035</v>
      </c>
      <c r="JJ41">
        <v>17.545913421860035</v>
      </c>
      <c r="JK41">
        <v>9.5987352470886922</v>
      </c>
      <c r="JL41">
        <v>9.5987352470886922</v>
      </c>
      <c r="JN41">
        <v>8.7648810631884597</v>
      </c>
      <c r="JO41">
        <v>8.7648810631884597</v>
      </c>
      <c r="JP41">
        <v>4.8209149119047812</v>
      </c>
      <c r="JQ41">
        <v>4.8209149119047812</v>
      </c>
      <c r="JS41">
        <v>12.107596514066131</v>
      </c>
      <c r="JT41">
        <v>12.107596514066131</v>
      </c>
      <c r="JU41">
        <v>6.9918943290847233</v>
      </c>
      <c r="JV41">
        <v>6.9918943290847233</v>
      </c>
      <c r="JX41">
        <v>15.501578878965217</v>
      </c>
      <c r="JY41">
        <v>15.501578878965217</v>
      </c>
      <c r="JZ41">
        <v>8.7660247959682298</v>
      </c>
      <c r="KA41">
        <v>8.7660247959682298</v>
      </c>
      <c r="KC41">
        <v>19.576175744082601</v>
      </c>
      <c r="KD41">
        <v>19.576175744082601</v>
      </c>
      <c r="KE41">
        <v>10.751914375010363</v>
      </c>
      <c r="KF41">
        <v>10.751914375010363</v>
      </c>
      <c r="KH41">
        <v>21.557167669999995</v>
      </c>
      <c r="KI41">
        <v>21.557167669999995</v>
      </c>
      <c r="KJ41">
        <v>13.457749246345676</v>
      </c>
      <c r="KK41">
        <v>13.457749246345676</v>
      </c>
      <c r="KM41">
        <v>17.750792359358478</v>
      </c>
      <c r="KN41">
        <v>17.750792359358478</v>
      </c>
      <c r="KO41">
        <v>9.6407820026857731</v>
      </c>
      <c r="KP41">
        <v>9.6407820026857731</v>
      </c>
      <c r="KR41">
        <v>17.750792359358478</v>
      </c>
      <c r="KS41">
        <v>17.750792359358478</v>
      </c>
      <c r="KT41">
        <v>9.6407820026857731</v>
      </c>
      <c r="KU41">
        <v>9.6407820026857731</v>
      </c>
      <c r="KW41">
        <v>17.750792359358478</v>
      </c>
      <c r="KX41">
        <v>17.750792359358478</v>
      </c>
      <c r="KY41">
        <v>9.6407820026857731</v>
      </c>
      <c r="KZ41">
        <v>9.6407820026857731</v>
      </c>
      <c r="LB41">
        <v>17.750792359358478</v>
      </c>
      <c r="LC41">
        <v>17.750792359358478</v>
      </c>
      <c r="LD41">
        <v>9.6407820026857731</v>
      </c>
      <c r="LE41">
        <v>9.6407820026857731</v>
      </c>
      <c r="LG41">
        <v>17.750792359358478</v>
      </c>
      <c r="LH41">
        <v>17.750792359358478</v>
      </c>
      <c r="LI41">
        <v>9.6407820026857731</v>
      </c>
      <c r="LJ41">
        <v>9.6407820026857731</v>
      </c>
      <c r="LL41">
        <v>17.750792359358478</v>
      </c>
      <c r="LM41">
        <v>17.750792359358478</v>
      </c>
      <c r="LN41">
        <v>9.6407820026857731</v>
      </c>
      <c r="LO41">
        <v>9.6407820026857731</v>
      </c>
      <c r="LQ41">
        <v>17.390309188341291</v>
      </c>
      <c r="LR41">
        <v>17.390309188341291</v>
      </c>
      <c r="LS41">
        <v>9.3822891127947052</v>
      </c>
      <c r="LT41">
        <v>9.3822891127947052</v>
      </c>
      <c r="LV41">
        <v>17.022490510208975</v>
      </c>
      <c r="LW41">
        <v>17.022490510208975</v>
      </c>
      <c r="LX41">
        <v>9.1207858550883767</v>
      </c>
      <c r="LY41">
        <v>9.1207858550883767</v>
      </c>
      <c r="MA41">
        <v>16.647285356343076</v>
      </c>
      <c r="MB41">
        <v>16.647285356343076</v>
      </c>
      <c r="MC41">
        <v>8.866968045176753</v>
      </c>
      <c r="MD41">
        <v>8.866968045176753</v>
      </c>
      <c r="MF41">
        <v>6.4445205004709978</v>
      </c>
      <c r="MG41">
        <v>6.4445205004709978</v>
      </c>
      <c r="MH41">
        <v>3.499449721998384</v>
      </c>
      <c r="MI41">
        <v>3.499449721998384</v>
      </c>
      <c r="MK41">
        <v>21.557167669999991</v>
      </c>
      <c r="ML41">
        <v>21.557167669999991</v>
      </c>
      <c r="MM41">
        <v>17.090542623177498</v>
      </c>
      <c r="MN41">
        <v>17.090542623177498</v>
      </c>
      <c r="MP41">
        <v>17.397465796880454</v>
      </c>
      <c r="MQ41">
        <v>17.397465796880454</v>
      </c>
      <c r="MR41">
        <v>9.4285801687037889</v>
      </c>
      <c r="MS41">
        <v>9.4285801687037889</v>
      </c>
      <c r="MU41">
        <v>17.385034625322419</v>
      </c>
      <c r="MV41">
        <v>17.385034625322419</v>
      </c>
      <c r="MW41">
        <v>9.4041176149567995</v>
      </c>
      <c r="MX41">
        <v>9.4041176149567995</v>
      </c>
      <c r="MZ41">
        <v>17.378454372778712</v>
      </c>
      <c r="NA41">
        <v>17.378454372778712</v>
      </c>
      <c r="NB41">
        <v>9.3941461602075105</v>
      </c>
      <c r="NC41">
        <v>9.3941461602075105</v>
      </c>
      <c r="NE41">
        <v>17.786038352685615</v>
      </c>
      <c r="NF41">
        <v>17.786038352685615</v>
      </c>
      <c r="NG41">
        <v>9.9845249636477558</v>
      </c>
      <c r="NH41">
        <v>9.9845249636477558</v>
      </c>
      <c r="NJ41">
        <v>17.796870729377247</v>
      </c>
      <c r="NK41">
        <v>17.796870729377247</v>
      </c>
      <c r="NL41">
        <v>10.005168744039624</v>
      </c>
      <c r="NM41">
        <v>10.005168744039624</v>
      </c>
      <c r="NO41">
        <v>17.807758537328837</v>
      </c>
      <c r="NP41">
        <v>17.807758537328837</v>
      </c>
      <c r="NQ41">
        <v>10.034554566328532</v>
      </c>
      <c r="NR41">
        <v>10.034554566328532</v>
      </c>
      <c r="NT41">
        <v>17.750792380834522</v>
      </c>
      <c r="NU41">
        <v>17.750792380834522</v>
      </c>
      <c r="NV41">
        <v>9.6407820966208888</v>
      </c>
      <c r="NW41">
        <v>9.6407820966208888</v>
      </c>
      <c r="NY41">
        <v>17.750797588659786</v>
      </c>
      <c r="NZ41">
        <v>17.750797588659786</v>
      </c>
      <c r="OA41">
        <v>9.6407841443885367</v>
      </c>
      <c r="OB41">
        <v>9.6407841443885367</v>
      </c>
      <c r="OD41">
        <v>17.750792428671616</v>
      </c>
      <c r="OE41">
        <v>17.750792428671616</v>
      </c>
      <c r="OF41">
        <v>9.6407821719772819</v>
      </c>
      <c r="OG41">
        <v>9.6407821719772819</v>
      </c>
      <c r="OI41">
        <v>17.540395007991471</v>
      </c>
      <c r="OJ41">
        <v>17.540395007991471</v>
      </c>
      <c r="OK41">
        <v>9.5881374948593709</v>
      </c>
      <c r="OL41">
        <v>9.5881374948593709</v>
      </c>
      <c r="ON41">
        <v>17.774950208541416</v>
      </c>
      <c r="OO41">
        <v>17.774950208541416</v>
      </c>
      <c r="OP41">
        <v>9.9750244273460282</v>
      </c>
      <c r="OQ41">
        <v>9.9750244273460282</v>
      </c>
      <c r="OS41">
        <v>18.1052894744996</v>
      </c>
      <c r="OT41">
        <v>18.1052894744996</v>
      </c>
      <c r="OU41">
        <v>9.8992867785098859</v>
      </c>
      <c r="OV41">
        <v>9.8992867785098859</v>
      </c>
      <c r="OX41">
        <v>18.275192371687254</v>
      </c>
      <c r="OY41">
        <v>18.275192371687254</v>
      </c>
      <c r="OZ41">
        <v>10.420460793225478</v>
      </c>
      <c r="PA41">
        <v>10.420460793225478</v>
      </c>
      <c r="PC41">
        <v>18.09333146903105</v>
      </c>
      <c r="PD41">
        <v>18.09333146903105</v>
      </c>
      <c r="PE41">
        <v>10.139637257656149</v>
      </c>
      <c r="PF41">
        <v>10.139637257656149</v>
      </c>
      <c r="PH41">
        <v>17.207338888507749</v>
      </c>
      <c r="PI41">
        <v>17.207338888507749</v>
      </c>
      <c r="PJ41">
        <v>9.3915551479593873</v>
      </c>
      <c r="PK41">
        <v>9.3915551479593873</v>
      </c>
      <c r="PM41" s="23">
        <v>10.366617565672176</v>
      </c>
      <c r="PN41" s="23">
        <v>10.366617565672176</v>
      </c>
      <c r="PO41" s="23">
        <v>5.7709751023018532</v>
      </c>
      <c r="PP41" s="23">
        <v>5.7709751023018532</v>
      </c>
      <c r="PR41">
        <v>4.7991072603926108</v>
      </c>
      <c r="PS41">
        <v>4.7991072603926108</v>
      </c>
      <c r="PT41">
        <v>2.719483010673688</v>
      </c>
      <c r="PU41">
        <v>2.719483010673688</v>
      </c>
      <c r="PW41">
        <v>21.557167669999995</v>
      </c>
      <c r="PX41">
        <v>21.557167669999995</v>
      </c>
      <c r="PY41">
        <v>15.65923621175847</v>
      </c>
      <c r="PZ41">
        <v>15.65923621175847</v>
      </c>
      <c r="QB41" s="23">
        <v>21.55716767000002</v>
      </c>
      <c r="QC41" s="23">
        <v>21.55716767000002</v>
      </c>
      <c r="QD41" s="23">
        <v>21.557167669999991</v>
      </c>
      <c r="QE41" s="23">
        <v>21.557167669999991</v>
      </c>
    </row>
    <row r="42" spans="1:447" x14ac:dyDescent="0.15">
      <c r="A42" s="23" t="s">
        <v>74</v>
      </c>
      <c r="C42" s="23">
        <f>C41-C40</f>
        <v>26.832992491893336</v>
      </c>
      <c r="D42" s="23">
        <f>D41-D40</f>
        <v>25.751637469765633</v>
      </c>
      <c r="E42" s="23">
        <f>E41-E40</f>
        <v>21.100510383871878</v>
      </c>
      <c r="F42" s="23">
        <f>F41-F40</f>
        <v>19.798599606965155</v>
      </c>
      <c r="I42" s="23">
        <v>26.832978982946692</v>
      </c>
      <c r="J42" s="23">
        <v>25.751626468868345</v>
      </c>
      <c r="K42" s="23">
        <v>38.341838916689767</v>
      </c>
      <c r="L42" s="23">
        <v>38.304398441188113</v>
      </c>
      <c r="N42" s="23">
        <v>22.371262577890043</v>
      </c>
      <c r="O42" s="23">
        <v>21.498000290984457</v>
      </c>
      <c r="P42" s="23">
        <v>34.258288554974598</v>
      </c>
      <c r="Q42" s="23">
        <v>33.546815862679857</v>
      </c>
      <c r="S42" s="23">
        <v>18.698400090167837</v>
      </c>
      <c r="T42" s="23">
        <v>17.31228971904779</v>
      </c>
      <c r="U42" s="23">
        <v>29.698038322545187</v>
      </c>
      <c r="V42" s="23">
        <v>28.857994097655805</v>
      </c>
      <c r="X42" s="23">
        <v>14.147475762645783</v>
      </c>
      <c r="Y42" s="23">
        <v>12.929556107645013</v>
      </c>
      <c r="Z42" s="23">
        <v>25.474831587364683</v>
      </c>
      <c r="AA42" s="23">
        <v>24.519306220127156</v>
      </c>
      <c r="AC42" s="23">
        <v>9.8400364911653391</v>
      </c>
      <c r="AD42" s="23">
        <v>8.4425577399375449</v>
      </c>
      <c r="AE42" s="23">
        <v>21.099702301060717</v>
      </c>
      <c r="AF42" s="23">
        <v>19.798595547034299</v>
      </c>
      <c r="AH42" s="23">
        <v>5.4409772111216537</v>
      </c>
      <c r="AI42" s="23">
        <v>3.5185233947118686</v>
      </c>
      <c r="AJ42" s="23">
        <v>16.301766944731156</v>
      </c>
      <c r="AK42" s="23">
        <v>15.528922182277098</v>
      </c>
      <c r="AM42" s="23">
        <v>2.3202658696539658</v>
      </c>
      <c r="AN42" s="23">
        <v>4.1897010269892121E-2</v>
      </c>
      <c r="AO42" s="23">
        <v>11.599634405593726</v>
      </c>
      <c r="AP42" s="23">
        <v>10.251675826184602</v>
      </c>
      <c r="AR42" s="23">
        <v>2.1684970088532509</v>
      </c>
      <c r="AS42" s="23">
        <v>3.9061486789194078E-2</v>
      </c>
      <c r="AT42" s="23">
        <v>6.6385881617315672</v>
      </c>
      <c r="AU42" s="23">
        <v>5.1651009341577829</v>
      </c>
      <c r="AW42" s="23">
        <v>2.0171588190504224</v>
      </c>
      <c r="AX42" s="23">
        <v>3.6241889903891433E-2</v>
      </c>
      <c r="AY42" s="23">
        <v>2.2707199887200673</v>
      </c>
      <c r="AZ42" s="23">
        <v>0.38689991632814014</v>
      </c>
      <c r="BB42" s="23">
        <v>1.8660508134908014</v>
      </c>
      <c r="BC42" s="23">
        <v>3.2222476498503738E-2</v>
      </c>
      <c r="BD42" s="23">
        <v>1.8184866174058101</v>
      </c>
      <c r="BE42" s="23">
        <v>3.281292393592139E-2</v>
      </c>
      <c r="BG42" s="23">
        <v>1.7158609916109384</v>
      </c>
      <c r="BH42" s="23">
        <v>3.0233401949459449E-2</v>
      </c>
      <c r="BI42" s="23">
        <v>1.6825303927148667</v>
      </c>
      <c r="BJ42" s="23">
        <v>3.0438384272855501E-2</v>
      </c>
      <c r="BL42" s="23">
        <v>1.1151474066002436</v>
      </c>
      <c r="BM42" s="23">
        <v>1.8902774667594713E-2</v>
      </c>
      <c r="BN42" s="23">
        <v>1.1424836153454265</v>
      </c>
      <c r="BO42" s="23">
        <v>2.0094418780104206E-2</v>
      </c>
      <c r="BQ42" s="23">
        <v>0.50928935370642137</v>
      </c>
      <c r="BR42" s="23">
        <v>8.1009307140931242E-3</v>
      </c>
      <c r="BS42" s="23">
        <v>0.59800454383270107</v>
      </c>
      <c r="BT42" s="23">
        <v>8.9578374074221756E-3</v>
      </c>
      <c r="BV42" s="23">
        <v>48.366668973477431</v>
      </c>
      <c r="BW42" s="23">
        <v>48.384950027611978</v>
      </c>
      <c r="BX42" s="23">
        <v>65.204022412458357</v>
      </c>
      <c r="BY42" s="23">
        <v>64.815001154709293</v>
      </c>
      <c r="CA42" s="23">
        <v>43.25145966987256</v>
      </c>
      <c r="CB42" s="23">
        <v>43.159314639564784</v>
      </c>
      <c r="CC42" s="23">
        <v>58.960669954586535</v>
      </c>
      <c r="CD42" s="23">
        <v>59.322142539469027</v>
      </c>
      <c r="CF42" s="23">
        <v>38.887670395384831</v>
      </c>
      <c r="CG42" s="23">
        <v>38.698326655683488</v>
      </c>
      <c r="CH42" s="23">
        <v>52.948600917582439</v>
      </c>
      <c r="CI42" s="23">
        <v>53.178116716195944</v>
      </c>
      <c r="CK42" s="23">
        <v>34.031425180135884</v>
      </c>
      <c r="CL42" s="23">
        <v>33.716939689551836</v>
      </c>
      <c r="CM42" s="23">
        <v>48.142594837510899</v>
      </c>
      <c r="CN42" s="23">
        <v>47.546216073059639</v>
      </c>
      <c r="CP42" s="23">
        <v>29.033798391717792</v>
      </c>
      <c r="CQ42" s="23">
        <v>28.610942445550133</v>
      </c>
      <c r="CR42" s="23">
        <v>42.121433549114229</v>
      </c>
      <c r="CS42" s="23">
        <v>42.129861428902494</v>
      </c>
      <c r="CU42" s="23">
        <v>24.242396037070222</v>
      </c>
      <c r="CV42" s="23">
        <v>23.708287006449922</v>
      </c>
      <c r="CW42" s="23">
        <v>36.367881854567415</v>
      </c>
      <c r="CX42" s="23">
        <v>36.25568387652217</v>
      </c>
      <c r="CZ42" s="23">
        <v>19.164772043026417</v>
      </c>
      <c r="DA42" s="23">
        <v>18.995580207065103</v>
      </c>
      <c r="DB42" s="23">
        <v>30.875824153982791</v>
      </c>
      <c r="DC42" s="23">
        <v>30.643554463171156</v>
      </c>
      <c r="DE42" s="23">
        <v>14.318201594707311</v>
      </c>
      <c r="DF42" s="23">
        <v>13.538052513635257</v>
      </c>
      <c r="DG42" s="23">
        <v>25.38912676651773</v>
      </c>
      <c r="DH42" s="23">
        <v>25.054705153707307</v>
      </c>
      <c r="DJ42" s="23">
        <v>8.8504974955207878</v>
      </c>
      <c r="DK42" s="23">
        <v>7.9501998996299825</v>
      </c>
      <c r="DL42" s="23">
        <v>19.360096777595224</v>
      </c>
      <c r="DM42" s="23">
        <v>18.896621007734318</v>
      </c>
      <c r="DO42" s="23">
        <v>1.3700577202190445</v>
      </c>
      <c r="DP42" s="23">
        <v>2.8834366999490157E-2</v>
      </c>
      <c r="DQ42" s="23">
        <v>7.7187452955672589</v>
      </c>
      <c r="DR42" s="23">
        <v>7.0570806343979191</v>
      </c>
      <c r="DT42" s="23">
        <v>0.85945436712715662</v>
      </c>
      <c r="DU42" s="23">
        <v>1.7869729281727587E-2</v>
      </c>
      <c r="DV42" s="23">
        <v>1.1967222842019041</v>
      </c>
      <c r="DW42" s="23">
        <v>1.6218938661978655E-2</v>
      </c>
      <c r="DY42" s="23">
        <v>0.34449830442605389</v>
      </c>
      <c r="DZ42" s="23">
        <v>6.9763023050484207E-3</v>
      </c>
      <c r="EA42" s="23">
        <v>0.34586282971012849</v>
      </c>
      <c r="EB42" s="23">
        <v>5.4785416305094259E-3</v>
      </c>
      <c r="ED42" s="23">
        <v>21.252781648281797</v>
      </c>
      <c r="EE42" s="23">
        <v>20.103637659174183</v>
      </c>
      <c r="EF42" s="23">
        <v>29.343571297323187</v>
      </c>
      <c r="EG42" s="23">
        <v>28.554669370907853</v>
      </c>
      <c r="EI42" s="23">
        <v>17.624208912670223</v>
      </c>
      <c r="EJ42" s="23">
        <v>16.642902894390492</v>
      </c>
      <c r="EK42" s="23">
        <v>25.653257695970215</v>
      </c>
      <c r="EL42" s="23">
        <v>24.770472069309537</v>
      </c>
      <c r="EN42" s="23">
        <v>14.059278224321581</v>
      </c>
      <c r="EO42" s="23">
        <v>12.940458475171383</v>
      </c>
      <c r="EP42" s="23">
        <v>21.654161199020862</v>
      </c>
      <c r="EQ42" s="23">
        <v>21.035965082128548</v>
      </c>
      <c r="ES42" s="23">
        <v>10.55356930791989</v>
      </c>
      <c r="ET42" s="23">
        <v>9.0646401893735806</v>
      </c>
      <c r="EU42" s="23">
        <v>18.004926528516691</v>
      </c>
      <c r="EV42" s="23">
        <v>16.9331273175913</v>
      </c>
      <c r="EX42" s="23">
        <v>8.7948540734476808</v>
      </c>
      <c r="EY42" s="23">
        <v>7.0485300297520439</v>
      </c>
      <c r="EZ42" s="23">
        <v>14.150195127055376</v>
      </c>
      <c r="FA42" s="23">
        <v>12.988700782193618</v>
      </c>
      <c r="FC42" s="23">
        <v>8.6523567303498474</v>
      </c>
      <c r="FD42" s="23">
        <v>7.0017973401665436</v>
      </c>
      <c r="FE42" s="23">
        <v>10.448012727576462</v>
      </c>
      <c r="FF42" s="23">
        <v>9.2088478123241018</v>
      </c>
      <c r="FH42" s="23">
        <v>8.5102424847394911</v>
      </c>
      <c r="FI42" s="23">
        <v>6.9547257368313193</v>
      </c>
      <c r="FJ42" s="23">
        <v>7.7611583100519486</v>
      </c>
      <c r="FK42" s="23">
        <v>6.2014895920572588</v>
      </c>
      <c r="FM42" s="23">
        <v>8.3687495977597539</v>
      </c>
      <c r="FN42" s="23">
        <v>6.9073213142917584</v>
      </c>
      <c r="FO42" s="23">
        <v>7.6184139134905102</v>
      </c>
      <c r="FP42" s="23">
        <v>6.1483610469578345</v>
      </c>
      <c r="FR42" s="23">
        <v>8.2273458064693763</v>
      </c>
      <c r="FS42" s="23">
        <v>6.8589763196466187</v>
      </c>
      <c r="FT42" s="23">
        <v>7.5159663891602548</v>
      </c>
      <c r="FU42" s="23">
        <v>6.1372743262624851</v>
      </c>
      <c r="FW42" s="23">
        <v>7.9456953788224478</v>
      </c>
      <c r="FX42" s="23">
        <v>6.7631677110756936</v>
      </c>
      <c r="FY42" s="23">
        <v>7.5320670310213851</v>
      </c>
      <c r="FZ42" s="23">
        <v>6.0723567834490746</v>
      </c>
      <c r="GB42" s="23">
        <v>7.422194573833373</v>
      </c>
      <c r="GC42" s="23">
        <v>6.6062817228718131</v>
      </c>
      <c r="GD42" s="23">
        <v>6.7570906830879673</v>
      </c>
      <c r="GE42" s="23">
        <v>5.8994356789312556</v>
      </c>
      <c r="GG42" s="23">
        <v>6.938647265028095</v>
      </c>
      <c r="GH42" s="23">
        <v>6.4871571370141226</v>
      </c>
      <c r="GI42" s="23">
        <v>6.2862151309214127</v>
      </c>
      <c r="GJ42" s="23">
        <v>5.7683959601091033</v>
      </c>
      <c r="GL42" s="23">
        <v>26.833029365405991</v>
      </c>
      <c r="GM42" s="23">
        <v>25.751627864910816</v>
      </c>
      <c r="GN42" s="23">
        <v>21.099702301060717</v>
      </c>
      <c r="GO42" s="23">
        <v>19.798595547034324</v>
      </c>
      <c r="GQ42" s="23">
        <v>21.071883553727936</v>
      </c>
      <c r="GR42" s="23">
        <v>19.29146902653769</v>
      </c>
      <c r="GS42" s="23">
        <v>12.377944316026564</v>
      </c>
      <c r="GT42" s="23">
        <v>10.184971794310172</v>
      </c>
      <c r="GV42" s="23">
        <v>23.200558046185659</v>
      </c>
      <c r="GW42" s="23">
        <v>21.350517409831358</v>
      </c>
      <c r="GX42" s="23">
        <v>13.800542009208634</v>
      </c>
      <c r="GY42" s="23">
        <v>11.4840424123528</v>
      </c>
      <c r="HA42" s="23">
        <v>28.959360267439344</v>
      </c>
      <c r="HB42" s="23">
        <v>27.798803196979925</v>
      </c>
      <c r="HC42" s="23">
        <v>22.898592951203995</v>
      </c>
      <c r="HD42" s="23">
        <v>21.512364599598925</v>
      </c>
      <c r="HF42" s="23">
        <v>16.803083741410852</v>
      </c>
      <c r="HG42" s="23">
        <v>14.900035070266815</v>
      </c>
      <c r="HH42" s="23">
        <v>13.524416166043551</v>
      </c>
      <c r="HI42" s="23">
        <v>11.484040292175514</v>
      </c>
      <c r="HK42" s="23">
        <v>18.052491180701693</v>
      </c>
      <c r="HL42" s="23">
        <v>16.492540945235007</v>
      </c>
      <c r="HM42" s="23">
        <v>16.324278255208299</v>
      </c>
      <c r="HN42" s="23">
        <v>15.283037054175225</v>
      </c>
      <c r="HP42">
        <v>21.535166510891159</v>
      </c>
      <c r="HQ42">
        <v>20.59269368264188</v>
      </c>
      <c r="HR42">
        <v>18.583742584579934</v>
      </c>
      <c r="HS42">
        <v>17.175973916599208</v>
      </c>
      <c r="HU42">
        <v>25.526153917131353</v>
      </c>
      <c r="HV42">
        <v>24.8032020657445</v>
      </c>
      <c r="HW42">
        <v>20.806339385930997</v>
      </c>
      <c r="HX42">
        <v>19.492717235487042</v>
      </c>
      <c r="HZ42">
        <v>31.090250478437227</v>
      </c>
      <c r="IA42">
        <v>30.197551945508998</v>
      </c>
      <c r="IB42">
        <v>24.401790868360408</v>
      </c>
      <c r="IC42">
        <v>23.201163510102376</v>
      </c>
      <c r="IE42">
        <v>26.887547283208036</v>
      </c>
      <c r="IF42">
        <v>25.80250696101249</v>
      </c>
      <c r="IG42">
        <v>21.136226068560816</v>
      </c>
      <c r="IH42">
        <v>19.827076877692605</v>
      </c>
      <c r="IJ42">
        <v>26.938746429613953</v>
      </c>
      <c r="IK42">
        <v>25.850850440448614</v>
      </c>
      <c r="IL42">
        <v>21.210846598090392</v>
      </c>
      <c r="IM42">
        <v>20.343130193415817</v>
      </c>
      <c r="IO42" s="86">
        <v>26.885460478707692</v>
      </c>
      <c r="IP42">
        <v>25.914704138064863</v>
      </c>
      <c r="IQ42">
        <v>21.1665066018113</v>
      </c>
      <c r="IR42">
        <v>20.403190022801446</v>
      </c>
      <c r="IT42">
        <v>27.042417318225272</v>
      </c>
      <c r="IU42">
        <v>25.950959983572854</v>
      </c>
      <c r="IV42">
        <v>21.562168277190633</v>
      </c>
      <c r="IW42">
        <v>20.741078081971107</v>
      </c>
      <c r="IY42">
        <v>26.214671558985145</v>
      </c>
      <c r="IZ42">
        <v>25.511749541126441</v>
      </c>
      <c r="JA42">
        <v>21.071055711452608</v>
      </c>
      <c r="JB42">
        <v>19.776015815952285</v>
      </c>
      <c r="JD42">
        <v>26.541221166024911</v>
      </c>
      <c r="JE42">
        <v>25.405646523283956</v>
      </c>
      <c r="JF42">
        <v>21.01779719337182</v>
      </c>
      <c r="JG42">
        <v>19.728317227536422</v>
      </c>
      <c r="JI42">
        <v>26.431548135697852</v>
      </c>
      <c r="JJ42">
        <v>25.339898851994796</v>
      </c>
      <c r="JK42">
        <v>20.932925042839571</v>
      </c>
      <c r="JL42">
        <v>19.654768414968558</v>
      </c>
      <c r="JN42">
        <v>16.619134016981619</v>
      </c>
      <c r="JO42">
        <v>15.412135024568853</v>
      </c>
      <c r="JP42">
        <v>15.321570821221302</v>
      </c>
      <c r="JQ42">
        <v>14.240447605116069</v>
      </c>
      <c r="JS42">
        <v>20.245770390036405</v>
      </c>
      <c r="JT42">
        <v>19.241043672235854</v>
      </c>
      <c r="JU42">
        <v>17.983268350057102</v>
      </c>
      <c r="JV42">
        <v>16.552081185281821</v>
      </c>
      <c r="JX42">
        <v>23.968036550489465</v>
      </c>
      <c r="JY42">
        <v>23.144852398228331</v>
      </c>
      <c r="JZ42">
        <v>19.778070613051192</v>
      </c>
      <c r="KA42">
        <v>18.883766386493477</v>
      </c>
      <c r="KC42">
        <v>28.876866795418426</v>
      </c>
      <c r="KD42">
        <v>27.868625531177788</v>
      </c>
      <c r="KE42">
        <v>22.257185689790788</v>
      </c>
      <c r="KF42">
        <v>21.002456288610517</v>
      </c>
      <c r="KH42">
        <v>31.083054563011498</v>
      </c>
      <c r="KI42">
        <v>30.188455162326928</v>
      </c>
      <c r="KJ42">
        <v>25.507497355190594</v>
      </c>
      <c r="KK42">
        <v>24.393855363833367</v>
      </c>
      <c r="KM42">
        <v>26.370481447076195</v>
      </c>
      <c r="KN42">
        <v>25.75163596572451</v>
      </c>
      <c r="KO42">
        <v>20.567165536385282</v>
      </c>
      <c r="KP42">
        <v>19.798607752628968</v>
      </c>
      <c r="KR42">
        <v>26.370477479804919</v>
      </c>
      <c r="KS42">
        <v>25.75163596572451</v>
      </c>
      <c r="KT42">
        <v>20.56716186783467</v>
      </c>
      <c r="KU42">
        <v>19.798607752628968</v>
      </c>
      <c r="KW42">
        <v>26.607608848551955</v>
      </c>
      <c r="KX42">
        <v>25.75163596572451</v>
      </c>
      <c r="KY42">
        <v>20.861856358172524</v>
      </c>
      <c r="KZ42">
        <v>19.798607752628968</v>
      </c>
      <c r="LB42">
        <v>26.628820085466984</v>
      </c>
      <c r="LC42">
        <v>25.75163596572451</v>
      </c>
      <c r="LD42">
        <v>21.323915685950951</v>
      </c>
      <c r="LE42">
        <v>19.798607752628968</v>
      </c>
      <c r="LG42">
        <v>26.803717447659935</v>
      </c>
      <c r="LH42">
        <v>25.75163596572451</v>
      </c>
      <c r="LI42">
        <v>21.520400859164738</v>
      </c>
      <c r="LJ42">
        <v>19.798607752628968</v>
      </c>
      <c r="LL42">
        <v>26.224969842429608</v>
      </c>
      <c r="LM42">
        <v>25.75163596572451</v>
      </c>
      <c r="LN42">
        <v>20.850727894690273</v>
      </c>
      <c r="LO42">
        <v>19.798607752628968</v>
      </c>
      <c r="LQ42">
        <v>26.346654496959808</v>
      </c>
      <c r="LR42">
        <v>25.240774454392628</v>
      </c>
      <c r="LS42">
        <v>20.746423572364119</v>
      </c>
      <c r="LT42">
        <v>19.435735554967597</v>
      </c>
      <c r="LV42">
        <v>25.853125428357558</v>
      </c>
      <c r="LW42">
        <v>24.72176561297767</v>
      </c>
      <c r="LX42">
        <v>20.389686839864865</v>
      </c>
      <c r="LY42">
        <v>19.061192400549466</v>
      </c>
      <c r="MA42">
        <v>25.373002424514368</v>
      </c>
      <c r="MB42">
        <v>24.197823052545374</v>
      </c>
      <c r="MC42">
        <v>20.041033440802423</v>
      </c>
      <c r="MD42">
        <v>19.176431312580512</v>
      </c>
      <c r="MF42">
        <v>13.67115713943274</v>
      </c>
      <c r="MG42">
        <v>12.347772032967907</v>
      </c>
      <c r="MH42">
        <v>13.578596383166396</v>
      </c>
      <c r="MI42">
        <v>12.431190383707413</v>
      </c>
      <c r="MK42">
        <v>31.479987480509934</v>
      </c>
      <c r="ML42">
        <v>30.603007552642353</v>
      </c>
      <c r="MM42">
        <v>29.334350254487532</v>
      </c>
      <c r="MN42">
        <v>28.402290702459361</v>
      </c>
      <c r="MP42">
        <v>25.94433824250396</v>
      </c>
      <c r="MQ42">
        <v>24.428298039795983</v>
      </c>
      <c r="MR42">
        <v>20.469424435905736</v>
      </c>
      <c r="MS42">
        <v>18.721595086907449</v>
      </c>
      <c r="MU42">
        <v>25.850506468327502</v>
      </c>
      <c r="MV42">
        <v>24.334166310753162</v>
      </c>
      <c r="MW42">
        <v>20.382270516800919</v>
      </c>
      <c r="MX42">
        <v>18.654201496608255</v>
      </c>
      <c r="MZ42">
        <v>25.71674344979948</v>
      </c>
      <c r="NA42">
        <v>24.222005571980716</v>
      </c>
      <c r="NB42">
        <v>20.282151792138421</v>
      </c>
      <c r="NC42">
        <v>18.577247821112572</v>
      </c>
      <c r="NE42">
        <v>27.148305876415513</v>
      </c>
      <c r="NF42">
        <v>26.478684098257766</v>
      </c>
      <c r="NG42">
        <v>21.639664843934085</v>
      </c>
      <c r="NH42">
        <v>20.792794307434932</v>
      </c>
      <c r="NJ42">
        <v>27.249298453729672</v>
      </c>
      <c r="NK42">
        <v>26.577160817096832</v>
      </c>
      <c r="NL42">
        <v>21.708562959046169</v>
      </c>
      <c r="NM42">
        <v>20.866204297945593</v>
      </c>
      <c r="NO42">
        <v>27.349187427254208</v>
      </c>
      <c r="NP42">
        <v>26.676040585091236</v>
      </c>
      <c r="NQ42">
        <v>22.247011434528218</v>
      </c>
      <c r="NR42">
        <v>21.419148290408465</v>
      </c>
      <c r="NT42">
        <v>26.224972716771074</v>
      </c>
      <c r="NU42">
        <v>25.751636302656511</v>
      </c>
      <c r="NV42">
        <v>20.850727002632311</v>
      </c>
      <c r="NW42">
        <v>19.798608530492785</v>
      </c>
      <c r="NY42">
        <v>26.883414642976724</v>
      </c>
      <c r="NZ42">
        <v>25.751842514106926</v>
      </c>
      <c r="OA42">
        <v>21.614145034758881</v>
      </c>
      <c r="OB42">
        <v>19.798632290017093</v>
      </c>
      <c r="OD42">
        <v>27.206011214391587</v>
      </c>
      <c r="OE42">
        <v>25.751638217888008</v>
      </c>
      <c r="OF42">
        <v>21.561157711029704</v>
      </c>
      <c r="OG42">
        <v>19.798609429192876</v>
      </c>
      <c r="OI42">
        <v>26.375322924544157</v>
      </c>
      <c r="OJ42">
        <v>25.290347444724887</v>
      </c>
      <c r="OK42">
        <v>20.889763096055798</v>
      </c>
      <c r="OL42">
        <v>19.618973955027496</v>
      </c>
      <c r="ON42">
        <v>27.091565308893347</v>
      </c>
      <c r="OO42">
        <v>25.908954970786713</v>
      </c>
      <c r="OP42">
        <v>21.600958262820747</v>
      </c>
      <c r="OQ42">
        <v>20.765641248017864</v>
      </c>
      <c r="OS42">
        <v>26.898042721891244</v>
      </c>
      <c r="OT42">
        <v>26.306426296317966</v>
      </c>
      <c r="OU42">
        <v>21.462923067620647</v>
      </c>
      <c r="OV42">
        <v>20.186145155616682</v>
      </c>
      <c r="OX42">
        <v>27.206526638585132</v>
      </c>
      <c r="OY42">
        <v>26.539752172218186</v>
      </c>
      <c r="OZ42">
        <v>22.088014654767676</v>
      </c>
      <c r="PA42">
        <v>20.813942334596462</v>
      </c>
      <c r="PC42">
        <v>26.994568315518862</v>
      </c>
      <c r="PD42">
        <v>26.323349477918818</v>
      </c>
      <c r="PE42">
        <v>21.78690618128163</v>
      </c>
      <c r="PF42">
        <v>20.505273401253298</v>
      </c>
      <c r="PH42">
        <v>26.100811834336668</v>
      </c>
      <c r="PI42">
        <v>24.982701502098728</v>
      </c>
      <c r="PJ42">
        <v>20.715744524259684</v>
      </c>
      <c r="PK42">
        <v>19.406780638564655</v>
      </c>
      <c r="PM42" s="23">
        <v>18.4186274739052</v>
      </c>
      <c r="PN42" s="23">
        <v>17.240999956200309</v>
      </c>
      <c r="PO42" s="23">
        <v>16.293222178484285</v>
      </c>
      <c r="PP42" s="23">
        <v>15.247503194972964</v>
      </c>
      <c r="PR42">
        <v>12.018816414135784</v>
      </c>
      <c r="PS42">
        <v>10.591557070137952</v>
      </c>
      <c r="PT42">
        <v>12.899826499034329</v>
      </c>
      <c r="PU42">
        <v>11.244520626916991</v>
      </c>
      <c r="PW42">
        <v>31.085954083099896</v>
      </c>
      <c r="PX42">
        <v>30.604073029466999</v>
      </c>
      <c r="PY42">
        <v>27.836516978780843</v>
      </c>
      <c r="PZ42">
        <v>26.82410629240642</v>
      </c>
      <c r="QB42" s="23">
        <v>31.896074902737311</v>
      </c>
      <c r="QC42" s="23">
        <v>31.039065397733673</v>
      </c>
      <c r="QD42" s="23">
        <v>34.524942506943674</v>
      </c>
      <c r="QE42" s="23">
        <v>33.797369691934158</v>
      </c>
    </row>
    <row r="43" spans="1:447" x14ac:dyDescent="0.15">
      <c r="A43" s="24" t="s">
        <v>169</v>
      </c>
      <c r="C43" s="24">
        <f>LN(C32/B32)</f>
        <v>-0.15762357790994655</v>
      </c>
      <c r="D43" s="24">
        <f>LN(D32/B32)</f>
        <v>-0.20793388578753441</v>
      </c>
      <c r="E43" s="24">
        <f>LN(E32/B32)</f>
        <v>-0.14384462666691714</v>
      </c>
      <c r="F43" s="24">
        <f>LN(F32/B32)</f>
        <v>-0.19087099220163592</v>
      </c>
      <c r="I43" s="24">
        <v>-0.15762549068906376</v>
      </c>
      <c r="J43" s="24">
        <v>-0.20793374860787153</v>
      </c>
      <c r="K43" s="24">
        <v>-0.13066307039150485</v>
      </c>
      <c r="L43" s="24">
        <v>-0.17147824803307635</v>
      </c>
      <c r="N43" s="24">
        <v>-0.16291159695341531</v>
      </c>
      <c r="O43" s="24">
        <v>-0.21537273042542168</v>
      </c>
      <c r="P43" s="24">
        <v>-0.13529233234164192</v>
      </c>
      <c r="Q43" s="24">
        <v>-0.17906564659165861</v>
      </c>
      <c r="S43" s="24">
        <v>-0.16606639248435329</v>
      </c>
      <c r="T43" s="24">
        <v>-0.21933721536565098</v>
      </c>
      <c r="U43" s="24">
        <v>-0.13977699440864583</v>
      </c>
      <c r="V43" s="24">
        <v>-0.1851790494819017</v>
      </c>
      <c r="X43" s="24">
        <v>-0.16817070710378765</v>
      </c>
      <c r="Y43" s="24">
        <v>-0.22273448852208494</v>
      </c>
      <c r="Z43" s="24">
        <v>-0.14204711571868153</v>
      </c>
      <c r="AA43" s="24">
        <v>-0.18833476465261798</v>
      </c>
      <c r="AC43" s="24">
        <v>-0.16818982747039329</v>
      </c>
      <c r="AD43" s="24">
        <v>-0.22297064945843373</v>
      </c>
      <c r="AE43" s="24">
        <v>-0.14384944929368093</v>
      </c>
      <c r="AF43" s="24">
        <v>-0.19087094265878299</v>
      </c>
      <c r="AH43" s="24">
        <v>-0.16642152638768659</v>
      </c>
      <c r="AI43" s="24">
        <v>-0.22271150292873854</v>
      </c>
      <c r="AJ43" s="24">
        <v>-0.14397027989967984</v>
      </c>
      <c r="AK43" s="24">
        <v>-0.19030784311700716</v>
      </c>
      <c r="AM43" s="24">
        <v>-0.16117401682403443</v>
      </c>
      <c r="AN43" s="24">
        <v>-0.21627520887757329</v>
      </c>
      <c r="AO43" s="24">
        <v>-0.1426100217416082</v>
      </c>
      <c r="AP43" s="24">
        <v>-0.19067657764262658</v>
      </c>
      <c r="AR43" s="24">
        <v>-0.14984731640496657</v>
      </c>
      <c r="AS43" s="24">
        <v>-0.20107910010122929</v>
      </c>
      <c r="AT43" s="24">
        <v>-0.14071439821432638</v>
      </c>
      <c r="AU43" s="24">
        <v>-0.18821854762273738</v>
      </c>
      <c r="AW43" s="24">
        <v>-0.13860243884709994</v>
      </c>
      <c r="AX43" s="24">
        <v>-0.18599161581123308</v>
      </c>
      <c r="AY43" s="24">
        <v>-0.13695224815602247</v>
      </c>
      <c r="AZ43" s="24">
        <v>-0.18278326111739548</v>
      </c>
      <c r="BB43" s="24">
        <v>-0.1274325037374168</v>
      </c>
      <c r="BC43" s="24">
        <v>-0.17099144617398554</v>
      </c>
      <c r="BD43" s="24">
        <v>-0.12583722911779696</v>
      </c>
      <c r="BE43" s="24">
        <v>-0.16889521365302212</v>
      </c>
      <c r="BG43" s="24">
        <v>-0.11632564736509582</v>
      </c>
      <c r="BH43" s="24">
        <v>-0.15610348419914552</v>
      </c>
      <c r="BI43" s="24">
        <v>-0.11479196343183438</v>
      </c>
      <c r="BJ43" s="24">
        <v>-0.15406935836965785</v>
      </c>
      <c r="BL43" s="24">
        <v>-7.2967996996498349E-2</v>
      </c>
      <c r="BM43" s="24">
        <v>-9.7909084812830088E-2</v>
      </c>
      <c r="BN43" s="24">
        <v>-7.1115558575741228E-2</v>
      </c>
      <c r="BO43" s="24">
        <v>-9.5464927707231917E-2</v>
      </c>
      <c r="BQ43" s="24">
        <v>-2.975891775241947E-2</v>
      </c>
      <c r="BR43" s="24">
        <v>-3.9922259916716454E-2</v>
      </c>
      <c r="BS43" s="24">
        <v>-2.802886606562013E-2</v>
      </c>
      <c r="BT43" s="24">
        <v>-3.7633330203020343E-2</v>
      </c>
      <c r="BV43" s="24">
        <v>-0.11045354134096917</v>
      </c>
      <c r="BW43" s="24">
        <v>-0.14697826933281682</v>
      </c>
      <c r="BX43" s="24">
        <v>-8.6433508563070943E-2</v>
      </c>
      <c r="BY43" s="24">
        <v>-0.11407949026693447</v>
      </c>
      <c r="CA43" s="24">
        <v>-0.11693319553942096</v>
      </c>
      <c r="CB43" s="24">
        <v>-0.15432190814136362</v>
      </c>
      <c r="CC43" s="24">
        <v>-9.2244142726808767E-2</v>
      </c>
      <c r="CD43" s="24">
        <v>-0.12115143120362699</v>
      </c>
      <c r="CF43" s="24">
        <v>-0.12046349989252572</v>
      </c>
      <c r="CG43" s="24">
        <v>-0.15916274864347155</v>
      </c>
      <c r="CH43" s="24">
        <v>-9.6547053505554328E-2</v>
      </c>
      <c r="CI43" s="24">
        <v>-0.12836510112777122</v>
      </c>
      <c r="CK43" s="24">
        <v>-0.12289083455505551</v>
      </c>
      <c r="CL43" s="24">
        <v>-0.16387020563242005</v>
      </c>
      <c r="CM43" s="24">
        <v>-0.10012017270132888</v>
      </c>
      <c r="CN43" s="24">
        <v>-0.13306519596954988</v>
      </c>
      <c r="CP43" s="24">
        <v>-0.12601487140073411</v>
      </c>
      <c r="CQ43" s="24">
        <v>-0.16687029710411802</v>
      </c>
      <c r="CR43" s="24">
        <v>-0.10345119412189274</v>
      </c>
      <c r="CS43" s="24">
        <v>-0.13654332627373372</v>
      </c>
      <c r="CU43" s="24">
        <v>-0.12693513987069924</v>
      </c>
      <c r="CV43" s="24">
        <v>-0.16825941481087314</v>
      </c>
      <c r="CW43" s="24">
        <v>-0.10571237599519333</v>
      </c>
      <c r="CX43" s="24">
        <v>-0.13971954219893606</v>
      </c>
      <c r="CZ43" s="24">
        <v>-0.1272355661224974</v>
      </c>
      <c r="DA43" s="24">
        <v>-0.16793371511312219</v>
      </c>
      <c r="DB43" s="24">
        <v>-0.10600386819786338</v>
      </c>
      <c r="DC43" s="24">
        <v>-0.14137949493120841</v>
      </c>
      <c r="DE43" s="24">
        <v>-0.12541875100059327</v>
      </c>
      <c r="DF43" s="24">
        <v>-0.16742215027426638</v>
      </c>
      <c r="DG43" s="24">
        <v>-0.10661173285823161</v>
      </c>
      <c r="DH43" s="24">
        <v>-0.1412419778940168</v>
      </c>
      <c r="DJ43" s="24">
        <v>-0.12369227927945028</v>
      </c>
      <c r="DK43" s="24">
        <v>-0.16538882178392364</v>
      </c>
      <c r="DL43" s="24">
        <v>-0.10568564485762287</v>
      </c>
      <c r="DM43" s="24">
        <v>-0.14114520533379257</v>
      </c>
      <c r="DO43" s="24">
        <v>-0.11177940547741601</v>
      </c>
      <c r="DP43" s="24">
        <v>-0.15004887924947161</v>
      </c>
      <c r="DQ43" s="24">
        <v>-0.10132504177053117</v>
      </c>
      <c r="DR43" s="24">
        <v>-0.13465939556261197</v>
      </c>
      <c r="DT43" s="24">
        <v>-6.8229853757722461E-2</v>
      </c>
      <c r="DU43" s="24">
        <v>-9.1589128641080986E-2</v>
      </c>
      <c r="DV43" s="24">
        <v>-6.4537909973337887E-2</v>
      </c>
      <c r="DW43" s="24">
        <v>-8.6370693615500899E-2</v>
      </c>
      <c r="DY43" s="24">
        <v>-2.5215231749843327E-2</v>
      </c>
      <c r="DZ43" s="24">
        <v>-3.3852169104045114E-2</v>
      </c>
      <c r="EA43" s="24">
        <v>-2.139207677374667E-2</v>
      </c>
      <c r="EB43" s="24">
        <v>-2.8720087500694696E-2</v>
      </c>
      <c r="ED43" s="24">
        <v>-0.15045656966111332</v>
      </c>
      <c r="EE43" s="24">
        <v>-0.19973394352317039</v>
      </c>
      <c r="EF43" s="24">
        <v>-0.13044461236232446</v>
      </c>
      <c r="EG43" s="24">
        <v>-0.17282368685682059</v>
      </c>
      <c r="EI43" s="24">
        <v>-0.15400282005648033</v>
      </c>
      <c r="EJ43" s="24">
        <v>-0.20406625399978651</v>
      </c>
      <c r="EK43" s="24">
        <v>-0.13398354420505287</v>
      </c>
      <c r="EL43" s="24">
        <v>-0.17763026829725356</v>
      </c>
      <c r="EN43" s="24">
        <v>-0.15643573234034069</v>
      </c>
      <c r="EO43" s="24">
        <v>-0.2074272802081609</v>
      </c>
      <c r="EP43" s="24">
        <v>-0.13707712759901319</v>
      </c>
      <c r="EQ43" s="24">
        <v>-0.18107566827343907</v>
      </c>
      <c r="ES43" s="24">
        <v>-0.15687540843521683</v>
      </c>
      <c r="ET43" s="24">
        <v>-0.20866910219034607</v>
      </c>
      <c r="EU43" s="24">
        <v>-0.13798877748866339</v>
      </c>
      <c r="EV43" s="24">
        <v>-0.18316619604594181</v>
      </c>
      <c r="EX43" s="24">
        <v>-0.15144435355392336</v>
      </c>
      <c r="EY43" s="24">
        <v>-0.20318417022329724</v>
      </c>
      <c r="EZ43" s="24">
        <v>-0.13819019306324581</v>
      </c>
      <c r="FA43" s="24">
        <v>-0.18354562055231846</v>
      </c>
      <c r="FC43" s="24">
        <v>-0.14320144645435604</v>
      </c>
      <c r="FD43" s="24">
        <v>-0.19212730208308262</v>
      </c>
      <c r="FE43" s="24">
        <v>-0.13657010019875285</v>
      </c>
      <c r="FF43" s="24">
        <v>-0.18149434317103966</v>
      </c>
      <c r="FH43" s="24">
        <v>-0.13497966472666825</v>
      </c>
      <c r="FI43" s="24">
        <v>-0.18109922636177575</v>
      </c>
      <c r="FJ43" s="24">
        <v>-0.13173411589160089</v>
      </c>
      <c r="FK43" s="24">
        <v>-0.17674195627104922</v>
      </c>
      <c r="FM43" s="24">
        <v>-0.1267742492064238</v>
      </c>
      <c r="FN43" s="24">
        <v>-0.17009631693698493</v>
      </c>
      <c r="FO43" s="24">
        <v>-0.12325722298531505</v>
      </c>
      <c r="FP43" s="24">
        <v>-0.16537273125875918</v>
      </c>
      <c r="FR43" s="24">
        <v>-0.11858782789651134</v>
      </c>
      <c r="FS43" s="24">
        <v>-0.15910852234908451</v>
      </c>
      <c r="FT43" s="24">
        <v>-0.11430334053712428</v>
      </c>
      <c r="FU43" s="24">
        <v>-0.15337207233917063</v>
      </c>
      <c r="FW43" s="24">
        <v>-0.10225417114979009</v>
      </c>
      <c r="FX43" s="24">
        <v>-0.1372029477405517</v>
      </c>
      <c r="FY43" s="24">
        <v>-9.7430622579817813E-2</v>
      </c>
      <c r="FZ43" s="24">
        <v>-0.1301269204266646</v>
      </c>
      <c r="GB43" s="24">
        <v>-6.9168069249060854E-2</v>
      </c>
      <c r="GC43" s="24">
        <v>-9.2817488482850902E-2</v>
      </c>
      <c r="GD43" s="24">
        <v>-6.291877699775833E-2</v>
      </c>
      <c r="GE43" s="24">
        <v>-8.4440627877000421E-2</v>
      </c>
      <c r="GG43" s="24">
        <v>-3.5716749795179234E-2</v>
      </c>
      <c r="GH43" s="24">
        <v>-4.7934723853233607E-2</v>
      </c>
      <c r="GI43" s="24">
        <v>-2.8531759145449479E-2</v>
      </c>
      <c r="GJ43" s="24">
        <v>-3.8296791349911853E-2</v>
      </c>
      <c r="GL43" s="24">
        <v>-0.15762372681302264</v>
      </c>
      <c r="GM43" s="24">
        <v>-0.20793376583898276</v>
      </c>
      <c r="GN43" s="24">
        <v>-0.14384944929368093</v>
      </c>
      <c r="GO43" s="24">
        <v>-0.19087094265878346</v>
      </c>
      <c r="GQ43" s="24">
        <v>-0.1706827116704567</v>
      </c>
      <c r="GR43" s="24">
        <v>-0.2266084396378461</v>
      </c>
      <c r="GS43" s="24">
        <v>-0.15881924213063647</v>
      </c>
      <c r="GT43" s="24">
        <v>-0.21192079886232984</v>
      </c>
      <c r="GV43" s="24">
        <v>-0.14368125386457595</v>
      </c>
      <c r="GW43" s="24">
        <v>-0.19577526838003681</v>
      </c>
      <c r="GX43" s="24">
        <v>-0.14410002829930901</v>
      </c>
      <c r="GY43" s="24">
        <v>-0.19672112476070258</v>
      </c>
      <c r="HA43" s="24">
        <v>-0.12955795907027054</v>
      </c>
      <c r="HB43" s="24">
        <v>-0.17638235080446188</v>
      </c>
      <c r="HC43" s="24">
        <v>-0.12773885238061664</v>
      </c>
      <c r="HD43" s="24">
        <v>-0.17309281642860963</v>
      </c>
      <c r="HF43" s="24">
        <v>-0.13808736876976452</v>
      </c>
      <c r="HG43" s="24">
        <v>-0.18859864871357634</v>
      </c>
      <c r="HH43" s="24">
        <v>-0.14409927062559472</v>
      </c>
      <c r="HI43" s="24">
        <v>-0.19672109758830494</v>
      </c>
      <c r="HK43" s="24">
        <v>-0.19862248703208513</v>
      </c>
      <c r="HL43" s="24">
        <v>-0.26369665127412145</v>
      </c>
      <c r="HM43" s="24">
        <v>-0.15747923367336847</v>
      </c>
      <c r="HN43" s="24">
        <v>-0.20934865901294619</v>
      </c>
      <c r="HP43">
        <v>-0.18239711913439513</v>
      </c>
      <c r="HQ43">
        <v>-0.24096241742915855</v>
      </c>
      <c r="HR43">
        <v>-0.1517277896860203</v>
      </c>
      <c r="HS43">
        <v>-0.20137873695788924</v>
      </c>
      <c r="HU43">
        <v>-0.1633042590365521</v>
      </c>
      <c r="HV43">
        <v>-0.21427079552666878</v>
      </c>
      <c r="HW43">
        <v>-0.14492318328431336</v>
      </c>
      <c r="HX43">
        <v>-0.19231010826018052</v>
      </c>
      <c r="HZ43">
        <v>-0.13236698987368223</v>
      </c>
      <c r="IA43">
        <v>-0.17713277449496559</v>
      </c>
      <c r="IB43">
        <v>-0.13297469992952018</v>
      </c>
      <c r="IC43">
        <v>-0.17586300769086102</v>
      </c>
      <c r="IE43">
        <v>-0.15867677073778608</v>
      </c>
      <c r="IF43">
        <v>-0.20778682825211628</v>
      </c>
      <c r="IG43">
        <v>-0.1446597480132516</v>
      </c>
      <c r="IH43">
        <v>-0.1905087091454587</v>
      </c>
      <c r="IJ43">
        <v>-0.15963978609615989</v>
      </c>
      <c r="IK43">
        <v>-0.20761015649764322</v>
      </c>
      <c r="IL43">
        <v>-0.14467192362762654</v>
      </c>
      <c r="IM43">
        <v>-0.18934131997065834</v>
      </c>
      <c r="IO43" s="86">
        <v>-0.15963978610279089</v>
      </c>
      <c r="IP43">
        <v>-0.20761015650423673</v>
      </c>
      <c r="IQ43">
        <v>-0.14467192363425743</v>
      </c>
      <c r="IR43">
        <v>-0.18934131997730572</v>
      </c>
      <c r="IT43">
        <v>-0.16145116644927843</v>
      </c>
      <c r="IU43">
        <v>-0.20729881887580109</v>
      </c>
      <c r="IV43">
        <v>-0.14613820796722055</v>
      </c>
      <c r="IW43">
        <v>-0.18779978820898038</v>
      </c>
      <c r="IY43">
        <v>-0.157448518052311</v>
      </c>
      <c r="IZ43">
        <v>-0.20957465677015724</v>
      </c>
      <c r="JA43">
        <v>-0.14297604486253826</v>
      </c>
      <c r="JB43">
        <v>-0.1912286224269765</v>
      </c>
      <c r="JD43">
        <v>-0.15537762550415452</v>
      </c>
      <c r="JE43">
        <v>-0.2092584689777644</v>
      </c>
      <c r="JF43">
        <v>-0.14193714114415659</v>
      </c>
      <c r="JG43">
        <v>-0.19147150556638351</v>
      </c>
      <c r="JI43">
        <v>-0.15286780928187452</v>
      </c>
      <c r="JJ43">
        <v>-0.21004880885574551</v>
      </c>
      <c r="JK43">
        <v>-0.13981664539251837</v>
      </c>
      <c r="JL43">
        <v>-0.19207999121661154</v>
      </c>
      <c r="JN43">
        <v>-0.20371186588554402</v>
      </c>
      <c r="JO43">
        <v>-0.27087385199975161</v>
      </c>
      <c r="JP43">
        <v>-0.1605021098173029</v>
      </c>
      <c r="JQ43">
        <v>-0.21338634407967241</v>
      </c>
      <c r="JS43">
        <v>-0.18854759322128503</v>
      </c>
      <c r="JT43">
        <v>-0.24909906365421644</v>
      </c>
      <c r="JU43">
        <v>-0.15372897791329027</v>
      </c>
      <c r="JV43">
        <v>-0.20404191592671128</v>
      </c>
      <c r="JX43">
        <v>-0.17033366986049506</v>
      </c>
      <c r="JY43">
        <v>-0.22500183508412944</v>
      </c>
      <c r="JZ43">
        <v>-0.14769657158407162</v>
      </c>
      <c r="KA43">
        <v>-0.19501672746470566</v>
      </c>
      <c r="KC43">
        <v>-0.14565340182035624</v>
      </c>
      <c r="KD43">
        <v>-0.19331232198534345</v>
      </c>
      <c r="KE43">
        <v>-0.13983449911854984</v>
      </c>
      <c r="KF43">
        <v>-0.18551889386463727</v>
      </c>
      <c r="KH43">
        <v>-0.13234641547537401</v>
      </c>
      <c r="KI43">
        <v>-0.17707929808524098</v>
      </c>
      <c r="KJ43">
        <v>-0.1289216356357607</v>
      </c>
      <c r="KK43">
        <v>-0.17099280012706861</v>
      </c>
      <c r="KM43">
        <v>-0.17464473394144195</v>
      </c>
      <c r="KN43">
        <v>-0.20793386717904835</v>
      </c>
      <c r="KO43">
        <v>-0.15930436270459389</v>
      </c>
      <c r="KP43">
        <v>-0.19087108999772137</v>
      </c>
      <c r="KR43">
        <v>-0.17464468538669364</v>
      </c>
      <c r="KS43">
        <v>-0.20793386717904835</v>
      </c>
      <c r="KT43">
        <v>-0.15930431741409451</v>
      </c>
      <c r="KU43">
        <v>-0.19087108999772137</v>
      </c>
      <c r="KW43">
        <v>-0.16622854812179966</v>
      </c>
      <c r="KX43">
        <v>-0.20793386717904835</v>
      </c>
      <c r="KY43">
        <v>-0.150641412260759</v>
      </c>
      <c r="KZ43">
        <v>-0.19087108999772137</v>
      </c>
      <c r="LB43">
        <v>-0.15070087640806848</v>
      </c>
      <c r="LC43">
        <v>-0.20793386717904835</v>
      </c>
      <c r="LD43">
        <v>-0.13679089254820903</v>
      </c>
      <c r="LE43">
        <v>-0.19087108999772137</v>
      </c>
      <c r="LG43">
        <v>-0.14363228701880512</v>
      </c>
      <c r="LH43">
        <v>-0.20793386717904835</v>
      </c>
      <c r="LI43">
        <v>-0.13039684837647747</v>
      </c>
      <c r="LJ43">
        <v>-0.19087108999772137</v>
      </c>
      <c r="LL43">
        <v>-0.17983856639326296</v>
      </c>
      <c r="LM43">
        <v>-0.20793386717904835</v>
      </c>
      <c r="LN43">
        <v>-0.16317848799500495</v>
      </c>
      <c r="LO43">
        <v>-0.19087108999772137</v>
      </c>
      <c r="LQ43">
        <v>-0.16041809758308731</v>
      </c>
      <c r="LR43">
        <v>-0.21167592784600295</v>
      </c>
      <c r="LS43">
        <v>-0.14475608030032724</v>
      </c>
      <c r="LT43">
        <v>-0.19211889485814654</v>
      </c>
      <c r="LV43">
        <v>-0.16317003016405274</v>
      </c>
      <c r="LW43">
        <v>-0.21534893273893496</v>
      </c>
      <c r="LX43">
        <v>-0.14562864379811954</v>
      </c>
      <c r="LY43">
        <v>-0.19319943427213707</v>
      </c>
      <c r="MA43">
        <v>-0.16482657899844541</v>
      </c>
      <c r="MB43">
        <v>-0.21899090065490398</v>
      </c>
      <c r="MC43">
        <v>-0.14646162879149863</v>
      </c>
      <c r="MD43">
        <v>-0.19347267753717412</v>
      </c>
      <c r="MF43">
        <v>-0.21655821411877904</v>
      </c>
      <c r="MG43">
        <v>-0.28618376225724146</v>
      </c>
      <c r="MH43">
        <v>-0.16527635403108004</v>
      </c>
      <c r="MI43">
        <v>-0.21974835379121674</v>
      </c>
      <c r="MK43">
        <v>-0.13142815106102371</v>
      </c>
      <c r="ML43">
        <v>-0.17584081942151791</v>
      </c>
      <c r="MM43">
        <v>-0.11529327661795984</v>
      </c>
      <c r="MN43">
        <v>-0.151670511878188</v>
      </c>
      <c r="MP43">
        <v>-0.1518406377479406</v>
      </c>
      <c r="MQ43">
        <v>-0.21406403397343574</v>
      </c>
      <c r="MR43">
        <v>-0.13773459036872637</v>
      </c>
      <c r="MS43">
        <v>-0.19543535271953394</v>
      </c>
      <c r="MU43">
        <v>-0.14755270479898946</v>
      </c>
      <c r="MV43">
        <v>-0.2144147065103815</v>
      </c>
      <c r="MW43">
        <v>-0.13504509965124126</v>
      </c>
      <c r="MX43">
        <v>-0.1961892498911437</v>
      </c>
      <c r="MZ43">
        <v>-0.14398387749913116</v>
      </c>
      <c r="NA43">
        <v>-0.21490387048265136</v>
      </c>
      <c r="NB43">
        <v>-0.13206587961085406</v>
      </c>
      <c r="NC43">
        <v>-0.19711502028018282</v>
      </c>
      <c r="NE43">
        <v>-0.16309959172495064</v>
      </c>
      <c r="NF43">
        <v>-0.20574588007678182</v>
      </c>
      <c r="NG43">
        <v>-0.14754853303880541</v>
      </c>
      <c r="NH43">
        <v>-0.18709046642594548</v>
      </c>
      <c r="NJ43">
        <v>-0.16458621969255874</v>
      </c>
      <c r="NK43">
        <v>-0.20540864646908455</v>
      </c>
      <c r="NL43">
        <v>-0.14875317268774918</v>
      </c>
      <c r="NM43">
        <v>-0.18664075805157451</v>
      </c>
      <c r="NO43">
        <v>-0.1659364938168631</v>
      </c>
      <c r="NP43">
        <v>-0.20507832294997758</v>
      </c>
      <c r="NQ43">
        <v>-0.14919679854514489</v>
      </c>
      <c r="NR43">
        <v>-0.18520224257320814</v>
      </c>
      <c r="NT43">
        <v>-0.17983859528065044</v>
      </c>
      <c r="NU43">
        <v>-0.20793387212462741</v>
      </c>
      <c r="NV43">
        <v>-0.16317845632711031</v>
      </c>
      <c r="NW43">
        <v>-0.19087110062536936</v>
      </c>
      <c r="NY43">
        <v>-0.1403405996662109</v>
      </c>
      <c r="NZ43">
        <v>-0.20793645226112115</v>
      </c>
      <c r="OA43">
        <v>-0.12749172182185656</v>
      </c>
      <c r="OB43">
        <v>-0.19087137211093028</v>
      </c>
      <c r="OD43">
        <v>-0.12677180300138466</v>
      </c>
      <c r="OE43">
        <v>-0.2079338963537801</v>
      </c>
      <c r="OF43">
        <v>-0.11494439410285569</v>
      </c>
      <c r="OG43">
        <v>-0.19087111129563752</v>
      </c>
      <c r="OI43">
        <v>-0.15150101709591871</v>
      </c>
      <c r="OJ43">
        <v>-0.21022854064873439</v>
      </c>
      <c r="OK43">
        <v>-0.13866620784615852</v>
      </c>
      <c r="OL43">
        <v>-0.19241852864565509</v>
      </c>
      <c r="ON43">
        <v>-0.16229913987254554</v>
      </c>
      <c r="OO43">
        <v>-0.20613442144886282</v>
      </c>
      <c r="OP43">
        <v>-0.14686001613183353</v>
      </c>
      <c r="OQ43">
        <v>-0.18742434710390762</v>
      </c>
      <c r="OS43">
        <v>-0.15558037543741501</v>
      </c>
      <c r="OT43">
        <v>-0.2047689081137497</v>
      </c>
      <c r="OU43">
        <v>-0.1418434982547126</v>
      </c>
      <c r="OV43">
        <v>-0.18988873996847308</v>
      </c>
      <c r="OX43">
        <v>-0.15278446163536288</v>
      </c>
      <c r="OY43">
        <v>-0.20161440712754489</v>
      </c>
      <c r="OZ43">
        <v>-0.14090594576861673</v>
      </c>
      <c r="PA43">
        <v>-0.18683599825407232</v>
      </c>
      <c r="PC43">
        <v>-0.15426213171271966</v>
      </c>
      <c r="PD43">
        <v>-0.20366350867888103</v>
      </c>
      <c r="PE43">
        <v>-0.14194499576654476</v>
      </c>
      <c r="PF43">
        <v>-0.18828245883400585</v>
      </c>
      <c r="PH43">
        <v>-0.16179954752315073</v>
      </c>
      <c r="PI43">
        <v>-0.21352618544990709</v>
      </c>
      <c r="PJ43">
        <v>-0.14472400506099459</v>
      </c>
      <c r="PK43">
        <v>-0.19209402332680625</v>
      </c>
      <c r="PM43" s="24">
        <v>-0.19655736239691829</v>
      </c>
      <c r="PN43" s="24">
        <v>-0.26064545000035888</v>
      </c>
      <c r="PO43" s="24">
        <v>-0.1574924978455664</v>
      </c>
      <c r="PP43" s="24">
        <v>-0.20939231249408904</v>
      </c>
      <c r="PR43">
        <v>-0.22217158864467021</v>
      </c>
      <c r="PS43">
        <v>-0.29540091980664573</v>
      </c>
      <c r="PT43">
        <v>-0.16749656220307985</v>
      </c>
      <c r="PU43">
        <v>-0.2237248998039848</v>
      </c>
      <c r="PW43">
        <v>-0.13231626501809887</v>
      </c>
      <c r="PX43">
        <v>-0.1758971590285526</v>
      </c>
      <c r="PY43">
        <v>-0.12025275321356069</v>
      </c>
      <c r="PZ43">
        <v>-0.15946114208182333</v>
      </c>
      <c r="QB43" s="24">
        <v>-0.13030260995535425</v>
      </c>
      <c r="QC43" s="24">
        <v>-0.17432624232606236</v>
      </c>
      <c r="QD43" s="24">
        <v>-9.3570322889921453E-2</v>
      </c>
      <c r="QE43" s="24">
        <v>-0.12503223182467993</v>
      </c>
    </row>
    <row r="44" spans="1:447" x14ac:dyDescent="0.15">
      <c r="A44" s="24" t="s">
        <v>170</v>
      </c>
      <c r="C44" s="24">
        <f>LN(C33/B33)</f>
        <v>0.14228922376377001</v>
      </c>
      <c r="D44" s="24">
        <f>LN(D33/B33)</f>
        <v>9.1978915886182067E-2</v>
      </c>
      <c r="E44" s="24">
        <f>LN(E33/B33)</f>
        <v>9.2488989322953005E-2</v>
      </c>
      <c r="F44" s="24">
        <f>LN(F33/B33)</f>
        <v>4.5462623788234326E-2</v>
      </c>
      <c r="I44" s="24">
        <v>0.14228731098465269</v>
      </c>
      <c r="J44" s="24">
        <v>9.1979053065844973E-2</v>
      </c>
      <c r="K44" s="24">
        <v>0.16803344554341296</v>
      </c>
      <c r="L44" s="24">
        <v>0.12721826790184124</v>
      </c>
      <c r="N44" s="24">
        <v>0.12117586269052456</v>
      </c>
      <c r="O44" s="24">
        <v>6.8714729218518095E-2</v>
      </c>
      <c r="P44" s="24">
        <v>0.14759743434699996</v>
      </c>
      <c r="Q44" s="24">
        <v>0.10382412009698326</v>
      </c>
      <c r="S44" s="24">
        <v>0.10234789677298191</v>
      </c>
      <c r="T44" s="24">
        <v>4.9077073891684038E-2</v>
      </c>
      <c r="U44" s="24">
        <v>0.12745692381244103</v>
      </c>
      <c r="V44" s="24">
        <v>8.2054868739185272E-2</v>
      </c>
      <c r="X44" s="24">
        <v>8.4712080178049085E-2</v>
      </c>
      <c r="Y44" s="24">
        <v>3.0148298759751575E-2</v>
      </c>
      <c r="Z44" s="24">
        <v>0.10967141039265256</v>
      </c>
      <c r="AA44" s="24">
        <v>6.3383761458716104E-2</v>
      </c>
      <c r="AC44" s="24">
        <v>6.9293098535789494E-2</v>
      </c>
      <c r="AD44" s="24">
        <v>1.4512276547749231E-2</v>
      </c>
      <c r="AE44" s="24">
        <v>9.2484166696189321E-2</v>
      </c>
      <c r="AF44" s="24">
        <v>4.5462673331086799E-2</v>
      </c>
      <c r="AH44" s="24">
        <v>5.5783582524992978E-2</v>
      </c>
      <c r="AI44" s="24">
        <v>-5.0639401605879206E-4</v>
      </c>
      <c r="AJ44" s="24">
        <v>7.7099359789606123E-2</v>
      </c>
      <c r="AK44" s="24">
        <v>3.0761796572278809E-2</v>
      </c>
      <c r="AM44" s="24">
        <v>4.5866113337532828E-2</v>
      </c>
      <c r="AN44" s="24">
        <v>-9.2350787160060278E-3</v>
      </c>
      <c r="AO44" s="24">
        <v>6.3307413407024601E-2</v>
      </c>
      <c r="AP44" s="24">
        <v>1.524085750600635E-2</v>
      </c>
      <c r="AR44" s="24">
        <v>4.2131821020837665E-2</v>
      </c>
      <c r="AS44" s="24">
        <v>-9.0999626754251477E-3</v>
      </c>
      <c r="AT44" s="24">
        <v>5.0153791403152743E-2</v>
      </c>
      <c r="AU44" s="24">
        <v>2.6496419947416362E-3</v>
      </c>
      <c r="AW44" s="24">
        <v>3.84111588247915E-2</v>
      </c>
      <c r="AX44" s="24">
        <v>-8.9780181393417698E-3</v>
      </c>
      <c r="AY44" s="24">
        <v>3.8961157605417185E-2</v>
      </c>
      <c r="AZ44" s="24">
        <v>-6.8698553559558275E-3</v>
      </c>
      <c r="BB44" s="24">
        <v>3.4702761793270302E-2</v>
      </c>
      <c r="BC44" s="24">
        <v>-8.8561806432984509E-3</v>
      </c>
      <c r="BD44" s="24">
        <v>3.5207641200550095E-2</v>
      </c>
      <c r="BE44" s="24">
        <v>-7.850343334675252E-3</v>
      </c>
      <c r="BG44" s="24">
        <v>3.1010506578208901E-2</v>
      </c>
      <c r="BH44" s="24">
        <v>-8.7673302558407967E-3</v>
      </c>
      <c r="BI44" s="24">
        <v>3.1462661562780173E-2</v>
      </c>
      <c r="BJ44" s="24">
        <v>-7.8147333750431414E-3</v>
      </c>
      <c r="BL44" s="24">
        <v>1.5811730813669087E-2</v>
      </c>
      <c r="BM44" s="24">
        <v>-9.1293570026625467E-3</v>
      </c>
      <c r="BN44" s="24">
        <v>1.6609270869732101E-2</v>
      </c>
      <c r="BO44" s="24">
        <v>-7.7400982617586728E-3</v>
      </c>
      <c r="BQ44" s="24">
        <v>1.1428553742193878E-3</v>
      </c>
      <c r="BR44" s="24">
        <v>-9.0204867900776746E-3</v>
      </c>
      <c r="BS44" s="24">
        <v>1.8313116542346298E-3</v>
      </c>
      <c r="BT44" s="24">
        <v>-7.7731524831653733E-3</v>
      </c>
      <c r="BV44" s="24">
        <v>0.18763568076801615</v>
      </c>
      <c r="BW44" s="24">
        <v>0.15111095277616868</v>
      </c>
      <c r="BX44" s="24">
        <v>0.21104898276369663</v>
      </c>
      <c r="BY44" s="24">
        <v>0.18340300105983315</v>
      </c>
      <c r="CA44" s="24">
        <v>0.16535851614350225</v>
      </c>
      <c r="CB44" s="24">
        <v>0.1279698035415594</v>
      </c>
      <c r="CC44" s="24">
        <v>0.18945003876363223</v>
      </c>
      <c r="CD44" s="24">
        <v>0.160542750286814</v>
      </c>
      <c r="CF44" s="24">
        <v>0.14618096944349473</v>
      </c>
      <c r="CG44" s="24">
        <v>0.10748172069254888</v>
      </c>
      <c r="CH44" s="24">
        <v>0.16950845533597167</v>
      </c>
      <c r="CI44" s="24">
        <v>0.13769040771375476</v>
      </c>
      <c r="CK44" s="24">
        <v>0.12824624524417103</v>
      </c>
      <c r="CL44" s="24">
        <v>8.7266874166806535E-2</v>
      </c>
      <c r="CM44" s="24">
        <v>0.15043591439363216</v>
      </c>
      <c r="CN44" s="24">
        <v>0.11749089112541121</v>
      </c>
      <c r="CP44" s="24">
        <v>0.10974472374199622</v>
      </c>
      <c r="CQ44" s="24">
        <v>6.8889298038612226E-2</v>
      </c>
      <c r="CR44" s="24">
        <v>0.1317348004857376</v>
      </c>
      <c r="CS44" s="24">
        <v>9.8642668333896524E-2</v>
      </c>
      <c r="CU44" s="24">
        <v>9.3567351292189516E-2</v>
      </c>
      <c r="CV44" s="24">
        <v>5.2243076352015624E-2</v>
      </c>
      <c r="CW44" s="24">
        <v>0.11422335500451745</v>
      </c>
      <c r="CX44" s="24">
        <v>8.0216188800774788E-2</v>
      </c>
      <c r="CZ44" s="24">
        <v>7.8121061371684619E-2</v>
      </c>
      <c r="DA44" s="24">
        <v>3.742291238106011E-2</v>
      </c>
      <c r="DB44" s="24">
        <v>9.8792309274789353E-2</v>
      </c>
      <c r="DC44" s="24">
        <v>6.3416682541444475E-2</v>
      </c>
      <c r="DE44" s="24">
        <v>6.48944599952197E-2</v>
      </c>
      <c r="DF44" s="24">
        <v>2.2891060721546435E-2</v>
      </c>
      <c r="DG44" s="24">
        <v>8.3146827518693525E-2</v>
      </c>
      <c r="DH44" s="24">
        <v>4.8516582482908348E-2</v>
      </c>
      <c r="DJ44" s="24">
        <v>5.1671482738280677E-2</v>
      </c>
      <c r="DK44" s="24">
        <v>9.9749402338071575E-3</v>
      </c>
      <c r="DL44" s="24">
        <v>6.9128772779706665E-2</v>
      </c>
      <c r="DM44" s="24">
        <v>3.3669212303537123E-2</v>
      </c>
      <c r="DO44" s="24">
        <v>3.3934825004777895E-2</v>
      </c>
      <c r="DP44" s="24">
        <v>-4.334648767277704E-3</v>
      </c>
      <c r="DQ44" s="24">
        <v>4.3849038855695917E-2</v>
      </c>
      <c r="DR44" s="24">
        <v>1.0514685063615175E-2</v>
      </c>
      <c r="DT44" s="24">
        <v>1.8967743825708549E-2</v>
      </c>
      <c r="DU44" s="24">
        <v>-4.3915310576501847E-3</v>
      </c>
      <c r="DV44" s="24">
        <v>2.2132598816640665E-2</v>
      </c>
      <c r="DW44" s="24">
        <v>2.9981517447766034E-4</v>
      </c>
      <c r="DY44" s="24">
        <v>4.1242226448848004E-3</v>
      </c>
      <c r="DZ44" s="24">
        <v>-4.5127147093167695E-3</v>
      </c>
      <c r="EA44" s="24">
        <v>7.4267021527770986E-3</v>
      </c>
      <c r="EB44" s="24">
        <v>9.8691425829153034E-5</v>
      </c>
      <c r="ED44" s="24">
        <v>8.6947826842858705E-2</v>
      </c>
      <c r="EE44" s="24">
        <v>3.7670452980801739E-2</v>
      </c>
      <c r="EF44" s="24">
        <v>9.6882893689634778E-2</v>
      </c>
      <c r="EG44" s="24">
        <v>5.4503819195138602E-2</v>
      </c>
      <c r="EI44" s="24">
        <v>7.205243587453336E-2</v>
      </c>
      <c r="EJ44" s="24">
        <v>2.198900193122726E-2</v>
      </c>
      <c r="EK44" s="24">
        <v>8.2054469666529087E-2</v>
      </c>
      <c r="EL44" s="24">
        <v>3.8407745574328217E-2</v>
      </c>
      <c r="EN44" s="24">
        <v>5.8335774862605085E-2</v>
      </c>
      <c r="EO44" s="24">
        <v>7.3442269947845895E-3</v>
      </c>
      <c r="EP44" s="24">
        <v>6.7733318227876829E-2</v>
      </c>
      <c r="EQ44" s="24">
        <v>2.3734777553450999E-2</v>
      </c>
      <c r="ES44" s="24">
        <v>4.6673935211942665E-2</v>
      </c>
      <c r="ET44" s="24">
        <v>-5.1197585431865993E-3</v>
      </c>
      <c r="EU44" s="24">
        <v>5.5652316034493943E-2</v>
      </c>
      <c r="EV44" s="24">
        <v>1.0474897477215351E-2</v>
      </c>
      <c r="EX44" s="24">
        <v>4.0940712692104218E-2</v>
      </c>
      <c r="EY44" s="24">
        <v>-1.0799103977269797E-2</v>
      </c>
      <c r="EZ44" s="24">
        <v>4.433615590211297E-2</v>
      </c>
      <c r="FA44" s="24">
        <v>-1.019271586959635E-3</v>
      </c>
      <c r="FC44" s="24">
        <v>3.807362922910329E-2</v>
      </c>
      <c r="FD44" s="24">
        <v>-1.0852226399623121E-2</v>
      </c>
      <c r="FE44" s="24">
        <v>3.4892596819849957E-2</v>
      </c>
      <c r="FF44" s="24">
        <v>-1.0031646152436888E-2</v>
      </c>
      <c r="FH44" s="24">
        <v>3.5236200117744698E-2</v>
      </c>
      <c r="FI44" s="24">
        <v>-1.0883361517362961E-2</v>
      </c>
      <c r="FJ44" s="24">
        <v>2.8712592391601156E-2</v>
      </c>
      <c r="FK44" s="24">
        <v>-1.6295247987847178E-2</v>
      </c>
      <c r="FM44" s="24">
        <v>3.2429762518988089E-2</v>
      </c>
      <c r="FN44" s="24">
        <v>-1.0892305211573073E-2</v>
      </c>
      <c r="FO44" s="24">
        <v>2.6217809360382392E-2</v>
      </c>
      <c r="FP44" s="24">
        <v>-1.5897698913061638E-2</v>
      </c>
      <c r="FR44" s="24">
        <v>2.9648344821185255E-2</v>
      </c>
      <c r="FS44" s="24">
        <v>-1.0872349631387983E-2</v>
      </c>
      <c r="FT44" s="24">
        <v>2.4241050833245813E-2</v>
      </c>
      <c r="FU44" s="24">
        <v>-1.4827680968800529E-2</v>
      </c>
      <c r="FW44" s="24">
        <v>2.4165345453332269E-2</v>
      </c>
      <c r="FX44" s="24">
        <v>-1.0783431137429311E-2</v>
      </c>
      <c r="FY44" s="24">
        <v>1.9362806946006516E-2</v>
      </c>
      <c r="FZ44" s="24">
        <v>-1.3333490900840411E-2</v>
      </c>
      <c r="GB44" s="24">
        <v>1.4006454349383411E-2</v>
      </c>
      <c r="GC44" s="24">
        <v>-9.6429648844065657E-3</v>
      </c>
      <c r="GD44" s="24">
        <v>1.0727606414746665E-2</v>
      </c>
      <c r="GE44" s="24">
        <v>-1.0794244464495515E-2</v>
      </c>
      <c r="GG44" s="24">
        <v>4.5703151073562646E-3</v>
      </c>
      <c r="GH44" s="24">
        <v>-7.6476589506982631E-3</v>
      </c>
      <c r="GI44" s="24">
        <v>2.2824448189194234E-3</v>
      </c>
      <c r="GJ44" s="24">
        <v>-7.4825873855432021E-3</v>
      </c>
      <c r="GL44" s="24">
        <v>0.14228907486069386</v>
      </c>
      <c r="GM44" s="24">
        <v>9.1979035834733672E-2</v>
      </c>
      <c r="GN44" s="24">
        <v>9.2484166696189321E-2</v>
      </c>
      <c r="GO44" s="24">
        <v>4.5462673331086813E-2</v>
      </c>
      <c r="GQ44" s="24">
        <v>0.12923009000325988</v>
      </c>
      <c r="GR44" s="24">
        <v>7.3304362035870541E-2</v>
      </c>
      <c r="GS44" s="24">
        <v>7.7514373859233709E-2</v>
      </c>
      <c r="GT44" s="24">
        <v>2.4412817127540565E-2</v>
      </c>
      <c r="GV44" s="24">
        <v>0.15623154780914042</v>
      </c>
      <c r="GW44" s="24">
        <v>0.10413753329367963</v>
      </c>
      <c r="GX44" s="24">
        <v>9.2233587690561308E-2</v>
      </c>
      <c r="GY44" s="24">
        <v>3.9612491229167872E-2</v>
      </c>
      <c r="HA44" s="24">
        <v>0.17035484260344583</v>
      </c>
      <c r="HB44" s="24">
        <v>0.12353045086925464</v>
      </c>
      <c r="HC44" s="24">
        <v>0.10859476360925371</v>
      </c>
      <c r="HD44" s="24">
        <v>6.3240799561260774E-2</v>
      </c>
      <c r="HF44" s="24">
        <v>9.9395557236418394E-2</v>
      </c>
      <c r="HG44" s="24">
        <v>4.8884277292606602E-2</v>
      </c>
      <c r="HH44" s="24">
        <v>9.2234345364275522E-2</v>
      </c>
      <c r="HI44" s="24">
        <v>3.9612518401565211E-2</v>
      </c>
      <c r="HK44" s="24">
        <v>0.10129031464163142</v>
      </c>
      <c r="HL44" s="24">
        <v>3.6216150399594992E-2</v>
      </c>
      <c r="HM44" s="24">
        <v>7.8854382316501881E-2</v>
      </c>
      <c r="HN44" s="24">
        <v>2.6984956976924004E-2</v>
      </c>
      <c r="HP44">
        <v>0.11751568253932135</v>
      </c>
      <c r="HQ44">
        <v>5.8950384244557952E-2</v>
      </c>
      <c r="HR44">
        <v>8.460582630385001E-2</v>
      </c>
      <c r="HS44">
        <v>3.4954879031981155E-2</v>
      </c>
      <c r="HU44">
        <v>0.13660854263716443</v>
      </c>
      <c r="HV44">
        <v>8.5642006147047672E-2</v>
      </c>
      <c r="HW44">
        <v>9.141043270555696E-2</v>
      </c>
      <c r="HX44">
        <v>4.4023507729689659E-2</v>
      </c>
      <c r="HZ44">
        <v>0.16754581180003431</v>
      </c>
      <c r="IA44">
        <v>0.12278002717875107</v>
      </c>
      <c r="IB44">
        <v>0.10335891606035008</v>
      </c>
      <c r="IC44">
        <v>6.0470608299009396E-2</v>
      </c>
      <c r="IE44">
        <v>0.14123603093593035</v>
      </c>
      <c r="IF44">
        <v>9.2125973421600366E-2</v>
      </c>
      <c r="IG44">
        <v>9.1673867976618653E-2</v>
      </c>
      <c r="IH44">
        <v>4.582490684441147E-2</v>
      </c>
      <c r="IJ44">
        <v>0.1402730155775565</v>
      </c>
      <c r="IK44">
        <v>9.2302645176073367E-2</v>
      </c>
      <c r="IL44">
        <v>9.1661692362243669E-2</v>
      </c>
      <c r="IM44">
        <v>4.699229601921201E-2</v>
      </c>
      <c r="IO44" s="86">
        <v>0.14027301557092559</v>
      </c>
      <c r="IP44">
        <v>9.2302645169479627E-2</v>
      </c>
      <c r="IQ44">
        <v>9.1661692355612681E-2</v>
      </c>
      <c r="IR44">
        <v>4.6992296012564529E-2</v>
      </c>
      <c r="IT44">
        <v>0.138461635224438</v>
      </c>
      <c r="IU44">
        <v>9.261398279791544E-2</v>
      </c>
      <c r="IV44">
        <v>9.0195408022649665E-2</v>
      </c>
      <c r="IW44">
        <v>4.853382778088991E-2</v>
      </c>
      <c r="IY44">
        <v>0.14246428362140554</v>
      </c>
      <c r="IZ44">
        <v>9.0338144903559306E-2</v>
      </c>
      <c r="JA44">
        <v>9.3357571127331923E-2</v>
      </c>
      <c r="JB44">
        <v>4.5104993562893797E-2</v>
      </c>
      <c r="JD44">
        <v>0.14453517616956205</v>
      </c>
      <c r="JE44">
        <v>9.065433269595212E-2</v>
      </c>
      <c r="JF44">
        <v>9.4396474845713715E-2</v>
      </c>
      <c r="JG44">
        <v>4.4862110423486749E-2</v>
      </c>
      <c r="JI44">
        <v>0.14704499239184207</v>
      </c>
      <c r="JJ44">
        <v>8.9863992817971056E-2</v>
      </c>
      <c r="JK44">
        <v>9.6516970597351842E-2</v>
      </c>
      <c r="JL44">
        <v>4.4253624773258761E-2</v>
      </c>
      <c r="JN44">
        <v>9.620093578817257E-2</v>
      </c>
      <c r="JO44">
        <v>2.903894967396483E-2</v>
      </c>
      <c r="JP44">
        <v>7.5831506172567481E-2</v>
      </c>
      <c r="JQ44">
        <v>2.2947271910197818E-2</v>
      </c>
      <c r="JS44">
        <v>0.11136520845243136</v>
      </c>
      <c r="JT44">
        <v>5.0813738019499975E-2</v>
      </c>
      <c r="JU44">
        <v>8.2604638076580125E-2</v>
      </c>
      <c r="JV44">
        <v>3.2291700063159075E-2</v>
      </c>
      <c r="JX44">
        <v>0.12957913181322153</v>
      </c>
      <c r="JY44">
        <v>7.4910966589587027E-2</v>
      </c>
      <c r="JZ44">
        <v>8.8637044405798698E-2</v>
      </c>
      <c r="KA44">
        <v>4.131688852516447E-2</v>
      </c>
      <c r="KC44">
        <v>0.15425939985336048</v>
      </c>
      <c r="KD44">
        <v>0.1066004796883729</v>
      </c>
      <c r="KE44">
        <v>9.6499116871320345E-2</v>
      </c>
      <c r="KF44">
        <v>5.0814722125233004E-2</v>
      </c>
      <c r="KH44">
        <v>0.16756638619834252</v>
      </c>
      <c r="KI44">
        <v>0.12283350358847546</v>
      </c>
      <c r="KJ44">
        <v>0.10741198035410952</v>
      </c>
      <c r="KK44">
        <v>6.5340815862801743E-2</v>
      </c>
      <c r="KM44">
        <v>0.1252680677322747</v>
      </c>
      <c r="KN44">
        <v>9.1978934494668138E-2</v>
      </c>
      <c r="KO44">
        <v>7.7029253285276419E-2</v>
      </c>
      <c r="KP44">
        <v>4.5462525992148908E-2</v>
      </c>
      <c r="KR44">
        <v>0.12526811628702286</v>
      </c>
      <c r="KS44">
        <v>9.1978934494668138E-2</v>
      </c>
      <c r="KT44">
        <v>7.7029298575775784E-2</v>
      </c>
      <c r="KU44">
        <v>4.5462525992148908E-2</v>
      </c>
      <c r="KW44">
        <v>0.1336842535519169</v>
      </c>
      <c r="KX44">
        <v>9.1978934494668138E-2</v>
      </c>
      <c r="KY44">
        <v>8.5692203729111349E-2</v>
      </c>
      <c r="KZ44">
        <v>4.5462525992148908E-2</v>
      </c>
      <c r="LB44">
        <v>0.149211925265648</v>
      </c>
      <c r="LC44">
        <v>9.1978934494668138E-2</v>
      </c>
      <c r="LD44">
        <v>9.9542723441661277E-2</v>
      </c>
      <c r="LE44">
        <v>4.5462525992148908E-2</v>
      </c>
      <c r="LG44">
        <v>0.15628051465491127</v>
      </c>
      <c r="LH44">
        <v>9.1978934494668138E-2</v>
      </c>
      <c r="LI44">
        <v>0.10593676761339278</v>
      </c>
      <c r="LJ44">
        <v>4.5462525992148908E-2</v>
      </c>
      <c r="LL44">
        <v>0.12007423528045368</v>
      </c>
      <c r="LM44">
        <v>9.1978934494668138E-2</v>
      </c>
      <c r="LN44">
        <v>7.3155127994865482E-2</v>
      </c>
      <c r="LO44">
        <v>4.5462525992148908E-2</v>
      </c>
      <c r="LQ44">
        <v>0.13949470409062922</v>
      </c>
      <c r="LR44">
        <v>8.8236873827713475E-2</v>
      </c>
      <c r="LS44">
        <v>9.1577535689543063E-2</v>
      </c>
      <c r="LT44">
        <v>4.4214721131723991E-2</v>
      </c>
      <c r="LV44">
        <v>0.1367427715096638</v>
      </c>
      <c r="LW44">
        <v>8.45638689347816E-2</v>
      </c>
      <c r="LX44">
        <v>9.0704972191750707E-2</v>
      </c>
      <c r="LY44">
        <v>4.3134181717733235E-2</v>
      </c>
      <c r="MA44">
        <v>0.13508622267527112</v>
      </c>
      <c r="MB44">
        <v>8.0921901018812636E-2</v>
      </c>
      <c r="MC44">
        <v>8.9871987198371445E-2</v>
      </c>
      <c r="MD44">
        <v>4.2860938452696208E-2</v>
      </c>
      <c r="MF44">
        <v>8.3354587554937506E-2</v>
      </c>
      <c r="MG44">
        <v>1.3729039416474891E-2</v>
      </c>
      <c r="MH44">
        <v>7.1057261958790224E-2</v>
      </c>
      <c r="MI44">
        <v>1.6585262198653448E-2</v>
      </c>
      <c r="MK44">
        <v>0.16848465061269291</v>
      </c>
      <c r="ML44">
        <v>0.12407198225219843</v>
      </c>
      <c r="MM44">
        <v>0.12104033937191046</v>
      </c>
      <c r="MN44">
        <v>8.4663104111682319E-2</v>
      </c>
      <c r="MP44">
        <v>0.14807216392577591</v>
      </c>
      <c r="MQ44">
        <v>8.5848767700280701E-2</v>
      </c>
      <c r="MR44">
        <v>9.8599025621143879E-2</v>
      </c>
      <c r="MS44">
        <v>4.0898263270336348E-2</v>
      </c>
      <c r="MU44">
        <v>0.15236009687472685</v>
      </c>
      <c r="MV44">
        <v>8.5498095163334953E-2</v>
      </c>
      <c r="MW44">
        <v>0.10128851633862912</v>
      </c>
      <c r="MX44">
        <v>4.0144366098726604E-2</v>
      </c>
      <c r="MZ44">
        <v>0.15592892417458529</v>
      </c>
      <c r="NA44">
        <v>8.5008931191065201E-2</v>
      </c>
      <c r="NB44">
        <v>0.10426773637901636</v>
      </c>
      <c r="NC44">
        <v>3.9218595709687588E-2</v>
      </c>
      <c r="NE44">
        <v>0.13681320994876581</v>
      </c>
      <c r="NF44">
        <v>9.4166921596934447E-2</v>
      </c>
      <c r="NG44">
        <v>8.8785082951065006E-2</v>
      </c>
      <c r="NH44">
        <v>4.9243149563924941E-2</v>
      </c>
      <c r="NJ44">
        <v>0.13532658198115774</v>
      </c>
      <c r="NK44">
        <v>9.4504155204632082E-2</v>
      </c>
      <c r="NL44">
        <v>8.7580443302121239E-2</v>
      </c>
      <c r="NM44">
        <v>4.9692857938295684E-2</v>
      </c>
      <c r="NO44">
        <v>0.13397630785685335</v>
      </c>
      <c r="NP44">
        <v>9.4834478723738902E-2</v>
      </c>
      <c r="NQ44">
        <v>8.7136817444725345E-2</v>
      </c>
      <c r="NR44">
        <v>5.1131373416662303E-2</v>
      </c>
      <c r="NT44">
        <v>0.12007420639306597</v>
      </c>
      <c r="NU44">
        <v>9.1978929549089164E-2</v>
      </c>
      <c r="NV44">
        <v>7.3155159662760066E-2</v>
      </c>
      <c r="NW44">
        <v>4.5462515364501049E-2</v>
      </c>
      <c r="NY44">
        <v>0.15957220200750563</v>
      </c>
      <c r="NZ44">
        <v>9.1976349412595346E-2</v>
      </c>
      <c r="OA44">
        <v>0.10884189416801369</v>
      </c>
      <c r="OB44">
        <v>4.5462243878940066E-2</v>
      </c>
      <c r="OD44">
        <v>0.17314099867233185</v>
      </c>
      <c r="OE44">
        <v>9.1978905319936341E-2</v>
      </c>
      <c r="OF44">
        <v>0.12138922188701472</v>
      </c>
      <c r="OG44">
        <v>4.546250469423288E-2</v>
      </c>
      <c r="OI44">
        <v>0.14841178457779761</v>
      </c>
      <c r="OJ44">
        <v>8.9684261024982018E-2</v>
      </c>
      <c r="OK44">
        <v>9.7667408143711693E-2</v>
      </c>
      <c r="OL44">
        <v>4.3915087344215106E-2</v>
      </c>
      <c r="ON44">
        <v>0.13761366180117102</v>
      </c>
      <c r="OO44">
        <v>9.3778380224853589E-2</v>
      </c>
      <c r="OP44">
        <v>8.9473599858036892E-2</v>
      </c>
      <c r="OQ44">
        <v>4.8909268885962698E-2</v>
      </c>
      <c r="OS44">
        <v>0.14433242623630146</v>
      </c>
      <c r="OT44">
        <v>9.5143893559966775E-2</v>
      </c>
      <c r="OU44">
        <v>9.4490117735157697E-2</v>
      </c>
      <c r="OV44">
        <v>4.6444876021397109E-2</v>
      </c>
      <c r="OX44">
        <v>0.14712834003835362</v>
      </c>
      <c r="OY44">
        <v>9.8298394546171494E-2</v>
      </c>
      <c r="OZ44">
        <v>9.5427670221253619E-2</v>
      </c>
      <c r="PA44">
        <v>4.949761773579784E-2</v>
      </c>
      <c r="PC44">
        <v>0.14565066996099668</v>
      </c>
      <c r="PD44">
        <v>9.6249292994835645E-2</v>
      </c>
      <c r="PE44">
        <v>9.4388620223325517E-2</v>
      </c>
      <c r="PF44">
        <v>4.8051157155864277E-2</v>
      </c>
      <c r="PH44">
        <v>0.1381132541505658</v>
      </c>
      <c r="PI44">
        <v>8.6386616223809456E-2</v>
      </c>
      <c r="PJ44">
        <v>9.1609610928875609E-2</v>
      </c>
      <c r="PK44">
        <v>4.4239592663064098E-2</v>
      </c>
      <c r="PM44" s="24">
        <v>0.10335543927679822</v>
      </c>
      <c r="PN44" s="24">
        <v>3.9267351673357521E-2</v>
      </c>
      <c r="PO44" s="24">
        <v>7.8841118144303821E-2</v>
      </c>
      <c r="PP44" s="24">
        <v>2.6941303495781367E-2</v>
      </c>
      <c r="PR44">
        <v>7.7741213029046199E-2</v>
      </c>
      <c r="PS44">
        <v>4.5118818670706077E-3</v>
      </c>
      <c r="PT44">
        <v>6.8837053786790586E-2</v>
      </c>
      <c r="PU44">
        <v>1.2608716185885554E-2</v>
      </c>
      <c r="PW44">
        <v>0.16759653665561752</v>
      </c>
      <c r="PX44">
        <v>0.12401564264516404</v>
      </c>
      <c r="PY44">
        <v>0.11608086277630961</v>
      </c>
      <c r="PZ44">
        <v>7.6872473908047023E-2</v>
      </c>
      <c r="QB44" s="24">
        <v>0.16961019171836225</v>
      </c>
      <c r="QC44" s="24">
        <v>0.12558655934765409</v>
      </c>
      <c r="QD44" s="24">
        <v>0.14276329309994878</v>
      </c>
      <c r="QE44" s="24">
        <v>0.11130138416519059</v>
      </c>
    </row>
    <row r="45" spans="1:447" x14ac:dyDescent="0.15">
      <c r="A45" s="24" t="s">
        <v>193</v>
      </c>
      <c r="C45" s="24">
        <f>LN(C34/B34)</f>
        <v>-4.2136492045402867E-2</v>
      </c>
      <c r="D45" s="24">
        <f>LN(D34/B34)</f>
        <v>-3.4090280640739261E-2</v>
      </c>
      <c r="E45" s="24">
        <f>LN(E34/B34)</f>
        <v>-2.8693255627956913E-2</v>
      </c>
      <c r="F45" s="24">
        <f>LN(F34/B34)</f>
        <v>-2.0918645752872739E-2</v>
      </c>
      <c r="I45" s="24">
        <v>-4.2136189067909252E-2</v>
      </c>
      <c r="J45" s="24">
        <v>-3.4090302798433267E-2</v>
      </c>
      <c r="K45" s="24">
        <v>-3.838294809909875E-2</v>
      </c>
      <c r="L45" s="24">
        <v>-3.1752520943370464E-2</v>
      </c>
      <c r="N45" s="24">
        <v>-3.9268003872518241E-2</v>
      </c>
      <c r="O45" s="24">
        <v>-3.0868215391287278E-2</v>
      </c>
      <c r="P45" s="24">
        <v>-3.5939891274334737E-2</v>
      </c>
      <c r="Q45" s="24">
        <v>-2.8828215256612423E-2</v>
      </c>
      <c r="S45" s="24">
        <v>-3.6562442935543366E-2</v>
      </c>
      <c r="T45" s="24">
        <v>-2.8028020845737991E-2</v>
      </c>
      <c r="U45" s="24">
        <v>-3.3373053558753099E-2</v>
      </c>
      <c r="V45" s="24">
        <v>-2.5991858284570988E-2</v>
      </c>
      <c r="X45" s="24">
        <v>-3.3846684332957309E-2</v>
      </c>
      <c r="Y45" s="24">
        <v>-2.5097679655111803E-2</v>
      </c>
      <c r="Z45" s="24">
        <v>-3.1009472101392904E-2</v>
      </c>
      <c r="AA45" s="24">
        <v>-2.3482083752606093E-2</v>
      </c>
      <c r="AC45" s="24">
        <v>-3.1280974867009793E-2</v>
      </c>
      <c r="AD45" s="24">
        <v>-2.2492721163082628E-2</v>
      </c>
      <c r="AE45" s="24">
        <v>-2.8692488704301158E-2</v>
      </c>
      <c r="AF45" s="24">
        <v>-2.0918653777840801E-2</v>
      </c>
      <c r="AH45" s="24">
        <v>-2.8809795991559462E-2</v>
      </c>
      <c r="AI45" s="24">
        <v>-1.9773973719190829E-2</v>
      </c>
      <c r="AJ45" s="24">
        <v>-2.6239504357890363E-2</v>
      </c>
      <c r="AK45" s="24">
        <v>-1.8697447141620888E-2</v>
      </c>
      <c r="AM45" s="24">
        <v>-2.67073494294706E-2</v>
      </c>
      <c r="AN45" s="24">
        <v>-1.7857007396066882E-2</v>
      </c>
      <c r="AO45" s="24">
        <v>-2.3981467450200421E-2</v>
      </c>
      <c r="AP45" s="24">
        <v>-1.6158035918765436E-2</v>
      </c>
      <c r="AR45" s="24">
        <v>-2.5548584624158831E-2</v>
      </c>
      <c r="AS45" s="24">
        <v>-1.7313810072567375E-2</v>
      </c>
      <c r="AT45" s="24">
        <v>-2.1633012206501018E-2</v>
      </c>
      <c r="AU45" s="24">
        <v>-1.3897605369324996E-2</v>
      </c>
      <c r="AW45" s="24">
        <v>-2.4393902866221361E-2</v>
      </c>
      <c r="AX45" s="24">
        <v>-1.6771312285675532E-2</v>
      </c>
      <c r="AY45" s="24">
        <v>-1.9392556629122568E-2</v>
      </c>
      <c r="AZ45" s="24">
        <v>-1.1925087811865001E-2</v>
      </c>
      <c r="BB45" s="24">
        <v>-2.3242988726370095E-2</v>
      </c>
      <c r="BC45" s="24">
        <v>-1.6231518324920719E-2</v>
      </c>
      <c r="BD45" s="24">
        <v>-1.8247805354619475E-2</v>
      </c>
      <c r="BE45" s="24">
        <v>-1.1221219726027848E-2</v>
      </c>
      <c r="BG45" s="24">
        <v>-2.2096374000384441E-2</v>
      </c>
      <c r="BH45" s="24">
        <v>-1.5688988623444301E-2</v>
      </c>
      <c r="BI45" s="24">
        <v>-1.7105261266008802E-2</v>
      </c>
      <c r="BJ45" s="24">
        <v>-1.0683251067258545E-2</v>
      </c>
      <c r="BL45" s="24">
        <v>-1.745568125675254E-2</v>
      </c>
      <c r="BM45" s="24">
        <v>-1.3426664797463178E-2</v>
      </c>
      <c r="BN45" s="24">
        <v>-1.256294244567928E-2</v>
      </c>
      <c r="BO45" s="24">
        <v>-8.5359334489124167E-3</v>
      </c>
      <c r="BQ45" s="24">
        <v>-1.292187013511548E-2</v>
      </c>
      <c r="BR45" s="24">
        <v>-1.1275515317681879E-2</v>
      </c>
      <c r="BS45" s="24">
        <v>-8.0434145296754602E-3</v>
      </c>
      <c r="BT45" s="24">
        <v>-6.3943077942894633E-3</v>
      </c>
      <c r="BV45" s="24">
        <v>-3.6007566817442112E-2</v>
      </c>
      <c r="BW45" s="24">
        <v>-3.0145562419612082E-2</v>
      </c>
      <c r="BX45" s="24">
        <v>-3.2880443046531246E-2</v>
      </c>
      <c r="BY45" s="24">
        <v>-2.8415151437211041E-2</v>
      </c>
      <c r="CA45" s="24">
        <v>-3.348477099895953E-2</v>
      </c>
      <c r="CB45" s="24">
        <v>-2.7481604058278007E-2</v>
      </c>
      <c r="CC45" s="24">
        <v>-3.0764522188293522E-2</v>
      </c>
      <c r="CD45" s="24">
        <v>-2.6095502437170785E-2</v>
      </c>
      <c r="CF45" s="24">
        <v>-3.1295011032641394E-2</v>
      </c>
      <c r="CG45" s="24">
        <v>-2.5082006484727151E-2</v>
      </c>
      <c r="CH45" s="24">
        <v>-2.8756259134540576E-2</v>
      </c>
      <c r="CI45" s="24">
        <v>-2.3616989873130882E-2</v>
      </c>
      <c r="CK45" s="24">
        <v>-2.9142879408740347E-2</v>
      </c>
      <c r="CL45" s="24">
        <v>-2.2562982755144147E-2</v>
      </c>
      <c r="CM45" s="24">
        <v>-2.6728912716719653E-2</v>
      </c>
      <c r="CN45" s="24">
        <v>-2.140868344634398E-2</v>
      </c>
      <c r="CP45" s="24">
        <v>-2.6738617724816175E-2</v>
      </c>
      <c r="CQ45" s="24">
        <v>-2.017635924770696E-2</v>
      </c>
      <c r="CR45" s="24">
        <v>-2.4604264981620615E-2</v>
      </c>
      <c r="CS45" s="24">
        <v>-1.9259492419478628E-2</v>
      </c>
      <c r="CU45" s="24">
        <v>-2.4540763563621632E-2</v>
      </c>
      <c r="CV45" s="24">
        <v>-1.7902668939050365E-2</v>
      </c>
      <c r="CW45" s="24">
        <v>-2.2511868335694449E-2</v>
      </c>
      <c r="CX45" s="24">
        <v>-1.701787638088385E-2</v>
      </c>
      <c r="CZ45" s="24">
        <v>-2.2290968527158048E-2</v>
      </c>
      <c r="DA45" s="24">
        <v>-1.5752216129766225E-2</v>
      </c>
      <c r="DB45" s="24">
        <v>-2.0588981619695808E-2</v>
      </c>
      <c r="DC45" s="24">
        <v>-1.4875095949602672E-2</v>
      </c>
      <c r="DE45" s="24">
        <v>-2.0218932347818352E-2</v>
      </c>
      <c r="DF45" s="24">
        <v>-1.3468584336297473E-2</v>
      </c>
      <c r="DG45" s="24">
        <v>-1.8465425650486925E-2</v>
      </c>
      <c r="DH45" s="24">
        <v>-1.2870949103378673E-2</v>
      </c>
      <c r="DJ45" s="24">
        <v>-1.7959495172393806E-2</v>
      </c>
      <c r="DK45" s="24">
        <v>-1.1256770434434711E-2</v>
      </c>
      <c r="DL45" s="24">
        <v>-1.6426820109135851E-2</v>
      </c>
      <c r="DM45" s="24">
        <v>-1.0696997158414408E-2</v>
      </c>
      <c r="DO45" s="24">
        <v>-1.4255981956247615E-2</v>
      </c>
      <c r="DP45" s="24">
        <v>-8.0993073083941314E-3</v>
      </c>
      <c r="DQ45" s="24">
        <v>-1.2217031519708958E-2</v>
      </c>
      <c r="DR45" s="24">
        <v>-6.8268669589634842E-3</v>
      </c>
      <c r="DT45" s="24">
        <v>-9.7268374624410667E-3</v>
      </c>
      <c r="DU45" s="24">
        <v>-5.9583257681014752E-3</v>
      </c>
      <c r="DV45" s="24">
        <v>-6.7529083695320874E-3</v>
      </c>
      <c r="DW45" s="24">
        <v>-3.2051160930299844E-3</v>
      </c>
      <c r="DY45" s="24">
        <v>-5.2167867940792288E-3</v>
      </c>
      <c r="DZ45" s="24">
        <v>-3.8195406220131469E-3</v>
      </c>
      <c r="EA45" s="24">
        <v>-2.2806508500019195E-3</v>
      </c>
      <c r="EB45" s="24">
        <v>-1.0681676882300616E-3</v>
      </c>
      <c r="ED45" s="24">
        <v>-3.786902867858747E-2</v>
      </c>
      <c r="EE45" s="24">
        <v>-2.9972040721694859E-2</v>
      </c>
      <c r="EF45" s="24">
        <v>-3.4220489900302256E-2</v>
      </c>
      <c r="EG45" s="24">
        <v>-2.7336810560244541E-2</v>
      </c>
      <c r="EI45" s="24">
        <v>-3.5298902771705193E-2</v>
      </c>
      <c r="EJ45" s="24">
        <v>-2.7270940835629892E-2</v>
      </c>
      <c r="EK45" s="24">
        <v>-3.1871140879743368E-2</v>
      </c>
      <c r="EL45" s="24">
        <v>-2.4778856765183072E-2</v>
      </c>
      <c r="EN45" s="24">
        <v>-3.2742916848713881E-2</v>
      </c>
      <c r="EO45" s="24">
        <v>-2.4560275454617041E-2</v>
      </c>
      <c r="EP45" s="24">
        <v>-2.9456098300041613E-2</v>
      </c>
      <c r="EQ45" s="24">
        <v>-2.2301058203482098E-2</v>
      </c>
      <c r="ES45" s="24">
        <v>-3.0340609142288619E-2</v>
      </c>
      <c r="ET45" s="24">
        <v>-2.2024928528818641E-2</v>
      </c>
      <c r="EU45" s="24">
        <v>-2.725039357217076E-2</v>
      </c>
      <c r="EV45" s="24">
        <v>-1.9902692112391009E-2</v>
      </c>
      <c r="EX45" s="24">
        <v>-2.8737905247507287E-2</v>
      </c>
      <c r="EY45" s="24">
        <v>-2.0426654539856776E-2</v>
      </c>
      <c r="EZ45" s="24">
        <v>-2.5018705391970063E-2</v>
      </c>
      <c r="FA45" s="24">
        <v>-1.7638655469014195E-2</v>
      </c>
      <c r="FC45" s="24">
        <v>-2.7576414834194124E-2</v>
      </c>
      <c r="FD45" s="24">
        <v>-1.9712451290899616E-2</v>
      </c>
      <c r="FE45" s="24">
        <v>-2.2931215788552721E-2</v>
      </c>
      <c r="FF45" s="24">
        <v>-1.5621418762084085E-2</v>
      </c>
      <c r="FH45" s="24">
        <v>-2.6419429222298983E-2</v>
      </c>
      <c r="FI45" s="24">
        <v>-1.9002087843319328E-2</v>
      </c>
      <c r="FJ45" s="24">
        <v>-2.1220750193652986E-2</v>
      </c>
      <c r="FK45" s="24">
        <v>-1.3894266990985707E-2</v>
      </c>
      <c r="FM45" s="24">
        <v>-2.5267262070802092E-2</v>
      </c>
      <c r="FN45" s="24">
        <v>-1.8295690258936032E-2</v>
      </c>
      <c r="FO45" s="24">
        <v>-2.0074300590654823E-2</v>
      </c>
      <c r="FP45" s="24">
        <v>-1.3208717633257721E-2</v>
      </c>
      <c r="FR45" s="24">
        <v>-2.411905609642763E-2</v>
      </c>
      <c r="FS45" s="24">
        <v>-1.7594436018074051E-2</v>
      </c>
      <c r="FT45" s="24">
        <v>-1.9010686922431512E-2</v>
      </c>
      <c r="FU45" s="24">
        <v>-1.2632959960528363E-2</v>
      </c>
      <c r="FW45" s="24">
        <v>-2.1835649975188755E-2</v>
      </c>
      <c r="FX45" s="24">
        <v>-1.6201583046891684E-2</v>
      </c>
      <c r="FY45" s="24">
        <v>-1.6740227263948134E-2</v>
      </c>
      <c r="FZ45" s="24">
        <v>-1.1382003484950153E-2</v>
      </c>
      <c r="GB45" s="24">
        <v>-1.7397708077452952E-2</v>
      </c>
      <c r="GC45" s="24">
        <v>-1.3576558096977135E-2</v>
      </c>
      <c r="GD45" s="24">
        <v>-1.2383120817725845E-2</v>
      </c>
      <c r="GE45" s="24">
        <v>-8.8178426281831403E-3</v>
      </c>
      <c r="GG45" s="24">
        <v>-1.3073631027770262E-2</v>
      </c>
      <c r="GH45" s="24">
        <v>-1.1095214435355844E-2</v>
      </c>
      <c r="GI45" s="24">
        <v>-8.0582070487974083E-3</v>
      </c>
      <c r="GJ45" s="24">
        <v>-6.3876276571353122E-3</v>
      </c>
      <c r="GL45" s="24">
        <v>-4.2136468460920493E-2</v>
      </c>
      <c r="GM45" s="24">
        <v>-3.4090300014582457E-2</v>
      </c>
      <c r="GN45" s="24">
        <v>-2.8692488704301158E-2</v>
      </c>
      <c r="GO45" s="24">
        <v>-2.0918653777840839E-2</v>
      </c>
      <c r="GQ45" s="24">
        <v>-4.0326313540397431E-2</v>
      </c>
      <c r="GR45" s="24">
        <v>-3.1390428918967685E-2</v>
      </c>
      <c r="GS45" s="24">
        <v>-2.6769525722471172E-2</v>
      </c>
      <c r="GT45" s="24">
        <v>-1.8035754763621036E-2</v>
      </c>
      <c r="GV45" s="24">
        <v>-4.4612872865148978E-2</v>
      </c>
      <c r="GW45" s="24">
        <v>-3.6109750980565063E-2</v>
      </c>
      <c r="GX45" s="24">
        <v>-3.4243340146964583E-2</v>
      </c>
      <c r="GY45" s="24">
        <v>-2.0364549302747465E-2</v>
      </c>
      <c r="HA45" s="24">
        <v>-4.6639909117486777E-2</v>
      </c>
      <c r="HB45" s="24">
        <v>-3.8977296815318634E-2</v>
      </c>
      <c r="HC45" s="24">
        <v>-3.6569691617657302E-2</v>
      </c>
      <c r="HD45" s="24">
        <v>-2.3668313804953371E-2</v>
      </c>
      <c r="HF45" s="24">
        <v>-3.6498506431177226E-2</v>
      </c>
      <c r="HG45" s="24">
        <v>-2.8227162382534858E-2</v>
      </c>
      <c r="HH45" s="24">
        <v>-3.1925019683440685E-2</v>
      </c>
      <c r="HI45" s="24">
        <v>-2.0364553742741813E-2</v>
      </c>
      <c r="HK45" s="24">
        <v>-3.8720970904862692E-2</v>
      </c>
      <c r="HL45" s="24">
        <v>-2.829266067153028E-2</v>
      </c>
      <c r="HM45" s="24">
        <v>-2.741068972163109E-2</v>
      </c>
      <c r="HN45" s="24">
        <v>-1.8823258405259526E-2</v>
      </c>
      <c r="HP45">
        <v>-4.0043520913390841E-2</v>
      </c>
      <c r="HQ45">
        <v>-3.0666227581727951E-2</v>
      </c>
      <c r="HR45">
        <v>-2.7945311184856859E-2</v>
      </c>
      <c r="HS45">
        <v>-1.9729662464407254E-2</v>
      </c>
      <c r="HU45">
        <v>-4.1530586303791944E-2</v>
      </c>
      <c r="HV45">
        <v>-3.3375869620491036E-2</v>
      </c>
      <c r="HW45">
        <v>-2.8576833324325368E-2</v>
      </c>
      <c r="HX45">
        <v>-2.0741759541381095E-2</v>
      </c>
      <c r="HZ45">
        <v>-4.373281194605888E-2</v>
      </c>
      <c r="IA45">
        <v>-3.6587398982840184E-2</v>
      </c>
      <c r="IB45">
        <v>-2.9719793492843392E-2</v>
      </c>
      <c r="IC45">
        <v>-2.2646798936345396E-2</v>
      </c>
      <c r="IE45">
        <v>-4.1914708311069568E-2</v>
      </c>
      <c r="IF45">
        <v>-3.4067673647129183E-2</v>
      </c>
      <c r="IG45">
        <v>-2.853215965122706E-2</v>
      </c>
      <c r="IH45">
        <v>-2.0951869235090369E-2</v>
      </c>
      <c r="IJ45">
        <v>-4.1707857367933102E-2</v>
      </c>
      <c r="IK45">
        <v>-3.4049809794510714E-2</v>
      </c>
      <c r="IL45">
        <v>-2.8495780729443653E-2</v>
      </c>
      <c r="IM45">
        <v>-2.1115172581944563E-2</v>
      </c>
      <c r="IO45" s="86">
        <v>-4.1653434870961466E-2</v>
      </c>
      <c r="IP45">
        <v>-3.4003417528119938E-2</v>
      </c>
      <c r="IQ45">
        <v>-2.8464387734708611E-2</v>
      </c>
      <c r="IR45">
        <v>-2.1089305438619622E-2</v>
      </c>
      <c r="IT45">
        <v>-4.1314144626620766E-2</v>
      </c>
      <c r="IU45">
        <v>-3.4007276073036406E-2</v>
      </c>
      <c r="IV45">
        <v>-2.8201120889090891E-2</v>
      </c>
      <c r="IW45">
        <v>-2.1313047235323464E-2</v>
      </c>
      <c r="IY45">
        <v>-4.2265535817059559E-2</v>
      </c>
      <c r="IZ45">
        <v>-3.3918984627605751E-2</v>
      </c>
      <c r="JA45">
        <v>-2.8884706338976284E-2</v>
      </c>
      <c r="JB45">
        <v>-2.0909088544522857E-2</v>
      </c>
      <c r="JD45">
        <v>-4.2604631827047351E-2</v>
      </c>
      <c r="JE45">
        <v>-3.3969001738074878E-2</v>
      </c>
      <c r="JF45">
        <v>-2.9061047021182982E-2</v>
      </c>
      <c r="JG45">
        <v>-2.0872246389462876E-2</v>
      </c>
      <c r="JI45">
        <v>-4.3118274186742189E-2</v>
      </c>
      <c r="JJ45">
        <v>-3.3933677328595147E-2</v>
      </c>
      <c r="JK45">
        <v>-2.9465077055742549E-2</v>
      </c>
      <c r="JL45">
        <v>-2.0824428079267685E-2</v>
      </c>
      <c r="JN45">
        <v>-3.8571922811584079E-2</v>
      </c>
      <c r="JO45">
        <v>-2.7811489250262524E-2</v>
      </c>
      <c r="JP45">
        <v>-2.7205807885615579E-2</v>
      </c>
      <c r="JQ45">
        <v>-1.8447186182552255E-2</v>
      </c>
      <c r="JS45">
        <v>-3.9511813208259229E-2</v>
      </c>
      <c r="JT45">
        <v>-2.9812981444856616E-2</v>
      </c>
      <c r="JU45">
        <v>-2.7761466152032826E-2</v>
      </c>
      <c r="JV45">
        <v>-1.9433380343443628E-2</v>
      </c>
      <c r="JX45">
        <v>-4.0968571507537667E-2</v>
      </c>
      <c r="JY45">
        <v>-3.2216819870024095E-2</v>
      </c>
      <c r="JZ45">
        <v>-2.8294762565782977E-2</v>
      </c>
      <c r="KA45">
        <v>-2.0464627814107683E-2</v>
      </c>
      <c r="KC45">
        <v>-4.3079639269137389E-2</v>
      </c>
      <c r="KD45">
        <v>-3.5463540602511674E-2</v>
      </c>
      <c r="KE45">
        <v>-2.9033811861534801E-2</v>
      </c>
      <c r="KF45">
        <v>-2.1488088476391307E-2</v>
      </c>
      <c r="KH45">
        <v>-4.3036299160004128E-2</v>
      </c>
      <c r="KI45">
        <v>-3.5895080699053387E-2</v>
      </c>
      <c r="KJ45">
        <v>-3.0130476043664891E-2</v>
      </c>
      <c r="KK45">
        <v>-2.3204249385590011E-2</v>
      </c>
      <c r="KM45">
        <v>-3.9431850451413716E-2</v>
      </c>
      <c r="KN45">
        <v>-3.4090283646066637E-2</v>
      </c>
      <c r="KO45">
        <v>-2.622374639211578E-2</v>
      </c>
      <c r="KP45">
        <v>-2.0918629911742165E-2</v>
      </c>
      <c r="KR45">
        <v>-3.9431858194335423E-2</v>
      </c>
      <c r="KS45">
        <v>-3.4090283646066637E-2</v>
      </c>
      <c r="KT45">
        <v>-2.6223753638667455E-2</v>
      </c>
      <c r="KU45">
        <v>-2.0918629911742165E-2</v>
      </c>
      <c r="KW45">
        <v>-4.0771349282617712E-2</v>
      </c>
      <c r="KX45">
        <v>-3.4090283646066637E-2</v>
      </c>
      <c r="KY45">
        <v>-2.7607602410943458E-2</v>
      </c>
      <c r="KZ45">
        <v>-2.0918629911742165E-2</v>
      </c>
      <c r="LB45">
        <v>-4.3231308370849611E-2</v>
      </c>
      <c r="LC45">
        <v>-3.4090283646066637E-2</v>
      </c>
      <c r="LD45">
        <v>-2.9813529362816935E-2</v>
      </c>
      <c r="LE45">
        <v>-2.0918629911742165E-2</v>
      </c>
      <c r="LG45">
        <v>-4.4346163610773093E-2</v>
      </c>
      <c r="LH45">
        <v>-3.4090283646066637E-2</v>
      </c>
      <c r="LI45">
        <v>-3.0826521736912072E-2</v>
      </c>
      <c r="LJ45">
        <v>-2.0918629911742165E-2</v>
      </c>
      <c r="LL45">
        <v>-3.8602938376856695E-2</v>
      </c>
      <c r="LM45">
        <v>-3.4090283646066637E-2</v>
      </c>
      <c r="LN45">
        <v>-2.5603386834879775E-2</v>
      </c>
      <c r="LO45">
        <v>-2.0918629911742165E-2</v>
      </c>
      <c r="LQ45">
        <v>-4.1506519117628954E-2</v>
      </c>
      <c r="LR45">
        <v>-3.3315829233353231E-2</v>
      </c>
      <c r="LS45">
        <v>-2.824778507593281E-2</v>
      </c>
      <c r="LT45">
        <v>-2.042489037904411E-2</v>
      </c>
      <c r="LV45">
        <v>-4.0873205230374424E-2</v>
      </c>
      <c r="LW45">
        <v>-3.2542404663672968E-2</v>
      </c>
      <c r="LX45">
        <v>-2.7800296788379638E-2</v>
      </c>
      <c r="LY45">
        <v>-1.9949964735763309E-2</v>
      </c>
      <c r="MA45">
        <v>-4.0402564835328246E-2</v>
      </c>
      <c r="MB45">
        <v>-3.176404150585814E-2</v>
      </c>
      <c r="MC45">
        <v>-2.7350906304155039E-2</v>
      </c>
      <c r="MD45">
        <v>-1.9596988791917964E-2</v>
      </c>
      <c r="MF45">
        <v>-3.7527962754997653E-2</v>
      </c>
      <c r="MG45">
        <v>-2.6372308946544187E-2</v>
      </c>
      <c r="MH45">
        <v>-2.6757107182338577E-2</v>
      </c>
      <c r="MI45">
        <v>-1.7732293823031646E-2</v>
      </c>
      <c r="MK45">
        <v>-4.1224914477872597E-2</v>
      </c>
      <c r="ML45">
        <v>-3.4134962165677983E-2</v>
      </c>
      <c r="MM45">
        <v>-3.1316126167465888E-2</v>
      </c>
      <c r="MN45">
        <v>-2.5361291513264661E-2</v>
      </c>
      <c r="MP45">
        <v>-4.3402354484217337E-2</v>
      </c>
      <c r="MQ45">
        <v>-3.3389193893480038E-2</v>
      </c>
      <c r="MR45">
        <v>-2.9831651609574433E-2</v>
      </c>
      <c r="MS45">
        <v>-2.0309182891137631E-2</v>
      </c>
      <c r="MU45">
        <v>-4.4203513174314445E-2</v>
      </c>
      <c r="MV45">
        <v>-3.3416811623330378E-2</v>
      </c>
      <c r="MW45">
        <v>-3.0331160552921014E-2</v>
      </c>
      <c r="MX45">
        <v>-2.0234273197717471E-2</v>
      </c>
      <c r="MZ45">
        <v>-4.4887999419296151E-2</v>
      </c>
      <c r="NA45">
        <v>-3.341508293850548E-2</v>
      </c>
      <c r="NB45">
        <v>-3.0874412821004553E-2</v>
      </c>
      <c r="NC45">
        <v>-2.0125784580044645E-2</v>
      </c>
      <c r="NE45">
        <v>-4.0948344594026347E-2</v>
      </c>
      <c r="NF45">
        <v>-3.4164743207452053E-2</v>
      </c>
      <c r="NG45">
        <v>-2.7916684311829237E-2</v>
      </c>
      <c r="NH45">
        <v>-2.137552222059837E-2</v>
      </c>
      <c r="NJ45">
        <v>-4.060991341972537E-2</v>
      </c>
      <c r="NK45">
        <v>-3.4125754072642407E-2</v>
      </c>
      <c r="NL45">
        <v>-2.766589919039918E-2</v>
      </c>
      <c r="NM45">
        <v>-2.1395833440919183E-2</v>
      </c>
      <c r="NO45">
        <v>-4.0294555458534539E-2</v>
      </c>
      <c r="NP45">
        <v>-3.4085641067997892E-2</v>
      </c>
      <c r="NQ45">
        <v>-2.7535488339875631E-2</v>
      </c>
      <c r="NR45">
        <v>-2.1575675585935084E-2</v>
      </c>
      <c r="NT45">
        <v>-3.8602933566435293E-2</v>
      </c>
      <c r="NU45">
        <v>-3.4090282652986678E-2</v>
      </c>
      <c r="NV45">
        <v>-2.5603391828878275E-2</v>
      </c>
      <c r="NW45">
        <v>-2.0918628114667371E-2</v>
      </c>
      <c r="NY45">
        <v>-4.486434456619303E-2</v>
      </c>
      <c r="NZ45">
        <v>-3.4089865903471711E-2</v>
      </c>
      <c r="OA45">
        <v>-3.1285986305912873E-2</v>
      </c>
      <c r="OB45">
        <v>-2.0918584137871114E-2</v>
      </c>
      <c r="OD45">
        <v>-4.6993031688481082E-2</v>
      </c>
      <c r="OE45">
        <v>-3.4090278739818534E-2</v>
      </c>
      <c r="OF45">
        <v>-3.3264033776874875E-2</v>
      </c>
      <c r="OG45">
        <v>-2.0918626385141238E-2</v>
      </c>
      <c r="OI45">
        <v>-4.3394485800224231E-2</v>
      </c>
      <c r="OJ45">
        <v>-3.395080551249318E-2</v>
      </c>
      <c r="OK45">
        <v>-2.9682500968198706E-2</v>
      </c>
      <c r="OL45">
        <v>-2.0794923184220993E-2</v>
      </c>
      <c r="ON45">
        <v>-4.1127246093242795E-2</v>
      </c>
      <c r="OO45">
        <v>-3.4148715138205013E-2</v>
      </c>
      <c r="OP45">
        <v>-2.8056109591655606E-2</v>
      </c>
      <c r="OQ45">
        <v>-2.1347665962513009E-2</v>
      </c>
      <c r="OS45">
        <v>-4.2637060847357112E-2</v>
      </c>
      <c r="OT45">
        <v>-3.4761277150644712E-2</v>
      </c>
      <c r="OU45">
        <v>-2.9300598118491172E-2</v>
      </c>
      <c r="OV45">
        <v>-2.1361132952666891E-2</v>
      </c>
      <c r="OX45">
        <v>-4.3246257953597517E-2</v>
      </c>
      <c r="OY45">
        <v>-3.5420025954015819E-2</v>
      </c>
      <c r="OZ45">
        <v>-2.9733491101460598E-2</v>
      </c>
      <c r="PA45">
        <v>-2.213103941415388E-2</v>
      </c>
      <c r="PC45">
        <v>-4.2988169550626808E-2</v>
      </c>
      <c r="PD45">
        <v>-3.5075204517782267E-2</v>
      </c>
      <c r="PE45">
        <v>-2.9455374224976034E-2</v>
      </c>
      <c r="PF45">
        <v>-2.1788006105039618E-2</v>
      </c>
      <c r="PH45">
        <v>-4.1190240842795572E-2</v>
      </c>
      <c r="PI45">
        <v>-3.2928150239601973E-2</v>
      </c>
      <c r="PJ45">
        <v>-2.8097744717226703E-2</v>
      </c>
      <c r="PK45">
        <v>-2.0280233516544274E-2</v>
      </c>
      <c r="PM45" s="24">
        <v>-3.9003390588676669E-2</v>
      </c>
      <c r="PN45" s="24">
        <v>-2.8735342542435347E-2</v>
      </c>
      <c r="PO45" s="24">
        <v>-2.7432479753582605E-2</v>
      </c>
      <c r="PP45" s="24">
        <v>-1.8839075035548662E-2</v>
      </c>
      <c r="PR45">
        <v>-3.7312310752151363E-2</v>
      </c>
      <c r="PS45">
        <v>-2.5583265273901878E-2</v>
      </c>
      <c r="PT45">
        <v>-2.6669537404742334E-2</v>
      </c>
      <c r="PU45">
        <v>-1.7362493035363427E-2</v>
      </c>
      <c r="PW45">
        <v>-4.1736574642057406E-2</v>
      </c>
      <c r="PX45">
        <v>-3.4779597642880904E-2</v>
      </c>
      <c r="PY45">
        <v>-3.0894401125196261E-2</v>
      </c>
      <c r="PZ45">
        <v>-2.4463861267059017E-2</v>
      </c>
      <c r="QB45" s="24">
        <v>-3.938275619737451E-2</v>
      </c>
      <c r="QC45" s="24">
        <v>-3.2352157596941031E-2</v>
      </c>
      <c r="QD45" s="24">
        <v>-3.3032705455571403E-2</v>
      </c>
      <c r="QE45" s="24">
        <v>-2.7970884540257795E-2</v>
      </c>
    </row>
    <row r="46" spans="1:447" x14ac:dyDescent="0.15">
      <c r="A46" s="24" t="s">
        <v>192</v>
      </c>
      <c r="C46" s="24">
        <f>LN(C35/B35)</f>
        <v>-0.19976006995534956</v>
      </c>
      <c r="D46" s="24">
        <f>LN(D35/B35)</f>
        <v>-0.2420241664282736</v>
      </c>
      <c r="E46" s="24">
        <f>LN(E35/B35)</f>
        <v>-0.17253788229487413</v>
      </c>
      <c r="F46" s="24">
        <f>LN(F35/B35)</f>
        <v>-0.2117896379545087</v>
      </c>
      <c r="I46" s="24">
        <v>-0.19976167975697293</v>
      </c>
      <c r="J46" s="24">
        <v>-0.24202405140630484</v>
      </c>
      <c r="K46" s="24">
        <v>-0.16904601849060366</v>
      </c>
      <c r="L46" s="24">
        <v>-0.20323076897644698</v>
      </c>
      <c r="N46" s="24">
        <v>-0.2021796008259337</v>
      </c>
      <c r="O46" s="24">
        <v>-0.24624094581670897</v>
      </c>
      <c r="P46" s="24">
        <v>-0.17123222361597656</v>
      </c>
      <c r="Q46" s="24">
        <v>-0.20789386184827102</v>
      </c>
      <c r="S46" s="24">
        <v>-0.20262883541989674</v>
      </c>
      <c r="T46" s="24">
        <v>-0.24736523621138917</v>
      </c>
      <c r="U46" s="24">
        <v>-0.17315004796739891</v>
      </c>
      <c r="V46" s="24">
        <v>-0.21117090776647279</v>
      </c>
      <c r="X46" s="24">
        <v>-0.20201739143674502</v>
      </c>
      <c r="Y46" s="24">
        <v>-0.2478321681771968</v>
      </c>
      <c r="Z46" s="24">
        <v>-0.17305658782007455</v>
      </c>
      <c r="AA46" s="24">
        <v>-0.21181684840522433</v>
      </c>
      <c r="AC46" s="24">
        <v>-0.19947080233740314</v>
      </c>
      <c r="AD46" s="24">
        <v>-0.24546337062151635</v>
      </c>
      <c r="AE46" s="24">
        <v>-0.17254193799798212</v>
      </c>
      <c r="AF46" s="24">
        <v>-0.21178959643662401</v>
      </c>
      <c r="AH46" s="24">
        <v>-0.19523132237924609</v>
      </c>
      <c r="AI46" s="24">
        <v>-0.24248547664792944</v>
      </c>
      <c r="AJ46" s="24">
        <v>-0.17020978425757036</v>
      </c>
      <c r="AK46" s="24">
        <v>-0.20900529025862813</v>
      </c>
      <c r="AM46" s="24">
        <v>-0.18788136625350504</v>
      </c>
      <c r="AN46" s="24">
        <v>-0.23413221627364028</v>
      </c>
      <c r="AO46" s="24">
        <v>-0.16659148919180869</v>
      </c>
      <c r="AP46" s="24">
        <v>-0.20683461356139199</v>
      </c>
      <c r="AR46" s="24">
        <v>-0.17539590102912545</v>
      </c>
      <c r="AS46" s="24">
        <v>-0.21839291017379664</v>
      </c>
      <c r="AT46" s="24">
        <v>-0.16234741042082734</v>
      </c>
      <c r="AU46" s="24">
        <v>-0.20211615299206245</v>
      </c>
      <c r="AW46" s="24">
        <v>-0.1629963417133212</v>
      </c>
      <c r="AX46" s="24">
        <v>-0.20276292809690882</v>
      </c>
      <c r="AY46" s="24">
        <v>-0.15634480478514498</v>
      </c>
      <c r="AZ46" s="24">
        <v>-0.19470834892926064</v>
      </c>
      <c r="BB46" s="24">
        <v>-0.15067549246378703</v>
      </c>
      <c r="BC46" s="24">
        <v>-0.1872229644989063</v>
      </c>
      <c r="BD46" s="24">
        <v>-0.14408503447241658</v>
      </c>
      <c r="BE46" s="24">
        <v>-0.18011643337905001</v>
      </c>
      <c r="BG46" s="24">
        <v>-0.13842202136548024</v>
      </c>
      <c r="BH46" s="24">
        <v>-0.17179247282258983</v>
      </c>
      <c r="BI46" s="24">
        <v>-0.13189722469784326</v>
      </c>
      <c r="BJ46" s="24">
        <v>-0.16475260943691647</v>
      </c>
      <c r="BL46" s="24">
        <v>-9.0423678253251039E-2</v>
      </c>
      <c r="BM46" s="24">
        <v>-0.11133574961029323</v>
      </c>
      <c r="BN46" s="24">
        <v>-8.367850102142059E-2</v>
      </c>
      <c r="BO46" s="24">
        <v>-0.10400086115614435</v>
      </c>
      <c r="BQ46" s="24">
        <v>-4.2680787887534995E-2</v>
      </c>
      <c r="BR46" s="24">
        <v>-5.1197775234398321E-2</v>
      </c>
      <c r="BS46" s="24">
        <v>-3.6072280595295561E-2</v>
      </c>
      <c r="BT46" s="24">
        <v>-4.4027637997309813E-2</v>
      </c>
      <c r="BV46" s="24">
        <v>-0.1464611081584114</v>
      </c>
      <c r="BW46" s="24">
        <v>-0.17712383175242882</v>
      </c>
      <c r="BX46" s="24">
        <v>-0.11931395160960231</v>
      </c>
      <c r="BY46" s="24">
        <v>-0.14249464170414558</v>
      </c>
      <c r="CA46" s="24">
        <v>-0.15041796653838055</v>
      </c>
      <c r="CB46" s="24">
        <v>-0.18180351219964172</v>
      </c>
      <c r="CC46" s="24">
        <v>-0.12300866491510221</v>
      </c>
      <c r="CD46" s="24">
        <v>-0.14724693364079777</v>
      </c>
      <c r="CF46" s="24">
        <v>-0.15175851092516707</v>
      </c>
      <c r="CG46" s="24">
        <v>-0.18424475512819874</v>
      </c>
      <c r="CH46" s="24">
        <v>-0.12530331264009495</v>
      </c>
      <c r="CI46" s="24">
        <v>-0.15198209100090224</v>
      </c>
      <c r="CK46" s="24">
        <v>-0.15203371396379592</v>
      </c>
      <c r="CL46" s="24">
        <v>-0.18643318838756415</v>
      </c>
      <c r="CM46" s="24">
        <v>-0.12684908541804868</v>
      </c>
      <c r="CN46" s="24">
        <v>-0.15447387941589402</v>
      </c>
      <c r="CP46" s="24">
        <v>-0.1527534891255502</v>
      </c>
      <c r="CQ46" s="24">
        <v>-0.18704665635182505</v>
      </c>
      <c r="CR46" s="24">
        <v>-0.12805545910351326</v>
      </c>
      <c r="CS46" s="24">
        <v>-0.15580281869321255</v>
      </c>
      <c r="CU46" s="24">
        <v>-0.15147590343432091</v>
      </c>
      <c r="CV46" s="24">
        <v>-0.18616208374992357</v>
      </c>
      <c r="CW46" s="24">
        <v>-0.12822424433088772</v>
      </c>
      <c r="CX46" s="24">
        <v>-0.1567374185798199</v>
      </c>
      <c r="CZ46" s="24">
        <v>-0.14952653464965546</v>
      </c>
      <c r="DA46" s="24">
        <v>-0.18368593124288835</v>
      </c>
      <c r="DB46" s="24">
        <v>-0.12659284981755925</v>
      </c>
      <c r="DC46" s="24">
        <v>-0.15625459088081123</v>
      </c>
      <c r="DE46" s="24">
        <v>-0.14563768334841151</v>
      </c>
      <c r="DF46" s="24">
        <v>-0.18089073461056393</v>
      </c>
      <c r="DG46" s="24">
        <v>-0.12507715850871864</v>
      </c>
      <c r="DH46" s="24">
        <v>-0.15411292699739551</v>
      </c>
      <c r="DJ46" s="24">
        <v>-0.1416517744518441</v>
      </c>
      <c r="DK46" s="24">
        <v>-0.17664559221835838</v>
      </c>
      <c r="DL46" s="24">
        <v>-0.12211246496675879</v>
      </c>
      <c r="DM46" s="24">
        <v>-0.15184220249220703</v>
      </c>
      <c r="DO46" s="24">
        <v>-0.12603538743366369</v>
      </c>
      <c r="DP46" s="24">
        <v>-0.15814818655786569</v>
      </c>
      <c r="DQ46" s="24">
        <v>-0.11354207329024024</v>
      </c>
      <c r="DR46" s="24">
        <v>-0.14148626252157562</v>
      </c>
      <c r="DT46" s="24">
        <v>-7.7956691220163632E-2</v>
      </c>
      <c r="DU46" s="24">
        <v>-9.7547454409182652E-2</v>
      </c>
      <c r="DV46" s="24">
        <v>-7.1290818342870099E-2</v>
      </c>
      <c r="DW46" s="24">
        <v>-8.957580970853099E-2</v>
      </c>
      <c r="DY46" s="24">
        <v>-3.0432018543922662E-2</v>
      </c>
      <c r="DZ46" s="24">
        <v>-3.7671709726058177E-2</v>
      </c>
      <c r="EA46" s="24">
        <v>-2.3672727623748609E-2</v>
      </c>
      <c r="EB46" s="24">
        <v>-2.9788255188924802E-2</v>
      </c>
      <c r="ED46" s="24">
        <v>-0.18832559833970081</v>
      </c>
      <c r="EE46" s="24">
        <v>-0.22970598424486521</v>
      </c>
      <c r="EF46" s="24">
        <v>-0.16466510226262684</v>
      </c>
      <c r="EG46" s="24">
        <v>-0.20016049741706518</v>
      </c>
      <c r="EI46" s="24">
        <v>-0.18930172282818555</v>
      </c>
      <c r="EJ46" s="24">
        <v>-0.23133719483541629</v>
      </c>
      <c r="EK46" s="24">
        <v>-0.1658546850847962</v>
      </c>
      <c r="EL46" s="24">
        <v>-0.20240912506243663</v>
      </c>
      <c r="EN46" s="24">
        <v>-0.18917864918905464</v>
      </c>
      <c r="EO46" s="24">
        <v>-0.23198755566277793</v>
      </c>
      <c r="EP46" s="24">
        <v>-0.16653322589905489</v>
      </c>
      <c r="EQ46" s="24">
        <v>-0.20337672647692126</v>
      </c>
      <c r="ES46" s="24">
        <v>-0.18721601757750553</v>
      </c>
      <c r="ET46" s="24">
        <v>-0.23069403071916464</v>
      </c>
      <c r="EU46" s="24">
        <v>-0.16523917106083422</v>
      </c>
      <c r="EV46" s="24">
        <v>-0.20306888815833293</v>
      </c>
      <c r="EX46" s="24">
        <v>-0.18018225880143079</v>
      </c>
      <c r="EY46" s="24">
        <v>-0.22361082476315419</v>
      </c>
      <c r="EZ46" s="24">
        <v>-0.16320889845521583</v>
      </c>
      <c r="FA46" s="24">
        <v>-0.20118427602133279</v>
      </c>
      <c r="FC46" s="24">
        <v>-0.17077786128855019</v>
      </c>
      <c r="FD46" s="24">
        <v>-0.21183975337398234</v>
      </c>
      <c r="FE46" s="24">
        <v>-0.15950131598730549</v>
      </c>
      <c r="FF46" s="24">
        <v>-0.19711576193312386</v>
      </c>
      <c r="FH46" s="24">
        <v>-0.1613990939489672</v>
      </c>
      <c r="FI46" s="24">
        <v>-0.20010131420509519</v>
      </c>
      <c r="FJ46" s="24">
        <v>-0.1529548660852541</v>
      </c>
      <c r="FK46" s="24">
        <v>-0.19063622326203492</v>
      </c>
      <c r="FM46" s="24">
        <v>-0.15204151127722593</v>
      </c>
      <c r="FN46" s="24">
        <v>-0.18839200719592095</v>
      </c>
      <c r="FO46" s="24">
        <v>-0.14333152357597001</v>
      </c>
      <c r="FP46" s="24">
        <v>-0.17858144889201691</v>
      </c>
      <c r="FR46" s="24">
        <v>-0.14270688399293899</v>
      </c>
      <c r="FS46" s="24">
        <v>-0.17670295836715869</v>
      </c>
      <c r="FT46" s="24">
        <v>-0.13331402745955581</v>
      </c>
      <c r="FU46" s="24">
        <v>-0.16600503229969904</v>
      </c>
      <c r="FW46" s="24">
        <v>-0.12408982112497897</v>
      </c>
      <c r="FX46" s="24">
        <v>-0.15340453078744343</v>
      </c>
      <c r="FY46" s="24">
        <v>-0.11417084984376595</v>
      </c>
      <c r="FZ46" s="24">
        <v>-0.14150892391161471</v>
      </c>
      <c r="GB46" s="24">
        <v>-8.656577732651391E-2</v>
      </c>
      <c r="GC46" s="24">
        <v>-0.10639404657982819</v>
      </c>
      <c r="GD46" s="24">
        <v>-7.5301897815484131E-2</v>
      </c>
      <c r="GE46" s="24">
        <v>-9.3258470505183655E-2</v>
      </c>
      <c r="GG46" s="24">
        <v>-4.8790380822949439E-2</v>
      </c>
      <c r="GH46" s="24">
        <v>-5.9029938288589386E-2</v>
      </c>
      <c r="GI46" s="24">
        <v>-3.6589966194246995E-2</v>
      </c>
      <c r="GJ46" s="24">
        <v>-4.4684419007047192E-2</v>
      </c>
      <c r="GL46" s="24">
        <v>-0.19976019527394318</v>
      </c>
      <c r="GM46" s="24">
        <v>-0.24202406585356528</v>
      </c>
      <c r="GN46" s="24">
        <v>-0.17254193799798212</v>
      </c>
      <c r="GO46" s="24">
        <v>-0.2117895964366244</v>
      </c>
      <c r="GQ46" s="24">
        <v>-0.21100902521085416</v>
      </c>
      <c r="GR46" s="24">
        <v>-0.25799886855681381</v>
      </c>
      <c r="GS46" s="24">
        <v>-0.18558876785310771</v>
      </c>
      <c r="GT46" s="24">
        <v>-0.22995655362595094</v>
      </c>
      <c r="GV46" s="24">
        <v>-0.18829412672972487</v>
      </c>
      <c r="GW46" s="24">
        <v>-0.2318850193606018</v>
      </c>
      <c r="GX46" s="24">
        <v>-0.17834336844627358</v>
      </c>
      <c r="GY46" s="24">
        <v>-0.21708567406345008</v>
      </c>
      <c r="HA46" s="24">
        <v>-0.17619786818775723</v>
      </c>
      <c r="HB46" s="24">
        <v>-0.21535964761978044</v>
      </c>
      <c r="HC46" s="24">
        <v>-0.16430854399827388</v>
      </c>
      <c r="HD46" s="24">
        <v>-0.19676113023356298</v>
      </c>
      <c r="HF46" s="24">
        <v>-0.17458587520094168</v>
      </c>
      <c r="HG46" s="24">
        <v>-0.21682581109611127</v>
      </c>
      <c r="HH46" s="24">
        <v>-0.17602429030903535</v>
      </c>
      <c r="HI46" s="24">
        <v>-0.21708565133104668</v>
      </c>
      <c r="HK46" s="24">
        <v>-0.23734345793694778</v>
      </c>
      <c r="HL46" s="24">
        <v>-0.29198931194565164</v>
      </c>
      <c r="HM46" s="24">
        <v>-0.1848899233949996</v>
      </c>
      <c r="HN46" s="24">
        <v>-0.22817191741820569</v>
      </c>
      <c r="HP46">
        <v>-0.22244064004778596</v>
      </c>
      <c r="HQ46">
        <v>-0.2716286450108864</v>
      </c>
      <c r="HR46">
        <v>-0.17967310087087721</v>
      </c>
      <c r="HS46">
        <v>-0.22110839942229657</v>
      </c>
      <c r="HU46">
        <v>-0.20483484534034394</v>
      </c>
      <c r="HV46">
        <v>-0.24764666514715988</v>
      </c>
      <c r="HW46">
        <v>-0.17350001660863876</v>
      </c>
      <c r="HX46">
        <v>-0.21305186780156171</v>
      </c>
      <c r="HZ46">
        <v>-0.17609980181974105</v>
      </c>
      <c r="IA46">
        <v>-0.21372017347780564</v>
      </c>
      <c r="IB46">
        <v>-0.16269449342236361</v>
      </c>
      <c r="IC46">
        <v>-0.19850980662720621</v>
      </c>
      <c r="IE46">
        <v>-0.2005914790488558</v>
      </c>
      <c r="IF46">
        <v>-0.24185450189924534</v>
      </c>
      <c r="IG46">
        <v>-0.17319190766447856</v>
      </c>
      <c r="IH46">
        <v>-0.21146057838054896</v>
      </c>
      <c r="IJ46">
        <v>-0.20134764346409306</v>
      </c>
      <c r="IK46">
        <v>-0.24165996629215394</v>
      </c>
      <c r="IL46">
        <v>-0.17316770435707027</v>
      </c>
      <c r="IM46">
        <v>-0.21045649255260268</v>
      </c>
      <c r="IO46" s="86">
        <v>-0.20129322097375232</v>
      </c>
      <c r="IP46">
        <v>-0.24161357403235673</v>
      </c>
      <c r="IQ46">
        <v>-0.17313631136896612</v>
      </c>
      <c r="IR46">
        <v>-0.21043062541592542</v>
      </c>
      <c r="IT46">
        <v>-0.20276531107589926</v>
      </c>
      <c r="IU46">
        <v>-0.24130609494883762</v>
      </c>
      <c r="IV46">
        <v>-0.1743393288563114</v>
      </c>
      <c r="IW46">
        <v>-0.20911283544430381</v>
      </c>
      <c r="IY46">
        <v>-0.19971405386937058</v>
      </c>
      <c r="IZ46">
        <v>-0.24349364139776286</v>
      </c>
      <c r="JA46">
        <v>-0.17186075120151456</v>
      </c>
      <c r="JB46">
        <v>-0.21213771097149933</v>
      </c>
      <c r="JD46">
        <v>-0.19798225733120187</v>
      </c>
      <c r="JE46">
        <v>-0.24322747071583936</v>
      </c>
      <c r="JF46">
        <v>-0.17099818816533971</v>
      </c>
      <c r="JG46">
        <v>-0.21234375195584648</v>
      </c>
      <c r="JI46">
        <v>-0.1959860834686166</v>
      </c>
      <c r="JJ46">
        <v>-0.24398248618434065</v>
      </c>
      <c r="JK46">
        <v>-0.16928172244826098</v>
      </c>
      <c r="JL46">
        <v>-0.21290441929587914</v>
      </c>
      <c r="JN46">
        <v>-0.24228378869712802</v>
      </c>
      <c r="JO46">
        <v>-0.29868534125001406</v>
      </c>
      <c r="JP46">
        <v>-0.18770791770291842</v>
      </c>
      <c r="JQ46">
        <v>-0.23183353026222453</v>
      </c>
      <c r="JS46">
        <v>-0.22805940642954425</v>
      </c>
      <c r="JT46">
        <v>-0.27891204509907314</v>
      </c>
      <c r="JU46">
        <v>-0.18149044406532322</v>
      </c>
      <c r="JV46">
        <v>-0.22347529627015505</v>
      </c>
      <c r="JX46">
        <v>-0.21130224136803263</v>
      </c>
      <c r="JY46">
        <v>-0.25721865495415347</v>
      </c>
      <c r="JZ46">
        <v>-0.1759913341498546</v>
      </c>
      <c r="KA46">
        <v>-0.21548135527881337</v>
      </c>
      <c r="KC46">
        <v>-0.1887330410894936</v>
      </c>
      <c r="KD46">
        <v>-0.22877586258785526</v>
      </c>
      <c r="KE46">
        <v>-0.16886831098008473</v>
      </c>
      <c r="KF46">
        <v>-0.20700698234102849</v>
      </c>
      <c r="KH46">
        <v>-0.17538271463537794</v>
      </c>
      <c r="KI46">
        <v>-0.2129743787842942</v>
      </c>
      <c r="KJ46">
        <v>-0.15905211167942551</v>
      </c>
      <c r="KK46">
        <v>-0.19419704951265865</v>
      </c>
      <c r="KM46">
        <v>-0.21407658439285571</v>
      </c>
      <c r="KN46">
        <v>-0.24202415082511516</v>
      </c>
      <c r="KO46">
        <v>-0.18552810909670953</v>
      </c>
      <c r="KP46">
        <v>-0.21178971990946355</v>
      </c>
      <c r="KR46">
        <v>-0.21407654358102907</v>
      </c>
      <c r="KS46">
        <v>-0.24202415082511516</v>
      </c>
      <c r="KT46">
        <v>-0.18552807105276203</v>
      </c>
      <c r="KU46">
        <v>-0.21178971990946355</v>
      </c>
      <c r="KW46">
        <v>-0.2069998974044174</v>
      </c>
      <c r="KX46">
        <v>-0.24202415082511516</v>
      </c>
      <c r="KY46">
        <v>-0.17824901467170254</v>
      </c>
      <c r="KZ46">
        <v>-0.21178971990946355</v>
      </c>
      <c r="LB46">
        <v>-0.19393218477891824</v>
      </c>
      <c r="LC46">
        <v>-0.24202415082511516</v>
      </c>
      <c r="LD46">
        <v>-0.16660442191102601</v>
      </c>
      <c r="LE46">
        <v>-0.21178971990946355</v>
      </c>
      <c r="LG46">
        <v>-0.18797845062957824</v>
      </c>
      <c r="LH46">
        <v>-0.24202415082511516</v>
      </c>
      <c r="LI46">
        <v>-0.16122337011338958</v>
      </c>
      <c r="LJ46">
        <v>-0.21178971990946355</v>
      </c>
      <c r="LL46">
        <v>-0.21844150477011962</v>
      </c>
      <c r="LM46">
        <v>-0.24202415082511516</v>
      </c>
      <c r="LN46">
        <v>-0.18878187482988479</v>
      </c>
      <c r="LO46">
        <v>-0.21178971990946355</v>
      </c>
      <c r="LQ46">
        <v>-0.2019246167007164</v>
      </c>
      <c r="LR46">
        <v>-0.24499175707935636</v>
      </c>
      <c r="LS46">
        <v>-0.17300386537626003</v>
      </c>
      <c r="LT46">
        <v>-0.21254378523719061</v>
      </c>
      <c r="LV46">
        <v>-0.20404323539442712</v>
      </c>
      <c r="LW46">
        <v>-0.24789133740260788</v>
      </c>
      <c r="LX46">
        <v>-0.17342894058649927</v>
      </c>
      <c r="LY46">
        <v>-0.2131493990079005</v>
      </c>
      <c r="MA46">
        <v>-0.20522914383377364</v>
      </c>
      <c r="MB46">
        <v>-0.250754942160762</v>
      </c>
      <c r="MC46">
        <v>-0.17381253509565361</v>
      </c>
      <c r="MD46">
        <v>-0.21306966632909216</v>
      </c>
      <c r="MF46">
        <v>-0.25408617687377666</v>
      </c>
      <c r="MG46">
        <v>-0.31255607120378559</v>
      </c>
      <c r="MH46">
        <v>-0.19203346121341872</v>
      </c>
      <c r="MI46">
        <v>-0.23748064761424845</v>
      </c>
      <c r="MK46">
        <v>-0.17265306553889623</v>
      </c>
      <c r="ML46">
        <v>-0.20997578158719585</v>
      </c>
      <c r="MM46">
        <v>-0.14660940278542575</v>
      </c>
      <c r="MN46">
        <v>-0.17703180339145272</v>
      </c>
      <c r="MP46">
        <v>-0.19524299223215782</v>
      </c>
      <c r="MQ46">
        <v>-0.24745322786691573</v>
      </c>
      <c r="MR46">
        <v>-0.16756624197830072</v>
      </c>
      <c r="MS46">
        <v>-0.2157445356106715</v>
      </c>
      <c r="MU46">
        <v>-0.19175621797330392</v>
      </c>
      <c r="MV46">
        <v>-0.24783151813371174</v>
      </c>
      <c r="MW46">
        <v>-0.16537626020416227</v>
      </c>
      <c r="MX46">
        <v>-0.21642352308886106</v>
      </c>
      <c r="MZ46">
        <v>-0.18887187691842727</v>
      </c>
      <c r="NA46">
        <v>-0.24831895342115698</v>
      </c>
      <c r="NB46">
        <v>-0.16294029243185879</v>
      </c>
      <c r="NC46">
        <v>-0.21724080486022754</v>
      </c>
      <c r="NE46">
        <v>-0.20404793631897708</v>
      </c>
      <c r="NF46">
        <v>-0.2399106232842341</v>
      </c>
      <c r="NG46">
        <v>-0.17546521735063481</v>
      </c>
      <c r="NH46">
        <v>-0.20846598864654389</v>
      </c>
      <c r="NJ46">
        <v>-0.20519613311228399</v>
      </c>
      <c r="NK46">
        <v>-0.23953440054172678</v>
      </c>
      <c r="NL46">
        <v>-0.17641907187814831</v>
      </c>
      <c r="NM46">
        <v>-0.20803659149249371</v>
      </c>
      <c r="NO46">
        <v>-0.2062310492753977</v>
      </c>
      <c r="NP46">
        <v>-0.23916396401797535</v>
      </c>
      <c r="NQ46">
        <v>-0.17673228688502049</v>
      </c>
      <c r="NR46">
        <v>-0.2067779181591432</v>
      </c>
      <c r="NT46">
        <v>-0.21844152884708573</v>
      </c>
      <c r="NU46">
        <v>-0.2420241547776141</v>
      </c>
      <c r="NV46">
        <v>-0.1887818481559885</v>
      </c>
      <c r="NW46">
        <v>-0.21178972874003676</v>
      </c>
      <c r="NY46">
        <v>-0.18520494423240388</v>
      </c>
      <c r="NZ46">
        <v>-0.24202631816459289</v>
      </c>
      <c r="OA46">
        <v>-0.15877770812776934</v>
      </c>
      <c r="OB46">
        <v>-0.21178995624880129</v>
      </c>
      <c r="OD46">
        <v>-0.17376483468986567</v>
      </c>
      <c r="OE46">
        <v>-0.24202417509359858</v>
      </c>
      <c r="OF46">
        <v>-0.14820842787973049</v>
      </c>
      <c r="OG46">
        <v>-0.21178973768077877</v>
      </c>
      <c r="OI46">
        <v>-0.19489550289614294</v>
      </c>
      <c r="OJ46">
        <v>-0.24417934616122752</v>
      </c>
      <c r="OK46">
        <v>-0.16834870881435735</v>
      </c>
      <c r="OL46">
        <v>-0.213213451829876</v>
      </c>
      <c r="ON46">
        <v>-0.2034263859657883</v>
      </c>
      <c r="OO46">
        <v>-0.24028313658706787</v>
      </c>
      <c r="OP46">
        <v>-0.17491612572348919</v>
      </c>
      <c r="OQ46">
        <v>-0.20877201306642054</v>
      </c>
      <c r="OS46">
        <v>-0.19821743628477206</v>
      </c>
      <c r="OT46">
        <v>-0.23953018526439449</v>
      </c>
      <c r="OU46">
        <v>-0.17114409637320366</v>
      </c>
      <c r="OV46">
        <v>-0.21124987292114003</v>
      </c>
      <c r="OX46">
        <v>-0.19603071958896029</v>
      </c>
      <c r="OY46">
        <v>-0.23703443308156077</v>
      </c>
      <c r="OZ46">
        <v>-0.17063943687007724</v>
      </c>
      <c r="PA46">
        <v>-0.20896703766822633</v>
      </c>
      <c r="PC46">
        <v>-0.1972503012633465</v>
      </c>
      <c r="PD46">
        <v>-0.23873871319666323</v>
      </c>
      <c r="PE46">
        <v>-0.17140036999152086</v>
      </c>
      <c r="PF46">
        <v>-0.21007046493904555</v>
      </c>
      <c r="PH46">
        <v>-0.20298978836594617</v>
      </c>
      <c r="PI46">
        <v>-0.24645433568950897</v>
      </c>
      <c r="PJ46">
        <v>-0.17282174977822132</v>
      </c>
      <c r="PK46">
        <v>-0.21237425684335054</v>
      </c>
      <c r="PM46" s="24">
        <v>-0.23556075298559484</v>
      </c>
      <c r="PN46" s="24">
        <v>-0.28938079254279431</v>
      </c>
      <c r="PO46" s="24">
        <v>-0.18492497759914914</v>
      </c>
      <c r="PP46" s="24">
        <v>-0.22823138752963773</v>
      </c>
      <c r="PR46">
        <v>-0.2594838993968217</v>
      </c>
      <c r="PS46">
        <v>-0.3209841850805476</v>
      </c>
      <c r="PT46">
        <v>-0.19416609960782216</v>
      </c>
      <c r="PU46">
        <v>-0.24108739283934849</v>
      </c>
      <c r="PW46">
        <v>-0.17405283966015631</v>
      </c>
      <c r="PX46">
        <v>-0.21067675667143335</v>
      </c>
      <c r="PY46">
        <v>-0.15114715433875694</v>
      </c>
      <c r="PZ46">
        <v>-0.18392500334888226</v>
      </c>
      <c r="QB46" s="24">
        <v>-0.16968536615272867</v>
      </c>
      <c r="QC46" s="24">
        <v>-0.20667839992300333</v>
      </c>
      <c r="QD46" s="24">
        <v>-0.12660302834549281</v>
      </c>
      <c r="QE46" s="24">
        <v>-0.15300311636493763</v>
      </c>
    </row>
    <row r="47" spans="1:447" x14ac:dyDescent="0.15">
      <c r="A47" s="24" t="s">
        <v>194</v>
      </c>
      <c r="C47" s="24">
        <f>LN(C36/B36)</f>
        <v>-3.3416640158560718E-2</v>
      </c>
      <c r="D47" s="24">
        <f>LN(D36/B36)</f>
        <v>-1.7328455919407251E-2</v>
      </c>
      <c r="E47" s="24">
        <f>LN(E36/B36)</f>
        <v>-9.6377508966993316E-3</v>
      </c>
      <c r="F47" s="24">
        <f>LN(F36/B36)</f>
        <v>-6.8687369868261211E-3</v>
      </c>
      <c r="I47" s="24">
        <v>-3.3416623065505753E-2</v>
      </c>
      <c r="J47" s="24">
        <v>-1.7328292850400839E-2</v>
      </c>
      <c r="K47" s="24">
        <v>-2.1361926724253705E-2</v>
      </c>
      <c r="L47" s="24">
        <v>-1.2832986532659577E-2</v>
      </c>
      <c r="N47" s="24">
        <v>-3.1403044593268765E-2</v>
      </c>
      <c r="O47" s="24">
        <v>-1.5048606255580257E-2</v>
      </c>
      <c r="P47" s="24">
        <v>-1.9912316217824098E-2</v>
      </c>
      <c r="Q47" s="24">
        <v>-1.1158065285225293E-2</v>
      </c>
      <c r="S47" s="24">
        <v>-2.934712782961936E-2</v>
      </c>
      <c r="T47" s="24">
        <v>-1.3344279695806226E-2</v>
      </c>
      <c r="U47" s="24">
        <v>-1.8467249299312215E-2</v>
      </c>
      <c r="V47" s="24">
        <v>-9.5184040201132733E-3</v>
      </c>
      <c r="X47" s="24">
        <v>-2.7434568787328032E-2</v>
      </c>
      <c r="Y47" s="24">
        <v>-1.1380773072526053E-2</v>
      </c>
      <c r="Z47" s="24">
        <v>-1.7182519929596296E-2</v>
      </c>
      <c r="AA47" s="24">
        <v>-8.176828636111683E-3</v>
      </c>
      <c r="AC47" s="24">
        <v>-2.5681303078678292E-2</v>
      </c>
      <c r="AD47" s="24">
        <v>-1.00186900049764E-2</v>
      </c>
      <c r="AE47" s="24">
        <v>-9.6263880706813562E-3</v>
      </c>
      <c r="AF47" s="24">
        <v>-6.8686782215979002E-3</v>
      </c>
      <c r="AH47" s="24">
        <v>-2.3902264532100863E-2</v>
      </c>
      <c r="AI47" s="24">
        <v>-8.4233891982501644E-3</v>
      </c>
      <c r="AJ47" s="24">
        <v>-1.4841483720152445E-2</v>
      </c>
      <c r="AK47" s="24">
        <v>-5.8785158993686854E-3</v>
      </c>
      <c r="AM47" s="24">
        <v>-2.232535518431529E-2</v>
      </c>
      <c r="AN47" s="24">
        <v>-7.4940960254529058E-3</v>
      </c>
      <c r="AO47" s="24">
        <v>-1.3703505027556222E-2</v>
      </c>
      <c r="AP47" s="24">
        <v>-4.6708017296684494E-3</v>
      </c>
      <c r="AR47" s="24">
        <v>-2.1336190145098691E-2</v>
      </c>
      <c r="AS47" s="24">
        <v>-7.4733988887488957E-3</v>
      </c>
      <c r="AT47" s="24">
        <v>-1.2608848307475325E-2</v>
      </c>
      <c r="AU47" s="24">
        <v>-3.7796403804835057E-3</v>
      </c>
      <c r="AW47" s="24">
        <v>-2.0354286453568876E-2</v>
      </c>
      <c r="AX47" s="24">
        <v>-7.453215469939785E-3</v>
      </c>
      <c r="AY47" s="24">
        <v>-1.1466850119309698E-2</v>
      </c>
      <c r="AZ47" s="24">
        <v>-3.1823155473224753E-3</v>
      </c>
      <c r="BB47" s="24">
        <v>-1.9378553922187885E-2</v>
      </c>
      <c r="BC47" s="24">
        <v>-7.418408811928792E-3</v>
      </c>
      <c r="BD47" s="24">
        <v>-1.0511186186504708E-2</v>
      </c>
      <c r="BE47" s="24">
        <v>-2.9458483385456659E-3</v>
      </c>
      <c r="BG47" s="24">
        <v>-1.8413781865585437E-2</v>
      </c>
      <c r="BH47" s="24">
        <v>-7.4091290299602448E-3</v>
      </c>
      <c r="BI47" s="24">
        <v>-9.5512966473824228E-3</v>
      </c>
      <c r="BJ47" s="24">
        <v>-2.934633953318176E-3</v>
      </c>
      <c r="BL47" s="24">
        <v>-1.4369084986207769E-2</v>
      </c>
      <c r="BM47" s="24">
        <v>-7.0714432323004204E-3</v>
      </c>
      <c r="BN47" s="24">
        <v>-5.7756526736430242E-3</v>
      </c>
      <c r="BO47" s="24">
        <v>-2.8797872164637059E-3</v>
      </c>
      <c r="BQ47" s="24">
        <v>-1.0541899720209314E-2</v>
      </c>
      <c r="BR47" s="24">
        <v>-7.0059869579965307E-3</v>
      </c>
      <c r="BS47" s="24">
        <v>-2.0021139654318003E-3</v>
      </c>
      <c r="BT47" s="24">
        <v>-2.8162690222784648E-3</v>
      </c>
      <c r="BV47" s="24">
        <v>-2.4780213572586942E-2</v>
      </c>
      <c r="BW47" s="24">
        <v>-1.0556606019059186E-2</v>
      </c>
      <c r="BX47" s="24">
        <v>-1.6142697728192074E-2</v>
      </c>
      <c r="BY47" s="24">
        <v>-8.7650616741106972E-3</v>
      </c>
      <c r="CA47" s="24">
        <v>-2.3230715859880614E-2</v>
      </c>
      <c r="CB47" s="24">
        <v>-9.2477073476572164E-3</v>
      </c>
      <c r="CC47" s="24">
        <v>-1.4850204556352336E-2</v>
      </c>
      <c r="CD47" s="24">
        <v>-7.5706742086946088E-3</v>
      </c>
      <c r="CF47" s="24">
        <v>-2.1825602512760358E-2</v>
      </c>
      <c r="CG47" s="24">
        <v>-7.9524316338988529E-3</v>
      </c>
      <c r="CH47" s="24">
        <v>-1.405241165480744E-2</v>
      </c>
      <c r="CI47" s="24">
        <v>-6.3899671392660231E-3</v>
      </c>
      <c r="CK47" s="24">
        <v>-2.0567877173714975E-2</v>
      </c>
      <c r="CL47" s="24">
        <v>-6.6804994495948547E-3</v>
      </c>
      <c r="CM47" s="24">
        <v>-1.2982119639343807E-2</v>
      </c>
      <c r="CN47" s="24">
        <v>-5.4647047408950379E-3</v>
      </c>
      <c r="CP47" s="24">
        <v>-1.9109826472193232E-2</v>
      </c>
      <c r="CQ47" s="24">
        <v>-5.687284789612404E-3</v>
      </c>
      <c r="CR47" s="24">
        <v>-1.21258018236886E-2</v>
      </c>
      <c r="CS47" s="24">
        <v>-4.5606320776228225E-3</v>
      </c>
      <c r="CU47" s="24">
        <v>-1.7797156285563189E-2</v>
      </c>
      <c r="CV47" s="24">
        <v>-4.7446361389866226E-3</v>
      </c>
      <c r="CW47" s="24">
        <v>-1.1222893548917595E-2</v>
      </c>
      <c r="CX47" s="24">
        <v>-3.6841713268673396E-3</v>
      </c>
      <c r="CZ47" s="24">
        <v>-1.6469401609592631E-2</v>
      </c>
      <c r="DA47" s="24">
        <v>-3.8289539342164971E-3</v>
      </c>
      <c r="DB47" s="24">
        <v>-1.0429145427372593E-2</v>
      </c>
      <c r="DC47" s="24">
        <v>-2.8507674323519547E-3</v>
      </c>
      <c r="DE47" s="24">
        <v>-1.5332251903343422E-2</v>
      </c>
      <c r="DF47" s="24">
        <v>-2.9671303469074374E-3</v>
      </c>
      <c r="DG47" s="24">
        <v>-9.4766904191036228E-3</v>
      </c>
      <c r="DH47" s="24">
        <v>-2.255204876794563E-3</v>
      </c>
      <c r="DJ47" s="24">
        <v>-1.3904780625027901E-2</v>
      </c>
      <c r="DK47" s="24">
        <v>-2.1707691069760443E-3</v>
      </c>
      <c r="DL47" s="24">
        <v>-8.6532660749300324E-3</v>
      </c>
      <c r="DM47" s="24">
        <v>-1.5210810535243946E-3</v>
      </c>
      <c r="DO47" s="24">
        <v>-1.1543140870467926E-2</v>
      </c>
      <c r="DP47" s="24">
        <v>-1.3870115641455871E-3</v>
      </c>
      <c r="DQ47" s="24">
        <v>-6.8067785547771429E-3</v>
      </c>
      <c r="DR47" s="24">
        <v>-5.4513717258333435E-4</v>
      </c>
      <c r="DT47" s="24">
        <v>-7.7161645586666053E-3</v>
      </c>
      <c r="DU47" s="24">
        <v>-1.327443763367244E-3</v>
      </c>
      <c r="DV47" s="24">
        <v>-3.0628637208379812E-3</v>
      </c>
      <c r="DW47" s="24">
        <v>-8.547216102007062E-5</v>
      </c>
      <c r="DY47" s="24">
        <v>-3.9168918102179097E-3</v>
      </c>
      <c r="DZ47" s="24">
        <v>-1.2687509167541337E-3</v>
      </c>
      <c r="EA47" s="24">
        <v>6.0308735090242494E-4</v>
      </c>
      <c r="EB47" s="24">
        <v>-2.9621923905009454E-5</v>
      </c>
      <c r="ED47" s="24">
        <v>-3.1455602487885558E-2</v>
      </c>
      <c r="EE47" s="24">
        <v>-1.6491763128867097E-2</v>
      </c>
      <c r="EF47" s="24">
        <v>-2.0669940522065364E-2</v>
      </c>
      <c r="EG47" s="24">
        <v>-1.2280135878211541E-2</v>
      </c>
      <c r="EI47" s="24">
        <v>-2.9342468594530064E-2</v>
      </c>
      <c r="EJ47" s="24">
        <v>-1.4604788291947645E-2</v>
      </c>
      <c r="EK47" s="24">
        <v>-1.9179571498707509E-2</v>
      </c>
      <c r="EL47" s="24">
        <v>-1.0669416383402434E-2</v>
      </c>
      <c r="EN47" s="24">
        <v>-2.7378297828650373E-2</v>
      </c>
      <c r="EO47" s="24">
        <v>-1.272154874936603E-2</v>
      </c>
      <c r="EP47" s="24">
        <v>-1.7675215485267456E-2</v>
      </c>
      <c r="EQ47" s="24">
        <v>-9.0897603926896799E-3</v>
      </c>
      <c r="ES47" s="24">
        <v>-2.5544561690538717E-2</v>
      </c>
      <c r="ET47" s="24">
        <v>-1.1140862739574214E-2</v>
      </c>
      <c r="EU47" s="24">
        <v>-1.6349846616607999E-2</v>
      </c>
      <c r="EV47" s="24">
        <v>-7.8066640672728397E-3</v>
      </c>
      <c r="EX47" s="24">
        <v>-2.4300841338528001E-2</v>
      </c>
      <c r="EY47" s="24">
        <v>-1.0205014885859844E-2</v>
      </c>
      <c r="EZ47" s="24">
        <v>-1.502390570345045E-2</v>
      </c>
      <c r="FA47" s="24">
        <v>-6.5767004839544117E-3</v>
      </c>
      <c r="FC47" s="24">
        <v>-2.3274029426961215E-2</v>
      </c>
      <c r="FD47" s="24">
        <v>-9.8859190815039025E-3</v>
      </c>
      <c r="FE47" s="24">
        <v>-1.3888798018090578E-2</v>
      </c>
      <c r="FF47" s="24">
        <v>-5.6541617103347012E-3</v>
      </c>
      <c r="FH47" s="24">
        <v>-2.2250336521533878E-2</v>
      </c>
      <c r="FI47" s="24">
        <v>-9.568779466076387E-3</v>
      </c>
      <c r="FJ47" s="24">
        <v>-1.283252851082229E-2</v>
      </c>
      <c r="FK47" s="24">
        <v>-4.8052607538009735E-3</v>
      </c>
      <c r="FM47" s="24">
        <v>-2.1232313849617782E-2</v>
      </c>
      <c r="FN47" s="24">
        <v>-9.2537056582388168E-3</v>
      </c>
      <c r="FO47" s="24">
        <v>-1.1779494314082836E-2</v>
      </c>
      <c r="FP47" s="24">
        <v>-4.5299007433279442E-3</v>
      </c>
      <c r="FR47" s="24">
        <v>-2.0214581254798407E-2</v>
      </c>
      <c r="FS47" s="24">
        <v>-8.933170167504766E-3</v>
      </c>
      <c r="FT47" s="24">
        <v>-1.0950040068292042E-2</v>
      </c>
      <c r="FU47" s="24">
        <v>-4.4949400297929877E-3</v>
      </c>
      <c r="FW47" s="24">
        <v>-1.8187221074774645E-2</v>
      </c>
      <c r="FX47" s="24">
        <v>-8.3219934635519726E-3</v>
      </c>
      <c r="FY47" s="24">
        <v>-8.8693796750956184E-3</v>
      </c>
      <c r="FZ47" s="24">
        <v>-4.1835883216201379E-3</v>
      </c>
      <c r="GB47" s="24">
        <v>-1.4345044586762409E-2</v>
      </c>
      <c r="GC47" s="24">
        <v>-7.3730658162062075E-3</v>
      </c>
      <c r="GD47" s="24">
        <v>-5.1467553873056609E-3</v>
      </c>
      <c r="GE47" s="24">
        <v>-3.3627327624818804E-3</v>
      </c>
      <c r="GG47" s="24">
        <v>-1.070579818033761E-2</v>
      </c>
      <c r="GH47" s="24">
        <v>-6.7088209988375716E-3</v>
      </c>
      <c r="GI47" s="24">
        <v>-1.4312742734886308E-3</v>
      </c>
      <c r="GJ47" s="24">
        <v>-2.8022535326739455E-3</v>
      </c>
      <c r="GL47" s="24">
        <v>-3.3417177661674756E-2</v>
      </c>
      <c r="GM47" s="24">
        <v>-1.7328313520755208E-2</v>
      </c>
      <c r="GN47" s="24">
        <v>-9.6263880706813562E-3</v>
      </c>
      <c r="GO47" s="24">
        <v>-6.8686782215979063E-3</v>
      </c>
      <c r="GQ47" s="24">
        <v>-3.3378618993232648E-2</v>
      </c>
      <c r="GR47" s="24">
        <v>-1.7152946711238647E-2</v>
      </c>
      <c r="GS47" s="24">
        <v>-9.9588094819474289E-3</v>
      </c>
      <c r="GT47" s="24">
        <v>-6.7952784270986838E-3</v>
      </c>
      <c r="GV47" s="24">
        <v>-3.4272094681709116E-2</v>
      </c>
      <c r="GW47" s="24">
        <v>-1.8286880408657773E-2</v>
      </c>
      <c r="GX47" s="24">
        <v>-1.5417670760220915E-2</v>
      </c>
      <c r="GY47" s="24">
        <v>-7.3433407239686258E-3</v>
      </c>
      <c r="HA47" s="24">
        <v>-3.427286550530078E-2</v>
      </c>
      <c r="HB47" s="24">
        <v>-1.8093527897310255E-2</v>
      </c>
      <c r="HC47" s="24">
        <v>-1.5172997415654699E-2</v>
      </c>
      <c r="HD47" s="24">
        <v>-7.307262850455091E-3</v>
      </c>
      <c r="HF47" s="24">
        <v>-2.6275931414024963E-2</v>
      </c>
      <c r="HG47" s="24">
        <v>-1.0622788692061409E-2</v>
      </c>
      <c r="HH47" s="24">
        <v>-2.0309975000958248E-2</v>
      </c>
      <c r="HI47" s="24">
        <v>-7.3433116262648871E-3</v>
      </c>
      <c r="HK47" s="24">
        <v>-2.9051087141365284E-2</v>
      </c>
      <c r="HL47" s="24">
        <v>-9.107522161539993E-3</v>
      </c>
      <c r="HM47" s="24">
        <v>-7.304522347769982E-3</v>
      </c>
      <c r="HN47" s="24">
        <v>-4.0667783680737903E-3</v>
      </c>
      <c r="HP47">
        <v>-3.0847137223083243E-2</v>
      </c>
      <c r="HQ47">
        <v>-1.2378185753511272E-2</v>
      </c>
      <c r="HR47">
        <v>-8.2644337366933607E-3</v>
      </c>
      <c r="HS47">
        <v>-5.3740699820856008E-3</v>
      </c>
      <c r="HU47">
        <v>-3.2825193360603577E-2</v>
      </c>
      <c r="HV47">
        <v>-1.6327112253825212E-2</v>
      </c>
      <c r="HW47">
        <v>-9.406720475319397E-3</v>
      </c>
      <c r="HX47">
        <v>-6.6198554527199215E-3</v>
      </c>
      <c r="HZ47">
        <v>-3.5581704334802657E-2</v>
      </c>
      <c r="IA47">
        <v>-2.11852690707275E-2</v>
      </c>
      <c r="IB47">
        <v>-1.1528317446996972E-2</v>
      </c>
      <c r="IC47">
        <v>-8.2950504321406774E-3</v>
      </c>
      <c r="IE47">
        <v>-3.3435171333923805E-2</v>
      </c>
      <c r="IF47">
        <v>-1.7383849996989893E-2</v>
      </c>
      <c r="IG47">
        <v>-9.5809960567239619E-3</v>
      </c>
      <c r="IH47">
        <v>-6.7820571435132995E-3</v>
      </c>
      <c r="IJ47">
        <v>-3.3411230779511268E-2</v>
      </c>
      <c r="IK47">
        <v>-1.740266233278755E-2</v>
      </c>
      <c r="IL47">
        <v>-9.9936137028064625E-3</v>
      </c>
      <c r="IM47">
        <v>-6.9300832265950787E-3</v>
      </c>
      <c r="IO47" s="86">
        <v>-3.1817811912225664E-2</v>
      </c>
      <c r="IP47">
        <v>-1.76523661511379E-2</v>
      </c>
      <c r="IQ47">
        <v>-8.6531391554488957E-3</v>
      </c>
      <c r="IR47">
        <v>-7.2951013908106373E-3</v>
      </c>
      <c r="IT47">
        <v>-3.340258748630922E-2</v>
      </c>
      <c r="IU47">
        <v>-1.7492749855471782E-2</v>
      </c>
      <c r="IV47">
        <v>-9.9455168196806009E-3</v>
      </c>
      <c r="IW47">
        <v>-7.564869877161603E-3</v>
      </c>
      <c r="IY47">
        <v>-3.3498999624588972E-2</v>
      </c>
      <c r="IZ47">
        <v>-1.7110385610765985E-2</v>
      </c>
      <c r="JA47">
        <v>-9.6783357271489987E-3</v>
      </c>
      <c r="JB47">
        <v>-6.9291336712672385E-3</v>
      </c>
      <c r="JD47">
        <v>-3.3424248505720969E-2</v>
      </c>
      <c r="JE47">
        <v>-1.6476904327486653E-2</v>
      </c>
      <c r="JF47">
        <v>-9.6071742343494734E-3</v>
      </c>
      <c r="JG47">
        <v>-6.8458875650660904E-3</v>
      </c>
      <c r="JI47">
        <v>-3.3434503543320594E-2</v>
      </c>
      <c r="JJ47">
        <v>-1.6896023188184683E-2</v>
      </c>
      <c r="JK47">
        <v>-9.5770826602361372E-3</v>
      </c>
      <c r="JL47">
        <v>-6.7727985650129783E-3</v>
      </c>
      <c r="JN47">
        <v>-2.8746090154027272E-2</v>
      </c>
      <c r="JO47">
        <v>-8.0080279028401802E-3</v>
      </c>
      <c r="JP47">
        <v>-6.7893356362855022E-3</v>
      </c>
      <c r="JQ47">
        <v>-3.5081605283666779E-3</v>
      </c>
      <c r="JS47">
        <v>-3.0144169769971328E-2</v>
      </c>
      <c r="JT47">
        <v>-1.1127726734492128E-2</v>
      </c>
      <c r="JU47">
        <v>-7.8668862800412142E-3</v>
      </c>
      <c r="JV47">
        <v>-4.9470122307724929E-3</v>
      </c>
      <c r="JX47">
        <v>-3.2088598641679303E-2</v>
      </c>
      <c r="JY47">
        <v>-1.4680874980804531E-2</v>
      </c>
      <c r="JZ47">
        <v>-9.0351314974882243E-3</v>
      </c>
      <c r="KA47">
        <v>-6.2170266667632996E-3</v>
      </c>
      <c r="KC47">
        <v>-3.4642431021184902E-2</v>
      </c>
      <c r="KD47">
        <v>-1.9101765910687029E-2</v>
      </c>
      <c r="KE47">
        <v>-1.0373236435940653E-2</v>
      </c>
      <c r="KF47">
        <v>-7.6465233289297399E-3</v>
      </c>
      <c r="KH47">
        <v>-3.4905761033481038E-2</v>
      </c>
      <c r="KI47">
        <v>-2.0487604351412819E-2</v>
      </c>
      <c r="KJ47">
        <v>-1.2331040675484153E-2</v>
      </c>
      <c r="KK47">
        <v>-9.7873663116701537E-3</v>
      </c>
      <c r="KM47">
        <v>-2.8455155100597471E-2</v>
      </c>
      <c r="KN47">
        <v>-1.7328433643201399E-2</v>
      </c>
      <c r="KO47">
        <v>-3.4306888458211764E-3</v>
      </c>
      <c r="KP47">
        <v>-6.8688545981441329E-3</v>
      </c>
      <c r="KR47">
        <v>-2.8455094892302232E-2</v>
      </c>
      <c r="KS47">
        <v>-1.7328433643201399E-2</v>
      </c>
      <c r="KT47">
        <v>-3.4306312830691453E-3</v>
      </c>
      <c r="KU47">
        <v>-6.8688545981441329E-3</v>
      </c>
      <c r="KW47">
        <v>-3.1011999947455082E-2</v>
      </c>
      <c r="KX47">
        <v>-1.7328433643201399E-2</v>
      </c>
      <c r="KY47">
        <v>-6.8908952272491476E-3</v>
      </c>
      <c r="KZ47">
        <v>-6.8688545981441329E-3</v>
      </c>
      <c r="LB47">
        <v>-3.5509809279026285E-2</v>
      </c>
      <c r="LC47">
        <v>-1.7328433643201399E-2</v>
      </c>
      <c r="LD47">
        <v>-1.226685805785623E-2</v>
      </c>
      <c r="LE47">
        <v>-6.8688545981441329E-3</v>
      </c>
      <c r="LG47">
        <v>-3.735923890374878E-2</v>
      </c>
      <c r="LH47">
        <v>-1.7328433643201399E-2</v>
      </c>
      <c r="LI47">
        <v>-1.4582569423628245E-2</v>
      </c>
      <c r="LJ47">
        <v>-6.8688545981441329E-3</v>
      </c>
      <c r="LL47">
        <v>-2.6903920183901472E-2</v>
      </c>
      <c r="LM47">
        <v>-1.7328433643201399E-2</v>
      </c>
      <c r="LN47">
        <v>-1.4865780946619331E-3</v>
      </c>
      <c r="LO47">
        <v>-6.8688545981441329E-3</v>
      </c>
      <c r="LQ47">
        <v>-3.291055827244449E-2</v>
      </c>
      <c r="LR47">
        <v>-1.6678506479308058E-2</v>
      </c>
      <c r="LS47">
        <v>-9.2828308138824412E-3</v>
      </c>
      <c r="LT47">
        <v>-6.5745730514947575E-3</v>
      </c>
      <c r="LV47">
        <v>-3.2400676241336607E-2</v>
      </c>
      <c r="LW47">
        <v>-1.6011817151809028E-2</v>
      </c>
      <c r="LX47">
        <v>-8.9260044078816898E-3</v>
      </c>
      <c r="LY47">
        <v>-6.1356387123474854E-3</v>
      </c>
      <c r="MA47">
        <v>-3.2079528035500939E-2</v>
      </c>
      <c r="MB47">
        <v>-1.5377048529727528E-2</v>
      </c>
      <c r="MC47">
        <v>-8.5672155568657701E-3</v>
      </c>
      <c r="MD47">
        <v>-6.0019519402210141E-3</v>
      </c>
      <c r="MF47">
        <v>-2.7416422975854785E-2</v>
      </c>
      <c r="MG47">
        <v>-5.94535621472503E-3</v>
      </c>
      <c r="MH47">
        <v>-5.9911002400766652E-3</v>
      </c>
      <c r="MI47">
        <v>-2.6329014038939738E-3</v>
      </c>
      <c r="MK47">
        <v>-3.2970209239011616E-2</v>
      </c>
      <c r="ML47">
        <v>-1.8562311388109192E-2</v>
      </c>
      <c r="MM47">
        <v>-1.480937813941713E-2</v>
      </c>
      <c r="MN47">
        <v>-1.2707640577505341E-2</v>
      </c>
      <c r="MP47">
        <v>-3.3593698749001304E-2</v>
      </c>
      <c r="MQ47">
        <v>-1.7036042972513335E-2</v>
      </c>
      <c r="MR47">
        <v>-9.9544403789984508E-3</v>
      </c>
      <c r="MS47">
        <v>-7.0361428869211724E-3</v>
      </c>
      <c r="MU47">
        <v>-3.3784230227619956E-2</v>
      </c>
      <c r="MV47">
        <v>-1.6938072324717331E-2</v>
      </c>
      <c r="MW47">
        <v>-9.9066140149169923E-3</v>
      </c>
      <c r="MX47">
        <v>-6.9625763047236255E-3</v>
      </c>
      <c r="MZ47">
        <v>-3.3807550177762345E-2</v>
      </c>
      <c r="NA47">
        <v>-1.6877706425105173E-2</v>
      </c>
      <c r="NB47">
        <v>-9.8922588550367091E-3</v>
      </c>
      <c r="NC47">
        <v>-6.9361928879593804E-3</v>
      </c>
      <c r="NE47">
        <v>-3.3405616011898474E-2</v>
      </c>
      <c r="NF47">
        <v>-1.7552149324703E-2</v>
      </c>
      <c r="NG47">
        <v>-9.9769531885016277E-3</v>
      </c>
      <c r="NH47">
        <v>-7.290015680927929E-3</v>
      </c>
      <c r="NJ47">
        <v>-3.3404074222860583E-2</v>
      </c>
      <c r="NK47">
        <v>-1.7619082959761487E-2</v>
      </c>
      <c r="NL47">
        <v>-9.8601308401206917E-3</v>
      </c>
      <c r="NM47">
        <v>-7.3289498310308947E-3</v>
      </c>
      <c r="NO47">
        <v>-3.3405958517113615E-2</v>
      </c>
      <c r="NP47">
        <v>-1.7694829601244241E-2</v>
      </c>
      <c r="NQ47">
        <v>-1.004038623037381E-2</v>
      </c>
      <c r="NR47">
        <v>-7.402382329126397E-3</v>
      </c>
      <c r="NT47">
        <v>-2.6903964262852485E-2</v>
      </c>
      <c r="NU47">
        <v>-1.7328439926665822E-2</v>
      </c>
      <c r="NV47">
        <v>-1.4865622937403023E-3</v>
      </c>
      <c r="NW47">
        <v>-6.8688671224492329E-3</v>
      </c>
      <c r="NY47">
        <v>-3.8202366499254084E-2</v>
      </c>
      <c r="NZ47">
        <v>-1.7331497781549757E-2</v>
      </c>
      <c r="OA47">
        <v>-1.5706980814469446E-2</v>
      </c>
      <c r="OB47">
        <v>-6.869207663233198E-3</v>
      </c>
      <c r="OD47">
        <v>-4.163734638094406E-2</v>
      </c>
      <c r="OE47">
        <v>-1.7328468361755604E-2</v>
      </c>
      <c r="OF47">
        <v>-2.012547117045569E-2</v>
      </c>
      <c r="OG47">
        <v>-6.8688800754301421E-3</v>
      </c>
      <c r="OI47">
        <v>-3.3440787692539373E-2</v>
      </c>
      <c r="OJ47">
        <v>-1.6860215583358668E-2</v>
      </c>
      <c r="OK47">
        <v>-9.562243091317665E-3</v>
      </c>
      <c r="OL47">
        <v>-6.7489630738917618E-3</v>
      </c>
      <c r="ON47">
        <v>-3.3406295757211962E-2</v>
      </c>
      <c r="OO47">
        <v>-1.6166139079080759E-2</v>
      </c>
      <c r="OP47">
        <v>-9.9612153797341667E-3</v>
      </c>
      <c r="OQ47">
        <v>-7.4087837748910779E-3</v>
      </c>
      <c r="OS47">
        <v>-3.3730834823069634E-2</v>
      </c>
      <c r="OT47">
        <v>-1.873249292904498E-2</v>
      </c>
      <c r="OU47">
        <v>-1.0113511955489188E-2</v>
      </c>
      <c r="OV47">
        <v>-7.5416946046065088E-3</v>
      </c>
      <c r="OX47">
        <v>-3.4412796306971291E-2</v>
      </c>
      <c r="OY47">
        <v>-1.8227668581284006E-2</v>
      </c>
      <c r="OZ47">
        <v>-1.0579389511712648E-2</v>
      </c>
      <c r="PA47">
        <v>-7.6708999944266878E-3</v>
      </c>
      <c r="PC47">
        <v>-3.4223036664146285E-2</v>
      </c>
      <c r="PD47">
        <v>-1.8076401639180444E-2</v>
      </c>
      <c r="PE47">
        <v>-1.0315343826680564E-2</v>
      </c>
      <c r="PF47">
        <v>-7.483089217907345E-3</v>
      </c>
      <c r="PH47">
        <v>-3.2656168148543212E-2</v>
      </c>
      <c r="PI47">
        <v>-1.6353264312357389E-2</v>
      </c>
      <c r="PJ47">
        <v>-9.2258293356364297E-3</v>
      </c>
      <c r="PK47">
        <v>-6.5566013228410738E-3</v>
      </c>
      <c r="PM47" s="24">
        <v>-3.0293539621712027E-2</v>
      </c>
      <c r="PN47" s="24">
        <v>-9.4429438539443012E-3</v>
      </c>
      <c r="PO47" s="24">
        <v>-7.3535299590528243E-3</v>
      </c>
      <c r="PP47" s="24">
        <v>-4.1401217081366111E-3</v>
      </c>
      <c r="PR47">
        <v>-2.7137552710506115E-2</v>
      </c>
      <c r="PS47">
        <v>-4.8190228068545164E-3</v>
      </c>
      <c r="PT47">
        <v>-5.8103969421072167E-3</v>
      </c>
      <c r="PU47">
        <v>-2.49888850657438E-3</v>
      </c>
      <c r="PW47">
        <v>-3.3613681308474273E-2</v>
      </c>
      <c r="PX47">
        <v>-1.9203772617635638E-2</v>
      </c>
      <c r="PY47">
        <v>-1.3920017338323144E-2</v>
      </c>
      <c r="PZ47">
        <v>-1.150755794717901E-2</v>
      </c>
      <c r="QB47" s="24">
        <v>-3.099050861473885E-2</v>
      </c>
      <c r="QC47" s="24">
        <v>-1.6602234511553966E-2</v>
      </c>
      <c r="QD47" s="24">
        <v>-1.8394081197338426E-2</v>
      </c>
      <c r="QE47" s="24">
        <v>-1.6167208481577326E-2</v>
      </c>
    </row>
    <row r="48" spans="1:447" x14ac:dyDescent="0.15">
      <c r="A48" s="24" t="s">
        <v>196</v>
      </c>
      <c r="B48" s="24"/>
      <c r="C48" s="24">
        <f>LN((C26/(C7+1)+C27/(C8+1)+C28/(C9+1))/SUM(C26:C28))-LN((B26/(B7+1)+B27/(B8+1)+B28/(B9+1))/SUM(B26:B28))</f>
        <v>-0.21629434167711226</v>
      </c>
      <c r="D48" s="24">
        <f>LN((D26/(D7+1)+D27/(D8+1)+D28/(D9+1))/SUM(D26:D28))-LN((B26/(B7+1)+B27/(B8+1)+B28/(B9+1))/SUM(B26:B28))</f>
        <v>-0.17299208311140801</v>
      </c>
      <c r="E48" s="24">
        <f>LN((E26/(E7+1)+E27/(E8+1)+E28/(E9+1))/SUM(E26:E28))-LN((B26/(B7+1)+B27/(B8+1)+B28/(B9+1))/SUM(B26:B28))</f>
        <v>-0.20043240333272369</v>
      </c>
      <c r="F48" s="24">
        <f>LN((F26/(F7+1)+F27/(F8+1)+F28/(F9+1))/SUM(F26:F28))-LN((B26/(B7+1)+B27/(B8+1)+B28/(B9+1))/SUM(B26:B28))</f>
        <v>-0.19797721442138061</v>
      </c>
      <c r="H48" s="24"/>
      <c r="I48" s="24">
        <v>-0.21629434534680139</v>
      </c>
      <c r="J48" s="24">
        <v>-0.21254152699158663</v>
      </c>
      <c r="K48" s="24">
        <v>-0.17808985009889775</v>
      </c>
      <c r="L48" s="24">
        <v>-0.1744955421940928</v>
      </c>
      <c r="M48" s="24"/>
      <c r="N48" s="24">
        <v>-0.22436947077572095</v>
      </c>
      <c r="O48" s="24">
        <v>-0.22100869405330453</v>
      </c>
      <c r="P48" s="24">
        <v>-0.1853301415508386</v>
      </c>
      <c r="Q48" s="24">
        <v>-0.18277869752748663</v>
      </c>
      <c r="R48" s="24"/>
      <c r="S48" s="24">
        <v>-0.22991366307388933</v>
      </c>
      <c r="T48" s="24">
        <v>-0.22601547629675517</v>
      </c>
      <c r="U48" s="24">
        <v>-0.19250285961630353</v>
      </c>
      <c r="V48" s="24">
        <v>-0.1899446552840614</v>
      </c>
      <c r="W48" s="24"/>
      <c r="X48" s="24">
        <v>-0.23384172212319337</v>
      </c>
      <c r="Y48" s="24">
        <v>-0.23059980492166315</v>
      </c>
      <c r="Z48" s="24">
        <v>-0.19681128189552441</v>
      </c>
      <c r="AA48" s="24">
        <v>-0.19429516845191858</v>
      </c>
      <c r="AB48" s="24"/>
      <c r="AC48" s="24">
        <v>-0.23468317204953781</v>
      </c>
      <c r="AD48" s="24">
        <v>-0.23159591879464353</v>
      </c>
      <c r="AE48" s="24">
        <v>-0.20043239194615331</v>
      </c>
      <c r="AF48" s="24">
        <v>-0.19797721453383599</v>
      </c>
      <c r="AG48" s="24"/>
      <c r="AH48" s="24">
        <v>-0.23282164429992563</v>
      </c>
      <c r="AI48" s="24">
        <v>-0.2319672177950981</v>
      </c>
      <c r="AJ48" s="24">
        <v>-0.20155799838929997</v>
      </c>
      <c r="AK48" s="24">
        <v>-0.19836646326168247</v>
      </c>
      <c r="AL48" s="24"/>
      <c r="AM48" s="24">
        <v>-0.22575426545128874</v>
      </c>
      <c r="AN48" s="24">
        <v>-0.22549478058677458</v>
      </c>
      <c r="AO48" s="24">
        <v>-0.20046492619862361</v>
      </c>
      <c r="AP48" s="24">
        <v>-0.19955884341764357</v>
      </c>
      <c r="AQ48" s="24"/>
      <c r="AR48" s="24">
        <v>-0.21000439656518424</v>
      </c>
      <c r="AS48" s="24">
        <v>-0.20976399546814997</v>
      </c>
      <c r="AT48" s="24">
        <v>-0.1983126084173702</v>
      </c>
      <c r="AU48" s="24">
        <v>-0.19748574936735927</v>
      </c>
      <c r="AV48" s="24"/>
      <c r="AW48" s="24">
        <v>-0.19436035748234695</v>
      </c>
      <c r="AX48" s="24">
        <v>-0.19413872675306348</v>
      </c>
      <c r="AY48" s="24">
        <v>-0.1932563238867849</v>
      </c>
      <c r="AZ48" s="24">
        <v>-0.19189001395198757</v>
      </c>
      <c r="BA48" s="24"/>
      <c r="BB48" s="24">
        <v>-0.17881353556355184</v>
      </c>
      <c r="BC48" s="24">
        <v>-0.17861044628741937</v>
      </c>
      <c r="BD48" s="24">
        <v>-0.17775797744659327</v>
      </c>
      <c r="BE48" s="24">
        <v>-0.17758408223305744</v>
      </c>
      <c r="BF48" s="24"/>
      <c r="BG48" s="24">
        <v>-0.1633556321875152</v>
      </c>
      <c r="BH48" s="24">
        <v>-0.16317069987836044</v>
      </c>
      <c r="BI48" s="24">
        <v>-0.16234553642138605</v>
      </c>
      <c r="BJ48" s="24">
        <v>-0.16218720918833879</v>
      </c>
      <c r="BK48" s="24"/>
      <c r="BL48" s="24">
        <v>-0.10306483461028181</v>
      </c>
      <c r="BM48" s="24">
        <v>-0.10294838729760354</v>
      </c>
      <c r="BN48" s="24">
        <v>-0.10139899914299287</v>
      </c>
      <c r="BO48" s="24">
        <v>-0.1013014074884153</v>
      </c>
      <c r="BP48" s="24"/>
      <c r="BQ48" s="24">
        <v>-4.2770888245954097E-2</v>
      </c>
      <c r="BR48" s="24">
        <v>-4.2723705628669423E-2</v>
      </c>
      <c r="BS48" s="24">
        <v>-4.1224620417569968E-2</v>
      </c>
      <c r="BT48" s="24">
        <v>-4.1186239133840188E-2</v>
      </c>
      <c r="BU48" s="24"/>
      <c r="BV48" s="24">
        <v>-0.15089866567521265</v>
      </c>
      <c r="BW48" s="24">
        <v>-0.14977731434615538</v>
      </c>
      <c r="BX48" s="24">
        <v>-0.11916262895963532</v>
      </c>
      <c r="BY48" s="24">
        <v>-0.11774017766956614</v>
      </c>
      <c r="BZ48" s="24"/>
      <c r="CA48" s="24">
        <v>-0.15988928909000608</v>
      </c>
      <c r="CB48" s="24">
        <v>-0.15736109695085862</v>
      </c>
      <c r="CC48" s="24">
        <v>-0.1269938316536473</v>
      </c>
      <c r="CD48" s="24">
        <v>-0.12461508862097907</v>
      </c>
      <c r="CE48" s="24"/>
      <c r="CF48" s="24">
        <v>-0.1655346180750269</v>
      </c>
      <c r="CG48" s="24">
        <v>-0.16302509165061202</v>
      </c>
      <c r="CH48" s="24">
        <v>-0.13283006907088474</v>
      </c>
      <c r="CI48" s="24">
        <v>-0.13175367580397337</v>
      </c>
      <c r="CJ48" s="24"/>
      <c r="CK48" s="24">
        <v>-0.16968472064903709</v>
      </c>
      <c r="CL48" s="24">
        <v>-0.16859641720628021</v>
      </c>
      <c r="CM48" s="24">
        <v>-0.13817290396247878</v>
      </c>
      <c r="CN48" s="24">
        <v>-0.13675569703485094</v>
      </c>
      <c r="CO48" s="24"/>
      <c r="CP48" s="24">
        <v>-0.17483517762497253</v>
      </c>
      <c r="CQ48" s="24">
        <v>-0.17242582050744035</v>
      </c>
      <c r="CR48" s="24">
        <v>-0.14303595693869839</v>
      </c>
      <c r="CS48" s="24">
        <v>-0.14074909719438808</v>
      </c>
      <c r="CT48" s="24"/>
      <c r="CU48" s="24">
        <v>-0.17700373812891532</v>
      </c>
      <c r="CV48" s="24">
        <v>-0.17468766563647142</v>
      </c>
      <c r="CW48" s="24">
        <v>-0.14664129315180963</v>
      </c>
      <c r="CX48" s="24">
        <v>-0.14442793205938093</v>
      </c>
      <c r="CY48" s="24"/>
      <c r="CZ48" s="24">
        <v>-0.17820571644919553</v>
      </c>
      <c r="DA48" s="24">
        <v>-0.17518861182491544</v>
      </c>
      <c r="DB48" s="24">
        <v>-0.14760665001321702</v>
      </c>
      <c r="DC48" s="24">
        <v>-0.14667469885563397</v>
      </c>
      <c r="DD48" s="24"/>
      <c r="DE48" s="24">
        <v>-0.17608284922140169</v>
      </c>
      <c r="DF48" s="24">
        <v>-0.17522638993792075</v>
      </c>
      <c r="DG48" s="24">
        <v>-0.14893431927438949</v>
      </c>
      <c r="DH48" s="24">
        <v>-0.14694511696995916</v>
      </c>
      <c r="DI48" s="24"/>
      <c r="DJ48" s="24">
        <v>-0.17425926103417536</v>
      </c>
      <c r="DK48" s="24">
        <v>-0.17348529285152425</v>
      </c>
      <c r="DL48" s="24">
        <v>-0.14796199031190455</v>
      </c>
      <c r="DM48" s="24">
        <v>-0.14716927048033995</v>
      </c>
      <c r="DN48" s="24"/>
      <c r="DO48" s="24">
        <v>-0.15757288492553023</v>
      </c>
      <c r="DP48" s="24">
        <v>-0.15744485484263709</v>
      </c>
      <c r="DQ48" s="24">
        <v>-0.14201328068844707</v>
      </c>
      <c r="DR48" s="24">
        <v>-0.14049430907220672</v>
      </c>
      <c r="DS48" s="24"/>
      <c r="DT48" s="24">
        <v>-9.6765613950015775E-2</v>
      </c>
      <c r="DU48" s="24">
        <v>-9.6687693109097791E-2</v>
      </c>
      <c r="DV48" s="24">
        <v>-9.0266461818069368E-2</v>
      </c>
      <c r="DW48" s="24">
        <v>-8.9827861093960265E-2</v>
      </c>
      <c r="DX48" s="24"/>
      <c r="DY48" s="24">
        <v>-3.6680225995041421E-2</v>
      </c>
      <c r="DZ48" s="24">
        <v>-3.6651446430600643E-2</v>
      </c>
      <c r="EA48" s="24">
        <v>-2.9889745036215432E-2</v>
      </c>
      <c r="EB48" s="24">
        <v>-2.9871226134748931E-2</v>
      </c>
      <c r="EC48" s="24"/>
      <c r="ED48" s="24">
        <v>-0.2082177049418415</v>
      </c>
      <c r="EE48" s="24">
        <v>-0.20614347098642918</v>
      </c>
      <c r="EF48" s="24">
        <v>-0.17960563082557915</v>
      </c>
      <c r="EG48" s="24">
        <v>-0.17729295792198796</v>
      </c>
      <c r="EH48" s="24"/>
      <c r="EI48" s="24">
        <v>-0.21339912187420171</v>
      </c>
      <c r="EJ48" s="24">
        <v>-0.21065879632664777</v>
      </c>
      <c r="EK48" s="24">
        <v>-0.18505751135487053</v>
      </c>
      <c r="EL48" s="24">
        <v>-0.18274008619395404</v>
      </c>
      <c r="EM48" s="24"/>
      <c r="EN48" s="24">
        <v>-0.21691510309485068</v>
      </c>
      <c r="EO48" s="24">
        <v>-0.21422493346031699</v>
      </c>
      <c r="EP48" s="24">
        <v>-0.18997604589353162</v>
      </c>
      <c r="EQ48" s="24">
        <v>-0.18694051322565217</v>
      </c>
      <c r="ER48" s="24"/>
      <c r="ES48" s="24">
        <v>-0.21763578551395416</v>
      </c>
      <c r="ET48" s="24">
        <v>-0.21553136760610847</v>
      </c>
      <c r="EU48" s="24">
        <v>-0.19189877331332519</v>
      </c>
      <c r="EV48" s="24">
        <v>-0.18964913909003844</v>
      </c>
      <c r="EW48" s="24"/>
      <c r="EX48" s="24">
        <v>-0.21016476908188894</v>
      </c>
      <c r="EY48" s="24">
        <v>-0.20991822296257037</v>
      </c>
      <c r="EZ48" s="24">
        <v>-0.19274141118148166</v>
      </c>
      <c r="FA48" s="24">
        <v>-0.19056746211541323</v>
      </c>
      <c r="FB48" s="24"/>
      <c r="FC48" s="24">
        <v>-0.19889334836006953</v>
      </c>
      <c r="FD48" s="24">
        <v>-0.19865929351758552</v>
      </c>
      <c r="FE48" s="24">
        <v>-0.19081559838471274</v>
      </c>
      <c r="FF48" s="24">
        <v>-0.18875496791942165</v>
      </c>
      <c r="FG48" s="24"/>
      <c r="FH48" s="24">
        <v>-0.18765131673854318</v>
      </c>
      <c r="FI48" s="24">
        <v>-0.18743000451233371</v>
      </c>
      <c r="FJ48" s="24">
        <v>-0.18422573006475662</v>
      </c>
      <c r="FK48" s="24">
        <v>-0.18400309952386878</v>
      </c>
      <c r="FL48" s="24"/>
      <c r="FM48" s="24">
        <v>-0.17643503528833837</v>
      </c>
      <c r="FN48" s="24">
        <v>-0.17622667656382185</v>
      </c>
      <c r="FO48" s="24">
        <v>-0.17262307076594971</v>
      </c>
      <c r="FP48" s="24">
        <v>-0.17241703378584711</v>
      </c>
      <c r="FQ48" s="24"/>
      <c r="FR48" s="24">
        <v>-0.16524087617158803</v>
      </c>
      <c r="FS48" s="24">
        <v>-0.16504570846931685</v>
      </c>
      <c r="FT48" s="24">
        <v>-0.16024940734782805</v>
      </c>
      <c r="FU48" s="24">
        <v>-0.16006223306746933</v>
      </c>
      <c r="FV48" s="24"/>
      <c r="FW48" s="24">
        <v>-0.14290474037910089</v>
      </c>
      <c r="FX48" s="24">
        <v>-0.14273632780287104</v>
      </c>
      <c r="FY48" s="24">
        <v>-0.13712707153535467</v>
      </c>
      <c r="FZ48" s="24">
        <v>-0.13622145837335925</v>
      </c>
      <c r="GA48" s="24"/>
      <c r="GB48" s="24">
        <v>-9.7513083165203449E-2</v>
      </c>
      <c r="GC48" s="24">
        <v>-9.7401601226775145E-2</v>
      </c>
      <c r="GD48" s="24">
        <v>-8.9501373237828155E-2</v>
      </c>
      <c r="GE48" s="24">
        <v>-8.9408177035538994E-2</v>
      </c>
      <c r="GF48" s="24"/>
      <c r="GG48" s="24">
        <v>-5.1405704600435601E-2</v>
      </c>
      <c r="GH48" s="24">
        <v>-5.1350582591298766E-2</v>
      </c>
      <c r="GI48" s="24">
        <v>-4.1931975581060377E-2</v>
      </c>
      <c r="GJ48" s="24">
        <v>-4.1893213159119036E-2</v>
      </c>
      <c r="GK48" s="24"/>
      <c r="GL48" s="24">
        <v>-0.21629434196278438</v>
      </c>
      <c r="GM48" s="24">
        <v>-0.21254152703074225</v>
      </c>
      <c r="GN48" s="24">
        <v>-0.20043239194615331</v>
      </c>
      <c r="GO48" s="24">
        <v>-0.19797721453383577</v>
      </c>
      <c r="GP48" s="24"/>
      <c r="GQ48" s="24">
        <v>-0.23202577452875595</v>
      </c>
      <c r="GR48" s="24">
        <v>-0.22913052387980898</v>
      </c>
      <c r="GS48" s="24">
        <v>-0.22011058664560723</v>
      </c>
      <c r="GT48" s="24">
        <v>-0.21846524133667047</v>
      </c>
      <c r="GU48" s="24"/>
      <c r="GV48" s="24">
        <v>-0.22212341916835837</v>
      </c>
      <c r="GW48" s="24">
        <v>-0.21964656028199991</v>
      </c>
      <c r="GX48" s="24">
        <v>-0.2156505333098348</v>
      </c>
      <c r="GY48" s="24">
        <v>-0.2136954046867027</v>
      </c>
      <c r="GZ48" s="24"/>
      <c r="HA48" s="24">
        <v>-0.206679336711971</v>
      </c>
      <c r="HB48" s="24">
        <v>-0.20458498021417892</v>
      </c>
      <c r="HC48" s="24">
        <v>-0.19571670457273768</v>
      </c>
      <c r="HD48" s="24">
        <v>-0.19291227398781677</v>
      </c>
      <c r="HE48" s="24"/>
      <c r="HF48" s="24">
        <v>-0.2195481419846339</v>
      </c>
      <c r="HG48" s="24">
        <v>-0.21770289507272972</v>
      </c>
      <c r="HH48" s="24">
        <v>-0.21565053799103057</v>
      </c>
      <c r="HI48" s="24">
        <v>-0.21369540484137325</v>
      </c>
      <c r="HJ48" s="24"/>
      <c r="HK48" s="24">
        <v>-0.27452626093454158</v>
      </c>
      <c r="HL48" s="24">
        <v>-0.2711997462257017</v>
      </c>
      <c r="HM48" s="24">
        <v>-0.22071377654335561</v>
      </c>
      <c r="HN48" s="24">
        <v>-0.21851924955906732</v>
      </c>
      <c r="HP48">
        <v>-0.25074979874909331</v>
      </c>
      <c r="HQ48">
        <v>-0.2467084162921202</v>
      </c>
      <c r="HR48">
        <v>-0.21209979202738696</v>
      </c>
      <c r="HS48">
        <v>-0.20951127818294338</v>
      </c>
      <c r="HU48">
        <v>-0.22389940079064752</v>
      </c>
      <c r="HV48">
        <v>-0.21896675484466718</v>
      </c>
      <c r="HW48">
        <v>-0.20205104973014751</v>
      </c>
      <c r="HX48">
        <v>-0.19958105044871741</v>
      </c>
      <c r="HZ48">
        <v>-0.18278788171504667</v>
      </c>
      <c r="IA48">
        <v>-0.1821733181384842</v>
      </c>
      <c r="IB48">
        <v>-0.18470454235866546</v>
      </c>
      <c r="IC48">
        <v>-0.18242969229567949</v>
      </c>
      <c r="IE48">
        <v>-0.2158485602949827</v>
      </c>
      <c r="IF48">
        <v>-0.17456572264300041</v>
      </c>
      <c r="IG48">
        <v>-0.2001474055411481</v>
      </c>
      <c r="IH48">
        <v>-0.19768218385845787</v>
      </c>
      <c r="IJ48">
        <v>-0.21540264506493631</v>
      </c>
      <c r="IK48">
        <v>-0.1761414678688214</v>
      </c>
      <c r="IL48">
        <v>-0.19842862833748834</v>
      </c>
      <c r="IM48">
        <v>-0.19646888999723761</v>
      </c>
      <c r="IO48" s="86">
        <v>-0.21495417526082655</v>
      </c>
      <c r="IP48">
        <v>-0.17771296826372843</v>
      </c>
      <c r="IQ48">
        <v>-0.19814217356424255</v>
      </c>
      <c r="IR48">
        <v>-0.19616912779979062</v>
      </c>
      <c r="IT48">
        <v>-0.21451089540293009</v>
      </c>
      <c r="IU48">
        <v>-0.17929536742623645</v>
      </c>
      <c r="IV48">
        <v>-0.19785067243544396</v>
      </c>
      <c r="IW48">
        <v>-0.19446171350648581</v>
      </c>
      <c r="IY48">
        <v>-0.21777204044588058</v>
      </c>
      <c r="IZ48">
        <v>-0.16973575061780111</v>
      </c>
      <c r="JA48">
        <v>-0.2007396671390865</v>
      </c>
      <c r="JB48">
        <v>-0.19829602998627432</v>
      </c>
      <c r="JD48">
        <v>-0.21718580314007391</v>
      </c>
      <c r="JE48">
        <v>-0.16818693917616301</v>
      </c>
      <c r="JF48">
        <v>-0.20099934507563805</v>
      </c>
      <c r="JG48">
        <v>-0.19856693912503862</v>
      </c>
      <c r="JI48">
        <v>-0.21807670063994894</v>
      </c>
      <c r="JJ48">
        <v>-0.16506464983028993</v>
      </c>
      <c r="JK48">
        <v>-0.20156129181618082</v>
      </c>
      <c r="JL48">
        <v>-0.19915573588894342</v>
      </c>
      <c r="JN48">
        <v>-0.28215172342688849</v>
      </c>
      <c r="JO48">
        <v>-9.7744018379149714E-2</v>
      </c>
      <c r="JP48">
        <v>-0.2253215272421778</v>
      </c>
      <c r="JQ48">
        <v>-0.22308089469469755</v>
      </c>
      <c r="JS48">
        <v>-0.2596484088820975</v>
      </c>
      <c r="JT48">
        <v>-0.12357618072217362</v>
      </c>
      <c r="JU48">
        <v>-0.21513534387967323</v>
      </c>
      <c r="JV48">
        <v>-0.21250760260784016</v>
      </c>
      <c r="JX48">
        <v>-0.2336527877108035</v>
      </c>
      <c r="JY48">
        <v>-0.15239453378344922</v>
      </c>
      <c r="JZ48">
        <v>-0.20602750075899762</v>
      </c>
      <c r="KA48">
        <v>-0.20258027544846954</v>
      </c>
      <c r="KC48">
        <v>-0.20020679076542633</v>
      </c>
      <c r="KD48">
        <v>-0.19051536852058229</v>
      </c>
      <c r="KE48">
        <v>-0.19452657439618218</v>
      </c>
      <c r="KF48">
        <v>-0.1921431300701929</v>
      </c>
      <c r="KH48">
        <v>-0.18275520307700499</v>
      </c>
      <c r="KI48">
        <v>-0.21073550417284978</v>
      </c>
      <c r="KJ48">
        <v>-0.17887236007136348</v>
      </c>
      <c r="KK48">
        <v>-0.17666280031321288</v>
      </c>
      <c r="KM48">
        <v>-0.21488974619340326</v>
      </c>
      <c r="KN48">
        <v>-0.17299208354955217</v>
      </c>
      <c r="KO48">
        <v>-0.19896579294068112</v>
      </c>
      <c r="KP48">
        <v>-0.19797721419939737</v>
      </c>
      <c r="KR48">
        <v>-0.2148897460914814</v>
      </c>
      <c r="KS48">
        <v>-0.17299208354955217</v>
      </c>
      <c r="KT48">
        <v>-0.19896579304324921</v>
      </c>
      <c r="KU48">
        <v>-0.19797721419939737</v>
      </c>
      <c r="KW48">
        <v>-0.21631089355012686</v>
      </c>
      <c r="KX48">
        <v>-0.17299208354955217</v>
      </c>
      <c r="KY48">
        <v>-0.19898542487823379</v>
      </c>
      <c r="KZ48">
        <v>-0.19797721419939737</v>
      </c>
      <c r="LB48">
        <v>-0.21729549519259014</v>
      </c>
      <c r="LC48">
        <v>-0.17299208354955217</v>
      </c>
      <c r="LD48">
        <v>-0.20044906565886075</v>
      </c>
      <c r="LE48">
        <v>-0.19797721419939737</v>
      </c>
      <c r="LG48">
        <v>-0.21728184034155162</v>
      </c>
      <c r="LH48">
        <v>-0.17299208354955217</v>
      </c>
      <c r="LI48">
        <v>-0.20046418329870819</v>
      </c>
      <c r="LJ48">
        <v>-0.19797721419939737</v>
      </c>
      <c r="LL48">
        <v>-0.21490066459593174</v>
      </c>
      <c r="LM48">
        <v>-0.17299208354955217</v>
      </c>
      <c r="LN48">
        <v>-0.19804021418046736</v>
      </c>
      <c r="LO48">
        <v>-0.19797721419939737</v>
      </c>
      <c r="LQ48">
        <v>-0.22125845267598168</v>
      </c>
      <c r="LR48">
        <v>-0.17095300968841987</v>
      </c>
      <c r="LS48">
        <v>-0.20304132127518637</v>
      </c>
      <c r="LT48">
        <v>-0.20060259586712381</v>
      </c>
      <c r="LV48">
        <v>-0.22622060235163249</v>
      </c>
      <c r="LW48">
        <v>-0.1689300727954845</v>
      </c>
      <c r="LX48">
        <v>-0.20561116196213097</v>
      </c>
      <c r="LY48">
        <v>-0.20319052330933082</v>
      </c>
      <c r="MA48">
        <v>-0.2297105177030252</v>
      </c>
      <c r="MB48">
        <v>-0.16692378688424053</v>
      </c>
      <c r="MC48">
        <v>-0.20814038869835635</v>
      </c>
      <c r="MD48">
        <v>-0.20482412250144524</v>
      </c>
      <c r="MF48">
        <v>-0.30183864016819123</v>
      </c>
      <c r="MG48">
        <v>-7.6702642751162661E-2</v>
      </c>
      <c r="MH48">
        <v>-0.23261285407070353</v>
      </c>
      <c r="MI48">
        <v>-0.23027787254335885</v>
      </c>
      <c r="MK48">
        <v>-0.18179569176102459</v>
      </c>
      <c r="ML48">
        <v>-0.2152764377866927</v>
      </c>
      <c r="MM48">
        <v>-0.15959522630385331</v>
      </c>
      <c r="MN48">
        <v>-0.15638625401868136</v>
      </c>
      <c r="MP48">
        <v>-0.2208985221744309</v>
      </c>
      <c r="MQ48">
        <v>-0.15208203727410674</v>
      </c>
      <c r="MR48">
        <v>-0.20192719552913621</v>
      </c>
      <c r="MS48">
        <v>-0.20186777573741044</v>
      </c>
      <c r="MU48">
        <v>-0.22032322461039061</v>
      </c>
      <c r="MV48">
        <v>-0.14922179081707879</v>
      </c>
      <c r="MW48">
        <v>-0.20248085652414258</v>
      </c>
      <c r="MX48">
        <v>-0.20244783749481179</v>
      </c>
      <c r="MZ48">
        <v>-0.22122352017863817</v>
      </c>
      <c r="NA48">
        <v>-0.14603144433734552</v>
      </c>
      <c r="NB48">
        <v>-0.2030069164135396</v>
      </c>
      <c r="NC48">
        <v>-0.20300651927376481</v>
      </c>
      <c r="NE48">
        <v>-0.21361939575394071</v>
      </c>
      <c r="NF48">
        <v>-0.18681094577863511</v>
      </c>
      <c r="NG48">
        <v>-0.1972688806022837</v>
      </c>
      <c r="NH48">
        <v>-0.19386170990251381</v>
      </c>
      <c r="NJ48">
        <v>-0.21272829641739743</v>
      </c>
      <c r="NK48">
        <v>-0.18999948443427789</v>
      </c>
      <c r="NL48">
        <v>-0.19668404586395113</v>
      </c>
      <c r="NM48">
        <v>-0.19326015629103763</v>
      </c>
      <c r="NO48">
        <v>-0.21183782070758031</v>
      </c>
      <c r="NP48">
        <v>-0.19319120224304151</v>
      </c>
      <c r="NQ48">
        <v>-0.1951475139891076</v>
      </c>
      <c r="NR48">
        <v>-0.19172487087245579</v>
      </c>
      <c r="NT48">
        <v>-0.2149006646977718</v>
      </c>
      <c r="NU48">
        <v>-0.17299208301419783</v>
      </c>
      <c r="NV48">
        <v>-0.19804021422045104</v>
      </c>
      <c r="NW48">
        <v>-0.19797721414326921</v>
      </c>
      <c r="NY48">
        <v>-0.21727550134012427</v>
      </c>
      <c r="NZ48">
        <v>-0.17299202226384541</v>
      </c>
      <c r="OA48">
        <v>-0.20047105619293681</v>
      </c>
      <c r="OB48">
        <v>-0.19797721352703565</v>
      </c>
      <c r="OD48">
        <v>-0.21871383246950474</v>
      </c>
      <c r="OE48">
        <v>-0.17299208244371281</v>
      </c>
      <c r="OF48">
        <v>-0.2014256598823809</v>
      </c>
      <c r="OG48">
        <v>-0.19797721411904945</v>
      </c>
      <c r="OI48">
        <v>-0.21852184951198098</v>
      </c>
      <c r="OJ48">
        <v>-0.16350990621284642</v>
      </c>
      <c r="OK48">
        <v>-0.20184021985337008</v>
      </c>
      <c r="OL48">
        <v>-0.19944974988306435</v>
      </c>
      <c r="ON48">
        <v>-0.21406511552576918</v>
      </c>
      <c r="OO48">
        <v>-0.1809110472009231</v>
      </c>
      <c r="OP48">
        <v>-0.19756020803101804</v>
      </c>
      <c r="OQ48">
        <v>-0.19416186308587749</v>
      </c>
      <c r="OS48">
        <v>-0.21233688213602117</v>
      </c>
      <c r="OT48">
        <v>-0.17503023458588882</v>
      </c>
      <c r="OU48">
        <v>-0.19634027120726208</v>
      </c>
      <c r="OV48">
        <v>-0.1953149260923335</v>
      </c>
      <c r="OX48">
        <v>-0.20736674732232174</v>
      </c>
      <c r="OY48">
        <v>-0.17544492337621853</v>
      </c>
      <c r="OZ48">
        <v>-0.19364187928977716</v>
      </c>
      <c r="PA48">
        <v>-0.19117813532052141</v>
      </c>
      <c r="PC48">
        <v>-0.20987961184464357</v>
      </c>
      <c r="PD48">
        <v>-0.17432601593194044</v>
      </c>
      <c r="PE48">
        <v>-0.19574586432081578</v>
      </c>
      <c r="PF48">
        <v>-0.19327967139796171</v>
      </c>
      <c r="PH48">
        <v>-0.22373994395117128</v>
      </c>
      <c r="PI48">
        <v>-0.16993932578426421</v>
      </c>
      <c r="PJ48">
        <v>-0.20362845449692582</v>
      </c>
      <c r="PK48">
        <v>-0.20120785638829217</v>
      </c>
      <c r="PL48" s="24"/>
      <c r="PM48" s="24">
        <v>-0.2706558486886641</v>
      </c>
      <c r="PN48" s="24">
        <v>-0.1098400016304915</v>
      </c>
      <c r="PO48" s="24">
        <v>-0.22069055982053842</v>
      </c>
      <c r="PP48" s="24">
        <v>-0.21850364288928012</v>
      </c>
      <c r="PR48">
        <v>-0.31043977199062817</v>
      </c>
      <c r="PS48">
        <v>-6.5763906413818546E-2</v>
      </c>
      <c r="PT48">
        <v>-0.23580782324272204</v>
      </c>
      <c r="PU48">
        <v>-0.23450401239443502</v>
      </c>
      <c r="PW48">
        <v>-0.1827260365094206</v>
      </c>
      <c r="PX48">
        <v>-0.21508963811387538</v>
      </c>
      <c r="PY48">
        <v>-0.16655733750952351</v>
      </c>
      <c r="PZ48">
        <v>-0.16450043312984097</v>
      </c>
      <c r="QA48" s="24"/>
      <c r="QB48" s="24">
        <v>-0.1806454646940672</v>
      </c>
      <c r="QC48" s="24">
        <v>-0.22078493671799271</v>
      </c>
      <c r="QD48" s="24">
        <v>-0.13003402898879621</v>
      </c>
      <c r="QE48" s="24">
        <v>-0.12947702804052014</v>
      </c>
    </row>
    <row r="49" spans="1:1017" x14ac:dyDescent="0.15">
      <c r="A49" s="24" t="s">
        <v>197</v>
      </c>
      <c r="C49" s="24">
        <f>LN((C29/(C10+1)+C30/(C11+1)+C31/(C12+1))/SUM(C29:C31))-LN((B29/(B10+1)+B30/(B11+1)+B31/(B12+1))/SUM(B29:B31))</f>
        <v>-1.6882934688910549E-2</v>
      </c>
      <c r="D49" s="24">
        <f>LN((D29/(D10+1)+D30/(D11+1)+D31/(D12+1))/SUM(D29:D31))-LN((B29/(B10+1)+B30/(B11+1)+B31/(B12+1))/SUM(B29:B31))</f>
        <v>-1.6933667307557264E-2</v>
      </c>
      <c r="E49" s="24">
        <f>LN((E29/(E10+1)+E30/(E11+1)+E31/(E12+1))/SUM(E29:E31))-LN((B29/(B10+1)+B30/(B11+1)+B31/(B12+1))/SUM(B29:B31))</f>
        <v>-1.3702776000843797E-2</v>
      </c>
      <c r="F49" s="24">
        <f>LN((F29/(F10+1)+F30/(F11+1)+F31/(F12+1))/SUM(F29:F31))-LN((B29/(B10+1)+B30/(B11+1)+B31/(B12+1))/SUM(B29:B31))</f>
        <v>-1.3762967250280464E-2</v>
      </c>
      <c r="I49" s="24">
        <v>-1.6882932797951687E-2</v>
      </c>
      <c r="J49" s="24">
        <v>-1.6933667443762228E-2</v>
      </c>
      <c r="K49" s="24">
        <v>-1.877075845307808E-2</v>
      </c>
      <c r="L49" s="24">
        <v>-1.9095839701587368E-2</v>
      </c>
      <c r="N49" s="24">
        <v>-1.5524068931099665E-2</v>
      </c>
      <c r="O49" s="24">
        <v>-1.5737854659655416E-2</v>
      </c>
      <c r="P49" s="24">
        <v>-1.7589252113651373E-2</v>
      </c>
      <c r="Q49" s="24">
        <v>-1.7699839738765967E-2</v>
      </c>
      <c r="S49" s="24">
        <v>-1.4424780289977242E-2</v>
      </c>
      <c r="T49" s="24">
        <v>-1.4429350535923167E-2</v>
      </c>
      <c r="U49" s="24">
        <v>-1.6291955265021398E-2</v>
      </c>
      <c r="V49" s="24">
        <v>-1.6384272634785112E-2</v>
      </c>
      <c r="X49" s="24">
        <v>-1.3129458957266311E-2</v>
      </c>
      <c r="Y49" s="24">
        <v>-1.3276157175413764E-2</v>
      </c>
      <c r="Z49" s="24">
        <v>-1.5033660923289886E-2</v>
      </c>
      <c r="AA49" s="24">
        <v>-1.5110333277029618E-2</v>
      </c>
      <c r="AC49" s="24">
        <v>-1.181725379446609E-2</v>
      </c>
      <c r="AD49" s="24">
        <v>-1.1930385438757997E-2</v>
      </c>
      <c r="AE49" s="24">
        <v>-1.3702771810438059E-2</v>
      </c>
      <c r="AF49" s="24">
        <v>-1.3762967293716399E-2</v>
      </c>
      <c r="AH49" s="24">
        <v>-1.0648220293740851E-2</v>
      </c>
      <c r="AI49" s="24">
        <v>-1.0692003714551701E-2</v>
      </c>
      <c r="AJ49" s="24">
        <v>-1.2297743742693684E-2</v>
      </c>
      <c r="AK49" s="24">
        <v>-1.2468734641007145E-2</v>
      </c>
      <c r="AM49" s="24">
        <v>-9.7040588571377512E-3</v>
      </c>
      <c r="AN49" s="24">
        <v>-9.6654799425281504E-3</v>
      </c>
      <c r="AO49" s="24">
        <v>-1.0999723137862405E-2</v>
      </c>
      <c r="AP49" s="24">
        <v>-1.1070325898912811E-2</v>
      </c>
      <c r="AR49" s="24">
        <v>-9.1743335699530776E-3</v>
      </c>
      <c r="AS49" s="24">
        <v>-9.1384574927589127E-3</v>
      </c>
      <c r="AT49" s="24">
        <v>-9.6108250429756542E-3</v>
      </c>
      <c r="AU49" s="24">
        <v>-9.6683449403589389E-3</v>
      </c>
      <c r="AW49" s="24">
        <v>-8.6446870449171306E-3</v>
      </c>
      <c r="AX49" s="24">
        <v>-8.6114962922177532E-3</v>
      </c>
      <c r="AY49" s="24">
        <v>-8.3625310001418651E-3</v>
      </c>
      <c r="AZ49" s="24">
        <v>-8.2898670121909213E-3</v>
      </c>
      <c r="BB49" s="24">
        <v>-8.1151154738494866E-3</v>
      </c>
      <c r="BC49" s="24">
        <v>-8.0846025520046813E-3</v>
      </c>
      <c r="BD49" s="24">
        <v>-7.8335366084655647E-3</v>
      </c>
      <c r="BE49" s="24">
        <v>-7.8046445726001404E-3</v>
      </c>
      <c r="BG49" s="24">
        <v>-7.585618963764626E-3</v>
      </c>
      <c r="BH49" s="24">
        <v>-7.5577505222409053E-3</v>
      </c>
      <c r="BI49" s="24">
        <v>-7.304578290016045E-3</v>
      </c>
      <c r="BJ49" s="24">
        <v>-7.2782175713282382E-3</v>
      </c>
      <c r="BL49" s="24">
        <v>-5.5960249517872651E-3</v>
      </c>
      <c r="BM49" s="24">
        <v>-5.5781483342313004E-3</v>
      </c>
      <c r="BN49" s="24">
        <v>-5.1891128969979231E-3</v>
      </c>
      <c r="BO49" s="24">
        <v>-5.1727583601594504E-3</v>
      </c>
      <c r="BQ49" s="24">
        <v>-3.4792910658140233E-3</v>
      </c>
      <c r="BR49" s="24">
        <v>-3.4720032699256109E-3</v>
      </c>
      <c r="BS49" s="24">
        <v>-3.0741111667311194E-3</v>
      </c>
      <c r="BT49" s="24">
        <v>-3.0676557302037888E-3</v>
      </c>
      <c r="BV49" s="24">
        <v>-1.963669330487159E-2</v>
      </c>
      <c r="BW49" s="24">
        <v>-1.9816785313399581E-2</v>
      </c>
      <c r="BX49" s="24">
        <v>-1.9931434414225131E-2</v>
      </c>
      <c r="BY49" s="24">
        <v>-1.9904053176918866E-2</v>
      </c>
      <c r="CA49" s="24">
        <v>-1.8246428334994368E-2</v>
      </c>
      <c r="CB49" s="24">
        <v>-1.8383704180119899E-2</v>
      </c>
      <c r="CC49" s="24">
        <v>-1.8580743740476864E-2</v>
      </c>
      <c r="CD49" s="24">
        <v>-1.8744529359100558E-2</v>
      </c>
      <c r="CF49" s="24">
        <v>-1.7069606209069603E-2</v>
      </c>
      <c r="CG49" s="24">
        <v>-1.7193383374329553E-2</v>
      </c>
      <c r="CH49" s="24">
        <v>-1.7247120716088159E-2</v>
      </c>
      <c r="CI49" s="24">
        <v>-1.7414736637337398E-2</v>
      </c>
      <c r="CK49" s="24">
        <v>-1.5732668425493916E-2</v>
      </c>
      <c r="CL49" s="24">
        <v>-1.5869272478019301E-2</v>
      </c>
      <c r="CM49" s="24">
        <v>-1.6136878582422597E-2</v>
      </c>
      <c r="CN49" s="24">
        <v>-1.6103045568196438E-2</v>
      </c>
      <c r="CP49" s="24">
        <v>-1.4326686344946861E-2</v>
      </c>
      <c r="CQ49" s="24">
        <v>-1.4419046436822472E-2</v>
      </c>
      <c r="CR49" s="24">
        <v>-1.4700707397461855E-2</v>
      </c>
      <c r="CS49" s="24">
        <v>-1.4826440011517804E-2</v>
      </c>
      <c r="CU49" s="24">
        <v>-1.2969841241712146E-2</v>
      </c>
      <c r="CV49" s="24">
        <v>-1.3047969335297421E-2</v>
      </c>
      <c r="CW49" s="24">
        <v>-1.3321317973702937E-2</v>
      </c>
      <c r="CX49" s="24">
        <v>-1.3433699251650541E-2</v>
      </c>
      <c r="CZ49" s="24">
        <v>-1.1560944030734793E-2</v>
      </c>
      <c r="DA49" s="24">
        <v>-1.1751101408045507E-2</v>
      </c>
      <c r="DB49" s="24">
        <v>-1.1979579572986676E-2</v>
      </c>
      <c r="DC49" s="24">
        <v>-1.2096693457073156E-2</v>
      </c>
      <c r="DE49" s="24">
        <v>-1.0214652417277835E-2</v>
      </c>
      <c r="DF49" s="24">
        <v>-1.0295794885997932E-2</v>
      </c>
      <c r="DG49" s="24">
        <v>-1.0583435723110442E-2</v>
      </c>
      <c r="DH49" s="24">
        <v>-1.0671264452795884E-2</v>
      </c>
      <c r="DJ49" s="24">
        <v>-8.7911156350611586E-3</v>
      </c>
      <c r="DK49" s="24">
        <v>-8.8586196582966653E-3</v>
      </c>
      <c r="DL49" s="24">
        <v>-9.1336060766088814E-3</v>
      </c>
      <c r="DM49" s="24">
        <v>-9.2240650972194443E-3</v>
      </c>
      <c r="DO49" s="24">
        <v>-6.5074393414526893E-3</v>
      </c>
      <c r="DP49" s="24">
        <v>-6.4857031130078832E-3</v>
      </c>
      <c r="DQ49" s="24">
        <v>-6.2678131579256488E-3</v>
      </c>
      <c r="DR49" s="24">
        <v>-6.3186520129449031E-3</v>
      </c>
      <c r="DT49" s="24">
        <v>-4.3941105881359563E-3</v>
      </c>
      <c r="DU49" s="24">
        <v>-4.3808317678352138E-3</v>
      </c>
      <c r="DV49" s="24">
        <v>-3.2444345381433884E-3</v>
      </c>
      <c r="DW49" s="24">
        <v>-3.1567090610186629E-3</v>
      </c>
      <c r="DY49" s="24">
        <v>-2.281037111847628E-3</v>
      </c>
      <c r="DZ49" s="24">
        <v>-2.276123434736127E-3</v>
      </c>
      <c r="EA49" s="24">
        <v>-1.0552964345088359E-3</v>
      </c>
      <c r="EB49" s="24">
        <v>-1.0522282834678487E-3</v>
      </c>
      <c r="ED49" s="24">
        <v>-1.3437135914376334E-2</v>
      </c>
      <c r="EE49" s="24">
        <v>-1.3472474219325327E-2</v>
      </c>
      <c r="EF49" s="24">
        <v>-1.4957691543521272E-2</v>
      </c>
      <c r="EG49" s="24">
        <v>-1.5025879310553943E-2</v>
      </c>
      <c r="EI49" s="24">
        <v>-1.2363024070074821E-2</v>
      </c>
      <c r="EJ49" s="24">
        <v>-1.2476075900645062E-2</v>
      </c>
      <c r="EK49" s="24">
        <v>-1.3900574031925822E-2</v>
      </c>
      <c r="EL49" s="24">
        <v>-1.3955149663393562E-2</v>
      </c>
      <c r="EN49" s="24">
        <v>-1.1403071399962397E-2</v>
      </c>
      <c r="EO49" s="24">
        <v>-1.1489325519588291E-2</v>
      </c>
      <c r="EP49" s="24">
        <v>-1.2793405439598088E-2</v>
      </c>
      <c r="EQ49" s="24">
        <v>-1.2944717137756051E-2</v>
      </c>
      <c r="ES49" s="24">
        <v>-1.0436336168181799E-2</v>
      </c>
      <c r="ET49" s="24">
        <v>-1.0428984217806858E-2</v>
      </c>
      <c r="EU49" s="24">
        <v>-1.1726736321449036E-2</v>
      </c>
      <c r="EV49" s="24">
        <v>-1.1755261488361833E-2</v>
      </c>
      <c r="EX49" s="24">
        <v>-9.7371923170377697E-3</v>
      </c>
      <c r="EY49" s="24">
        <v>-9.7082627113102629E-3</v>
      </c>
      <c r="EZ49" s="24">
        <v>-1.0641483276261382E-2</v>
      </c>
      <c r="FA49" s="24">
        <v>-1.0658237397713946E-2</v>
      </c>
      <c r="FC49" s="24">
        <v>-9.3140457829723466E-3</v>
      </c>
      <c r="FD49" s="24">
        <v>-9.2859426819177776E-3</v>
      </c>
      <c r="FE49" s="24">
        <v>-9.5253725941361403E-3</v>
      </c>
      <c r="FF49" s="24">
        <v>-9.5318542268659975E-3</v>
      </c>
      <c r="FH49" s="24">
        <v>-8.8928946216617413E-3</v>
      </c>
      <c r="FI49" s="24">
        <v>-8.8656945326985037E-3</v>
      </c>
      <c r="FJ49" s="24">
        <v>-8.6562875974707174E-3</v>
      </c>
      <c r="FK49" s="24">
        <v>-8.6297491768230691E-3</v>
      </c>
      <c r="FM49" s="24">
        <v>-8.4737750126915937E-3</v>
      </c>
      <c r="FN49" s="24">
        <v>-8.4475543827675914E-3</v>
      </c>
      <c r="FO49" s="24">
        <v>-8.2321867911938282E-3</v>
      </c>
      <c r="FP49" s="24">
        <v>-8.2068749842134775E-3</v>
      </c>
      <c r="FR49" s="24">
        <v>-8.0567191009184788E-3</v>
      </c>
      <c r="FS49" s="24">
        <v>-8.0315627965715647E-3</v>
      </c>
      <c r="FT49" s="24">
        <v>-7.7012444929513632E-3</v>
      </c>
      <c r="FU49" s="24">
        <v>-7.6777459932180492E-3</v>
      </c>
      <c r="FW49" s="24">
        <v>-7.2289458770324264E-3</v>
      </c>
      <c r="FX49" s="24">
        <v>-7.2061495630492203E-3</v>
      </c>
      <c r="FY49" s="24">
        <v>-6.8587458570854021E-3</v>
      </c>
      <c r="FZ49" s="24">
        <v>-6.7277984133873592E-3</v>
      </c>
      <c r="GB49" s="24">
        <v>-5.4719454376219653E-3</v>
      </c>
      <c r="GC49" s="24">
        <v>-5.4553780773862817E-3</v>
      </c>
      <c r="GD49" s="24">
        <v>-4.9621769088411607E-3</v>
      </c>
      <c r="GE49" s="24">
        <v>-4.9482265332325345E-3</v>
      </c>
      <c r="GG49" s="24">
        <v>-3.602861964912725E-3</v>
      </c>
      <c r="GH49" s="24">
        <v>-3.5938975525202158E-3</v>
      </c>
      <c r="GI49" s="24">
        <v>-3.0735408709584439E-3</v>
      </c>
      <c r="GJ49" s="24">
        <v>-3.0669765772573798E-3</v>
      </c>
      <c r="GL49" s="24">
        <v>-1.6882934541706203E-2</v>
      </c>
      <c r="GM49" s="24">
        <v>-1.6933667426653663E-2</v>
      </c>
      <c r="GN49" s="24">
        <v>-1.3702771810438059E-2</v>
      </c>
      <c r="GO49" s="24">
        <v>-1.3762967293716441E-2</v>
      </c>
      <c r="GQ49" s="24">
        <v>-1.4679307781591953E-2</v>
      </c>
      <c r="GR49" s="24">
        <v>-1.4565519734363548E-2</v>
      </c>
      <c r="GS49" s="24">
        <v>-1.1115054767394911E-2</v>
      </c>
      <c r="GT49" s="24">
        <v>-1.1039294110293023E-2</v>
      </c>
      <c r="GV49" s="24">
        <v>-1.4968799405502768E-2</v>
      </c>
      <c r="GW49" s="24">
        <v>-1.4771410530706568E-2</v>
      </c>
      <c r="GX49" s="24">
        <v>-1.1253204448355703E-2</v>
      </c>
      <c r="GY49" s="24">
        <v>-1.1098486397027173E-2</v>
      </c>
      <c r="HA49" s="24">
        <v>-1.7291714792691142E-2</v>
      </c>
      <c r="HB49" s="24">
        <v>-1.7301385542406615E-2</v>
      </c>
      <c r="HC49" s="24">
        <v>-1.4007567207867964E-2</v>
      </c>
      <c r="HD49" s="24">
        <v>-1.3997515988707125E-2</v>
      </c>
      <c r="HF49" s="24">
        <v>-1.3963860725401393E-2</v>
      </c>
      <c r="HG49" s="24">
        <v>-1.3761017520182731E-2</v>
      </c>
      <c r="HH49" s="24">
        <v>-1.1253206118809769E-2</v>
      </c>
      <c r="HI49" s="24">
        <v>-1.1098486456135037E-2</v>
      </c>
      <c r="HK49" s="24">
        <v>-1.8308179018127639E-2</v>
      </c>
      <c r="HL49" s="24">
        <v>-1.8342354225720843E-2</v>
      </c>
      <c r="HM49" s="24">
        <v>-1.4013557876122663E-2</v>
      </c>
      <c r="HN49" s="24">
        <v>-1.4253842871873798E-2</v>
      </c>
      <c r="HP49">
        <v>-1.757487192921852E-2</v>
      </c>
      <c r="HQ49">
        <v>-1.7801661329956302E-2</v>
      </c>
      <c r="HR49">
        <v>-1.3893152358935373E-2</v>
      </c>
      <c r="HS49">
        <v>-1.3947306135414443E-2</v>
      </c>
      <c r="HU49">
        <v>-1.6871974642652866E-2</v>
      </c>
      <c r="HV49">
        <v>-1.7082557330833185E-2</v>
      </c>
      <c r="HW49">
        <v>-1.3753309968201947E-2</v>
      </c>
      <c r="HX49">
        <v>-1.3813493982853836E-2</v>
      </c>
      <c r="HZ49">
        <v>-1.6195149895526582E-2</v>
      </c>
      <c r="IA49">
        <v>-1.6320890918216917E-2</v>
      </c>
      <c r="IB49">
        <v>-1.3455765836439745E-2</v>
      </c>
      <c r="IC49">
        <v>-1.3526166661483367E-2</v>
      </c>
      <c r="IE49">
        <v>-1.6873247467019271E-2</v>
      </c>
      <c r="IF49">
        <v>-1.6919087902996642E-2</v>
      </c>
      <c r="IG49">
        <v>-1.3701200506870542E-2</v>
      </c>
      <c r="IH49">
        <v>-1.3757899755121109E-2</v>
      </c>
      <c r="IJ49">
        <v>-1.6863458196749052E-2</v>
      </c>
      <c r="IK49">
        <v>-1.6904544104703857E-2</v>
      </c>
      <c r="IL49">
        <v>-1.3661517942131142E-2</v>
      </c>
      <c r="IM49">
        <v>-1.3895009749983318E-2</v>
      </c>
      <c r="IO49" s="86">
        <v>-1.6854741769386915E-2</v>
      </c>
      <c r="IP49">
        <v>-1.6889791276276427E-2</v>
      </c>
      <c r="IQ49">
        <v>-1.3660350321453282E-2</v>
      </c>
      <c r="IR49">
        <v>-1.3889513457804162E-2</v>
      </c>
      <c r="IT49">
        <v>-1.6843502952344956E-2</v>
      </c>
      <c r="IU49">
        <v>-1.6875463591054095E-2</v>
      </c>
      <c r="IV49">
        <v>-1.3657388454348628E-2</v>
      </c>
      <c r="IW49">
        <v>-1.3847464733511401E-2</v>
      </c>
      <c r="IY49">
        <v>-1.6752426779223555E-2</v>
      </c>
      <c r="IZ49">
        <v>-1.7005328212370337E-2</v>
      </c>
      <c r="JA49">
        <v>-1.3727490337353335E-2</v>
      </c>
      <c r="JB49">
        <v>-1.3791361667042853E-2</v>
      </c>
      <c r="JD49">
        <v>-1.6901891362936163E-2</v>
      </c>
      <c r="JE49">
        <v>-1.6994219889374572E-2</v>
      </c>
      <c r="JF49">
        <v>-1.3705717535287744E-2</v>
      </c>
      <c r="JG49">
        <v>-1.3773355485570349E-2</v>
      </c>
      <c r="JI49">
        <v>-1.692018547376218E-2</v>
      </c>
      <c r="JJ49">
        <v>-1.7022658759517063E-2</v>
      </c>
      <c r="JK49">
        <v>-1.3708075258610432E-2</v>
      </c>
      <c r="JL49">
        <v>-1.3783845484566314E-2</v>
      </c>
      <c r="JN49">
        <v>-1.8561905500350633E-2</v>
      </c>
      <c r="JO49">
        <v>-1.8828598099135375E-2</v>
      </c>
      <c r="JP49">
        <v>-1.4157778280823409E-2</v>
      </c>
      <c r="JQ49">
        <v>-1.4396646094799605E-2</v>
      </c>
      <c r="JS49">
        <v>-1.7836115977404178E-2</v>
      </c>
      <c r="JT49">
        <v>-1.8056653275167735E-2</v>
      </c>
      <c r="JU49">
        <v>-1.3992771039262282E-2</v>
      </c>
      <c r="JV49">
        <v>-1.4045619099276721E-2</v>
      </c>
      <c r="JX49">
        <v>-1.711297043823002E-2</v>
      </c>
      <c r="JY49">
        <v>-1.7350959311348106E-2</v>
      </c>
      <c r="JZ49">
        <v>-1.3704269936347831E-2</v>
      </c>
      <c r="KA49">
        <v>-1.3903108710866648E-2</v>
      </c>
      <c r="KC49">
        <v>-1.6533870558491516E-2</v>
      </c>
      <c r="KD49">
        <v>-1.6628505848059465E-2</v>
      </c>
      <c r="KE49">
        <v>-1.3544583253231518E-2</v>
      </c>
      <c r="KF49">
        <v>-1.3608142909768521E-2</v>
      </c>
      <c r="KH49">
        <v>-1.6184415009460461E-2</v>
      </c>
      <c r="KI49">
        <v>-1.6309321441338349E-2</v>
      </c>
      <c r="KJ49">
        <v>-1.3314344124318839E-2</v>
      </c>
      <c r="KK49">
        <v>-1.338724651843784E-2</v>
      </c>
      <c r="KM49">
        <v>-1.6832359179622856E-2</v>
      </c>
      <c r="KN49">
        <v>-1.6933667326033387E-2</v>
      </c>
      <c r="KO49">
        <v>-1.3651151656740731E-2</v>
      </c>
      <c r="KP49">
        <v>-1.3762967164538988E-2</v>
      </c>
      <c r="KR49">
        <v>-1.6832359227471914E-2</v>
      </c>
      <c r="KS49">
        <v>-1.6933667326033387E-2</v>
      </c>
      <c r="KT49">
        <v>-1.365115169601995E-2</v>
      </c>
      <c r="KU49">
        <v>-1.3762967164538988E-2</v>
      </c>
      <c r="KW49">
        <v>-1.687442315085675E-2</v>
      </c>
      <c r="KX49">
        <v>-1.6933667326033387E-2</v>
      </c>
      <c r="KY49">
        <v>-1.365866004839747E-2</v>
      </c>
      <c r="KZ49">
        <v>-1.3762967164538988E-2</v>
      </c>
      <c r="LB49">
        <v>-1.6725063512382184E-2</v>
      </c>
      <c r="LC49">
        <v>-1.6933667326033387E-2</v>
      </c>
      <c r="LD49">
        <v>-1.3708901827094493E-2</v>
      </c>
      <c r="LE49">
        <v>-1.3762967164538988E-2</v>
      </c>
      <c r="LG49">
        <v>-1.6731982062752442E-2</v>
      </c>
      <c r="LH49">
        <v>-1.6933667326033387E-2</v>
      </c>
      <c r="LI49">
        <v>-1.3714449205392006E-2</v>
      </c>
      <c r="LJ49">
        <v>-1.3762967164538988E-2</v>
      </c>
      <c r="LL49">
        <v>-1.6827239142241664E-2</v>
      </c>
      <c r="LM49">
        <v>-1.6933667326033387E-2</v>
      </c>
      <c r="LN49">
        <v>-1.3787197350717852E-2</v>
      </c>
      <c r="LO49">
        <v>-1.3762967164538988E-2</v>
      </c>
      <c r="LQ49">
        <v>-1.6908747896577585E-2</v>
      </c>
      <c r="LR49">
        <v>-1.6955645692009601E-2</v>
      </c>
      <c r="LS49">
        <v>-1.3701616839854359E-2</v>
      </c>
      <c r="LT49">
        <v>-1.3760748818932342E-2</v>
      </c>
      <c r="LV49">
        <v>-1.6936067379717042E-2</v>
      </c>
      <c r="LW49">
        <v>-1.6979078615671155E-2</v>
      </c>
      <c r="LX49">
        <v>-1.3700603963671454E-2</v>
      </c>
      <c r="LY49">
        <v>-1.3758782034706353E-2</v>
      </c>
      <c r="MA49">
        <v>-1.6928933389041605E-2</v>
      </c>
      <c r="MB49">
        <v>-1.700399437823661E-2</v>
      </c>
      <c r="MC49">
        <v>-1.3699755836099253E-2</v>
      </c>
      <c r="MD49">
        <v>-1.3898348689605267E-2</v>
      </c>
      <c r="MF49">
        <v>-1.9063121997152578E-2</v>
      </c>
      <c r="MG49">
        <v>-1.9246909123638987E-2</v>
      </c>
      <c r="MH49">
        <v>-1.4263115176479303E-2</v>
      </c>
      <c r="MI49">
        <v>-1.4502860736358543E-2</v>
      </c>
      <c r="MK49">
        <v>-1.6341345439604811E-2</v>
      </c>
      <c r="ML49">
        <v>-1.6467330597497977E-2</v>
      </c>
      <c r="MM49">
        <v>-1.2916657955764486E-2</v>
      </c>
      <c r="MN49">
        <v>-1.2977779414367389E-2</v>
      </c>
      <c r="MP49">
        <v>-1.6957954745846916E-2</v>
      </c>
      <c r="MQ49">
        <v>-1.6902094169716407E-2</v>
      </c>
      <c r="MR49">
        <v>-1.369768813641533E-2</v>
      </c>
      <c r="MS49">
        <v>-1.3678053040423292E-2</v>
      </c>
      <c r="MU49">
        <v>-1.6940203624865501E-2</v>
      </c>
      <c r="MV49">
        <v>-1.6927445007042456E-2</v>
      </c>
      <c r="MW49">
        <v>-1.3696234529209837E-2</v>
      </c>
      <c r="MX49">
        <v>-1.3685826072792812E-2</v>
      </c>
      <c r="MZ49">
        <v>-1.6947908584970424E-2</v>
      </c>
      <c r="NA49">
        <v>-1.6947762637528223E-2</v>
      </c>
      <c r="NB49">
        <v>-1.3689168136587659E-2</v>
      </c>
      <c r="NC49">
        <v>-1.368904821936906E-2</v>
      </c>
      <c r="NE49">
        <v>-1.682312688472027E-2</v>
      </c>
      <c r="NF49">
        <v>-1.7017097408322988E-2</v>
      </c>
      <c r="NG49">
        <v>-1.3652793692732909E-2</v>
      </c>
      <c r="NH49">
        <v>-1.3837131736762244E-2</v>
      </c>
      <c r="NJ49">
        <v>-1.6802415221200483E-2</v>
      </c>
      <c r="NK49">
        <v>-1.6988034730931058E-2</v>
      </c>
      <c r="NL49">
        <v>-1.3647994203085996E-2</v>
      </c>
      <c r="NM49">
        <v>-1.3826556712519047E-2</v>
      </c>
      <c r="NO49">
        <v>-1.6781405660353667E-2</v>
      </c>
      <c r="NP49">
        <v>-1.6959054295034089E-2</v>
      </c>
      <c r="NQ49">
        <v>-1.3782208472120659E-2</v>
      </c>
      <c r="NR49">
        <v>-1.3960315497612077E-2</v>
      </c>
      <c r="NT49">
        <v>-1.6827239094682235E-2</v>
      </c>
      <c r="NU49">
        <v>-1.6933667301998932E-2</v>
      </c>
      <c r="NV49">
        <v>-1.3787197360712204E-2</v>
      </c>
      <c r="NW49">
        <v>-1.3762967137612568E-2</v>
      </c>
      <c r="NY49">
        <v>-1.6735201716944308E-2</v>
      </c>
      <c r="NZ49">
        <v>-1.6933664740190042E-2</v>
      </c>
      <c r="OA49">
        <v>-1.3716967887786355E-2</v>
      </c>
      <c r="OB49">
        <v>-1.3762966899591299E-2</v>
      </c>
      <c r="OD49">
        <v>-1.678312232929214E-2</v>
      </c>
      <c r="OE49">
        <v>-1.6933667277941968E-2</v>
      </c>
      <c r="OF49">
        <v>-1.3590466123999306E-2</v>
      </c>
      <c r="OG49">
        <v>-1.376296712825744E-2</v>
      </c>
      <c r="OI49">
        <v>-1.692905439213694E-2</v>
      </c>
      <c r="OJ49">
        <v>-1.7037076046865253E-2</v>
      </c>
      <c r="OK49">
        <v>-1.3709012886436084E-2</v>
      </c>
      <c r="OL49">
        <v>-1.3789120246896699E-2</v>
      </c>
      <c r="ON49">
        <v>-1.6833357031297617E-2</v>
      </c>
      <c r="OO49">
        <v>-1.6862485418586377E-2</v>
      </c>
      <c r="OP49">
        <v>-1.3655135139071808E-2</v>
      </c>
      <c r="OQ49">
        <v>-1.3842304122216924E-2</v>
      </c>
      <c r="OS49">
        <v>-1.6692745603362334E-2</v>
      </c>
      <c r="OT49">
        <v>-1.6912499200528473E-2</v>
      </c>
      <c r="OU49">
        <v>-1.366721278373241E-2</v>
      </c>
      <c r="OV49">
        <v>-1.3765092347591747E-2</v>
      </c>
      <c r="OX49">
        <v>-1.6669318211892568E-2</v>
      </c>
      <c r="OY49">
        <v>-1.6923533419404981E-2</v>
      </c>
      <c r="OZ49">
        <v>-1.3669064381614006E-2</v>
      </c>
      <c r="PA49">
        <v>-1.373255916514686E-2</v>
      </c>
      <c r="PC49">
        <v>-1.6710817571122534E-2</v>
      </c>
      <c r="PD49">
        <v>-1.6963690927675586E-2</v>
      </c>
      <c r="PE49">
        <v>-1.3713806576403594E-2</v>
      </c>
      <c r="PF49">
        <v>-1.3776200988714613E-2</v>
      </c>
      <c r="PH49">
        <v>-1.6922214048766544E-2</v>
      </c>
      <c r="PI49">
        <v>-1.6967170150832871E-2</v>
      </c>
      <c r="PJ49">
        <v>-1.3681976042311042E-2</v>
      </c>
      <c r="PK49">
        <v>-1.3741152437936492E-2</v>
      </c>
      <c r="PM49" s="24">
        <v>-1.8178642492707793E-2</v>
      </c>
      <c r="PN49" s="24">
        <v>-1.844848394818057E-2</v>
      </c>
      <c r="PO49" s="24">
        <v>-1.4000647136087001E-2</v>
      </c>
      <c r="PP49" s="24">
        <v>-1.4238379520317965E-2</v>
      </c>
      <c r="PR49">
        <v>-1.9530043918104957E-2</v>
      </c>
      <c r="PS49">
        <v>-1.9791800309470607E-2</v>
      </c>
      <c r="PT49">
        <v>-1.4483295565708085E-2</v>
      </c>
      <c r="PU49">
        <v>-1.4577154810085223E-2</v>
      </c>
      <c r="PW49">
        <v>-1.618284175586273E-2</v>
      </c>
      <c r="PX49">
        <v>-1.6473907087660562E-2</v>
      </c>
      <c r="PY49">
        <v>-1.305507229982495E-2</v>
      </c>
      <c r="PZ49">
        <v>-1.313528328830766E-2</v>
      </c>
      <c r="QB49" s="24">
        <v>-1.6486298495493427E-2</v>
      </c>
      <c r="QC49" s="24">
        <v>-1.6611626475291942E-2</v>
      </c>
      <c r="QD49" s="24">
        <v>-1.2555188205365414E-2</v>
      </c>
      <c r="QE49" s="24">
        <v>-1.2668452988229814E-2</v>
      </c>
    </row>
    <row r="50" spans="1:1017" x14ac:dyDescent="0.15">
      <c r="A50" s="24" t="s">
        <v>271</v>
      </c>
      <c r="B50" s="77">
        <f>Sectors!K9</f>
        <v>3.2137819629131911E-14</v>
      </c>
      <c r="C50" s="77">
        <f>Sectors!Z4</f>
        <v>1.0287711908194319E-14</v>
      </c>
      <c r="D50" s="77">
        <f>Sectors!AT4</f>
        <v>2.4027560643268528E-16</v>
      </c>
      <c r="E50" s="77">
        <f>Sectors!BK4</f>
        <v>1.1487048396942876E-13</v>
      </c>
      <c r="F50" s="77">
        <f>Sectors!CE4</f>
        <v>3.7647337391248821E-14</v>
      </c>
      <c r="H50" s="71">
        <v>3.2137819629131911E-14</v>
      </c>
      <c r="I50" s="71">
        <v>5.1553624830962609E-11</v>
      </c>
      <c r="J50" s="71">
        <v>6.454102298417E-15</v>
      </c>
      <c r="K50" s="71">
        <v>4.2223802996646705E-16</v>
      </c>
      <c r="L50" s="71">
        <v>5.0826732445839134E-16</v>
      </c>
      <c r="M50" s="71">
        <v>3.2137819629131911E-14</v>
      </c>
      <c r="N50" s="71">
        <v>2.1425674635915676E-13</v>
      </c>
      <c r="O50" s="71">
        <v>4.4324093722322039E-17</v>
      </c>
      <c r="P50" s="71">
        <v>5.0869328961406034E-16</v>
      </c>
      <c r="Q50" s="71">
        <v>2.5918065114567001E-9</v>
      </c>
      <c r="R50" s="71">
        <v>3.2137819629131911E-14</v>
      </c>
      <c r="S50" s="71">
        <v>4.2185533087162966E-11</v>
      </c>
      <c r="T50" s="71">
        <v>1.2955289620110366E-14</v>
      </c>
      <c r="U50" s="71">
        <v>3.7907970358755164E-16</v>
      </c>
      <c r="V50" s="71">
        <v>5.9393680394290395E-15</v>
      </c>
      <c r="W50" s="71">
        <v>3.2137819629131911E-14</v>
      </c>
      <c r="X50" s="71">
        <v>9.7175699626559871E-12</v>
      </c>
      <c r="Y50" s="71">
        <v>3.5674679260263059E-11</v>
      </c>
      <c r="Z50" s="71">
        <v>6.474387226313909E-15</v>
      </c>
      <c r="AA50" s="71">
        <v>7.7727372789108583E-15</v>
      </c>
      <c r="AB50" s="71">
        <v>3.2137819629131911E-14</v>
      </c>
      <c r="AC50" s="71">
        <v>1.5301245694198336E-16</v>
      </c>
      <c r="AD50" s="71">
        <v>1.7732435655814977E-17</v>
      </c>
      <c r="AE50" s="71">
        <v>2.0891560386951524E-15</v>
      </c>
      <c r="AF50" s="71">
        <v>9.9999999999999998E-17</v>
      </c>
      <c r="AG50" s="71">
        <v>3.2137819629131911E-14</v>
      </c>
      <c r="AH50" s="71">
        <v>1.2903155518876596E-9</v>
      </c>
      <c r="AI50" s="71">
        <v>5.0386298504213492E-9</v>
      </c>
      <c r="AJ50" s="71">
        <v>1.2844391516938826E-9</v>
      </c>
      <c r="AK50" s="71">
        <v>2.8750721030941151E-10</v>
      </c>
      <c r="AL50" s="71">
        <v>3.2137819629131911E-14</v>
      </c>
      <c r="AM50" s="71">
        <v>2.3221980266902527E-11</v>
      </c>
      <c r="AN50" s="71">
        <v>2.5946122394906966E-12</v>
      </c>
      <c r="AO50" s="71">
        <v>1.0882662646701262E-14</v>
      </c>
      <c r="AP50" s="71">
        <v>7.3693905224432398E-15</v>
      </c>
      <c r="AQ50" s="71">
        <v>3.2137819629131911E-14</v>
      </c>
      <c r="AR50" s="71">
        <v>5.8420378467441464E-19</v>
      </c>
      <c r="AS50" s="71">
        <v>1.3663494036097768E-12</v>
      </c>
      <c r="AT50" s="71">
        <v>4.2094824100373757E-15</v>
      </c>
      <c r="AU50" s="71">
        <v>3.515798079775422E-16</v>
      </c>
      <c r="AV50" s="71">
        <v>3.2137819629131911E-14</v>
      </c>
      <c r="AW50" s="71">
        <v>2.4229870393419365E-16</v>
      </c>
      <c r="AX50" s="71">
        <v>1.1248314391464754E-11</v>
      </c>
      <c r="AY50" s="71">
        <v>4.4371576232836818E-15</v>
      </c>
      <c r="AZ50" s="71">
        <v>3.2907750128948607E-15</v>
      </c>
      <c r="BA50" s="71">
        <v>3.2137819629131911E-14</v>
      </c>
      <c r="BB50" s="71">
        <v>1.5935227820939334E-11</v>
      </c>
      <c r="BC50" s="71">
        <v>1.0745834493761709E-11</v>
      </c>
      <c r="BD50" s="71">
        <v>5.3143871361622645E-10</v>
      </c>
      <c r="BE50" s="71">
        <v>3.3623399120570386E-15</v>
      </c>
      <c r="BF50" s="71">
        <v>3.2137819629131911E-14</v>
      </c>
      <c r="BG50" s="71">
        <v>2.1863873516561698E-9</v>
      </c>
      <c r="BH50" s="71">
        <v>2.2289313518288613E-9</v>
      </c>
      <c r="BI50" s="71">
        <v>6.4424861592688995E-10</v>
      </c>
      <c r="BJ50" s="71">
        <v>5.9764027461828034E-10</v>
      </c>
      <c r="BK50" s="71">
        <v>3.2137819629131911E-14</v>
      </c>
      <c r="BL50" s="71">
        <v>9.0258341321626329E-11</v>
      </c>
      <c r="BM50" s="71">
        <v>5.4872115569403875E-11</v>
      </c>
      <c r="BN50" s="71">
        <v>3.4424154372304357E-9</v>
      </c>
      <c r="BO50" s="71">
        <v>3.3903123345270734E-9</v>
      </c>
      <c r="BP50" s="71">
        <v>3.2137819629131911E-14</v>
      </c>
      <c r="BQ50" s="71">
        <v>6.7765073365775211E-10</v>
      </c>
      <c r="BR50" s="71">
        <v>5.5082230211391349E-10</v>
      </c>
      <c r="BS50" s="71">
        <v>3.2494831171107835E-9</v>
      </c>
      <c r="BT50" s="71">
        <v>3.471889532336369E-9</v>
      </c>
      <c r="BU50" s="71">
        <v>3.2137819629131911E-14</v>
      </c>
      <c r="BV50" s="71">
        <v>8.0001927758032347E-14</v>
      </c>
      <c r="BW50" s="71">
        <v>4.4337049151317551E-7</v>
      </c>
      <c r="BX50" s="71">
        <v>4.78304336749356E-15</v>
      </c>
      <c r="BY50" s="71">
        <v>3.6632921045694627E-16</v>
      </c>
      <c r="BZ50" s="71">
        <v>3.2137819629131911E-14</v>
      </c>
      <c r="CA50" s="71">
        <v>3.5135978690778979E-17</v>
      </c>
      <c r="CB50" s="71">
        <v>9.6528170530452207E-18</v>
      </c>
      <c r="CC50" s="71">
        <v>8.1401069892180608E-15</v>
      </c>
      <c r="CD50" s="71">
        <v>7.3112535871512221E-15</v>
      </c>
      <c r="CE50" s="71">
        <v>3.2137819629131911E-14</v>
      </c>
      <c r="CF50" s="71">
        <v>2.4537088367218328E-10</v>
      </c>
      <c r="CG50" s="71">
        <v>1.4733328310384208E-11</v>
      </c>
      <c r="CH50" s="71">
        <v>3.5011195843408212E-15</v>
      </c>
      <c r="CI50" s="71">
        <v>1.5912437541966015E-13</v>
      </c>
      <c r="CJ50" s="71">
        <v>3.2137819629131911E-14</v>
      </c>
      <c r="CK50" s="71">
        <v>4.6597036233395204E-14</v>
      </c>
      <c r="CL50" s="71">
        <v>5.9679325920497509E-13</v>
      </c>
      <c r="CM50" s="71">
        <v>2.8281940170360397E-15</v>
      </c>
      <c r="CN50" s="71">
        <v>2.0478559701059016E-14</v>
      </c>
      <c r="CO50" s="71">
        <v>3.2137819629131911E-14</v>
      </c>
      <c r="CP50" s="71">
        <v>2.237148348672148E-16</v>
      </c>
      <c r="CQ50" s="71">
        <v>1.9692005228931465E-13</v>
      </c>
      <c r="CR50" s="71">
        <v>3.6429619674135881E-14</v>
      </c>
      <c r="CS50" s="71">
        <v>6.7954276137875718E-16</v>
      </c>
      <c r="CT50" s="71">
        <v>3.2137819629131911E-14</v>
      </c>
      <c r="CU50" s="71">
        <v>2.5781231235764591E-10</v>
      </c>
      <c r="CV50" s="71">
        <v>7.3625295662826333E-18</v>
      </c>
      <c r="CW50" s="71">
        <v>3.5697120753641744E-9</v>
      </c>
      <c r="CX50" s="71">
        <v>4.1345405834151722E-14</v>
      </c>
      <c r="CY50" s="71">
        <v>3.2137819629131911E-14</v>
      </c>
      <c r="CZ50" s="71">
        <v>1.0615418037321301E-11</v>
      </c>
      <c r="DA50" s="71">
        <v>9.6880781753597192E-12</v>
      </c>
      <c r="DB50" s="71">
        <v>9.5159916159328816E-15</v>
      </c>
      <c r="DC50" s="71">
        <v>1.7567788725169648E-13</v>
      </c>
      <c r="DD50" s="71">
        <v>3.2137819629131911E-14</v>
      </c>
      <c r="DE50" s="71">
        <v>1.5557252142868498E-7</v>
      </c>
      <c r="DF50" s="71">
        <v>5.1185980343633098E-12</v>
      </c>
      <c r="DG50" s="71">
        <v>1.988622476761573E-17</v>
      </c>
      <c r="DH50" s="71">
        <v>9.0435862452308008E-15</v>
      </c>
      <c r="DI50" s="71">
        <v>3.2137819629131911E-14</v>
      </c>
      <c r="DJ50" s="71">
        <v>9.0642984563421113E-13</v>
      </c>
      <c r="DK50" s="71">
        <v>8.1455247322888599E-14</v>
      </c>
      <c r="DL50" s="71">
        <v>1.3596784694814232E-13</v>
      </c>
      <c r="DM50" s="71">
        <v>1.4810264620162707E-9</v>
      </c>
      <c r="DN50" s="71">
        <v>3.2137819629131911E-14</v>
      </c>
      <c r="DO50" s="71">
        <v>1.4633917006661539E-11</v>
      </c>
      <c r="DP50" s="71">
        <v>6.9412782232647028E-11</v>
      </c>
      <c r="DQ50" s="71">
        <v>6.6171598105433308E-15</v>
      </c>
      <c r="DR50" s="71">
        <v>7.4065957172561549E-15</v>
      </c>
      <c r="DS50" s="71">
        <v>3.2137819629131911E-14</v>
      </c>
      <c r="DT50" s="71">
        <v>6.5756394390833986E-11</v>
      </c>
      <c r="DU50" s="71">
        <v>2.0877607087890126E-11</v>
      </c>
      <c r="DV50" s="71">
        <v>3.3967608011842406E-15</v>
      </c>
      <c r="DW50" s="71">
        <v>2.6390161837613684E-15</v>
      </c>
      <c r="DX50" s="71">
        <v>3.2137819629131911E-14</v>
      </c>
      <c r="DY50" s="71">
        <v>4.7038311504234079E-10</v>
      </c>
      <c r="DZ50" s="71">
        <v>4.5126353488960714E-10</v>
      </c>
      <c r="EA50" s="71">
        <v>9.3800706987538763E-12</v>
      </c>
      <c r="EB50" s="71">
        <v>1.4466037957208989E-11</v>
      </c>
      <c r="EC50" s="71">
        <v>3.2137819629131911E-14</v>
      </c>
      <c r="ED50" s="71">
        <v>1.3225764110130635E-7</v>
      </c>
      <c r="EE50" s="71">
        <v>2.1243821753113695E-14</v>
      </c>
      <c r="EF50" s="71">
        <v>1.5075175771712453E-14</v>
      </c>
      <c r="EG50" s="71">
        <v>3.3624693089815282E-15</v>
      </c>
      <c r="EH50" s="71">
        <v>3.2137819629131911E-14</v>
      </c>
      <c r="EI50" s="71">
        <v>3.3329380572286684E-11</v>
      </c>
      <c r="EJ50" s="71">
        <v>4.2141238086912026E-13</v>
      </c>
      <c r="EK50" s="71">
        <v>2.6392192589648516E-15</v>
      </c>
      <c r="EL50" s="71">
        <v>4.6544017386314326E-15</v>
      </c>
      <c r="EM50" s="71">
        <v>3.2137819629131911E-14</v>
      </c>
      <c r="EN50" s="71">
        <v>4.5347851646369203E-10</v>
      </c>
      <c r="EO50" s="71">
        <v>1.1856117252768571E-10</v>
      </c>
      <c r="EP50" s="71">
        <v>4.1901637243235749E-17</v>
      </c>
      <c r="EQ50" s="71">
        <v>7.1192819180877813E-17</v>
      </c>
      <c r="ER50" s="71">
        <v>3.2137819629131911E-14</v>
      </c>
      <c r="ES50" s="71">
        <v>1.4789611930977879E-13</v>
      </c>
      <c r="ET50" s="71">
        <v>4.6212023057502659E-10</v>
      </c>
      <c r="EU50" s="71">
        <v>7.3004264485121547E-15</v>
      </c>
      <c r="EV50" s="71">
        <v>3.2329345167800925E-15</v>
      </c>
      <c r="EW50" s="71">
        <v>3.2137819629131911E-14</v>
      </c>
      <c r="EX50" s="71">
        <v>2.1537342225855556E-13</v>
      </c>
      <c r="EY50" s="71">
        <v>6.75116814033003E-12</v>
      </c>
      <c r="EZ50" s="71">
        <v>1.1516591682856333E-15</v>
      </c>
      <c r="FA50" s="71">
        <v>9.5186106973812951E-15</v>
      </c>
      <c r="FB50" s="71">
        <v>3.2137819629131911E-14</v>
      </c>
      <c r="FC50" s="71">
        <v>1.9027570505080817E-12</v>
      </c>
      <c r="FD50" s="71">
        <v>2.3850165077918599E-12</v>
      </c>
      <c r="FE50" s="71">
        <v>1.1782268000641734E-15</v>
      </c>
      <c r="FF50" s="71">
        <v>6.5721503087937181E-18</v>
      </c>
      <c r="FG50" s="71">
        <v>3.2137819629131911E-14</v>
      </c>
      <c r="FH50" s="71">
        <v>2.4221333882266239E-12</v>
      </c>
      <c r="FI50" s="71">
        <v>1.9541581367389709E-11</v>
      </c>
      <c r="FJ50" s="71">
        <v>1.0494696768445928E-15</v>
      </c>
      <c r="FK50" s="71">
        <v>1.3531814576449125E-15</v>
      </c>
      <c r="FL50" s="71">
        <v>3.2137819629131911E-14</v>
      </c>
      <c r="FM50" s="71">
        <v>2.4509978194400768E-10</v>
      </c>
      <c r="FN50" s="71">
        <v>2.3225101641943622E-10</v>
      </c>
      <c r="FO50" s="71">
        <v>8.3248189474137065E-15</v>
      </c>
      <c r="FP50" s="71">
        <v>7.8508726236047615E-15</v>
      </c>
      <c r="FQ50" s="71">
        <v>3.2137819629131911E-14</v>
      </c>
      <c r="FR50" s="71">
        <v>1.6849954594645155E-10</v>
      </c>
      <c r="FS50" s="71">
        <v>1.3782893816917756E-10</v>
      </c>
      <c r="FT50" s="71">
        <v>1.4369201551757254E-9</v>
      </c>
      <c r="FU50" s="71">
        <v>1.1760514339411614E-9</v>
      </c>
      <c r="FV50" s="71">
        <v>3.2137819629131911E-14</v>
      </c>
      <c r="FW50" s="71">
        <v>4.9428681701727894E-14</v>
      </c>
      <c r="FX50" s="71">
        <v>1.1870228836421677E-14</v>
      </c>
      <c r="FY50" s="71">
        <v>1.0293144110912523E-15</v>
      </c>
      <c r="FZ50" s="71">
        <v>6.5547395635462721E-10</v>
      </c>
      <c r="GA50" s="71">
        <v>3.2137819629131911E-14</v>
      </c>
      <c r="GB50" s="71">
        <v>1.4050350001336581E-11</v>
      </c>
      <c r="GC50" s="71">
        <v>1.2770180592290652E-11</v>
      </c>
      <c r="GD50" s="71">
        <v>7.9635087039541252E-15</v>
      </c>
      <c r="GE50" s="71">
        <v>3.7697713245032672E-15</v>
      </c>
      <c r="GF50" s="71">
        <v>3.2137819629131911E-14</v>
      </c>
      <c r="GG50" s="71">
        <v>9.1662708463279235E-17</v>
      </c>
      <c r="GH50" s="71">
        <v>6.9498329958833245E-16</v>
      </c>
      <c r="GI50" s="71">
        <v>5.6080850720229266E-15</v>
      </c>
      <c r="GJ50" s="71">
        <v>2.5610320268468675E-15</v>
      </c>
      <c r="GK50" s="71">
        <v>3.2137819629131911E-14</v>
      </c>
      <c r="GL50" s="71">
        <v>1.5177525991156758E-12</v>
      </c>
      <c r="GM50" s="71">
        <v>2.5670646476623424E-9</v>
      </c>
      <c r="GN50" s="71">
        <v>2.0891560386951524E-15</v>
      </c>
      <c r="GO50" s="71">
        <v>6.5440276265335144E-17</v>
      </c>
      <c r="GP50" s="71">
        <v>3.2137819629131911E-14</v>
      </c>
      <c r="GQ50" s="71">
        <v>4.5411085252038128E-10</v>
      </c>
      <c r="GR50" s="71">
        <v>2.4846408240257526E-10</v>
      </c>
      <c r="GS50" s="71">
        <v>8.9658125662727584E-15</v>
      </c>
      <c r="GT50" s="71">
        <v>9.5336661398354456E-9</v>
      </c>
      <c r="GU50" s="71">
        <v>4.0855366858701771E-13</v>
      </c>
      <c r="GV50" s="71">
        <v>1.7844050458426042E-14</v>
      </c>
      <c r="GW50" s="71">
        <v>2.5695906704728657E-11</v>
      </c>
      <c r="GX50" s="71">
        <v>1.9117652870186008E-15</v>
      </c>
      <c r="GY50" s="71">
        <v>4.5297144809612286E-14</v>
      </c>
      <c r="GZ50" s="71">
        <v>4.0855366858701771E-13</v>
      </c>
      <c r="HA50" s="71">
        <v>8.4683953865750961E-13</v>
      </c>
      <c r="HB50" s="71">
        <v>3.6336769714669434E-12</v>
      </c>
      <c r="HC50" s="71">
        <v>1.9198865817102072E-9</v>
      </c>
      <c r="HD50" s="71">
        <v>1.0675090447675326E-15</v>
      </c>
      <c r="HE50" s="71">
        <v>4.0855366858701771E-13</v>
      </c>
      <c r="HF50" s="71">
        <v>1.7076231882272681E-14</v>
      </c>
      <c r="HG50" s="71">
        <v>1.9466633939861472E-11</v>
      </c>
      <c r="HH50" s="71">
        <v>1.7516820655993396E-14</v>
      </c>
      <c r="HI50" s="71">
        <v>4.3870222104178711E-15</v>
      </c>
      <c r="HJ50" s="77">
        <v>6.5415512873257159E-18</v>
      </c>
      <c r="HK50" s="77">
        <v>4.9439804066332536E-14</v>
      </c>
      <c r="HL50" s="77">
        <v>3.9032929282799189E-14</v>
      </c>
      <c r="HM50" s="77">
        <v>2.4170469533559009E-15</v>
      </c>
      <c r="HN50" s="77">
        <v>5.5810933782745643E-15</v>
      </c>
      <c r="HO50">
        <v>9.8281568829031539E-19</v>
      </c>
      <c r="HP50">
        <v>3.1689516493222404E-16</v>
      </c>
      <c r="HQ50">
        <v>1.2235176060318212E-13</v>
      </c>
      <c r="HR50">
        <v>7.0040177931375437E-15</v>
      </c>
      <c r="HS50">
        <v>3.1479093643797641E-15</v>
      </c>
      <c r="HT50">
        <v>2.1156726611654968E-18</v>
      </c>
      <c r="HU50">
        <v>5.2078508828663013E-17</v>
      </c>
      <c r="HV50">
        <v>2.7958694462096469E-16</v>
      </c>
      <c r="HW50">
        <v>6.6302614134329628E-15</v>
      </c>
      <c r="HX50">
        <v>7.540129333656311E-15</v>
      </c>
      <c r="HY50">
        <v>5.1645122264622991E-18</v>
      </c>
      <c r="HZ50">
        <v>1.6395027385757319E-9</v>
      </c>
      <c r="IA50">
        <v>1.9820727137478294E-10</v>
      </c>
      <c r="IB50">
        <v>2.3220231688494676E-13</v>
      </c>
      <c r="IC50">
        <v>6.3653416906759781E-7</v>
      </c>
      <c r="ID50">
        <v>6.6828820916255612E-22</v>
      </c>
      <c r="IE50">
        <v>1.3032499167051325E-9</v>
      </c>
      <c r="IF50">
        <v>1.7975694197299609E-8</v>
      </c>
      <c r="IG50">
        <v>5.839367433801189E-10</v>
      </c>
      <c r="IH50">
        <v>4.4242149541556687E-8</v>
      </c>
      <c r="II50">
        <v>7.1361252458158792E-22</v>
      </c>
      <c r="IJ50">
        <v>1.0308262251411682E-11</v>
      </c>
      <c r="IK50">
        <v>3.3351144439410284E-8</v>
      </c>
      <c r="IL50">
        <v>5.4550598619913971E-11</v>
      </c>
      <c r="IM50">
        <v>4.5818620460218776E-12</v>
      </c>
      <c r="IN50">
        <v>9.1161075404845765E-22</v>
      </c>
      <c r="IO50" s="86">
        <v>6.0590332620939551E-6</v>
      </c>
      <c r="IP50">
        <v>4.0200992142518125E-6</v>
      </c>
      <c r="IQ50">
        <v>1.5097809186902441E-7</v>
      </c>
      <c r="IR50">
        <v>3.1963549006259083E-7</v>
      </c>
      <c r="IS50">
        <v>8.7748006941156996E-22</v>
      </c>
      <c r="IT50">
        <v>2.5800338147343677E-10</v>
      </c>
      <c r="IU50">
        <v>3.3589698293777791E-15</v>
      </c>
      <c r="IV50">
        <v>1.9194171647372645E-8</v>
      </c>
      <c r="IW50">
        <v>1.8839129654605135E-7</v>
      </c>
      <c r="IX50">
        <v>5.4890101929180644E-8</v>
      </c>
      <c r="IY50">
        <v>1.9895074284835651E-16</v>
      </c>
      <c r="IZ50">
        <v>1.9569848674414004E-16</v>
      </c>
      <c r="JA50">
        <v>9.7418646304996503E-14</v>
      </c>
      <c r="JB50">
        <v>9.0740300425741487E-14</v>
      </c>
      <c r="JC50">
        <v>4.9813521605522856E-22</v>
      </c>
      <c r="JD50">
        <v>6.6446510883252463E-18</v>
      </c>
      <c r="JE50">
        <v>2.0369553993952454E-18</v>
      </c>
      <c r="JF50">
        <v>4.1280838294412236E-7</v>
      </c>
      <c r="JG50">
        <v>1.185655421688127E-9</v>
      </c>
      <c r="JH50">
        <v>3.8714981461563404E-20</v>
      </c>
      <c r="JI50">
        <v>4.4054089772574684E-15</v>
      </c>
      <c r="JJ50">
        <v>2.8997136244613008E-15</v>
      </c>
      <c r="JK50">
        <v>4.5342412596561091E-14</v>
      </c>
      <c r="JL50">
        <v>3.4505057621203271E-14</v>
      </c>
      <c r="JM50">
        <v>6.5231084508964078E-18</v>
      </c>
      <c r="JN50">
        <v>1.4994927406945079E-16</v>
      </c>
      <c r="JO50">
        <v>4.7958397899377682E-16</v>
      </c>
      <c r="JP50">
        <v>1.1706266830447575E-13</v>
      </c>
      <c r="JQ50">
        <v>1.1537104160975833E-13</v>
      </c>
      <c r="JR50">
        <v>5.6993951973457753E-22</v>
      </c>
      <c r="JS50">
        <v>2.3104395362747626E-14</v>
      </c>
      <c r="JT50">
        <v>3.9219110850718673E-15</v>
      </c>
      <c r="JU50">
        <v>8.5658522819315429E-14</v>
      </c>
      <c r="JV50">
        <v>5.8004417670914284E-14</v>
      </c>
      <c r="JW50">
        <v>6.9384455084349988E-22</v>
      </c>
      <c r="JX50">
        <v>1.4044262924338255E-15</v>
      </c>
      <c r="JY50">
        <v>1.2301942835940067E-14</v>
      </c>
      <c r="JZ50">
        <v>9.7460540604087201E-14</v>
      </c>
      <c r="KA50">
        <v>1.0042626223401974E-13</v>
      </c>
      <c r="KB50">
        <v>5.7081826842472907E-22</v>
      </c>
      <c r="KC50">
        <v>1.9144737758148863E-17</v>
      </c>
      <c r="KD50">
        <v>4.5724595252339056E-17</v>
      </c>
      <c r="KE50">
        <v>1.7317557582460167E-7</v>
      </c>
      <c r="KF50">
        <v>1.3992868869569289E-9</v>
      </c>
      <c r="KG50">
        <v>1.5984428213011903E-9</v>
      </c>
      <c r="KH50">
        <v>2.1704438277855526E-15</v>
      </c>
      <c r="KI50">
        <v>1.3481633349540786E-15</v>
      </c>
      <c r="KJ50">
        <v>8.9780657732092845E-14</v>
      </c>
      <c r="KK50">
        <v>1.0254875073328454E-13</v>
      </c>
      <c r="KL50">
        <v>3.2137819629131911E-14</v>
      </c>
      <c r="KM50">
        <v>7.7196679014382124E-15</v>
      </c>
      <c r="KN50">
        <v>7.069555550141328E-15</v>
      </c>
      <c r="KO50">
        <v>1.0162046102590903E-13</v>
      </c>
      <c r="KP50">
        <v>9.4034893591769751E-14</v>
      </c>
      <c r="KQ50">
        <v>3.2137819629131911E-14</v>
      </c>
      <c r="KR50">
        <v>1.2600182955443237E-20</v>
      </c>
      <c r="KS50">
        <v>2.5334729173782977E-20</v>
      </c>
      <c r="KT50">
        <v>1.0162046102590903E-13</v>
      </c>
      <c r="KU50">
        <v>9.4034893591769751E-14</v>
      </c>
      <c r="KV50">
        <v>3.2137819629131911E-14</v>
      </c>
      <c r="KW50">
        <v>8.5401948866476902E-21</v>
      </c>
      <c r="KX50">
        <v>3.6334516129179164E-21</v>
      </c>
      <c r="KY50">
        <v>1.0162046102590903E-13</v>
      </c>
      <c r="KZ50">
        <v>9.4034893591769751E-14</v>
      </c>
      <c r="LA50">
        <v>3.2137819629131911E-14</v>
      </c>
      <c r="LB50">
        <v>9.6800141840470364E-22</v>
      </c>
      <c r="LC50">
        <v>1.0887593220198161E-21</v>
      </c>
      <c r="LD50">
        <v>1.0162046102590903E-13</v>
      </c>
      <c r="LE50">
        <v>9.4034893591769751E-14</v>
      </c>
      <c r="LF50">
        <v>3.2137819629131911E-14</v>
      </c>
      <c r="LG50">
        <v>4.682008596202635E-21</v>
      </c>
      <c r="LH50">
        <v>1.4372356100813924E-20</v>
      </c>
      <c r="LI50">
        <v>1.0162046102590903E-13</v>
      </c>
      <c r="LJ50">
        <v>9.4034893591769751E-14</v>
      </c>
      <c r="LK50">
        <v>3.2137819629131911E-14</v>
      </c>
      <c r="LL50">
        <v>1.1632575888612609E-17</v>
      </c>
      <c r="LM50">
        <v>2.9594454355965221E-18</v>
      </c>
      <c r="LN50">
        <v>1.0162046102590903E-13</v>
      </c>
      <c r="LO50">
        <v>9.4034893591769751E-14</v>
      </c>
      <c r="LP50">
        <v>1.1305283970402334E-18</v>
      </c>
      <c r="LQ50">
        <v>4.1394480363907312E-15</v>
      </c>
      <c r="LR50">
        <v>2.2919388822951428E-15</v>
      </c>
      <c r="LS50">
        <v>8.2207307328671736E-14</v>
      </c>
      <c r="LT50">
        <v>1.1871298749030621E-13</v>
      </c>
      <c r="LU50">
        <v>1.9169380118885045E-18</v>
      </c>
      <c r="LV50">
        <v>1.4855672077845535E-17</v>
      </c>
      <c r="LW50">
        <v>2.7604830560004012E-17</v>
      </c>
      <c r="LX50">
        <v>7.0174776203431261E-10</v>
      </c>
      <c r="LY50">
        <v>1.6759196042303384E-6</v>
      </c>
      <c r="LZ50">
        <v>1.9065727695480595E-22</v>
      </c>
      <c r="MA50">
        <v>9.5252669928308747E-17</v>
      </c>
      <c r="MB50">
        <v>6.2935276194628947E-18</v>
      </c>
      <c r="MC50">
        <v>1.1677274977909319E-13</v>
      </c>
      <c r="MD50">
        <v>1.1180499508094746E-13</v>
      </c>
      <c r="ME50">
        <v>2.9730389685350278E-15</v>
      </c>
      <c r="MF50">
        <v>1.095723036838041E-15</v>
      </c>
      <c r="MG50">
        <v>1.0868897589633262E-15</v>
      </c>
      <c r="MH50">
        <v>9.7376515220836448E-14</v>
      </c>
      <c r="MI50">
        <v>1.1829560923200832E-13</v>
      </c>
      <c r="MJ50">
        <v>6.4163814125734524E-22</v>
      </c>
      <c r="MK50">
        <v>9.7980583606198845E-15</v>
      </c>
      <c r="ML50">
        <v>3.7519956187149245E-15</v>
      </c>
      <c r="MM50">
        <v>9.4363381051767216E-14</v>
      </c>
      <c r="MN50">
        <v>5.4048754306218806E-14</v>
      </c>
      <c r="MO50">
        <v>1.823354320083205E-6</v>
      </c>
      <c r="MP50">
        <v>8.0489198817501485E-16</v>
      </c>
      <c r="MQ50">
        <v>1.4660768032311975E-15</v>
      </c>
      <c r="MR50">
        <v>1.7267097936953779E-14</v>
      </c>
      <c r="MS50">
        <v>3.8114228970688974E-14</v>
      </c>
      <c r="MT50">
        <v>1.7462439168698683E-6</v>
      </c>
      <c r="MU50">
        <v>9.245570850947569E-16</v>
      </c>
      <c r="MV50">
        <v>3.4795362189792997E-16</v>
      </c>
      <c r="MW50">
        <v>1.4397561977965017E-14</v>
      </c>
      <c r="MX50">
        <v>2.5013105545351344E-14</v>
      </c>
      <c r="MY50">
        <v>1.6080408732989705E-6</v>
      </c>
      <c r="MZ50">
        <v>1.1472487223695856E-15</v>
      </c>
      <c r="NA50">
        <v>1.1592376506943778E-15</v>
      </c>
      <c r="NB50">
        <v>6.799142828457275E-15</v>
      </c>
      <c r="NC50">
        <v>7.3442176033458838E-15</v>
      </c>
      <c r="ND50">
        <v>1.531536452097794E-20</v>
      </c>
      <c r="NE50">
        <v>3.2898042128484776E-14</v>
      </c>
      <c r="NF50">
        <v>8.9479105499184505E-15</v>
      </c>
      <c r="NG50">
        <v>2.3410927595642742E-13</v>
      </c>
      <c r="NH50">
        <v>2.046942642641337E-13</v>
      </c>
      <c r="NI50">
        <v>2.4589882639361106E-21</v>
      </c>
      <c r="NJ50">
        <v>3.3097505535037016E-12</v>
      </c>
      <c r="NK50">
        <v>5.2537203551395404E-8</v>
      </c>
      <c r="NL50">
        <v>2.446202824187165E-11</v>
      </c>
      <c r="NM50">
        <v>1.343286105410524E-10</v>
      </c>
      <c r="NN50">
        <v>1.7036132908658145E-21</v>
      </c>
      <c r="NO50">
        <v>8.5001885974843479E-16</v>
      </c>
      <c r="NP50">
        <v>8.9093260171000762E-15</v>
      </c>
      <c r="NQ50">
        <v>5.5075230181764979E-13</v>
      </c>
      <c r="NR50">
        <v>5.0678450688435258E-13</v>
      </c>
      <c r="NS50">
        <v>3.2280785167967602E-14</v>
      </c>
      <c r="NT50">
        <v>5.7330823646693719E-15</v>
      </c>
      <c r="NU50">
        <v>1.3352190051674011E-14</v>
      </c>
      <c r="NV50">
        <v>5.3410377271812903E-14</v>
      </c>
      <c r="NW50">
        <v>1.1912699318660147E-13</v>
      </c>
      <c r="NX50">
        <v>3.2280785167967602E-14</v>
      </c>
      <c r="NY50">
        <v>3.7720028150776807E-12</v>
      </c>
      <c r="NZ50">
        <v>2.5872131591310237E-8</v>
      </c>
      <c r="OA50">
        <v>6.3421633671176293E-11</v>
      </c>
      <c r="OB50">
        <v>6.2959758819936534E-12</v>
      </c>
      <c r="OC50">
        <v>3.2280785167967602E-14</v>
      </c>
      <c r="OD50">
        <v>5.6267744182399992E-19</v>
      </c>
      <c r="OE50">
        <v>6.4809204154291566E-19</v>
      </c>
      <c r="OF50">
        <v>1.1221646726502982E-13</v>
      </c>
      <c r="OG50">
        <v>1.160535050425361E-13</v>
      </c>
      <c r="OH50">
        <v>4.7748430706832539E-22</v>
      </c>
      <c r="OI50">
        <v>8.9909282763014555E-20</v>
      </c>
      <c r="OJ50">
        <v>6.0811098630164752E-18</v>
      </c>
      <c r="OK50">
        <v>4.1859772879090053E-14</v>
      </c>
      <c r="OL50">
        <v>4.2354865154289946E-14</v>
      </c>
      <c r="OM50">
        <v>7.2047831653388996E-19</v>
      </c>
      <c r="ON50">
        <v>1.745490217573855E-21</v>
      </c>
      <c r="OO50">
        <v>7.874151966613286E-21</v>
      </c>
      <c r="OP50">
        <v>9.9855795125113902E-6</v>
      </c>
      <c r="OQ50">
        <v>3.8916409267507964E-8</v>
      </c>
      <c r="OR50">
        <v>8.746114510116412E-16</v>
      </c>
      <c r="OS50">
        <v>9.9810845077181258E-8</v>
      </c>
      <c r="OT50">
        <v>4.4134283808688233E-8</v>
      </c>
      <c r="OU50">
        <v>8.2446881627019691E-7</v>
      </c>
      <c r="OV50">
        <v>7.1996446836023406E-7</v>
      </c>
      <c r="OW50">
        <v>3.3729815195697238E-18</v>
      </c>
      <c r="OX50">
        <v>2.6421937736574539E-10</v>
      </c>
      <c r="OY50">
        <v>2.8684013102100112E-9</v>
      </c>
      <c r="OZ50">
        <v>3.4049244679434404E-8</v>
      </c>
      <c r="PA50">
        <v>1.3871449831937659E-8</v>
      </c>
      <c r="PB50">
        <v>5.8460142805699567E-8</v>
      </c>
      <c r="PC50">
        <v>5.2134520923422171E-16</v>
      </c>
      <c r="PD50">
        <v>2.6079870087419559E-16</v>
      </c>
      <c r="PE50">
        <v>7.2982668364565713E-14</v>
      </c>
      <c r="PF50">
        <v>7.7640207099888072E-14</v>
      </c>
      <c r="PG50">
        <v>7.6799448565226648E-22</v>
      </c>
      <c r="PH50">
        <v>2.3047160132406558E-14</v>
      </c>
      <c r="PI50">
        <v>2.0342344673100442E-15</v>
      </c>
      <c r="PJ50">
        <v>5.1977031275517365E-14</v>
      </c>
      <c r="PK50">
        <v>1.0878060111410425E-13</v>
      </c>
      <c r="PL50" s="77">
        <v>2.165678730007296E-21</v>
      </c>
      <c r="PM50" s="77">
        <v>1.4840452415686607E-6</v>
      </c>
      <c r="PN50" s="77">
        <v>3.1347818351655747E-10</v>
      </c>
      <c r="PO50" s="77">
        <v>1.212703905135923E-9</v>
      </c>
      <c r="PP50" s="77">
        <v>1.7243856025678196E-9</v>
      </c>
      <c r="PQ50">
        <v>6.2032355336395397E-7</v>
      </c>
      <c r="PR50">
        <v>3.07704909421624E-16</v>
      </c>
      <c r="PS50">
        <v>1.4854645489059852E-16</v>
      </c>
      <c r="PT50">
        <v>1.1774286508266371E-13</v>
      </c>
      <c r="PU50">
        <v>1.1369773838231671E-13</v>
      </c>
      <c r="PV50">
        <v>1.0616402937802643E-17</v>
      </c>
      <c r="PW50">
        <v>3.609940788036267E-16</v>
      </c>
      <c r="PX50">
        <v>2.7109713655672451E-15</v>
      </c>
      <c r="PY50">
        <v>7.8714706437869651E-14</v>
      </c>
      <c r="PZ50">
        <v>1.1545089726102798E-13</v>
      </c>
      <c r="QA50" s="77">
        <v>6.240790975829949E-22</v>
      </c>
      <c r="QB50" s="77">
        <v>6.5484846387485039E-15</v>
      </c>
      <c r="QC50" s="77">
        <v>2.1197369846281293E-14</v>
      </c>
      <c r="QD50" s="77">
        <v>5.545768052087761E-14</v>
      </c>
      <c r="QE50" s="77">
        <v>4.7791564028337405E-14</v>
      </c>
    </row>
    <row r="51" spans="1:1017" x14ac:dyDescent="0.15">
      <c r="A51" s="46" t="s">
        <v>176</v>
      </c>
      <c r="B51" s="47" t="str">
        <f>IF(ABS(Sectors!$K$9)&lt;0.0001,"OK","ERROR!!")</f>
        <v>OK</v>
      </c>
      <c r="C51" s="47" t="str">
        <f>IF(ABS(Sectors!$Z$4)&lt;0.00001,"OK","ERROR!!")</f>
        <v>OK</v>
      </c>
      <c r="D51" s="47" t="str">
        <f>IF(ABS(Sectors!$BK$4)&lt;0.00001,"OK","ERROR!!")</f>
        <v>OK</v>
      </c>
      <c r="E51" s="47" t="str">
        <f>IF(ABS(Sectors!$AT$4)&lt;0.00001,"OK","ERROR!!")</f>
        <v>OK</v>
      </c>
      <c r="F51" s="47" t="str">
        <f>IF(ABS(Sectors!$CE$4)&lt;0.00001,"OK","ERROR!!")</f>
        <v>OK</v>
      </c>
    </row>
    <row r="52" spans="1:1017" x14ac:dyDescent="0.15">
      <c r="PC52" s="17"/>
      <c r="PD52" s="17"/>
      <c r="PE52" s="17"/>
      <c r="PF52" s="17"/>
      <c r="PH52" s="17"/>
      <c r="PI52" s="17"/>
      <c r="PJ52" s="17"/>
      <c r="PK52" s="17"/>
      <c r="PM52" s="17"/>
      <c r="PN52" s="17"/>
      <c r="PO52" s="17"/>
      <c r="PP52" s="17"/>
      <c r="PR52" s="17"/>
      <c r="PS52" s="17"/>
      <c r="PT52" s="17"/>
      <c r="PU52" s="17"/>
      <c r="PW52" s="17"/>
      <c r="PX52" s="17"/>
      <c r="PY52" s="17"/>
      <c r="PZ52" s="17"/>
      <c r="QB52" s="17"/>
      <c r="QC52" s="17"/>
      <c r="QD52" s="17"/>
      <c r="QE52" s="17"/>
      <c r="QG52" s="17"/>
      <c r="QH52" s="17"/>
      <c r="QI52" s="17"/>
      <c r="QJ52" s="17"/>
      <c r="QL52" s="17"/>
      <c r="QM52" s="17"/>
      <c r="QN52" s="17"/>
      <c r="QO52" s="17"/>
      <c r="QQ52" s="17"/>
      <c r="QR52" s="17"/>
      <c r="QS52" s="17"/>
      <c r="QT52" s="17"/>
      <c r="QV52" s="17"/>
      <c r="QW52" s="17"/>
      <c r="QX52" s="17"/>
      <c r="QY52" s="17"/>
      <c r="RA52" s="17"/>
      <c r="RB52" s="17"/>
      <c r="RC52" s="17"/>
      <c r="RD52" s="17"/>
      <c r="RF52" s="17"/>
      <c r="RG52" s="17"/>
      <c r="RH52" s="17"/>
      <c r="RI52" s="17"/>
      <c r="RK52" s="17"/>
      <c r="RL52" s="17"/>
      <c r="RM52" s="17"/>
      <c r="RN52" s="17"/>
      <c r="RP52" s="17"/>
      <c r="RQ52" s="17"/>
      <c r="RR52" s="17"/>
      <c r="RS52" s="17"/>
      <c r="RU52" s="17"/>
      <c r="RV52" s="17"/>
      <c r="RW52" s="17"/>
      <c r="RX52" s="17"/>
      <c r="RZ52" s="17"/>
      <c r="SA52" s="17"/>
      <c r="SB52" s="17"/>
      <c r="SC52" s="17"/>
      <c r="SE52" s="17"/>
      <c r="SF52" s="17"/>
      <c r="SG52" s="17"/>
      <c r="SH52" s="17"/>
      <c r="SJ52" s="17"/>
      <c r="SK52" s="17"/>
      <c r="SL52" s="17"/>
      <c r="SM52" s="17"/>
      <c r="SO52" s="17"/>
      <c r="SP52" s="17"/>
      <c r="SQ52" s="17"/>
      <c r="SR52" s="17"/>
      <c r="ST52" s="17"/>
      <c r="SU52" s="17"/>
      <c r="SV52" s="17"/>
      <c r="SW52" s="17"/>
      <c r="SY52" s="17"/>
      <c r="SZ52" s="17"/>
      <c r="TA52" s="17"/>
      <c r="TB52" s="17"/>
      <c r="TD52" s="17"/>
      <c r="TE52" s="17"/>
      <c r="TF52" s="17"/>
      <c r="TG52" s="17"/>
      <c r="TI52" s="17"/>
      <c r="TJ52" s="17"/>
      <c r="TK52" s="17"/>
      <c r="TL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7"/>
      <c r="AEH52" s="17"/>
      <c r="AEI52" s="17"/>
      <c r="AEJ52" s="17"/>
      <c r="AEK52" s="17"/>
      <c r="AEL52" s="17"/>
      <c r="AEM52" s="17"/>
      <c r="AEN52" s="17"/>
      <c r="AEO52" s="17"/>
      <c r="AEP52" s="17"/>
      <c r="AEQ52" s="17"/>
      <c r="AER52" s="17"/>
      <c r="AES52" s="17"/>
      <c r="AET52" s="17"/>
      <c r="AEU52" s="17"/>
      <c r="AEV52" s="17"/>
      <c r="AEW52" s="17"/>
      <c r="AEX52" s="17"/>
      <c r="AEY52" s="17"/>
      <c r="AEZ52" s="17"/>
      <c r="AFA52" s="17"/>
      <c r="AFB52" s="17"/>
      <c r="AFC52" s="17"/>
      <c r="AFD52" s="17"/>
      <c r="AFE52" s="17"/>
      <c r="AFF52" s="17"/>
      <c r="AFG52" s="17"/>
      <c r="AFH52" s="17"/>
      <c r="AFI52" s="17"/>
      <c r="AFJ52" s="17"/>
      <c r="AFK52" s="17"/>
      <c r="AFL52" s="17"/>
      <c r="AFM52" s="17"/>
      <c r="AFN52" s="17"/>
      <c r="AFO52" s="17"/>
      <c r="AFP52" s="17"/>
      <c r="AFQ52" s="17"/>
      <c r="AFR52" s="17"/>
      <c r="AFS52" s="17"/>
      <c r="AFT52" s="17"/>
      <c r="AFU52" s="17"/>
      <c r="AFV52" s="17"/>
      <c r="AFW52" s="17"/>
      <c r="AFX52" s="17"/>
      <c r="AFY52" s="17"/>
      <c r="AFZ52" s="17"/>
      <c r="AGA52" s="17"/>
      <c r="AGB52" s="17"/>
      <c r="AGC52" s="17"/>
      <c r="AGD52" s="17"/>
      <c r="AGE52" s="17"/>
      <c r="AGF52" s="17"/>
      <c r="AGG52" s="17"/>
      <c r="AGH52" s="17"/>
      <c r="AGI52" s="17"/>
      <c r="AGJ52" s="17"/>
      <c r="AGK52" s="17"/>
      <c r="AGL52" s="17"/>
      <c r="AGM52" s="17"/>
      <c r="AGN52" s="17"/>
      <c r="AGO52" s="17"/>
      <c r="AGP52" s="17"/>
      <c r="AGQ52" s="17"/>
      <c r="AGR52" s="17"/>
      <c r="AGS52" s="17"/>
      <c r="AGT52" s="17"/>
      <c r="AGU52" s="17"/>
      <c r="AGV52" s="17"/>
      <c r="AGW52" s="17"/>
      <c r="AGX52" s="17"/>
      <c r="AGY52" s="17"/>
      <c r="AGZ52" s="17"/>
      <c r="AHA52" s="17"/>
      <c r="AHB52" s="17"/>
      <c r="AHC52" s="17"/>
      <c r="AHD52" s="17"/>
      <c r="AHE52" s="17"/>
      <c r="AHF52" s="17"/>
      <c r="AHG52" s="17"/>
      <c r="AHH52" s="17"/>
      <c r="AHI52" s="17"/>
      <c r="AHJ52" s="17"/>
      <c r="AHK52" s="17"/>
      <c r="AHL52" s="17"/>
      <c r="AHM52" s="17"/>
      <c r="AHN52" s="17"/>
      <c r="AHO52" s="17"/>
      <c r="AHP52" s="17"/>
      <c r="AHQ52" s="17"/>
      <c r="AHR52" s="17"/>
      <c r="AHS52" s="17"/>
      <c r="AHT52" s="17"/>
      <c r="AHU52" s="17"/>
      <c r="AHV52" s="17"/>
      <c r="AHW52" s="17"/>
      <c r="AHX52" s="17"/>
      <c r="AHY52" s="17"/>
      <c r="AHZ52" s="17"/>
      <c r="AIA52" s="17"/>
      <c r="AIB52" s="17"/>
      <c r="AIC52" s="17"/>
      <c r="AID52" s="17"/>
      <c r="AIE52" s="17"/>
      <c r="AIF52" s="17"/>
      <c r="AIG52" s="17"/>
      <c r="AIH52" s="17"/>
      <c r="AII52" s="17"/>
      <c r="AIJ52" s="17"/>
      <c r="AIK52" s="17"/>
      <c r="AIL52" s="17"/>
      <c r="AIM52" s="17"/>
      <c r="AIN52" s="17"/>
      <c r="AIO52" s="17"/>
      <c r="AIP52" s="17"/>
      <c r="AIQ52" s="17"/>
      <c r="AIR52" s="17"/>
      <c r="AIS52" s="17"/>
      <c r="AIT52" s="17"/>
      <c r="AIU52" s="17"/>
      <c r="AIV52" s="17"/>
      <c r="AIW52" s="17"/>
      <c r="AIX52" s="17"/>
      <c r="AIY52" s="17"/>
      <c r="AIZ52" s="17"/>
      <c r="AJA52" s="17"/>
      <c r="AJB52" s="17"/>
      <c r="AJC52" s="17"/>
      <c r="AJD52" s="17"/>
      <c r="AJE52" s="17"/>
      <c r="AJF52" s="17"/>
      <c r="AJG52" s="17"/>
      <c r="AJH52" s="17"/>
      <c r="AJI52" s="17"/>
      <c r="AJJ52" s="17"/>
      <c r="AJK52" s="17"/>
      <c r="AJL52" s="17"/>
      <c r="AJM52" s="17"/>
      <c r="AJN52" s="17"/>
      <c r="AJO52" s="17"/>
      <c r="AJP52" s="17"/>
      <c r="AJQ52" s="17"/>
      <c r="AJR52" s="17"/>
      <c r="AJS52" s="17"/>
      <c r="AJT52" s="17"/>
      <c r="AJU52" s="17"/>
      <c r="AJV52" s="17"/>
      <c r="AJW52" s="17"/>
      <c r="AJX52" s="17"/>
      <c r="AJY52" s="17"/>
      <c r="AJZ52" s="17"/>
      <c r="AKA52" s="17"/>
      <c r="AKB52" s="17"/>
      <c r="AKC52" s="17"/>
      <c r="AKD52" s="17"/>
      <c r="AKE52" s="17"/>
      <c r="AKF52" s="17"/>
      <c r="AKG52" s="17"/>
      <c r="AKH52" s="17"/>
      <c r="AKI52" s="17"/>
      <c r="AKJ52" s="17"/>
      <c r="AKK52" s="17"/>
      <c r="AKL52" s="17"/>
      <c r="AKM52" s="17"/>
      <c r="AKN52" s="17"/>
      <c r="AKO52" s="17"/>
      <c r="AKP52" s="17"/>
      <c r="AKQ52" s="17"/>
      <c r="AKR52" s="17"/>
      <c r="AKS52" s="17"/>
      <c r="AKT52" s="17"/>
      <c r="AKU52" s="17"/>
      <c r="AKV52" s="17"/>
      <c r="AKW52" s="17"/>
      <c r="AKX52" s="17"/>
      <c r="AKY52" s="17"/>
      <c r="AKZ52" s="17"/>
      <c r="ALA52" s="17"/>
      <c r="ALB52" s="17"/>
      <c r="ALC52" s="17"/>
      <c r="ALD52" s="17"/>
      <c r="ALE52" s="17"/>
      <c r="ALF52" s="17"/>
      <c r="ALG52" s="17"/>
      <c r="ALH52" s="17"/>
      <c r="ALI52" s="17"/>
      <c r="ALJ52" s="17"/>
      <c r="ALK52" s="17"/>
      <c r="ALL52" s="17"/>
      <c r="ALM52" s="17"/>
      <c r="ALN52" s="17"/>
      <c r="ALO52" s="17"/>
      <c r="ALP52" s="17"/>
      <c r="ALQ52" s="17"/>
      <c r="ALR52" s="17"/>
      <c r="ALS52" s="17"/>
      <c r="ALT52" s="17"/>
      <c r="ALU52" s="17"/>
      <c r="ALV52" s="17"/>
      <c r="ALW52" s="17"/>
      <c r="ALX52" s="17"/>
      <c r="ALY52" s="17"/>
      <c r="ALZ52" s="17"/>
      <c r="AMA52" s="17"/>
      <c r="AMB52" s="17"/>
      <c r="AMC52" s="17"/>
    </row>
    <row r="53" spans="1:1017" x14ac:dyDescent="0.15">
      <c r="A53" s="24" t="s">
        <v>235</v>
      </c>
      <c r="B53" s="7">
        <f>(B7-0.0765)*FixedParams!$B$32*B$35/((1+$B7)*$B$35)</f>
        <v>0</v>
      </c>
      <c r="C53" s="7">
        <f>(C7-0.0765)*FixedParams!$B$32*C$35/((1+$B7)*$B$35)</f>
        <v>1951.4126016808725</v>
      </c>
      <c r="D53" s="7">
        <f>(D7-0.0765)*FixedParams!$B$32*D$35/((1+$B7)*$B$35)</f>
        <v>19494.918567785622</v>
      </c>
      <c r="E53" s="7">
        <f>(E7-0.0765)*FixedParams!$B$32*E$35/((1+$B7)*$B$35)</f>
        <v>983.57348705561856</v>
      </c>
      <c r="F53" s="7">
        <f>(F7-0.0765)*FixedParams!$B$32*F$35/((1+$B7)*$B$35)</f>
        <v>945.71437975316996</v>
      </c>
      <c r="PC53" s="17"/>
      <c r="PD53" s="17"/>
      <c r="PE53" s="17"/>
      <c r="PF53" s="17"/>
      <c r="PH53" s="17"/>
      <c r="PI53" s="17"/>
      <c r="PJ53" s="17"/>
      <c r="PK53" s="17"/>
      <c r="PM53" s="17"/>
      <c r="PN53" s="17"/>
      <c r="PO53" s="17"/>
      <c r="PP53" s="17"/>
      <c r="PR53" s="17"/>
      <c r="PS53" s="17"/>
      <c r="PT53" s="17"/>
      <c r="PU53" s="17"/>
      <c r="PW53" s="17"/>
      <c r="PX53" s="17"/>
      <c r="PY53" s="17"/>
      <c r="PZ53" s="17"/>
      <c r="QB53" s="17"/>
      <c r="QC53" s="17"/>
      <c r="QD53" s="17"/>
      <c r="QE53" s="17"/>
      <c r="QG53" s="17"/>
      <c r="QH53" s="17"/>
      <c r="QI53" s="17"/>
      <c r="QJ53" s="17"/>
      <c r="QL53" s="17"/>
      <c r="QM53" s="17"/>
      <c r="QN53" s="17"/>
      <c r="QO53" s="17"/>
      <c r="QQ53" s="17"/>
      <c r="QR53" s="17"/>
      <c r="QS53" s="17"/>
      <c r="QT53" s="17"/>
      <c r="QV53" s="17"/>
      <c r="QW53" s="17"/>
      <c r="QX53" s="17"/>
      <c r="QY53" s="17"/>
      <c r="RA53" s="17"/>
      <c r="RB53" s="17"/>
      <c r="RC53" s="17"/>
      <c r="RD53" s="17"/>
      <c r="RF53" s="17"/>
      <c r="RG53" s="17"/>
      <c r="RH53" s="17"/>
      <c r="RI53" s="17"/>
      <c r="RK53" s="17"/>
      <c r="RL53" s="17"/>
      <c r="RM53" s="17"/>
      <c r="RN53" s="17"/>
      <c r="RP53" s="17"/>
      <c r="RQ53" s="17"/>
      <c r="RR53" s="17"/>
      <c r="RS53" s="17"/>
      <c r="RU53" s="17"/>
      <c r="RV53" s="17"/>
      <c r="RW53" s="17"/>
      <c r="RX53" s="17"/>
      <c r="RZ53" s="17"/>
      <c r="SA53" s="17"/>
      <c r="SB53" s="17"/>
      <c r="SC53" s="17"/>
      <c r="SE53" s="17"/>
      <c r="SF53" s="17"/>
      <c r="SG53" s="17"/>
      <c r="SH53" s="17"/>
      <c r="SJ53" s="17"/>
      <c r="SK53" s="17"/>
      <c r="SL53" s="17"/>
      <c r="SM53" s="17"/>
      <c r="SO53" s="17"/>
      <c r="SP53" s="17"/>
      <c r="SQ53" s="17"/>
      <c r="SR53" s="17"/>
      <c r="ST53" s="17"/>
      <c r="SU53" s="17"/>
      <c r="SV53" s="17"/>
      <c r="SW53" s="17"/>
      <c r="SY53" s="17"/>
      <c r="SZ53" s="17"/>
      <c r="TA53" s="17"/>
      <c r="TB53" s="17"/>
      <c r="TD53" s="17"/>
      <c r="TE53" s="17"/>
      <c r="TF53" s="17"/>
      <c r="TG53" s="17"/>
      <c r="TI53" s="17"/>
      <c r="TJ53" s="17"/>
      <c r="TK53" s="17"/>
      <c r="TL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7"/>
      <c r="AEH53" s="17"/>
      <c r="AEI53" s="17"/>
      <c r="AEJ53" s="17"/>
      <c r="AEK53" s="17"/>
      <c r="AEL53" s="17"/>
      <c r="AEM53" s="17"/>
      <c r="AEN53" s="17"/>
      <c r="AEO53" s="17"/>
      <c r="AEP53" s="17"/>
      <c r="AEQ53" s="17"/>
      <c r="AER53" s="17"/>
      <c r="AES53" s="17"/>
      <c r="AET53" s="17"/>
      <c r="AEU53" s="17"/>
      <c r="AEV53" s="17"/>
      <c r="AEW53" s="17"/>
      <c r="AEX53" s="17"/>
      <c r="AEY53" s="17"/>
      <c r="AEZ53" s="17"/>
      <c r="AFA53" s="17"/>
      <c r="AFB53" s="17"/>
      <c r="AFC53" s="17"/>
      <c r="AFD53" s="17"/>
      <c r="AFE53" s="17"/>
      <c r="AFF53" s="17"/>
      <c r="AFG53" s="17"/>
      <c r="AFH53" s="17"/>
      <c r="AFI53" s="17"/>
      <c r="AFJ53" s="17"/>
      <c r="AFK53" s="17"/>
      <c r="AFL53" s="17"/>
      <c r="AFM53" s="17"/>
      <c r="AFN53" s="17"/>
      <c r="AFO53" s="17"/>
      <c r="AFP53" s="17"/>
      <c r="AFQ53" s="17"/>
      <c r="AFR53" s="17"/>
      <c r="AFS53" s="17"/>
      <c r="AFT53" s="17"/>
      <c r="AFU53" s="17"/>
      <c r="AFV53" s="17"/>
      <c r="AFW53" s="17"/>
      <c r="AFX53" s="17"/>
      <c r="AFY53" s="17"/>
      <c r="AFZ53" s="17"/>
      <c r="AGA53" s="17"/>
      <c r="AGB53" s="17"/>
      <c r="AGC53" s="17"/>
      <c r="AGD53" s="17"/>
      <c r="AGE53" s="17"/>
      <c r="AGF53" s="17"/>
      <c r="AGG53" s="17"/>
      <c r="AGH53" s="17"/>
      <c r="AGI53" s="17"/>
      <c r="AGJ53" s="17"/>
      <c r="AGK53" s="17"/>
      <c r="AGL53" s="17"/>
      <c r="AGM53" s="17"/>
      <c r="AGN53" s="17"/>
      <c r="AGO53" s="17"/>
      <c r="AGP53" s="17"/>
      <c r="AGQ53" s="17"/>
      <c r="AGR53" s="17"/>
      <c r="AGS53" s="17"/>
      <c r="AGT53" s="17"/>
      <c r="AGU53" s="17"/>
      <c r="AGV53" s="17"/>
      <c r="AGW53" s="17"/>
      <c r="AGX53" s="17"/>
      <c r="AGY53" s="17"/>
      <c r="AGZ53" s="17"/>
      <c r="AHA53" s="17"/>
      <c r="AHB53" s="17"/>
      <c r="AHC53" s="17"/>
      <c r="AHD53" s="17"/>
      <c r="AHE53" s="17"/>
      <c r="AHF53" s="17"/>
      <c r="AHG53" s="17"/>
      <c r="AHH53" s="17"/>
      <c r="AHI53" s="17"/>
      <c r="AHJ53" s="17"/>
      <c r="AHK53" s="17"/>
      <c r="AHL53" s="17"/>
      <c r="AHM53" s="17"/>
      <c r="AHN53" s="17"/>
      <c r="AHO53" s="17"/>
      <c r="AHP53" s="17"/>
      <c r="AHQ53" s="17"/>
      <c r="AHR53" s="17"/>
      <c r="AHS53" s="17"/>
      <c r="AHT53" s="17"/>
      <c r="AHU53" s="17"/>
      <c r="AHV53" s="17"/>
      <c r="AHW53" s="17"/>
      <c r="AHX53" s="17"/>
      <c r="AHY53" s="17"/>
      <c r="AHZ53" s="17"/>
      <c r="AIA53" s="17"/>
      <c r="AIB53" s="17"/>
      <c r="AIC53" s="17"/>
      <c r="AID53" s="17"/>
      <c r="AIE53" s="17"/>
      <c r="AIF53" s="17"/>
      <c r="AIG53" s="17"/>
      <c r="AIH53" s="17"/>
      <c r="AII53" s="17"/>
      <c r="AIJ53" s="17"/>
      <c r="AIK53" s="17"/>
      <c r="AIL53" s="17"/>
      <c r="AIM53" s="17"/>
      <c r="AIN53" s="17"/>
      <c r="AIO53" s="17"/>
      <c r="AIP53" s="17"/>
      <c r="AIQ53" s="17"/>
      <c r="AIR53" s="17"/>
      <c r="AIS53" s="17"/>
      <c r="AIT53" s="17"/>
      <c r="AIU53" s="17"/>
      <c r="AIV53" s="17"/>
      <c r="AIW53" s="17"/>
      <c r="AIX53" s="17"/>
      <c r="AIY53" s="17"/>
      <c r="AIZ53" s="17"/>
      <c r="AJA53" s="17"/>
      <c r="AJB53" s="17"/>
      <c r="AJC53" s="17"/>
      <c r="AJD53" s="17"/>
      <c r="AJE53" s="17"/>
      <c r="AJF53" s="17"/>
      <c r="AJG53" s="17"/>
      <c r="AJH53" s="17"/>
      <c r="AJI53" s="17"/>
      <c r="AJJ53" s="17"/>
      <c r="AJK53" s="17"/>
      <c r="AJL53" s="17"/>
      <c r="AJM53" s="17"/>
      <c r="AJN53" s="17"/>
      <c r="AJO53" s="17"/>
      <c r="AJP53" s="17"/>
      <c r="AJQ53" s="17"/>
      <c r="AJR53" s="17"/>
      <c r="AJS53" s="17"/>
      <c r="AJT53" s="17"/>
      <c r="AJU53" s="17"/>
      <c r="AJV53" s="17"/>
      <c r="AJW53" s="17"/>
      <c r="AJX53" s="17"/>
      <c r="AJY53" s="17"/>
      <c r="AJZ53" s="17"/>
      <c r="AKA53" s="17"/>
      <c r="AKB53" s="17"/>
      <c r="AKC53" s="17"/>
      <c r="AKD53" s="17"/>
      <c r="AKE53" s="17"/>
      <c r="AKF53" s="17"/>
      <c r="AKG53" s="17"/>
      <c r="AKH53" s="17"/>
      <c r="AKI53" s="17"/>
      <c r="AKJ53" s="17"/>
      <c r="AKK53" s="17"/>
      <c r="AKL53" s="17"/>
      <c r="AKM53" s="17"/>
      <c r="AKN53" s="17"/>
      <c r="AKO53" s="17"/>
      <c r="AKP53" s="17"/>
      <c r="AKQ53" s="17"/>
      <c r="AKR53" s="17"/>
      <c r="AKS53" s="17"/>
      <c r="AKT53" s="17"/>
      <c r="AKU53" s="17"/>
      <c r="AKV53" s="17"/>
      <c r="AKW53" s="17"/>
      <c r="AKX53" s="17"/>
      <c r="AKY53" s="17"/>
      <c r="AKZ53" s="17"/>
      <c r="ALA53" s="17"/>
      <c r="ALB53" s="17"/>
      <c r="ALC53" s="17"/>
      <c r="ALD53" s="17"/>
      <c r="ALE53" s="17"/>
      <c r="ALF53" s="17"/>
      <c r="ALG53" s="17"/>
      <c r="ALH53" s="17"/>
      <c r="ALI53" s="17"/>
      <c r="ALJ53" s="17"/>
      <c r="ALK53" s="17"/>
      <c r="ALL53" s="17"/>
      <c r="ALM53" s="17"/>
      <c r="ALN53" s="17"/>
      <c r="ALO53" s="17"/>
      <c r="ALP53" s="17"/>
      <c r="ALQ53" s="17"/>
      <c r="ALR53" s="17"/>
      <c r="ALS53" s="17"/>
      <c r="ALT53" s="17"/>
      <c r="ALU53" s="17"/>
      <c r="ALV53" s="17"/>
      <c r="ALW53" s="17"/>
      <c r="ALX53" s="17"/>
      <c r="ALY53" s="17"/>
      <c r="ALZ53" s="17"/>
      <c r="AMA53" s="17"/>
      <c r="AMB53" s="17"/>
      <c r="AMC53" s="17"/>
    </row>
    <row r="54" spans="1:1017" x14ac:dyDescent="0.15">
      <c r="A54" s="24" t="s">
        <v>236</v>
      </c>
      <c r="B54" s="7">
        <f>(B9-0.0765)*FixedParams!$B$32*B$35/((1+$B9)*$B$35)</f>
        <v>-2416.1781471036993</v>
      </c>
      <c r="C54" s="7">
        <f>(C9-0.0765)*FixedParams!$B$32*C$35/((1+$B9)*$B$35)</f>
        <v>7727.1660604178842</v>
      </c>
      <c r="D54" s="7">
        <f>(D9-0.0765)*FixedParams!$B$32*D$35/((1+$B9)*$B$35)</f>
        <v>-5084.5283132841632</v>
      </c>
      <c r="E54" s="7">
        <f>(E9-0.0765)*FixedParams!$B$32*E$35/((1+$B9)*$B$35)</f>
        <v>5548.5674310091281</v>
      </c>
      <c r="F54" s="7">
        <f>(F9-0.0765)*FixedParams!$B$32*F$35/((1+$B9)*$B$35)</f>
        <v>5334.9953771565142</v>
      </c>
    </row>
    <row r="55" spans="1:1017" x14ac:dyDescent="0.15">
      <c r="A55" s="24" t="s">
        <v>237</v>
      </c>
      <c r="B55" s="7">
        <f>(B8-0.0765)*FixedParams!$B$32*EXP(-Sectors!$D$17)*B$35/((1+$B8)*$B$35)</f>
        <v>0</v>
      </c>
      <c r="C55" s="7">
        <f>(C8-0.0765)*FixedParams!$B$32*EXP(-Sectors!$D$17)*C$35/((1+$B8)*$B$35)</f>
        <v>18826.715792204621</v>
      </c>
      <c r="D55" s="7">
        <f>(D8-0.0765)*FixedParams!$B$32*EXP(-Sectors!$D$17)*D$35/((1+$B8)*$B$35)</f>
        <v>8419.8208901667967</v>
      </c>
      <c r="E55" s="7">
        <f>(E8-0.0765)*FixedParams!$B$32*EXP(-Sectors!$D$17)*E$35/((1+$B8)*$B$35)</f>
        <v>12613.435660617952</v>
      </c>
      <c r="F55" s="7">
        <f>(F8-0.0765)*FixedParams!$B$32*EXP(-Sectors!$D$17)*F$35/((1+$B8)*$B$35)</f>
        <v>12127.927032729467</v>
      </c>
    </row>
    <row r="56" spans="1:1017" x14ac:dyDescent="0.15">
      <c r="A56" s="24" t="s">
        <v>238</v>
      </c>
      <c r="B56" s="7">
        <f>B55-B53</f>
        <v>0</v>
      </c>
      <c r="C56" s="7">
        <f>C55-C53</f>
        <v>16875.303190523748</v>
      </c>
      <c r="D56" s="7">
        <f>D55-D53</f>
        <v>-11075.097677618825</v>
      </c>
      <c r="E56" s="7">
        <f>E55-E53</f>
        <v>11629.862173562333</v>
      </c>
      <c r="F56" s="7">
        <f>F55-F53</f>
        <v>11182.212652976297</v>
      </c>
    </row>
    <row r="57" spans="1:1017" x14ac:dyDescent="0.15">
      <c r="C57" s="7"/>
      <c r="E57" s="7"/>
    </row>
    <row r="58" spans="1:1017" x14ac:dyDescent="0.15">
      <c r="C58" s="7"/>
      <c r="D58" s="7"/>
      <c r="E58" s="7"/>
      <c r="F58" s="7"/>
      <c r="G58" s="7"/>
    </row>
    <row r="59" spans="1:1017" x14ac:dyDescent="0.15">
      <c r="E59" s="7">
        <f>(FixedParams!B6+FixedParams!B8)*E53*1000000</f>
        <v>99767826871.748886</v>
      </c>
    </row>
    <row r="61" spans="1:1017" x14ac:dyDescent="0.15">
      <c r="E61">
        <f>FixedParams!B6+FixedParams!B8</f>
        <v>101.43403434999999</v>
      </c>
    </row>
  </sheetData>
  <sortState columnSort="1" ref="F1:AI30">
    <sortCondition ref="F1:AI1"/>
  </sortState>
  <phoneticPr fontId="27" type="noConversion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A28" sqref="A28:G28"/>
    </sheetView>
  </sheetViews>
  <sheetFormatPr baseColWidth="10" defaultRowHeight="14" x14ac:dyDescent="0.15"/>
  <cols>
    <col min="1" max="1" width="11.5" customWidth="1"/>
    <col min="2" max="2" width="17.1640625" bestFit="1" customWidth="1"/>
    <col min="3" max="3" width="17.33203125" bestFit="1" customWidth="1"/>
    <col min="4" max="4" width="15.6640625" bestFit="1" customWidth="1"/>
    <col min="5" max="5" width="28.83203125" bestFit="1" customWidth="1"/>
    <col min="6" max="6" width="14.1640625" bestFit="1" customWidth="1"/>
    <col min="7" max="7" width="27.6640625" bestFit="1" customWidth="1"/>
    <col min="8" max="8" width="21.1640625" bestFit="1" customWidth="1"/>
  </cols>
  <sheetData>
    <row r="1" spans="1:7" x14ac:dyDescent="0.15">
      <c r="A1" t="s">
        <v>272</v>
      </c>
    </row>
    <row r="3" spans="1:7" x14ac:dyDescent="0.15">
      <c r="A3" s="118" t="s">
        <v>254</v>
      </c>
      <c r="B3" s="118"/>
      <c r="C3" s="118"/>
      <c r="D3" s="118"/>
      <c r="E3" s="115" t="s">
        <v>267</v>
      </c>
      <c r="F3" s="115"/>
      <c r="G3" s="115"/>
    </row>
    <row r="4" spans="1:7" ht="28" x14ac:dyDescent="0.15">
      <c r="A4" t="s">
        <v>258</v>
      </c>
      <c r="B4" s="76" t="s">
        <v>259</v>
      </c>
      <c r="C4" s="76" t="s">
        <v>260</v>
      </c>
      <c r="D4" s="76" t="s">
        <v>261</v>
      </c>
      <c r="E4" s="76" t="s">
        <v>259</v>
      </c>
      <c r="F4" s="76" t="s">
        <v>260</v>
      </c>
      <c r="G4" s="76" t="s">
        <v>261</v>
      </c>
    </row>
    <row r="5" spans="1:7" x14ac:dyDescent="0.15">
      <c r="A5">
        <v>0.1</v>
      </c>
      <c r="B5">
        <v>4790</v>
      </c>
      <c r="C5">
        <v>4789</v>
      </c>
      <c r="D5">
        <v>4787</v>
      </c>
      <c r="E5">
        <f>2*HLOOKUP(Figure_4_6_7_9!B5,Calibrations!$H$1:$HX$49,40)</f>
        <v>10.732248880334808</v>
      </c>
      <c r="F5">
        <f>2*HLOOKUP(Figure_4_6_7_9!C5,Calibrations!$H$1:$HX$49,40)</f>
        <v>9.5541554674842502</v>
      </c>
      <c r="G5">
        <f>2*HLOOKUP(Figure_4_6_7_9!D5,Calibrations!$H$1:$HX$49,40)</f>
        <v>19.936846634318968</v>
      </c>
    </row>
    <row r="6" spans="1:7" x14ac:dyDescent="0.15">
      <c r="A6">
        <v>0.30000000999999998</v>
      </c>
      <c r="B6">
        <v>4785</v>
      </c>
      <c r="C6">
        <v>4784</v>
      </c>
      <c r="D6">
        <v>4782</v>
      </c>
      <c r="E6">
        <f>2*HLOOKUP(Figure_4_6_7_9!B6,Calibrations!$H$1:$HX$49,40)</f>
        <v>10.725835026998269</v>
      </c>
      <c r="F6">
        <f>2*HLOOKUP(Figure_4_6_7_9!C6,Calibrations!$H$1:$HX$49,40)</f>
        <v>8.4810566338676239</v>
      </c>
      <c r="G6">
        <f>2*HLOOKUP(Figure_4_6_7_9!D6,Calibrations!$H$1:$HX$49,40)</f>
        <v>18.750491981421973</v>
      </c>
    </row>
    <row r="7" spans="1:7" x14ac:dyDescent="0.15">
      <c r="A7">
        <v>0.5</v>
      </c>
      <c r="B7">
        <v>4780</v>
      </c>
      <c r="C7">
        <v>4779</v>
      </c>
      <c r="D7">
        <v>4777</v>
      </c>
      <c r="E7">
        <f>2*HLOOKUP(Figure_4_6_7_9!B7,Calibrations!$H$1:$HX$49,40)</f>
        <v>10.728132689894139</v>
      </c>
      <c r="F7">
        <f>2*HLOOKUP(Figure_4_6_7_9!C7,Calibrations!$H$1:$HX$49,40)</f>
        <v>7.4239486730101163</v>
      </c>
      <c r="G7">
        <f>2*HLOOKUP(Figure_4_6_7_9!D7,Calibrations!$H$1:$HX$49,40)</f>
        <v>18.105486616172058</v>
      </c>
    </row>
    <row r="8" spans="1:7" x14ac:dyDescent="0.15">
      <c r="A8">
        <v>0.60000001999999997</v>
      </c>
      <c r="B8">
        <v>4770</v>
      </c>
      <c r="C8">
        <v>4769</v>
      </c>
      <c r="D8">
        <v>4767</v>
      </c>
      <c r="E8">
        <f>2*HLOOKUP(Figure_4_6_7_9!B8,Calibrations!$H$1:$HX$49,40)</f>
        <v>10.663228216789847</v>
      </c>
      <c r="F8">
        <f>2*HLOOKUP(Figure_4_6_7_9!C8,Calibrations!$H$1:$HX$49,40)</f>
        <v>6.8955880720059923</v>
      </c>
      <c r="G8">
        <f>2*HLOOKUP(Figure_4_6_7_9!D8,Calibrations!$H$1:$HX$49,40)</f>
        <v>17.526285259899609</v>
      </c>
    </row>
    <row r="9" spans="1:7" x14ac:dyDescent="0.15">
      <c r="A9">
        <v>0.64999998000000003</v>
      </c>
      <c r="B9">
        <v>4765</v>
      </c>
      <c r="C9">
        <v>4764</v>
      </c>
      <c r="D9">
        <v>4762</v>
      </c>
      <c r="E9">
        <f>2*HLOOKUP(Figure_4_6_7_9!B9,Calibrations!$H$1:$HX$49,40)</f>
        <v>2.5123940359273718</v>
      </c>
      <c r="F9">
        <f>2*HLOOKUP(Figure_4_6_7_9!C9,Calibrations!$H$1:$HX$49,40)</f>
        <v>-0.43458041922019675</v>
      </c>
      <c r="G9">
        <f>2*HLOOKUP(Figure_4_6_7_9!D9,Calibrations!$H$1:$HX$49,40)</f>
        <v>17.236613412658286</v>
      </c>
    </row>
    <row r="10" spans="1:7" x14ac:dyDescent="0.15">
      <c r="A10">
        <v>0.69999999000000002</v>
      </c>
      <c r="B10">
        <v>4760</v>
      </c>
      <c r="C10">
        <v>4759</v>
      </c>
      <c r="D10">
        <v>4757</v>
      </c>
      <c r="E10">
        <f>2*HLOOKUP(Figure_4_6_7_9!B10,Calibrations!$H$1:$HX$49,40)</f>
        <v>-5.6492894281512918</v>
      </c>
      <c r="F10">
        <f>2*HLOOKUP(Figure_4_6_7_9!C10,Calibrations!$H$1:$HX$49,40)</f>
        <v>-8.3452065869695389</v>
      </c>
      <c r="G10">
        <f>2*HLOOKUP(Figure_4_6_7_9!D10,Calibrations!$H$1:$HX$49,40)</f>
        <v>16.947017045578022</v>
      </c>
    </row>
    <row r="11" spans="1:7" x14ac:dyDescent="0.15">
      <c r="A11">
        <v>0.75</v>
      </c>
      <c r="B11">
        <v>4755</v>
      </c>
      <c r="C11">
        <v>4754</v>
      </c>
      <c r="D11">
        <v>4752</v>
      </c>
      <c r="E11">
        <f>2*HLOOKUP(Figure_4_6_7_9!B11,Calibrations!$H$1:$HX$49,40)</f>
        <v>-13.659091642022119</v>
      </c>
      <c r="F11">
        <f>2*HLOOKUP(Figure_4_6_7_9!C11,Calibrations!$H$1:$HX$49,40)</f>
        <v>-15.204781166930232</v>
      </c>
      <c r="G11">
        <f>2*HLOOKUP(Figure_4_6_7_9!D11,Calibrations!$H$1:$HX$49,40)</f>
        <v>12.336099143524322</v>
      </c>
    </row>
    <row r="12" spans="1:7" x14ac:dyDescent="0.15">
      <c r="A12">
        <v>0.80000000999999998</v>
      </c>
      <c r="B12">
        <v>4750</v>
      </c>
      <c r="C12">
        <v>4749</v>
      </c>
      <c r="D12">
        <v>4747</v>
      </c>
      <c r="E12">
        <f>2*HLOOKUP(Figure_4_6_7_9!B12,Calibrations!$H$1:$HX$49,40)</f>
        <v>-20.315629110244799</v>
      </c>
      <c r="F12">
        <f>2*HLOOKUP(Figure_4_6_7_9!C12,Calibrations!$H$1:$HX$49,40)</f>
        <v>-22.917842618297556</v>
      </c>
      <c r="G12">
        <f>2*HLOOKUP(Figure_4_6_7_9!D12,Calibrations!$H$1:$HX$49,40)</f>
        <v>6.1263207946741574</v>
      </c>
    </row>
    <row r="13" spans="1:7" x14ac:dyDescent="0.15">
      <c r="A13">
        <v>0.85000001999999997</v>
      </c>
      <c r="B13">
        <v>4745</v>
      </c>
      <c r="C13">
        <v>4744</v>
      </c>
      <c r="D13">
        <v>4742</v>
      </c>
      <c r="E13">
        <f>2*HLOOKUP(Figure_4_6_7_9!B13,Calibrations!$H$1:$HX$49,40)</f>
        <v>-27.39259260777159</v>
      </c>
      <c r="F13">
        <f>2*HLOOKUP(Figure_4_6_7_9!C13,Calibrations!$H$1:$HX$49,40)</f>
        <v>-29.303643342246644</v>
      </c>
      <c r="G13">
        <f>2*HLOOKUP(Figure_4_6_7_9!D13,Calibrations!$H$1:$HX$49,40)</f>
        <v>-0.48624057017120492</v>
      </c>
    </row>
    <row r="14" spans="1:7" x14ac:dyDescent="0.15">
      <c r="A14">
        <v>0.89999998000000003</v>
      </c>
      <c r="B14">
        <v>4740</v>
      </c>
      <c r="C14">
        <v>4739</v>
      </c>
      <c r="D14">
        <v>4737</v>
      </c>
      <c r="E14">
        <f>2*HLOOKUP(Figure_4_6_7_9!B14,Calibrations!$H$1:$HX$49,40)</f>
        <v>-33.818610910683176</v>
      </c>
      <c r="F14">
        <f>2*HLOOKUP(Figure_4_6_7_9!C14,Calibrations!$H$1:$HX$49,40)</f>
        <v>-35.498699360461941</v>
      </c>
      <c r="G14">
        <f>2*HLOOKUP(Figure_4_6_7_9!D14,Calibrations!$H$1:$HX$49,40)</f>
        <v>-6.8282289924279098</v>
      </c>
    </row>
    <row r="15" spans="1:7" x14ac:dyDescent="0.15">
      <c r="A15">
        <v>0.94999999000000002</v>
      </c>
      <c r="B15">
        <v>4735</v>
      </c>
      <c r="C15">
        <v>4734</v>
      </c>
      <c r="D15">
        <v>4732</v>
      </c>
      <c r="E15">
        <f>2*HLOOKUP(Figure_4_6_7_9!B15,Calibrations!$H$1:$HX$49,40)</f>
        <v>-40.575903662286791</v>
      </c>
      <c r="F15">
        <f>2*HLOOKUP(Figure_4_6_7_9!C15,Calibrations!$H$1:$HX$49,40)</f>
        <v>-41.998849046876273</v>
      </c>
      <c r="G15">
        <f>2*HLOOKUP(Figure_4_6_7_9!D15,Calibrations!$H$1:$HX$49,40)</f>
        <v>-12.002490179606568</v>
      </c>
    </row>
    <row r="16" spans="1:7" x14ac:dyDescent="0.15">
      <c r="A16">
        <v>1</v>
      </c>
      <c r="B16">
        <v>4730</v>
      </c>
      <c r="C16">
        <v>4729</v>
      </c>
      <c r="D16">
        <v>4727</v>
      </c>
      <c r="E16">
        <f>2*HLOOKUP(Figure_4_6_7_9!B16,Calibrations!$H$1:$HX$49,40)</f>
        <v>-47.63133800469619</v>
      </c>
      <c r="F16">
        <f>2*HLOOKUP(Figure_4_6_7_9!C16,Calibrations!$H$1:$HX$49,40)</f>
        <v>-47.706218955699498</v>
      </c>
      <c r="G16">
        <f>2*HLOOKUP(Figure_4_6_7_9!D16,Calibrations!$H$1:$HX$49,40)</f>
        <v>-18.1643737278755</v>
      </c>
    </row>
    <row r="23" spans="1:7" x14ac:dyDescent="0.15">
      <c r="A23" s="118" t="s">
        <v>255</v>
      </c>
      <c r="B23" s="118"/>
      <c r="C23" s="118"/>
      <c r="D23" s="118"/>
      <c r="E23" s="115" t="s">
        <v>265</v>
      </c>
      <c r="F23" s="115"/>
      <c r="G23" s="115"/>
    </row>
    <row r="24" spans="1:7" x14ac:dyDescent="0.15">
      <c r="A24" t="s">
        <v>258</v>
      </c>
      <c r="B24" t="s">
        <v>311</v>
      </c>
      <c r="C24" t="s">
        <v>312</v>
      </c>
      <c r="D24" t="s">
        <v>313</v>
      </c>
      <c r="E24" t="s">
        <v>311</v>
      </c>
      <c r="F24" t="s">
        <v>312</v>
      </c>
      <c r="G24" t="s">
        <v>313</v>
      </c>
    </row>
    <row r="25" spans="1:7" x14ac:dyDescent="0.15">
      <c r="A25">
        <v>0.1</v>
      </c>
      <c r="B25">
        <v>4849</v>
      </c>
      <c r="C25">
        <v>4789</v>
      </c>
      <c r="D25">
        <v>4787</v>
      </c>
      <c r="E25">
        <f>2*HLOOKUP(Figure_4_6_7_9!B25,Calibrations!$H$1:$HX$49,41)</f>
        <v>3.8076171778556045E-3</v>
      </c>
      <c r="F25">
        <f>2*HLOOKUP(Figure_4_6_7_9!C25,Calibrations!$H$1:$HX$49,41)</f>
        <v>10.750164555149652</v>
      </c>
      <c r="G25">
        <f>2*HLOOKUP(Figure_4_6_7_9!D25,Calibrations!$H$1:$HX$49,41)</f>
        <v>20.955425341731811</v>
      </c>
    </row>
    <row r="26" spans="1:7" x14ac:dyDescent="0.15">
      <c r="A26">
        <v>0.3</v>
      </c>
      <c r="B26">
        <v>4844</v>
      </c>
      <c r="C26">
        <v>4784</v>
      </c>
      <c r="D26">
        <v>4782</v>
      </c>
      <c r="E26">
        <f>2*HLOOKUP(Figure_4_6_7_9!B26,Calibrations!$H$1:$HX$49,41)</f>
        <v>1.132316344515516E-2</v>
      </c>
      <c r="F26">
        <f>2*HLOOKUP(Figure_4_6_7_9!C26,Calibrations!$H$1:$HX$49,41)</f>
        <v>10.766023864558477</v>
      </c>
      <c r="G26">
        <f>2*HLOOKUP(Figure_4_6_7_9!D26,Calibrations!$H$1:$HX$49,41)</f>
        <v>20.98078679462246</v>
      </c>
    </row>
    <row r="27" spans="1:7" x14ac:dyDescent="0.15">
      <c r="A27">
        <v>0.5</v>
      </c>
      <c r="B27">
        <v>4839</v>
      </c>
      <c r="C27">
        <v>4779</v>
      </c>
      <c r="D27">
        <v>4777</v>
      </c>
      <c r="E27">
        <f>2*HLOOKUP(Figure_4_6_7_9!B27,Calibrations!$H$1:$HX$49,41)</f>
        <v>1.7049497795941004</v>
      </c>
      <c r="F27">
        <f>2*HLOOKUP(Figure_4_6_7_9!C27,Calibrations!$H$1:$HX$49,41)</f>
        <v>10.78900945843985</v>
      </c>
      <c r="G27">
        <f>2*HLOOKUP(Figure_4_6_7_9!D27,Calibrations!$H$1:$HX$49,41)</f>
        <v>21.537208599393935</v>
      </c>
    </row>
    <row r="28" spans="1:7" x14ac:dyDescent="0.15">
      <c r="A28">
        <v>0.6</v>
      </c>
      <c r="B28">
        <v>4834</v>
      </c>
      <c r="C28">
        <v>4769</v>
      </c>
      <c r="D28">
        <v>4767</v>
      </c>
      <c r="E28">
        <f>2*HLOOKUP(Figure_4_6_7_9!B28,Calibrations!$H$1:$HX$49,41)</f>
        <v>5.0540296798211592</v>
      </c>
      <c r="F28">
        <f>2*HLOOKUP(Figure_4_6_7_9!C28,Calibrations!$H$1:$HX$49,41)</f>
        <v>11.437028049446127</v>
      </c>
      <c r="G28">
        <f>2*HLOOKUP(Figure_4_6_7_9!D28,Calibrations!$H$1:$HX$49,41)</f>
        <v>21.560602898000454</v>
      </c>
    </row>
    <row r="29" spans="1:7" x14ac:dyDescent="0.15">
      <c r="A29">
        <v>0.65</v>
      </c>
      <c r="B29">
        <v>4829</v>
      </c>
      <c r="C29">
        <v>4764</v>
      </c>
      <c r="D29">
        <v>4762</v>
      </c>
      <c r="E29">
        <f>2*HLOOKUP(Figure_4_6_7_9!B29,Calibrations!$H$1:$HX$49,41)</f>
        <v>7.3979108181556299</v>
      </c>
      <c r="F29">
        <f>2*HLOOKUP(Figure_4_6_7_9!C29,Calibrations!$H$1:$HX$49,41)</f>
        <v>12.842595904242938</v>
      </c>
      <c r="G29">
        <f>2*HLOOKUP(Figure_4_6_7_9!D29,Calibrations!$H$1:$HX$49,41)</f>
        <v>21.573607430364788</v>
      </c>
    </row>
    <row r="30" spans="1:7" x14ac:dyDescent="0.15">
      <c r="A30">
        <v>0.7</v>
      </c>
      <c r="B30">
        <v>4824</v>
      </c>
      <c r="C30">
        <v>4759</v>
      </c>
      <c r="D30">
        <v>4757</v>
      </c>
      <c r="E30">
        <f>2*HLOOKUP(Figure_4_6_7_9!B30,Calibrations!$H$1:$HX$49,41)</f>
        <v>9.0290993327997562</v>
      </c>
      <c r="F30">
        <f>2*HLOOKUP(Figure_4_6_7_9!C30,Calibrations!$H$1:$HX$49,41)</f>
        <v>14.854062224217913</v>
      </c>
      <c r="G30">
        <f>2*HLOOKUP(Figure_4_6_7_9!D30,Calibrations!$H$1:$HX$49,41)</f>
        <v>21.587548784885954</v>
      </c>
    </row>
    <row r="31" spans="1:7" x14ac:dyDescent="0.15">
      <c r="A31">
        <v>0.75</v>
      </c>
      <c r="B31">
        <v>4819</v>
      </c>
      <c r="C31">
        <v>4754</v>
      </c>
      <c r="D31">
        <v>4752</v>
      </c>
      <c r="E31">
        <f>2*HLOOKUP(Figure_4_6_7_9!B31,Calibrations!$H$1:$HX$49,41)</f>
        <v>11.267276694123467</v>
      </c>
      <c r="F31">
        <f>2*HLOOKUP(Figure_4_6_7_9!C31,Calibrations!$H$1:$HX$49,41)</f>
        <v>17.398752722532077</v>
      </c>
      <c r="G31">
        <f>2*HLOOKUP(Figure_4_6_7_9!D31,Calibrations!$H$1:$HX$49,41)</f>
        <v>23.218053565767629</v>
      </c>
    </row>
    <row r="32" spans="1:7" x14ac:dyDescent="0.15">
      <c r="A32">
        <v>0.8</v>
      </c>
      <c r="B32">
        <v>4814</v>
      </c>
      <c r="C32">
        <v>4749</v>
      </c>
      <c r="D32">
        <v>4747</v>
      </c>
      <c r="E32">
        <f>2*HLOOKUP(Figure_4_6_7_9!B32,Calibrations!$H$1:$HX$49,41)</f>
        <v>13.447724644214148</v>
      </c>
      <c r="F32">
        <f>2*HLOOKUP(Figure_4_6_7_9!C32,Calibrations!$H$1:$HX$49,41)</f>
        <v>19.281561983823877</v>
      </c>
      <c r="G32">
        <f>2*HLOOKUP(Figure_4_6_7_9!D32,Calibrations!$H$1:$HX$49,41)</f>
        <v>25.806393777004835</v>
      </c>
    </row>
    <row r="33" spans="1:7" x14ac:dyDescent="0.15">
      <c r="A33">
        <v>0.85</v>
      </c>
      <c r="B33">
        <v>4809</v>
      </c>
      <c r="C33">
        <v>4744</v>
      </c>
      <c r="D33">
        <v>4742</v>
      </c>
      <c r="E33">
        <f>2*HLOOKUP(Figure_4_6_7_9!B33,Calibrations!$H$1:$HX$49,41)</f>
        <v>15.546064783046212</v>
      </c>
      <c r="F33">
        <f>2*HLOOKUP(Figure_4_6_7_9!C33,Calibrations!$H$1:$HX$49,41)</f>
        <v>21.646019832482725</v>
      </c>
      <c r="G33">
        <f>2*HLOOKUP(Figure_4_6_7_9!D33,Calibrations!$H$1:$HX$49,41)</f>
        <v>27.808710955120361</v>
      </c>
    </row>
    <row r="34" spans="1:7" x14ac:dyDescent="0.15">
      <c r="A34">
        <v>0.9</v>
      </c>
      <c r="B34">
        <v>4804</v>
      </c>
      <c r="C34">
        <v>4739</v>
      </c>
      <c r="D34">
        <v>4737</v>
      </c>
      <c r="E34">
        <f>2*HLOOKUP(Figure_4_6_7_9!B34,Calibrations!$H$1:$HX$49,41)</f>
        <v>17.576573082671949</v>
      </c>
      <c r="F34">
        <f>2*HLOOKUP(Figure_4_6_7_9!C34,Calibrations!$H$1:$HX$49,41)</f>
        <v>23.897377284628437</v>
      </c>
      <c r="G34">
        <f>2*HLOOKUP(Figure_4_6_7_9!D34,Calibrations!$H$1:$HX$49,41)</f>
        <v>30.568571187907761</v>
      </c>
    </row>
    <row r="35" spans="1:7" x14ac:dyDescent="0.15">
      <c r="A35">
        <v>0.95</v>
      </c>
      <c r="B35">
        <v>4799</v>
      </c>
      <c r="C35">
        <v>4734</v>
      </c>
      <c r="D35">
        <v>4732</v>
      </c>
      <c r="E35">
        <f>2*HLOOKUP(Figure_4_6_7_9!B35,Calibrations!$H$1:$HX$49,41)</f>
        <v>20.075209663084287</v>
      </c>
      <c r="F35">
        <f>2*HLOOKUP(Figure_4_6_7_9!C35,Calibrations!$H$1:$HX$49,41)</f>
        <v>26.517728063072919</v>
      </c>
      <c r="G35">
        <f>2*HLOOKUP(Figure_4_6_7_9!D35,Calibrations!$H$1:$HX$49,41)</f>
        <v>32.740034976173519</v>
      </c>
    </row>
    <row r="36" spans="1:7" x14ac:dyDescent="0.15">
      <c r="A36">
        <v>1</v>
      </c>
      <c r="B36">
        <v>4794</v>
      </c>
      <c r="C36">
        <v>4729</v>
      </c>
      <c r="D36">
        <v>4727</v>
      </c>
      <c r="E36">
        <f>2*HLOOKUP(Figure_4_6_7_9!B36,Calibrations!$H$1:$HX$49,41)</f>
        <v>22.433688369695126</v>
      </c>
      <c r="F36">
        <f>2*HLOOKUP(Figure_4_6_7_9!C36,Calibrations!$H$1:$HX$49,41)</f>
        <v>28.977458877680043</v>
      </c>
      <c r="G36">
        <f>2*HLOOKUP(Figure_4_6_7_9!D36,Calibrations!$H$1:$HX$49,41)</f>
        <v>35.501584238017884</v>
      </c>
    </row>
    <row r="42" spans="1:7" ht="13" customHeight="1" x14ac:dyDescent="0.15">
      <c r="A42" s="119" t="s">
        <v>257</v>
      </c>
      <c r="B42" s="119"/>
      <c r="C42" s="119"/>
      <c r="D42" s="119"/>
    </row>
    <row r="43" spans="1:7" x14ac:dyDescent="0.15">
      <c r="A43" t="s">
        <v>258</v>
      </c>
      <c r="B43" t="s">
        <v>262</v>
      </c>
      <c r="C43" t="s">
        <v>268</v>
      </c>
      <c r="D43" t="s">
        <v>269</v>
      </c>
      <c r="E43" t="s">
        <v>258</v>
      </c>
    </row>
    <row r="44" spans="1:7" x14ac:dyDescent="0.15">
      <c r="A44">
        <v>0.5</v>
      </c>
      <c r="B44">
        <v>4779</v>
      </c>
      <c r="C44">
        <f>2*HLOOKUP(Figure_4_6_7_9!B44,Calibrations!$H$1:$HX$49,40)</f>
        <v>7.4239486730101163</v>
      </c>
      <c r="D44">
        <f>2*HLOOKUP(Figure_4_6_7_9!B44,Calibrations!$H$1:$HX$49,41)</f>
        <v>10.78900945843985</v>
      </c>
      <c r="E44">
        <f>ROUND(A44,2)</f>
        <v>0.5</v>
      </c>
    </row>
    <row r="45" spans="1:7" x14ac:dyDescent="0.15">
      <c r="A45">
        <v>0.60000001999999997</v>
      </c>
      <c r="B45">
        <v>4769</v>
      </c>
      <c r="C45">
        <f>2*HLOOKUP(Figure_4_6_7_9!B45,Calibrations!$H$1:$HX$49,40)</f>
        <v>6.8955880720059923</v>
      </c>
      <c r="D45">
        <f>2*HLOOKUP(Figure_4_6_7_9!B45,Calibrations!$H$1:$HX$49,41)</f>
        <v>11.437028049446127</v>
      </c>
      <c r="E45">
        <f t="shared" ref="E45:E51" si="0">ROUND(A45,2)</f>
        <v>0.6</v>
      </c>
    </row>
    <row r="46" spans="1:7" x14ac:dyDescent="0.15">
      <c r="A46">
        <v>0.64999998000000003</v>
      </c>
      <c r="B46">
        <v>4764</v>
      </c>
      <c r="C46">
        <f>2*HLOOKUP(Figure_4_6_7_9!B46,Calibrations!$H$1:$HX$49,40)</f>
        <v>-0.43458041922019675</v>
      </c>
      <c r="D46">
        <f>2*HLOOKUP(Figure_4_6_7_9!B46,Calibrations!$H$1:$HX$49,41)</f>
        <v>12.842595904242938</v>
      </c>
      <c r="E46">
        <f t="shared" si="0"/>
        <v>0.65</v>
      </c>
    </row>
    <row r="47" spans="1:7" x14ac:dyDescent="0.15">
      <c r="A47">
        <v>0.69999999000000002</v>
      </c>
      <c r="B47">
        <v>4759</v>
      </c>
      <c r="C47">
        <f>2*HLOOKUP(Figure_4_6_7_9!B47,Calibrations!$H$1:$HX$49,40)</f>
        <v>-8.3452065869695389</v>
      </c>
      <c r="D47">
        <f>2*HLOOKUP(Figure_4_6_7_9!B47,Calibrations!$H$1:$HX$49,41)</f>
        <v>14.854062224217913</v>
      </c>
      <c r="E47">
        <f t="shared" si="0"/>
        <v>0.7</v>
      </c>
    </row>
    <row r="48" spans="1:7" x14ac:dyDescent="0.15">
      <c r="A48">
        <v>0.75</v>
      </c>
      <c r="B48">
        <v>4754</v>
      </c>
      <c r="C48">
        <f>2*HLOOKUP(Figure_4_6_7_9!B48,Calibrations!$H$1:$HX$49,40)</f>
        <v>-15.204781166930232</v>
      </c>
      <c r="D48">
        <f>2*HLOOKUP(Figure_4_6_7_9!B48,Calibrations!$H$1:$HX$49,41)</f>
        <v>17.398752722532077</v>
      </c>
      <c r="E48">
        <f t="shared" si="0"/>
        <v>0.75</v>
      </c>
    </row>
    <row r="49" spans="1:5" x14ac:dyDescent="0.15">
      <c r="A49">
        <v>0.80000000999999998</v>
      </c>
      <c r="B49">
        <v>4749</v>
      </c>
      <c r="C49">
        <f>2*HLOOKUP(Figure_4_6_7_9!B49,Calibrations!$H$1:$HX$49,40)</f>
        <v>-22.917842618297556</v>
      </c>
      <c r="D49">
        <f>2*HLOOKUP(Figure_4_6_7_9!B49,Calibrations!$H$1:$HX$49,41)</f>
        <v>19.281561983823877</v>
      </c>
      <c r="E49">
        <f t="shared" si="0"/>
        <v>0.8</v>
      </c>
    </row>
    <row r="50" spans="1:5" x14ac:dyDescent="0.15">
      <c r="A50">
        <v>0.85000001999999997</v>
      </c>
      <c r="B50">
        <v>4744</v>
      </c>
      <c r="C50">
        <f>2*HLOOKUP(Figure_4_6_7_9!B50,Calibrations!$H$1:$HX$49,40)</f>
        <v>-29.303643342246644</v>
      </c>
      <c r="D50">
        <f>2*HLOOKUP(Figure_4_6_7_9!B50,Calibrations!$H$1:$HX$49,41)</f>
        <v>21.646019832482725</v>
      </c>
      <c r="E50">
        <f t="shared" si="0"/>
        <v>0.85</v>
      </c>
    </row>
    <row r="51" spans="1:5" x14ac:dyDescent="0.15">
      <c r="A51">
        <v>0.89999998000000003</v>
      </c>
      <c r="B51">
        <v>4739</v>
      </c>
      <c r="C51">
        <f>2*HLOOKUP(Figure_4_6_7_9!B51,Calibrations!$H$1:$HX$49,40)</f>
        <v>-35.498699360461941</v>
      </c>
      <c r="D51">
        <f>2*HLOOKUP(Figure_4_6_7_9!B51,Calibrations!$H$1:$HX$49,41)</f>
        <v>23.897377284628437</v>
      </c>
      <c r="E51">
        <f t="shared" si="0"/>
        <v>0.9</v>
      </c>
    </row>
    <row r="54" spans="1:5" ht="13" customHeight="1" x14ac:dyDescent="0.15">
      <c r="A54" s="119" t="s">
        <v>256</v>
      </c>
      <c r="B54" s="119"/>
      <c r="C54" s="119"/>
      <c r="D54" s="119" t="s">
        <v>266</v>
      </c>
      <c r="E54" s="119"/>
    </row>
    <row r="55" spans="1:5" x14ac:dyDescent="0.15">
      <c r="A55" t="s">
        <v>258</v>
      </c>
      <c r="B55" t="s">
        <v>263</v>
      </c>
      <c r="C55" t="s">
        <v>264</v>
      </c>
      <c r="D55" t="s">
        <v>263</v>
      </c>
      <c r="E55" t="s">
        <v>264</v>
      </c>
    </row>
    <row r="56" spans="1:5" x14ac:dyDescent="0.15">
      <c r="A56">
        <v>0.1</v>
      </c>
      <c r="B56">
        <v>4789</v>
      </c>
      <c r="C56">
        <v>4909</v>
      </c>
      <c r="D56">
        <f>2*HLOOKUP(Figure_4_6_7_9!B56,Calibrations!$H$1:$HX$49,40)</f>
        <v>9.5541554674842502</v>
      </c>
      <c r="E56">
        <f>2*HLOOKUP(Figure_4_6_7_9!C56,Calibrations!$H$1:$HX$49,40)</f>
        <v>-1.8392257382932797</v>
      </c>
    </row>
    <row r="57" spans="1:5" x14ac:dyDescent="0.15">
      <c r="A57">
        <v>0.30000000999999998</v>
      </c>
      <c r="B57">
        <v>4784</v>
      </c>
      <c r="C57">
        <v>4904</v>
      </c>
      <c r="D57">
        <f>2*HLOOKUP(Figure_4_6_7_9!B57,Calibrations!$H$1:$HX$49,40)</f>
        <v>8.4810566338676239</v>
      </c>
      <c r="E57">
        <f>2*HLOOKUP(Figure_4_6_7_9!C57,Calibrations!$H$1:$HX$49,40)</f>
        <v>-1.2663310171129893</v>
      </c>
    </row>
    <row r="58" spans="1:5" x14ac:dyDescent="0.15">
      <c r="A58">
        <v>0.5</v>
      </c>
      <c r="B58">
        <v>4779</v>
      </c>
      <c r="C58">
        <v>4899</v>
      </c>
      <c r="D58">
        <f>2*HLOOKUP(Figure_4_6_7_9!B58,Calibrations!$H$1:$HX$49,40)</f>
        <v>7.4239486730101163</v>
      </c>
      <c r="E58">
        <f>2*HLOOKUP(Figure_4_6_7_9!C58,Calibrations!$H$1:$HX$49,40)</f>
        <v>-0.73187310510465409</v>
      </c>
    </row>
    <row r="59" spans="1:5" x14ac:dyDescent="0.15">
      <c r="A59">
        <v>0.60000001999999997</v>
      </c>
      <c r="B59">
        <v>4769</v>
      </c>
      <c r="C59">
        <v>4894</v>
      </c>
      <c r="D59">
        <f>2*HLOOKUP(Figure_4_6_7_9!B59,Calibrations!$H$1:$HX$49,40)</f>
        <v>6.8955880720059923</v>
      </c>
      <c r="E59">
        <f>2*HLOOKUP(Figure_4_6_7_9!C59,Calibrations!$H$1:$HX$49,40)</f>
        <v>2.9978530687344573E-2</v>
      </c>
    </row>
    <row r="60" spans="1:5" x14ac:dyDescent="0.15">
      <c r="A60">
        <v>0.64999998000000003</v>
      </c>
      <c r="B60">
        <v>4764</v>
      </c>
      <c r="C60">
        <v>4889</v>
      </c>
      <c r="D60">
        <f>2*HLOOKUP(Figure_4_6_7_9!B60,Calibrations!$H$1:$HX$49,40)</f>
        <v>-0.43458041922019675</v>
      </c>
      <c r="E60">
        <f>2*HLOOKUP(Figure_4_6_7_9!C60,Calibrations!$H$1:$HX$49,40)</f>
        <v>-0.10288450159754348</v>
      </c>
    </row>
    <row r="61" spans="1:5" x14ac:dyDescent="0.15">
      <c r="A61">
        <v>0.69999999000000002</v>
      </c>
      <c r="B61">
        <v>4759</v>
      </c>
      <c r="C61">
        <v>4884</v>
      </c>
      <c r="D61">
        <f>2*HLOOKUP(Figure_4_6_7_9!B61,Calibrations!$H$1:$HX$49,40)</f>
        <v>-8.3452065869695389</v>
      </c>
      <c r="E61">
        <f>2*HLOOKUP(Figure_4_6_7_9!C61,Calibrations!$H$1:$HX$49,40)</f>
        <v>0.26430411007235932</v>
      </c>
    </row>
    <row r="62" spans="1:5" x14ac:dyDescent="0.15">
      <c r="A62">
        <v>0.75</v>
      </c>
      <c r="B62">
        <v>4754</v>
      </c>
      <c r="C62">
        <v>4879</v>
      </c>
      <c r="D62">
        <f>2*HLOOKUP(Figure_4_6_7_9!B62,Calibrations!$H$1:$HX$49,40)</f>
        <v>-15.204781166930232</v>
      </c>
      <c r="E62">
        <f>2*HLOOKUP(Figure_4_6_7_9!C62,Calibrations!$H$1:$HX$49,40)</f>
        <v>-3.2481769726485226</v>
      </c>
    </row>
    <row r="63" spans="1:5" x14ac:dyDescent="0.15">
      <c r="A63">
        <v>0.80000000999999998</v>
      </c>
      <c r="B63">
        <v>4749</v>
      </c>
      <c r="C63">
        <v>4874</v>
      </c>
      <c r="D63">
        <f>2*HLOOKUP(Figure_4_6_7_9!B63,Calibrations!$H$1:$HX$49,40)</f>
        <v>-22.917842618297556</v>
      </c>
      <c r="E63">
        <f>2*HLOOKUP(Figure_4_6_7_9!C63,Calibrations!$H$1:$HX$49,40)</f>
        <v>-8.8121311691253368</v>
      </c>
    </row>
    <row r="64" spans="1:5" x14ac:dyDescent="0.15">
      <c r="A64">
        <v>0.85000001999999997</v>
      </c>
      <c r="B64">
        <v>4744</v>
      </c>
      <c r="C64">
        <v>4869</v>
      </c>
      <c r="D64">
        <f>2*HLOOKUP(Figure_4_6_7_9!B64,Calibrations!$H$1:$HX$49,40)</f>
        <v>-29.303643342246644</v>
      </c>
      <c r="E64">
        <f>2*HLOOKUP(Figure_4_6_7_9!C64,Calibrations!$H$1:$HX$49,40)</f>
        <v>-14.208701596449231</v>
      </c>
    </row>
    <row r="65" spans="1:5" x14ac:dyDescent="0.15">
      <c r="A65">
        <v>0.89999998000000003</v>
      </c>
      <c r="B65">
        <v>4739</v>
      </c>
      <c r="C65">
        <v>4864</v>
      </c>
      <c r="D65">
        <f>2*HLOOKUP(Figure_4_6_7_9!B65,Calibrations!$H$1:$HX$49,40)</f>
        <v>-35.498699360461941</v>
      </c>
      <c r="E65">
        <f>2*HLOOKUP(Figure_4_6_7_9!C65,Calibrations!$H$1:$HX$49,40)</f>
        <v>-19.286945018894556</v>
      </c>
    </row>
    <row r="66" spans="1:5" x14ac:dyDescent="0.15">
      <c r="A66">
        <v>0.94999999000000002</v>
      </c>
      <c r="B66">
        <v>4734</v>
      </c>
      <c r="C66">
        <v>4859</v>
      </c>
      <c r="D66">
        <f>2*HLOOKUP(Figure_4_6_7_9!B66,Calibrations!$H$1:$HX$49,40)</f>
        <v>-41.998849046876273</v>
      </c>
      <c r="E66">
        <f>2*HLOOKUP(Figure_4_6_7_9!C66,Calibrations!$H$1:$HX$49,40)</f>
        <v>-24.711239123254146</v>
      </c>
    </row>
    <row r="67" spans="1:5" x14ac:dyDescent="0.15">
      <c r="A67">
        <v>1</v>
      </c>
      <c r="B67">
        <v>4729</v>
      </c>
      <c r="C67">
        <v>4854</v>
      </c>
      <c r="D67">
        <f>2*HLOOKUP(Figure_4_6_7_9!B67,Calibrations!$H$1:$HX$49,40)</f>
        <v>-47.706218955699498</v>
      </c>
      <c r="E67">
        <f>2*HLOOKUP(Figure_4_6_7_9!C67,Calibrations!$H$1:$HX$49,40)</f>
        <v>-29.670136499247391</v>
      </c>
    </row>
    <row r="72" spans="1:5" x14ac:dyDescent="0.15">
      <c r="A72" s="87"/>
    </row>
    <row r="79" spans="1:5" x14ac:dyDescent="0.15">
      <c r="A79" s="87"/>
    </row>
    <row r="84" spans="1:1" ht="14" customHeight="1" x14ac:dyDescent="0.15"/>
    <row r="86" spans="1:1" x14ac:dyDescent="0.15">
      <c r="A86" s="87"/>
    </row>
  </sheetData>
  <mergeCells count="7">
    <mergeCell ref="E3:G3"/>
    <mergeCell ref="A3:D3"/>
    <mergeCell ref="A54:C54"/>
    <mergeCell ref="D54:E54"/>
    <mergeCell ref="A23:D23"/>
    <mergeCell ref="A42:D42"/>
    <mergeCell ref="E23:G23"/>
  </mergeCells>
  <phoneticPr fontId="2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O42"/>
  <sheetViews>
    <sheetView workbookViewId="0">
      <selection activeCell="B18" sqref="B18"/>
    </sheetView>
  </sheetViews>
  <sheetFormatPr baseColWidth="10" defaultColWidth="11.5" defaultRowHeight="14" x14ac:dyDescent="0.15"/>
  <cols>
    <col min="1" max="1" width="21.83203125" bestFit="1" customWidth="1"/>
    <col min="2" max="10" width="10.6640625" customWidth="1"/>
    <col min="11" max="11" width="5.5" customWidth="1"/>
    <col min="12" max="12" width="6.33203125" customWidth="1"/>
    <col min="13" max="13" width="2.6640625" customWidth="1"/>
  </cols>
  <sheetData>
    <row r="1" spans="1:15" x14ac:dyDescent="0.15">
      <c r="A1" s="1" t="s">
        <v>151</v>
      </c>
    </row>
    <row r="3" spans="1:15" x14ac:dyDescent="0.15">
      <c r="A3" t="s">
        <v>156</v>
      </c>
      <c r="B3">
        <f>MATCH(0,Sectors!$H$17:$H$217,0)-1</f>
        <v>116</v>
      </c>
    </row>
    <row r="4" spans="1:15" x14ac:dyDescent="0.15">
      <c r="A4" t="s">
        <v>155</v>
      </c>
      <c r="B4" s="24">
        <f>FixedParams!$B$65^(-Sectors!$B$10)*INDEX(Sectors!$O$17:$O$217,B3)</f>
        <v>4.2926228804276239</v>
      </c>
    </row>
    <row r="5" spans="1:15" x14ac:dyDescent="0.15">
      <c r="A5" t="s">
        <v>163</v>
      </c>
      <c r="B5" s="8">
        <v>0.05</v>
      </c>
    </row>
    <row r="7" spans="1:15" x14ac:dyDescent="0.15">
      <c r="A7" t="s">
        <v>153</v>
      </c>
      <c r="H7" s="22"/>
      <c r="I7" s="22"/>
      <c r="J7" s="22"/>
      <c r="K7" s="22"/>
      <c r="N7" s="115" t="s">
        <v>164</v>
      </c>
      <c r="O7" s="115"/>
    </row>
    <row r="8" spans="1:15" x14ac:dyDescent="0.15">
      <c r="A8" s="4" t="s">
        <v>152</v>
      </c>
      <c r="B8" s="4" t="s">
        <v>154</v>
      </c>
      <c r="C8" s="4" t="s">
        <v>84</v>
      </c>
      <c r="D8" s="4" t="s">
        <v>12</v>
      </c>
      <c r="E8" s="4" t="s">
        <v>85</v>
      </c>
      <c r="F8" s="4" t="s">
        <v>14</v>
      </c>
      <c r="G8" s="4" t="s">
        <v>157</v>
      </c>
      <c r="H8" s="4" t="s">
        <v>158</v>
      </c>
      <c r="I8" s="4" t="s">
        <v>159</v>
      </c>
      <c r="J8" s="4" t="s">
        <v>160</v>
      </c>
      <c r="K8" s="4" t="s">
        <v>162</v>
      </c>
      <c r="L8" s="4" t="s">
        <v>161</v>
      </c>
      <c r="N8" s="4" t="s">
        <v>152</v>
      </c>
      <c r="O8" s="37" t="s">
        <v>165</v>
      </c>
    </row>
    <row r="9" spans="1:15" x14ac:dyDescent="0.15">
      <c r="A9">
        <v>0</v>
      </c>
      <c r="B9" s="11">
        <v>0.37572683853133132</v>
      </c>
      <c r="C9" s="17">
        <f>$A9*FixedParams!$C$12*FixedParams!$C$13*(1+FixedParams!$B$23)/(FixedParams!$B$32-FixedParams!$C$12*FixedParams!$C$13*$A9)+FixedParams!$B$23</f>
        <v>7.6499999999999999E-2</v>
      </c>
      <c r="D9" s="17">
        <f>((1-FixedParams!$C$11)*($B9*FixedParams!$C$15*FixedParams!$C$13+$B9*63*FixedParams!$B$34-0.25*9000)+$B9*FixedParams!$C$11*FixedParams!$C$12)*(1+FixedParams!$B$23)/(FixedParams!$B$32-((1-FixedParams!$C$11)*($B9*FixedParams!$C$15*FixedParams!$C$13+$B9*63*FixedParams!$B$34-0.25*9000)+$B9*FixedParams!$C$11*FixedParams!$C$12))+FixedParams!$B$23</f>
        <v>0.10397187701243163</v>
      </c>
      <c r="E9" s="17">
        <f>$A9*FixedParams!$C$12*FixedParams!$C$14*(1+FixedParams!$B$23)/(FixedParams!$B$33-FixedParams!$C$12*FixedParams!$C$14*$A9)+FixedParams!$B$23</f>
        <v>7.6499999999999999E-2</v>
      </c>
      <c r="F9" s="17">
        <f>(($B9*FixedParams!$C$16*FixedParams!$C$14+$B9*63*FixedParams!$B$34-0.25*9000))*(1+FixedParams!$B$23)/(FixedParams!$B$33-((1-FixedParams!$C$11)*($B9*FixedParams!$C$16*FixedParams!$C$14+$B9*63*FixedParams!$B$34-0.25*9000)))+FixedParams!$B$23</f>
        <v>5.2342074821501341E-2</v>
      </c>
      <c r="G9" s="17">
        <f>IF($A9=0,FixedParams!$C$12*FixedParams!$C$13*(1+FixedParams!$B$23)/FixedParams!$B$32,(C9-FixedParams!$B$23)*(1+C9)/($A9*(1+FixedParams!$B$23)))</f>
        <v>7.6310694061609313E-2</v>
      </c>
      <c r="H9" s="17">
        <f>IF($B9=0,((1-FixedParams!$C$11)*(FixedParams!$C$15*FixedParams!$C$13+63*FixedParams!$B$34)+FixedParams!$C$11*FixedParams!$C$12)*(1+FixedParams!$B$23)*FixedParams!$B$32/(FixedParams!$B$32+0.25*9000)^2,-((1+D9)^2/(1+FixedParams!$B$23))*((FixedParams!$B$23-D9)/(1+D9)-0.25*9000/FixedParams!$B$32)/$B9)</f>
        <v>0.28435476025866391</v>
      </c>
      <c r="I9" s="17">
        <f>IF($A9=0,FixedParams!$C$12*FixedParams!$C$14*(1+FixedParams!$B$23)/FixedParams!$B$33,(E9-FixedParams!$B$23)*(1+E9)/($A9*(1+FixedParams!$B$23)))</f>
        <v>3.5016341452465245E-2</v>
      </c>
      <c r="J9" s="17">
        <f>IF($B9=0,((FixedParams!$C$16*FixedParams!$C$14+63*FixedParams!$B$34))*(1+FixedParams!$B$23)*FixedParams!$B$33/(FixedParams!$B$33+0.25*9000)^2,-((1+F9)^2/(1+FixedParams!$B$23))*((FixedParams!$B$23-F9)/(1+F9)-0.25*9000/FixedParams!$B$33)/$B9)</f>
        <v>1.1535666891580356E-2</v>
      </c>
      <c r="K9" s="17">
        <f>((1+C9)^(-Sectors!$B$10)*Sectors!$B$11^(1-Sectors!$B$10)*G9+$B$4*(1+E9)^(-Sectors!$B$10)*I9)/((1+D9)^(-Sectors!$B$10)*Sectors!$B$11^(1-Sectors!$B$10)*H9+$B$4*(1+F9)^(-Sectors!$B$10)*J9)</f>
        <v>0.55682871648078824</v>
      </c>
      <c r="L9" s="17">
        <f>Sectors!$B$11^(1-Sectors!$B$10)*((1+D9)^(1-Sectors!$B$10)-(1+C9)^(1-Sectors!$B$10))+$B$4*((1+F9)^(1-Sectors!$B$10)-(1+E9)^(1-Sectors!$B$10))</f>
        <v>2.7920522747263997E-2</v>
      </c>
      <c r="N9" s="7">
        <f>2000*A9</f>
        <v>0</v>
      </c>
      <c r="O9" s="7">
        <f>9152*B9</f>
        <v>3438.6520262387444</v>
      </c>
    </row>
    <row r="10" spans="1:15" x14ac:dyDescent="0.15">
      <c r="A10" s="24">
        <f>A9+$B$5</f>
        <v>0.05</v>
      </c>
      <c r="B10" s="17">
        <f>$B$5*K9+B9</f>
        <v>0.40356827435537074</v>
      </c>
      <c r="C10" s="17">
        <f>$A10*FixedParams!$C$12*FixedParams!$C$13*(1+FixedParams!$B$23)/(FixedParams!$B$32-FixedParams!$C$12*FixedParams!$C$13*$A10)+FixedParams!$B$23</f>
        <v>8.0329106546004822E-2</v>
      </c>
      <c r="D10" s="17">
        <f>((1-FixedParams!$C$11)*($B10*FixedParams!$C$15*FixedParams!$C$13+$B10*63*FixedParams!$B$34-0.25*9000)+$B10*FixedParams!$C$11*FixedParams!$C$12)*(1+FixedParams!$B$23)/(FixedParams!$B$32-((1-FixedParams!$C$11)*($B10*FixedParams!$C$15*FixedParams!$C$13+$B10*63*FixedParams!$B$34-0.25*9000)+$B10*FixedParams!$C$11*FixedParams!$C$12))+FixedParams!$B$23</f>
        <v>0.11194590547543638</v>
      </c>
      <c r="E10" s="17">
        <f>$A10*FixedParams!$C$12*FixedParams!$C$14*(1+FixedParams!$B$23)/(FixedParams!$B$33-FixedParams!$C$12*FixedParams!$C$14*$A10)+FixedParams!$B$23</f>
        <v>7.8253669236151721E-2</v>
      </c>
      <c r="F10" s="17">
        <f>(($B10*FixedParams!$C$16*FixedParams!$C$14+$B10*63*FixedParams!$B$34-0.25*9000))*(1+FixedParams!$B$23)/(FixedParams!$B$33-((1-FixedParams!$C$11)*($B10*FixedParams!$C$16*FixedParams!$C$14+$B10*63*FixedParams!$B$34-0.25*9000)))+FixedParams!$B$23</f>
        <v>5.266334240020637E-2</v>
      </c>
      <c r="G10" s="17">
        <f>IF($A10=0,FixedParams!$C$12*FixedParams!$C$13*(1+FixedParams!$B$23)/FixedParams!$B$32,(C10-FixedParams!$B$23)*(1+C10)/($A10*(1+FixedParams!$B$23)))</f>
        <v>7.6854533278492315E-2</v>
      </c>
      <c r="H10" s="17">
        <f>IF($B10=0,((1-FixedParams!$C$11)*(FixedParams!$C$15*FixedParams!$C$13+63*FixedParams!$B$34)+FixedParams!$C$11*FixedParams!$C$12)*(1+FixedParams!$B$23)*FixedParams!$B$32/(FixedParams!$B$32+0.25*9000)^2,-((1+D10)^2/(1+FixedParams!$B$23))*((FixedParams!$B$23-D10)/(1+D10)-0.25*9000/FixedParams!$B$32)/$B10)</f>
        <v>0.28847740494966839</v>
      </c>
      <c r="I10" s="17">
        <f>IF($A10=0,FixedParams!$C$12*FixedParams!$C$14*(1+FixedParams!$B$23)/FixedParams!$B$33,(E10-FixedParams!$B$23)*(1+E10)/($A10*(1+FixedParams!$B$23)))</f>
        <v>3.5130520919779924E-2</v>
      </c>
      <c r="J10" s="17">
        <f>IF($B10=0,((FixedParams!$C$16*FixedParams!$C$14+63*FixedParams!$B$34))*(1+FixedParams!$B$23)*FixedParams!$B$33/(FixedParams!$B$33+0.25*9000)^2,-((1+F10)^2/(1+FixedParams!$B$23))*((FixedParams!$B$23-F10)/(1+F10)-0.25*9000/FixedParams!$B$33)/$B10)</f>
        <v>1.1542711371819439E-2</v>
      </c>
      <c r="K10" s="17">
        <f>((1+C10)^(-Sectors!$B$10)*Sectors!$B$11^(1-Sectors!$B$10)*G10+$B$4*(1+E10)^(-Sectors!$B$10)*I10)/((1+D10)^(-Sectors!$B$10)*Sectors!$B$11^(1-Sectors!$B$10)*H10+$B$4*(1+F10)^(-Sectors!$B$10)*J10)</f>
        <v>0.55571987632207143</v>
      </c>
      <c r="L10" s="17">
        <f>Sectors!$B$11^(1-Sectors!$B$10)*((1+D10)^(1-Sectors!$B$10)-(1+C10)^(1-Sectors!$B$10))+$B$4*((1+F10)^(1-Sectors!$B$10)-(1+E10)^(1-Sectors!$B$10))</f>
        <v>2.791444844395416E-2</v>
      </c>
      <c r="N10" s="7">
        <f t="shared" ref="N10:N38" si="0">2000*A10</f>
        <v>100</v>
      </c>
      <c r="O10" s="7">
        <f t="shared" ref="O10:O38" si="1">9152*B10</f>
        <v>3693.456846900353</v>
      </c>
    </row>
    <row r="11" spans="1:15" x14ac:dyDescent="0.15">
      <c r="A11" s="24">
        <f t="shared" ref="A11:A36" si="2">A10+$B$5</f>
        <v>0.1</v>
      </c>
      <c r="B11" s="17">
        <f t="shared" ref="B11:B36" si="3">$B$5*K10+B10</f>
        <v>0.43135426817147432</v>
      </c>
      <c r="C11" s="17">
        <f>$A11*FixedParams!$C$12*FixedParams!$C$13*(1+FixedParams!$B$23)/(FixedParams!$B$32-FixedParams!$C$12*FixedParams!$C$13*$A11)+FixedParams!$B$23</f>
        <v>8.4185550567147896E-2</v>
      </c>
      <c r="D11" s="17">
        <f>((1-FixedParams!$C$11)*($B11*FixedParams!$C$15*FixedParams!$C$13+$B11*63*FixedParams!$B$34-0.25*9000)+$B11*FixedParams!$C$11*FixedParams!$C$12)*(1+FixedParams!$B$23)/(FixedParams!$B$32-((1-FixedParams!$C$11)*($B11*FixedParams!$C$15*FixedParams!$C$13+$B11*63*FixedParams!$B$34-0.25*9000)+$B11*FixedParams!$C$11*FixedParams!$C$12))+FixedParams!$B$23</f>
        <v>0.12001973831901346</v>
      </c>
      <c r="E11" s="17">
        <f>$A11*FixedParams!$C$12*FixedParams!$C$14*(1+FixedParams!$B$23)/(FixedParams!$B$33-FixedParams!$C$12*FixedParams!$C$14*$A11)+FixedParams!$B$23</f>
        <v>8.0013061414921247E-2</v>
      </c>
      <c r="F11" s="17">
        <f>(($B11*FixedParams!$C$16*FixedParams!$C$14+$B11*63*FixedParams!$B$34-0.25*9000))*(1+FixedParams!$B$23)/(FixedParams!$B$33-((1-FixedParams!$C$11)*($B11*FixedParams!$C$16*FixedParams!$C$14+$B11*63*FixedParams!$B$34-0.25*9000)))+FixedParams!$B$23</f>
        <v>5.2984165855568234E-2</v>
      </c>
      <c r="G11" s="17">
        <f>IF($A11=0,FixedParams!$C$12*FixedParams!$C$13*(1+FixedParams!$B$23)/FixedParams!$B$32,(C11-FixedParams!$B$23)*(1+C11)/($A11*(1+FixedParams!$B$23)))</f>
        <v>7.7404206902507183E-2</v>
      </c>
      <c r="H11" s="17">
        <f>IF($B11=0,((1-FixedParams!$C$11)*(FixedParams!$C$15*FixedParams!$C$13+63*FixedParams!$B$34)+FixedParams!$C$11*FixedParams!$C$12)*(1+FixedParams!$B$23)*FixedParams!$B$32/(FixedParams!$B$32+0.25*9000)^2,-((1+D11)^2/(1+FixedParams!$B$23))*((FixedParams!$B$23-D11)/(1+D11)-0.25*9000/FixedParams!$B$32)/$B11)</f>
        <v>0.2926818796326216</v>
      </c>
      <c r="I11" s="17">
        <f>IF($A11=0,FixedParams!$C$12*FixedParams!$C$14*(1+FixedParams!$B$23)/FixedParams!$B$33,(E11-FixedParams!$B$23)*(1+E11)/($A11*(1+FixedParams!$B$23)))</f>
        <v>3.5245259764679342E-2</v>
      </c>
      <c r="J11" s="17">
        <f>IF($B11=0,((FixedParams!$C$16*FixedParams!$C$14+63*FixedParams!$B$34))*(1+FixedParams!$B$23)*FixedParams!$B$33/(FixedParams!$B$33+0.25*9000)^2,-((1+F11)^2/(1+FixedParams!$B$23))*((FixedParams!$B$23-F11)/(1+F11)-0.25*9000/FixedParams!$B$33)/$B11)</f>
        <v>1.1549748259513814E-2</v>
      </c>
      <c r="K11" s="17">
        <f>((1+C11)^(-Sectors!$B$10)*Sectors!$B$11^(1-Sectors!$B$10)*G11+$B$4*(1+E11)^(-Sectors!$B$10)*I11)/((1+D11)^(-Sectors!$B$10)*Sectors!$B$11^(1-Sectors!$B$10)*H11+$B$4*(1+F11)^(-Sectors!$B$10)*J11)</f>
        <v>0.55460538720160546</v>
      </c>
      <c r="L11" s="17">
        <f>Sectors!$B$11^(1-Sectors!$B$10)*((1+D11)^(1-Sectors!$B$10)-(1+C11)^(1-Sectors!$B$10))+$B$4*((1+F11)^(1-Sectors!$B$10)-(1+E11)^(1-Sectors!$B$10))</f>
        <v>2.7908323351208551E-2</v>
      </c>
      <c r="N11" s="7">
        <f t="shared" si="0"/>
        <v>200</v>
      </c>
      <c r="O11" s="7">
        <f t="shared" si="1"/>
        <v>3947.7542623053328</v>
      </c>
    </row>
    <row r="12" spans="1:15" x14ac:dyDescent="0.15">
      <c r="A12" s="24">
        <f t="shared" si="2"/>
        <v>0.15000000000000002</v>
      </c>
      <c r="B12" s="17">
        <f t="shared" si="3"/>
        <v>0.45908453753155459</v>
      </c>
      <c r="C12" s="17">
        <f>$A12*FixedParams!$C$12*FixedParams!$C$13*(1+FixedParams!$B$23)/(FixedParams!$B$32-FixedParams!$C$12*FixedParams!$C$13*$A12)+FixedParams!$B$23</f>
        <v>8.8069625871473448E-2</v>
      </c>
      <c r="D12" s="17">
        <f>((1-FixedParams!$C$11)*($B12*FixedParams!$C$15*FixedParams!$C$13+$B12*63*FixedParams!$B$34-0.25*9000)+$B12*FixedParams!$C$11*FixedParams!$C$12)*(1+FixedParams!$B$23)/(FixedParams!$B$32-((1-FixedParams!$C$11)*($B12*FixedParams!$C$15*FixedParams!$C$13+$B12*63*FixedParams!$B$34-0.25*9000)+$B12*FixedParams!$C$11*FixedParams!$C$12))+FixedParams!$B$23</f>
        <v>0.12819512808762451</v>
      </c>
      <c r="E12" s="17">
        <f>$A12*FixedParams!$C$12*FixedParams!$C$14*(1+FixedParams!$B$23)/(FixedParams!$B$33-FixedParams!$C$12*FixedParams!$C$14*$A12)+FixedParams!$B$23</f>
        <v>8.1778204596561266E-2</v>
      </c>
      <c r="F12" s="17">
        <f>(($B12*FixedParams!$C$16*FixedParams!$C$14+$B12*63*FixedParams!$B$34-0.25*9000))*(1+FixedParams!$B$23)/(FixedParams!$B$33-((1-FixedParams!$C$11)*($B12*FixedParams!$C$16*FixedParams!$C$14+$B12*63*FixedParams!$B$34-0.25*9000)))+FixedParams!$B$23</f>
        <v>5.3304540931727123E-2</v>
      </c>
      <c r="G12" s="17">
        <f>IF($A12=0,FixedParams!$C$12*FixedParams!$C$13*(1+FixedParams!$B$23)/FixedParams!$B$32,(C12-FixedParams!$B$23)*(1+C12)/($A12*(1+FixedParams!$B$23)))</f>
        <v>7.7959798689871712E-2</v>
      </c>
      <c r="H12" s="17">
        <f>IF($B12=0,((1-FixedParams!$C$11)*(FixedParams!$C$15*FixedParams!$C$13+63*FixedParams!$B$34)+FixedParams!$C$11*FixedParams!$C$12)*(1+FixedParams!$B$23)*FixedParams!$B$32/(FixedParams!$B$32+0.25*9000)^2,-((1+D12)^2/(1+FixedParams!$B$23))*((FixedParams!$B$23-D12)/(1+D12)-0.25*9000/FixedParams!$B$32)/$B12)</f>
        <v>0.29697023497870428</v>
      </c>
      <c r="I12" s="17">
        <f>IF($A12=0,FixedParams!$C$12*FixedParams!$C$14*(1+FixedParams!$B$23)/FixedParams!$B$33,(E12-FixedParams!$B$23)*(1+E12)/($A12*(1+FixedParams!$B$23)))</f>
        <v>3.5360561647074552E-2</v>
      </c>
      <c r="J12" s="17">
        <f>IF($B12=0,((FixedParams!$C$16*FixedParams!$C$14+63*FixedParams!$B$34))*(1+FixedParams!$B$23)*FixedParams!$B$33/(FixedParams!$B$33+0.25*9000)^2,-((1+F12)^2/(1+FixedParams!$B$23))*((FixedParams!$B$23-F12)/(1+F12)-0.25*9000/FixedParams!$B$33)/$B12)</f>
        <v>1.1556777452368151E-2</v>
      </c>
      <c r="K12" s="17">
        <f>((1+C12)^(-Sectors!$B$10)*Sectors!$B$11^(1-Sectors!$B$10)*G12+$B$4*(1+E12)^(-Sectors!$B$10)*I12)/((1+D12)^(-Sectors!$B$10)*Sectors!$B$11^(1-Sectors!$B$10)*H12+$B$4*(1+F12)^(-Sectors!$B$10)*J12)</f>
        <v>0.55348520639666965</v>
      </c>
      <c r="L12" s="17">
        <f>Sectors!$B$11^(1-Sectors!$B$10)*((1+D12)^(1-Sectors!$B$10)-(1+C12)^(1-Sectors!$B$10))+$B$4*((1+F12)^(1-Sectors!$B$10)-(1+E12)^(1-Sectors!$B$10))</f>
        <v>2.7902146856041081E-2</v>
      </c>
      <c r="N12" s="7">
        <f t="shared" si="0"/>
        <v>300.00000000000006</v>
      </c>
      <c r="O12" s="7">
        <f t="shared" si="1"/>
        <v>4201.5416874887878</v>
      </c>
    </row>
    <row r="13" spans="1:15" x14ac:dyDescent="0.15">
      <c r="A13" s="24">
        <f t="shared" si="2"/>
        <v>0.2</v>
      </c>
      <c r="B13" s="17">
        <f t="shared" si="3"/>
        <v>0.48675879785138809</v>
      </c>
      <c r="C13" s="17">
        <f>$A13*FixedParams!$C$12*FixedParams!$C$13*(1+FixedParams!$B$23)/(FixedParams!$B$32-FixedParams!$C$12*FixedParams!$C$13*$A13)+FixedParams!$B$23</f>
        <v>9.1981630492411273E-2</v>
      </c>
      <c r="D13" s="17">
        <f>((1-FixedParams!$C$11)*($B13*FixedParams!$C$15*FixedParams!$C$13+$B13*63*FixedParams!$B$34-0.25*9000)+$B13*FixedParams!$C$11*FixedParams!$C$12)*(1+FixedParams!$B$23)/(FixedParams!$B$32-((1-FixedParams!$C$11)*($B13*FixedParams!$C$15*FixedParams!$C$13+$B13*63*FixedParams!$B$34-0.25*9000)+$B13*FixedParams!$C$11*FixedParams!$C$12))+FixedParams!$B$23</f>
        <v>0.13647386684121049</v>
      </c>
      <c r="E13" s="17">
        <f>$A13*FixedParams!$C$12*FixedParams!$C$14*(1+FixedParams!$B$23)/(FixedParams!$B$33-FixedParams!$C$12*FixedParams!$C$14*$A13)+FixedParams!$B$23</f>
        <v>8.3549127025068351E-2</v>
      </c>
      <c r="F13" s="17">
        <f>(($B13*FixedParams!$C$16*FixedParams!$C$14+$B13*63*FixedParams!$B$34-0.25*9000))*(1+FixedParams!$B$23)/(FixedParams!$B$33-((1-FixedParams!$C$11)*($B13*FixedParams!$C$16*FixedParams!$C$14+$B13*63*FixedParams!$B$34-0.25*9000)))+FixedParams!$B$23</f>
        <v>5.3624463340605166E-2</v>
      </c>
      <c r="G13" s="17">
        <f>IF($A13=0,FixedParams!$C$12*FixedParams!$C$13*(1+FixedParams!$B$23)/FixedParams!$B$32,(C13-FixedParams!$B$23)*(1+C13)/($A13*(1+FixedParams!$B$23)))</f>
        <v>7.8521393905175554E-2</v>
      </c>
      <c r="H13" s="17">
        <f>IF($B13=0,((1-FixedParams!$C$11)*(FixedParams!$C$15*FixedParams!$C$13+63*FixedParams!$B$34)+FixedParams!$C$11*FixedParams!$C$12)*(1+FixedParams!$B$23)*FixedParams!$B$32/(FixedParams!$B$32+0.25*9000)^2,-((1+D13)^2/(1+FixedParams!$B$23))*((FixedParams!$B$23-D13)/(1+D13)-0.25*9000/FixedParams!$B$32)/$B13)</f>
        <v>0.30134458363145034</v>
      </c>
      <c r="I13" s="17">
        <f>IF($A13=0,FixedParams!$C$12*FixedParams!$C$14*(1+FixedParams!$B$23)/FixedParams!$B$33,(E13-FixedParams!$B$23)*(1+E13)/($A13*(1+FixedParams!$B$23)))</f>
        <v>3.5476430256858475E-2</v>
      </c>
      <c r="J13" s="17">
        <f>IF($B13=0,((FixedParams!$C$16*FixedParams!$C$14+63*FixedParams!$B$34))*(1+FixedParams!$B$23)*FixedParams!$B$33/(FixedParams!$B$33+0.25*9000)^2,-((1+F13)^2/(1+FixedParams!$B$23))*((FixedParams!$B$23-F13)/(1+F13)-0.25*9000/FixedParams!$B$33)/$B13)</f>
        <v>1.1563798847278808E-2</v>
      </c>
      <c r="K13" s="17">
        <f>((1+C13)^(-Sectors!$B$10)*Sectors!$B$11^(1-Sectors!$B$10)*G13+$B$4*(1+E13)^(-Sectors!$B$10)*I13)/((1+D13)^(-Sectors!$B$10)*Sectors!$B$11^(1-Sectors!$B$10)*H13+$B$4*(1+F13)^(-Sectors!$B$10)*J13)</f>
        <v>0.55235929073215473</v>
      </c>
      <c r="L13" s="17">
        <f>Sectors!$B$11^(1-Sectors!$B$10)*((1+D13)^(1-Sectors!$B$10)-(1+C13)^(1-Sectors!$B$10))+$B$4*((1+F13)^(1-Sectors!$B$10)-(1+E13)^(1-Sectors!$B$10))</f>
        <v>2.7895918335528142E-2</v>
      </c>
      <c r="N13" s="7">
        <f t="shared" si="0"/>
        <v>400</v>
      </c>
      <c r="O13" s="7">
        <f t="shared" si="1"/>
        <v>4454.8165179359039</v>
      </c>
    </row>
    <row r="14" spans="1:15" x14ac:dyDescent="0.15">
      <c r="A14" s="24">
        <f t="shared" si="2"/>
        <v>0.25</v>
      </c>
      <c r="B14" s="17">
        <f t="shared" si="3"/>
        <v>0.51437676238799579</v>
      </c>
      <c r="C14" s="17">
        <f>$A14*FixedParams!$C$12*FixedParams!$C$13*(1+FixedParams!$B$23)/(FixedParams!$B$32-FixedParams!$C$12*FixedParams!$C$13*$A14)+FixedParams!$B$23</f>
        <v>9.5921866765009856E-2</v>
      </c>
      <c r="D14" s="17">
        <f>((1-FixedParams!$C$11)*($B14*FixedParams!$C$15*FixedParams!$C$13+$B14*63*FixedParams!$B$34-0.25*9000)+$B14*FixedParams!$C$11*FixedParams!$C$12)*(1+FixedParams!$B$23)/(FixedParams!$B$32-((1-FixedParams!$C$11)*($B14*FixedParams!$C$15*FixedParams!$C$13+$B14*63*FixedParams!$B$34-0.25*9000)+$B14*FixedParams!$C$11*FixedParams!$C$12))+FixedParams!$B$23</f>
        <v>0.14485778724310594</v>
      </c>
      <c r="E14" s="17">
        <f>$A14*FixedParams!$C$12*FixedParams!$C$14*(1+FixedParams!$B$23)/(FixedParams!$B$33-FixedParams!$C$12*FixedParams!$C$14*$A14)+FixedParams!$B$23</f>
        <v>8.5325857129689431E-2</v>
      </c>
      <c r="F14" s="17">
        <f>(($B14*FixedParams!$C$16*FixedParams!$C$14+$B14*63*FixedParams!$B$34-0.25*9000))*(1+FixedParams!$B$23)/(FixedParams!$B$33-((1-FixedParams!$C$11)*($B14*FixedParams!$C$16*FixedParams!$C$14+$B14*63*FixedParams!$B$34-0.25*9000)))+FixedParams!$B$23</f>
        <v>5.3943928761598509E-2</v>
      </c>
      <c r="G14" s="17">
        <f>IF($A14=0,FixedParams!$C$12*FixedParams!$C$13*(1+FixedParams!$B$23)/FixedParams!$B$32,(C14-FixedParams!$B$23)*(1+C14)/($A14*(1+FixedParams!$B$23)))</f>
        <v>7.9089079354095329E-2</v>
      </c>
      <c r="H14" s="17">
        <f>IF($B14=0,((1-FixedParams!$C$11)*(FixedParams!$C$15*FixedParams!$C$13+63*FixedParams!$B$34)+FixedParams!$C$11*FixedParams!$C$12)*(1+FixedParams!$B$23)*FixedParams!$B$32/(FixedParams!$B$32+0.25*9000)^2,-((1+D14)^2/(1+FixedParams!$B$23))*((FixedParams!$B$23-D14)/(1+D14)-0.25*9000/FixedParams!$B$32)/$B14)</f>
        <v>0.30580710239858777</v>
      </c>
      <c r="I14" s="17">
        <f>IF($A14=0,FixedParams!$C$12*FixedParams!$C$14*(1+FixedParams!$B$23)/FixedParams!$B$33,(E14-FixedParams!$B$23)*(1+E14)/($A14*(1+FixedParams!$B$23)))</f>
        <v>3.5592869314201074E-2</v>
      </c>
      <c r="J14" s="17">
        <f>IF($B14=0,((FixedParams!$C$16*FixedParams!$C$14+63*FixedParams!$B$34))*(1+FixedParams!$B$23)*FixedParams!$B$33/(FixedParams!$B$33+0.25*9000)^2,-((1+F14)^2/(1+FixedParams!$B$23))*((FixedParams!$B$23-F14)/(1+F14)-0.25*9000/FixedParams!$B$33)/$B14)</f>
        <v>1.1570812340326505E-2</v>
      </c>
      <c r="K14" s="17">
        <f>((1+C14)^(-Sectors!$B$10)*Sectors!$B$11^(1-Sectors!$B$10)*G14+$B$4*(1+E14)^(-Sectors!$B$10)*I14)/((1+D14)^(-Sectors!$B$10)*Sectors!$B$11^(1-Sectors!$B$10)*H14+$B$4*(1+F14)^(-Sectors!$B$10)*J14)</f>
        <v>0.55122759657417064</v>
      </c>
      <c r="L14" s="17">
        <f>Sectors!$B$11^(1-Sectors!$B$10)*((1+D14)^(1-Sectors!$B$10)-(1+C14)^(1-Sectors!$B$10))+$B$4*((1+F14)^(1-Sectors!$B$10)-(1+E14)^(1-Sectors!$B$10))</f>
        <v>2.7889637156603579E-2</v>
      </c>
      <c r="N14" s="7">
        <f t="shared" si="0"/>
        <v>500</v>
      </c>
      <c r="O14" s="7">
        <f t="shared" si="1"/>
        <v>4707.5761293749374</v>
      </c>
    </row>
    <row r="15" spans="1:15" x14ac:dyDescent="0.15">
      <c r="A15" s="24">
        <f t="shared" si="2"/>
        <v>0.3</v>
      </c>
      <c r="B15" s="17">
        <f t="shared" si="3"/>
        <v>0.54193814221670433</v>
      </c>
      <c r="C15" s="17">
        <f>$A15*FixedParams!$C$12*FixedParams!$C$13*(1+FixedParams!$B$23)/(FixedParams!$B$32-FixedParams!$C$12*FixedParams!$C$13*$A15)+FixedParams!$B$23</f>
        <v>9.9890641403825711E-2</v>
      </c>
      <c r="D15" s="17">
        <f>((1-FixedParams!$C$11)*($B15*FixedParams!$C$15*FixedParams!$C$13+$B15*63*FixedParams!$B$34-0.25*9000)+$B15*FixedParams!$C$11*FixedParams!$C$12)*(1+FixedParams!$B$23)/(FixedParams!$B$32-((1-FixedParams!$C$11)*($B15*FixedParams!$C$15*FixedParams!$C$13+$B15*63*FixedParams!$B$34-0.25*9000)+$B15*FixedParams!$C$11*FixedParams!$C$12))+FixedParams!$B$23</f>
        <v>0.15334876368334657</v>
      </c>
      <c r="E15" s="17">
        <f>$A15*FixedParams!$C$12*FixedParams!$C$14*(1+FixedParams!$B$23)/(FixedParams!$B$33-FixedParams!$C$12*FixedParams!$C$14*$A15)+FixedParams!$B$23</f>
        <v>8.7108423526443046E-2</v>
      </c>
      <c r="F15" s="17">
        <f>(($B15*FixedParams!$C$16*FixedParams!$C$14+$B15*63*FixedParams!$B$34-0.25*9000))*(1+FixedParams!$B$23)/(FixedParams!$B$33-((1-FixedParams!$C$11)*($B15*FixedParams!$C$16*FixedParams!$C$14+$B15*63*FixedParams!$B$34-0.25*9000)))+FixedParams!$B$23</f>
        <v>5.4262932841265252E-2</v>
      </c>
      <c r="G15" s="17">
        <f>IF($A15=0,FixedParams!$C$12*FixedParams!$C$13*(1+FixedParams!$B$23)/FixedParams!$B$32,(C15-FixedParams!$B$23)*(1+C15)/($A15*(1+FixedParams!$B$23)))</f>
        <v>7.9662943416939913E-2</v>
      </c>
      <c r="H15" s="17">
        <f>IF($B15=0,((1-FixedParams!$C$11)*(FixedParams!$C$15*FixedParams!$C$13+63*FixedParams!$B$34)+FixedParams!$C$11*FixedParams!$C$12)*(1+FixedParams!$B$23)*FixedParams!$B$32/(FixedParams!$B$32+0.25*9000)^2,-((1+D15)^2/(1+FixedParams!$B$23))*((FixedParams!$B$23-D15)/(1+D15)-0.25*9000/FixedParams!$B$32)/$B15)</f>
        <v>0.31036003453270045</v>
      </c>
      <c r="I15" s="17">
        <f>IF($A15=0,FixedParams!$C$12*FixedParams!$C$14*(1+FixedParams!$B$23)/FixedParams!$B$33,(E15-FixedParams!$B$23)*(1+E15)/($A15*(1+FixedParams!$B$23)))</f>
        <v>3.5709882569847751E-2</v>
      </c>
      <c r="J15" s="17">
        <f>IF($B15=0,((FixedParams!$C$16*FixedParams!$C$14+63*FixedParams!$B$34))*(1+FixedParams!$B$23)*FixedParams!$B$33/(FixedParams!$B$33+0.25*9000)^2,-((1+F15)^2/(1+FixedParams!$B$23))*((FixedParams!$B$23-F15)/(1+F15)-0.25*9000/FixedParams!$B$33)/$B15)</f>
        <v>1.157781782676846E-2</v>
      </c>
      <c r="K15" s="17">
        <f>((1+C15)^(-Sectors!$B$10)*Sectors!$B$11^(1-Sectors!$B$10)*G15+$B$4*(1+E15)^(-Sectors!$B$10)*I15)/((1+D15)^(-Sectors!$B$10)*Sectors!$B$11^(1-Sectors!$B$10)*H15+$B$4*(1+F15)^(-Sectors!$B$10)*J15)</f>
        <v>0.55009007982353531</v>
      </c>
      <c r="L15" s="17">
        <f>Sectors!$B$11^(1-Sectors!$B$10)*((1+D15)^(1-Sectors!$B$10)-(1+C15)^(1-Sectors!$B$10))+$B$4*((1+F15)^(1-Sectors!$B$10)-(1+E15)^(1-Sectors!$B$10))</f>
        <v>2.7883302675856356E-2</v>
      </c>
      <c r="N15" s="7">
        <f t="shared" si="0"/>
        <v>600</v>
      </c>
      <c r="O15" s="7">
        <f t="shared" si="1"/>
        <v>4959.8178775672777</v>
      </c>
    </row>
    <row r="16" spans="1:15" x14ac:dyDescent="0.15">
      <c r="A16" s="24">
        <f t="shared" si="2"/>
        <v>0.35</v>
      </c>
      <c r="B16" s="17">
        <f t="shared" si="3"/>
        <v>0.5694426462078811</v>
      </c>
      <c r="C16" s="17">
        <f>$A16*FixedParams!$C$12*FixedParams!$C$13*(1+FixedParams!$B$23)/(FixedParams!$B$32-FixedParams!$C$12*FixedParams!$C$13*$A16)+FixedParams!$B$23</f>
        <v>0.10388826558251152</v>
      </c>
      <c r="D16" s="17">
        <f>((1-FixedParams!$C$11)*($B16*FixedParams!$C$15*FixedParams!$C$13+$B16*63*FixedParams!$B$34-0.25*9000)+$B16*FixedParams!$C$11*FixedParams!$C$12)*(1+FixedParams!$B$23)/(FixedParams!$B$32-((1-FixedParams!$C$11)*($B16*FixedParams!$C$15*FixedParams!$C$13+$B16*63*FixedParams!$B$34-0.25*9000)+$B16*FixedParams!$C$11*FixedParams!$C$12))+FixedParams!$B$23</f>
        <v>0.16194871343869699</v>
      </c>
      <c r="E16" s="17">
        <f>$A16*FixedParams!$C$12*FixedParams!$C$14*(1+FixedParams!$B$23)/(FixedParams!$B$33-FixedParams!$C$12*FixedParams!$C$14*$A16)+FixedParams!$B$23</f>
        <v>8.8896855019655677E-2</v>
      </c>
      <c r="F16" s="17">
        <f>(($B16*FixedParams!$C$16*FixedParams!$C$14+$B16*63*FixedParams!$B$34-0.25*9000))*(1+FixedParams!$B$23)/(FixedParams!$B$33-((1-FixedParams!$C$11)*($B16*FixedParams!$C$16*FixedParams!$C$14+$B16*63*FixedParams!$B$34-0.25*9000)))+FixedParams!$B$23</f>
        <v>5.4581471193009524E-2</v>
      </c>
      <c r="G16" s="17">
        <f>IF($A16=0,FixedParams!$C$12*FixedParams!$C$13*(1+FixedParams!$B$23)/FixedParams!$B$32,(C16-FixedParams!$B$23)*(1+C16)/($A16*(1+FixedParams!$B$23)))</f>
        <v>8.0243076083051798E-2</v>
      </c>
      <c r="H16" s="17">
        <f>IF($B16=0,((1-FixedParams!$C$11)*(FixedParams!$C$15*FixedParams!$C$13+63*FixedParams!$B$34)+FixedParams!$C$11*FixedParams!$C$12)*(1+FixedParams!$B$23)*FixedParams!$B$32/(FixedParams!$B$32+0.25*9000)^2,-((1+D16)^2/(1+FixedParams!$B$23))*((FixedParams!$B$23-D16)/(1+D16)-0.25*9000/FixedParams!$B$32)/$B16)</f>
        <v>0.31500569210476492</v>
      </c>
      <c r="I16" s="17">
        <f>IF($A16=0,FixedParams!$C$12*FixedParams!$C$14*(1+FixedParams!$B$23)/FixedParams!$B$33,(E16-FixedParams!$B$23)*(1+E16)/($A16*(1+FixedParams!$B$23)))</f>
        <v>3.5827473805421534E-2</v>
      </c>
      <c r="J16" s="17">
        <f>IF($B16=0,((FixedParams!$C$16*FixedParams!$C$14+63*FixedParams!$B$34))*(1+FixedParams!$B$23)*FixedParams!$B$33/(FixedParams!$B$33+0.25*9000)^2,-((1+F16)^2/(1+FixedParams!$B$23))*((FixedParams!$B$23-F16)/(1+F16)-0.25*9000/FixedParams!$B$33)/$B16)</f>
        <v>1.1584815201031152E-2</v>
      </c>
      <c r="K16" s="17">
        <f>((1+C16)^(-Sectors!$B$10)*Sectors!$B$11^(1-Sectors!$B$10)*G16+$B$4*(1+E16)^(-Sectors!$B$10)*I16)/((1+D16)^(-Sectors!$B$10)*Sectors!$B$11^(1-Sectors!$B$10)*H16+$B$4*(1+F16)^(-Sectors!$B$10)*J16)</f>
        <v>0.54894669590915002</v>
      </c>
      <c r="L16" s="17">
        <f>Sectors!$B$11^(1-Sectors!$B$10)*((1+D16)^(1-Sectors!$B$10)-(1+C16)^(1-Sectors!$B$10))+$B$4*((1+F16)^(1-Sectors!$B$10)-(1+E16)^(1-Sectors!$B$10))</f>
        <v>2.7876914239300832E-2</v>
      </c>
      <c r="N16" s="7">
        <f t="shared" si="0"/>
        <v>700</v>
      </c>
      <c r="O16" s="7">
        <f t="shared" si="1"/>
        <v>5211.5390980945276</v>
      </c>
    </row>
    <row r="17" spans="1:15" x14ac:dyDescent="0.15">
      <c r="A17" s="24">
        <f t="shared" si="2"/>
        <v>0.39999999999999997</v>
      </c>
      <c r="B17" s="17">
        <f t="shared" si="3"/>
        <v>0.59688998100333857</v>
      </c>
      <c r="C17" s="17">
        <f>$A17*FixedParams!$C$12*FixedParams!$C$13*(1+FixedParams!$B$23)/(FixedParams!$B$32-FixedParams!$C$12*FixedParams!$C$13*$A17)+FixedParams!$B$23</f>
        <v>0.10791505501514606</v>
      </c>
      <c r="D17" s="17">
        <f>((1-FixedParams!$C$11)*($B17*FixedParams!$C$15*FixedParams!$C$13+$B17*63*FixedParams!$B$34-0.25*9000)+$B17*FixedParams!$C$11*FixedParams!$C$12)*(1+FixedParams!$B$23)/(FixedParams!$B$32-((1-FixedParams!$C$11)*($B17*FixedParams!$C$15*FixedParams!$C$13+$B17*63*FixedParams!$B$34-0.25*9000)+$B17*FixedParams!$C$11*FixedParams!$C$12))+FixedParams!$B$23</f>
        <v>0.17065959787078752</v>
      </c>
      <c r="E17" s="17">
        <f>$A17*FixedParams!$C$12*FixedParams!$C$14*(1+FixedParams!$B$23)/(FixedParams!$B$33-FixedParams!$C$12*FixedParams!$C$14*$A17)+FixedParams!$B$23</f>
        <v>9.069118060351325E-2</v>
      </c>
      <c r="F17" s="17">
        <f>(($B17*FixedParams!$C$16*FixedParams!$C$14+$B17*63*FixedParams!$B$34-0.25*9000))*(1+FixedParams!$B$23)/(FixedParams!$B$33-((1-FixedParams!$C$11)*($B17*FixedParams!$C$16*FixedParams!$C$14+$B17*63*FixedParams!$B$34-0.25*9000)))+FixedParams!$B$23</f>
        <v>5.4899539396761177E-2</v>
      </c>
      <c r="G17" s="17">
        <f>IF($A17=0,FixedParams!$C$12*FixedParams!$C$13*(1+FixedParams!$B$23)/FixedParams!$B$32,(C17-FixedParams!$B$23)*(1+C17)/($A17*(1+FixedParams!$B$23)))</f>
        <v>8.0829568986087758E-2</v>
      </c>
      <c r="H17" s="17">
        <f>IF($B17=0,((1-FixedParams!$C$11)*(FixedParams!$C$15*FixedParams!$C$13+63*FixedParams!$B$34)+FixedParams!$C$11*FixedParams!$C$12)*(1+FixedParams!$B$23)*FixedParams!$B$32/(FixedParams!$B$32+0.25*9000)^2,-((1+D17)^2/(1+FixedParams!$B$23))*((FixedParams!$B$23-D17)/(1+D17)-0.25*9000/FixedParams!$B$32)/$B17)</f>
        <v>0.31974645847483379</v>
      </c>
      <c r="I17" s="17">
        <f>IF($A17=0,FixedParams!$C$12*FixedParams!$C$14*(1+FixedParams!$B$23)/FixedParams!$B$33,(E17-FixedParams!$B$23)*(1+E17)/($A17*(1+FixedParams!$B$23)))</f>
        <v>3.5945646833728633E-2</v>
      </c>
      <c r="J17" s="17">
        <f>IF($B17=0,((FixedParams!$C$16*FixedParams!$C$14+63*FixedParams!$B$34))*(1+FixedParams!$B$23)*FixedParams!$B$33/(FixedParams!$B$33+0.25*9000)^2,-((1+F17)^2/(1+FixedParams!$B$23))*((FixedParams!$B$23-F17)/(1+F17)-0.25*9000/FixedParams!$B$33)/$B17)</f>
        <v>1.1591804356702297E-2</v>
      </c>
      <c r="K17" s="17">
        <f>((1+C17)^(-Sectors!$B$10)*Sectors!$B$11^(1-Sectors!$B$10)*G17+$B$4*(1+E17)^(-Sectors!$B$10)*I17)/((1+D17)^(-Sectors!$B$10)*Sectors!$B$11^(1-Sectors!$B$10)*H17+$B$4*(1+F17)^(-Sectors!$B$10)*J17)</f>
        <v>0.54779739978125541</v>
      </c>
      <c r="L17" s="17">
        <f>Sectors!$B$11^(1-Sectors!$B$10)*((1+D17)^(1-Sectors!$B$10)-(1+C17)^(1-Sectors!$B$10))+$B$4*((1+F17)^(1-Sectors!$B$10)-(1+E17)^(1-Sectors!$B$10))</f>
        <v>2.7870471182169447E-2</v>
      </c>
      <c r="N17" s="7">
        <f t="shared" si="0"/>
        <v>799.99999999999989</v>
      </c>
      <c r="O17" s="7">
        <f t="shared" si="1"/>
        <v>5462.7371061425547</v>
      </c>
    </row>
    <row r="18" spans="1:15" x14ac:dyDescent="0.15">
      <c r="A18" s="24">
        <f t="shared" si="2"/>
        <v>0.44999999999999996</v>
      </c>
      <c r="B18" s="17">
        <f t="shared" si="3"/>
        <v>0.62427985099240135</v>
      </c>
      <c r="C18" s="17">
        <f>$A18*FixedParams!$C$12*FixedParams!$C$13*(1+FixedParams!$B$23)/(FixedParams!$B$32-FixedParams!$C$12*FixedParams!$C$13*$A18)+FixedParams!$B$23</f>
        <v>0.11197133003935082</v>
      </c>
      <c r="D18" s="17">
        <f>((1-FixedParams!$C$11)*($B18*FixedParams!$C$15*FixedParams!$C$13+$B18*63*FixedParams!$B$34-0.25*9000)+$B18*FixedParams!$C$11*FixedParams!$C$12)*(1+FixedParams!$B$23)/(FixedParams!$B$32-((1-FixedParams!$C$11)*($B18*FixedParams!$C$15*FixedParams!$C$13+$B18*63*FixedParams!$B$34-0.25*9000)+$B18*FixedParams!$C$11*FixedParams!$C$12))+FixedParams!$B$23</f>
        <v>0.17948342366380299</v>
      </c>
      <c r="E18" s="17">
        <f>$A18*FixedParams!$C$12*FixedParams!$C$14*(1+FixedParams!$B$23)/(FixedParams!$B$33-FixedParams!$C$12*FixedParams!$C$14*$A18)+FixedParams!$B$23</f>
        <v>9.2491429463628066E-2</v>
      </c>
      <c r="F18" s="17">
        <f>(($B18*FixedParams!$C$16*FixedParams!$C$14+$B18*63*FixedParams!$B$34-0.25*9000))*(1+FixedParams!$B$23)/(FixedParams!$B$33-((1-FixedParams!$C$11)*($B18*FixedParams!$C$16*FixedParams!$C$14+$B18*63*FixedParams!$B$34-0.25*9000)))+FixedParams!$B$23</f>
        <v>5.5217132998651455E-2</v>
      </c>
      <c r="G18" s="17">
        <f>IF($A18=0,FixedParams!$C$12*FixedParams!$C$13*(1+FixedParams!$B$23)/FixedParams!$B$32,(C18-FixedParams!$B$23)*(1+C18)/($A18*(1+FixedParams!$B$23)))</f>
        <v>8.1422515440205845E-2</v>
      </c>
      <c r="H18" s="17">
        <f>IF($B18=0,((1-FixedParams!$C$11)*(FixedParams!$C$15*FixedParams!$C$13+63*FixedParams!$B$34)+FixedParams!$C$11*FixedParams!$C$12)*(1+FixedParams!$B$23)*FixedParams!$B$32/(FixedParams!$B$32+0.25*9000)^2,-((1+D18)^2/(1+FixedParams!$B$23))*((FixedParams!$B$23-D18)/(1+D18)-0.25*9000/FixedParams!$B$32)/$B18)</f>
        <v>0.32458479086434328</v>
      </c>
      <c r="I18" s="17">
        <f>IF($A18=0,FixedParams!$C$12*FixedParams!$C$14*(1+FixedParams!$B$23)/FixedParams!$B$33,(E18-FixedParams!$B$23)*(1+E18)/($A18*(1+FixedParams!$B$23)))</f>
        <v>3.606440549906758E-2</v>
      </c>
      <c r="J18" s="17">
        <f>IF($B18=0,((FixedParams!$C$16*FixedParams!$C$14+63*FixedParams!$B$34))*(1+FixedParams!$B$23)*FixedParams!$B$33/(FixedParams!$B$33+0.25*9000)^2,-((1+F18)^2/(1+FixedParams!$B$23))*((FixedParams!$B$23-F18)/(1+F18)-0.25*9000/FixedParams!$B$33)/$B18)</f>
        <v>1.1598785186523224E-2</v>
      </c>
      <c r="K18" s="17">
        <f>((1+C18)^(-Sectors!$B$10)*Sectors!$B$11^(1-Sectors!$B$10)*G18+$B$4*(1+E18)^(-Sectors!$B$10)*I18)/((1+D18)^(-Sectors!$B$10)*Sectors!$B$11^(1-Sectors!$B$10)*H18+$B$4*(1+F18)^(-Sectors!$B$10)*J18)</f>
        <v>0.54664214590456128</v>
      </c>
      <c r="L18" s="17">
        <f>Sectors!$B$11^(1-Sectors!$B$10)*((1+D18)^(1-Sectors!$B$10)-(1+C18)^(1-Sectors!$B$10))+$B$4*((1+F18)^(1-Sectors!$B$10)-(1+E18)^(1-Sectors!$B$10))</f>
        <v>2.7863972828678939E-2</v>
      </c>
      <c r="N18" s="7">
        <f t="shared" si="0"/>
        <v>899.99999999999989</v>
      </c>
      <c r="O18" s="7">
        <f t="shared" si="1"/>
        <v>5713.4091962824568</v>
      </c>
    </row>
    <row r="19" spans="1:15" x14ac:dyDescent="0.15">
      <c r="A19" s="24">
        <f t="shared" si="2"/>
        <v>0.49999999999999994</v>
      </c>
      <c r="B19" s="17">
        <f t="shared" si="3"/>
        <v>0.65161195828762941</v>
      </c>
      <c r="C19" s="17">
        <f>$A19*FixedParams!$C$12*FixedParams!$C$13*(1+FixedParams!$B$23)/(FixedParams!$B$32-FixedParams!$C$12*FixedParams!$C$13*$A19)+FixedParams!$B$23</f>
        <v>0.11605741570123899</v>
      </c>
      <c r="D19" s="17">
        <f>((1-FixedParams!$C$11)*($B19*FixedParams!$C$15*FixedParams!$C$13+$B19*63*FixedParams!$B$34-0.25*9000)+$B19*FixedParams!$C$11*FixedParams!$C$12)*(1+FixedParams!$B$23)/(FixedParams!$B$32-((1-FixedParams!$C$11)*($B19*FixedParams!$C$15*FixedParams!$C$13+$B19*63*FixedParams!$B$34-0.25*9000)+$B19*FixedParams!$C$11*FixedParams!$C$12))+FixedParams!$B$23</f>
        <v>0.18842224410323286</v>
      </c>
      <c r="E19" s="17">
        <f>$A19*FixedParams!$C$12*FixedParams!$C$14*(1+FixedParams!$B$23)/(FixedParams!$B$33-FixedParams!$C$12*FixedParams!$C$14*$A19)+FixedParams!$B$23</f>
        <v>9.429763097862108E-2</v>
      </c>
      <c r="F19" s="17">
        <f>(($B19*FixedParams!$C$16*FixedParams!$C$14+$B19*63*FixedParams!$B$34-0.25*9000))*(1+FixedParams!$B$23)/(FixedParams!$B$33-((1-FixedParams!$C$11)*($B19*FixedParams!$C$16*FixedParams!$C$14+$B19*63*FixedParams!$B$34-0.25*9000)))+FixedParams!$B$23</f>
        <v>5.5534247510684226E-2</v>
      </c>
      <c r="G19" s="17">
        <f>IF($A19=0,FixedParams!$C$12*FixedParams!$C$13*(1+FixedParams!$B$23)/FixedParams!$B$32,(C19-FixedParams!$B$23)*(1+C19)/($A19*(1+FixedParams!$B$23)))</f>
        <v>8.2022010477184243E-2</v>
      </c>
      <c r="H19" s="17">
        <f>IF($B19=0,((1-FixedParams!$C$11)*(FixedParams!$C$15*FixedParams!$C$13+63*FixedParams!$B$34)+FixedParams!$C$11*FixedParams!$C$12)*(1+FixedParams!$B$23)*FixedParams!$B$32/(FixedParams!$B$32+0.25*9000)^2,-((1+D19)^2/(1+FixedParams!$B$23))*((FixedParams!$B$23-D19)/(1+D19)-0.25*9000/FixedParams!$B$32)/$B19)</f>
        <v>0.32952322303476372</v>
      </c>
      <c r="I19" s="17">
        <f>IF($A19=0,FixedParams!$C$12*FixedParams!$C$14*(1+FixedParams!$B$23)/FixedParams!$B$33,(E19-FixedParams!$B$23)*(1+E19)/($A19*(1+FixedParams!$B$23)))</f>
        <v>3.6183753677541605E-2</v>
      </c>
      <c r="J19" s="17">
        <f>IF($B19=0,((FixedParams!$C$16*FixedParams!$C$14+63*FixedParams!$B$34))*(1+FixedParams!$B$23)*FixedParams!$B$33/(FixedParams!$B$33+0.25*9000)^2,-((1+F19)^2/(1+FixedParams!$B$23))*((FixedParams!$B$23-F19)/(1+F19)-0.25*9000/FixedParams!$B$33)/$B19)</f>
        <v>1.1605757582380877E-2</v>
      </c>
      <c r="K19" s="17">
        <f>((1+C19)^(-Sectors!$B$10)*Sectors!$B$11^(1-Sectors!$B$10)*G19+$B$4*(1+E19)^(-Sectors!$B$10)*I19)/((1+D19)^(-Sectors!$B$10)*Sectors!$B$11^(1-Sectors!$B$10)*H19+$B$4*(1+F19)^(-Sectors!$B$10)*J19)</f>
        <v>0.54548088825124752</v>
      </c>
      <c r="L19" s="17">
        <f>Sectors!$B$11^(1-Sectors!$B$10)*((1+D19)^(1-Sectors!$B$10)-(1+C19)^(1-Sectors!$B$10))+$B$4*((1+F19)^(1-Sectors!$B$10)-(1+E19)^(1-Sectors!$B$10))</f>
        <v>2.7857418491799624E-2</v>
      </c>
      <c r="N19" s="7">
        <f t="shared" si="0"/>
        <v>999.99999999999989</v>
      </c>
      <c r="O19" s="7">
        <f t="shared" si="1"/>
        <v>5963.5526422483845</v>
      </c>
    </row>
    <row r="20" spans="1:15" x14ac:dyDescent="0.15">
      <c r="A20" s="24">
        <f t="shared" si="2"/>
        <v>0.54999999999999993</v>
      </c>
      <c r="B20" s="17">
        <f t="shared" si="3"/>
        <v>0.67888600270019184</v>
      </c>
      <c r="C20" s="17">
        <f>$A20*FixedParams!$C$12*FixedParams!$C$13*(1+FixedParams!$B$23)/(FixedParams!$B$32-FixedParams!$C$12*FixedParams!$C$13*$A20)+FixedParams!$B$23</f>
        <v>0.12017364184224452</v>
      </c>
      <c r="D20" s="17">
        <f>((1-FixedParams!$C$11)*($B20*FixedParams!$C$15*FixedParams!$C$13+$B20*63*FixedParams!$B$34-0.25*9000)+$B20*FixedParams!$C$11*FixedParams!$C$12)*(1+FixedParams!$B$23)/(FixedParams!$B$32-((1-FixedParams!$C$11)*($B20*FixedParams!$C$15*FixedParams!$C$13+$B20*63*FixedParams!$B$34-0.25*9000)+$B20*FixedParams!$C$11*FixedParams!$C$12))+FixedParams!$B$23</f>
        <v>0.19747816039725413</v>
      </c>
      <c r="E20" s="17">
        <f>$A20*FixedParams!$C$12*FixedParams!$C$14*(1+FixedParams!$B$23)/(FixedParams!$B$33-FixedParams!$C$12*FixedParams!$C$14*$A20)+FixedParams!$B$23</f>
        <v>9.6109814721720199E-2</v>
      </c>
      <c r="F20" s="17">
        <f>(($B20*FixedParams!$C$16*FixedParams!$C$14+$B20*63*FixedParams!$B$34-0.25*9000))*(1+FixedParams!$B$23)/(FixedParams!$B$33-((1-FixedParams!$C$11)*($B20*FixedParams!$C$16*FixedParams!$C$14+$B20*63*FixedParams!$B$34-0.25*9000)))+FixedParams!$B$23</f>
        <v>5.585087841040294E-2</v>
      </c>
      <c r="G20" s="17">
        <f>IF($A20=0,FixedParams!$C$12*FixedParams!$C$13*(1+FixedParams!$B$23)/FixedParams!$B$32,(C20-FixedParams!$B$23)*(1+C20)/($A20*(1+FixedParams!$B$23)))</f>
        <v>8.2628150884500942E-2</v>
      </c>
      <c r="H20" s="17">
        <f>IF($B20=0,((1-FixedParams!$C$11)*(FixedParams!$C$15*FixedParams!$C$13+63*FixedParams!$B$34)+FixedParams!$C$11*FixedParams!$C$12)*(1+FixedParams!$B$23)*FixedParams!$B$32/(FixedParams!$B$32+0.25*9000)^2,-((1+D20)^2/(1+FixedParams!$B$23))*((FixedParams!$B$23-D20)/(1+D20)-0.25*9000/FixedParams!$B$32)/$B20)</f>
        <v>0.33456436807754569</v>
      </c>
      <c r="I20" s="17">
        <f>IF($A20=0,FixedParams!$C$12*FixedParams!$C$14*(1+FixedParams!$B$23)/FixedParams!$B$33,(E20-FixedParams!$B$23)*(1+E20)/($A20*(1+FixedParams!$B$23)))</f>
        <v>3.6303695277375321E-2</v>
      </c>
      <c r="J20" s="17">
        <f>IF($B20=0,((FixedParams!$C$16*FixedParams!$C$14+63*FixedParams!$B$34))*(1+FixedParams!$B$23)*FixedParams!$B$33/(FixedParams!$B$33+0.25*9000)^2,-((1+F20)^2/(1+FixedParams!$B$23))*((FixedParams!$B$23-F20)/(1+F20)-0.25*9000/FixedParams!$B$33)/$B20)</f>
        <v>1.1612721435299886E-2</v>
      </c>
      <c r="K20" s="17">
        <f>((1+C20)^(-Sectors!$B$10)*Sectors!$B$11^(1-Sectors!$B$10)*G20+$B$4*(1+E20)^(-Sectors!$B$10)*I20)/((1+D20)^(-Sectors!$B$10)*Sectors!$B$11^(1-Sectors!$B$10)*H20+$B$4*(1+F20)^(-Sectors!$B$10)*J20)</f>
        <v>0.54431358029384647</v>
      </c>
      <c r="L20" s="17">
        <f>Sectors!$B$11^(1-Sectors!$B$10)*((1+D20)^(1-Sectors!$B$10)-(1+C20)^(1-Sectors!$B$10))+$B$4*((1+F20)^(1-Sectors!$B$10)-(1+E20)^(1-Sectors!$B$10))</f>
        <v>2.7850807473018463E-2</v>
      </c>
      <c r="N20" s="7">
        <f t="shared" si="0"/>
        <v>1099.9999999999998</v>
      </c>
      <c r="O20" s="7">
        <f t="shared" si="1"/>
        <v>6213.164696712156</v>
      </c>
    </row>
    <row r="21" spans="1:15" x14ac:dyDescent="0.15">
      <c r="A21" s="24">
        <f t="shared" si="2"/>
        <v>0.6</v>
      </c>
      <c r="B21" s="17">
        <f t="shared" si="3"/>
        <v>0.70610168171488419</v>
      </c>
      <c r="C21" s="17">
        <f>$A21*FixedParams!$C$12*FixedParams!$C$13*(1+FixedParams!$B$23)/(FixedParams!$B$32-FixedParams!$C$12*FixedParams!$C$13*$A21)+FixedParams!$B$23</f>
        <v>0.12432034318787953</v>
      </c>
      <c r="D21" s="17">
        <f>((1-FixedParams!$C$11)*($B21*FixedParams!$C$15*FixedParams!$C$13+$B21*63*FixedParams!$B$34-0.25*9000)+$B21*FixedParams!$C$11*FixedParams!$C$12)*(1+FixedParams!$B$23)/(FixedParams!$B$32-((1-FixedParams!$C$11)*($B21*FixedParams!$C$15*FixedParams!$C$13+$B21*63*FixedParams!$B$34-0.25*9000)+$B21*FixedParams!$C$11*FixedParams!$C$12))+FixedParams!$B$23</f>
        <v>0.20665332304238937</v>
      </c>
      <c r="E21" s="17">
        <f>$A21*FixedParams!$C$12*FixedParams!$C$14*(1+FixedParams!$B$23)/(FixedParams!$B$33-FixedParams!$C$12*FixedParams!$C$14*$A21)+FixedParams!$B$23</f>
        <v>9.7928010462374177E-2</v>
      </c>
      <c r="F21" s="17">
        <f>(($B21*FixedParams!$C$16*FixedParams!$C$14+$B21*63*FixedParams!$B$34-0.25*9000))*(1+FixedParams!$B$23)/(FixedParams!$B$33-((1-FixedParams!$C$11)*($B21*FixedParams!$C$16*FixedParams!$C$14+$B21*63*FixedParams!$B$34-0.25*9000)))+FixedParams!$B$23</f>
        <v>5.616702114055306E-2</v>
      </c>
      <c r="G21" s="17">
        <f>IF($A21=0,FixedParams!$C$12*FixedParams!$C$13*(1+FixedParams!$B$23)/FixedParams!$B$32,(C21-FixedParams!$B$23)*(1+C21)/($A21*(1+FixedParams!$B$23)))</f>
        <v>8.3241035244401435E-2</v>
      </c>
      <c r="H21" s="17">
        <f>IF($B21=0,((1-FixedParams!$C$11)*(FixedParams!$C$15*FixedParams!$C$13+63*FixedParams!$B$34)+FixedParams!$C$11*FixedParams!$C$12)*(1+FixedParams!$B$23)*FixedParams!$B$32/(FixedParams!$B$32+0.25*9000)^2,-((1+D21)^2/(1+FixedParams!$B$23))*((FixedParams!$B$23-D21)/(1+D21)-0.25*9000/FixedParams!$B$32)/$B21)</f>
        <v>0.33971092132058084</v>
      </c>
      <c r="I21" s="17">
        <f>IF($A21=0,FixedParams!$C$12*FixedParams!$C$14*(1+FixedParams!$B$23)/FixedParams!$B$33,(E21-FixedParams!$B$23)*(1+E21)/($A21*(1+FixedParams!$B$23)))</f>
        <v>3.6424234239234271E-2</v>
      </c>
      <c r="J21" s="17">
        <f>IF($B21=0,((FixedParams!$C$16*FixedParams!$C$14+63*FixedParams!$B$34))*(1+FixedParams!$B$23)*FixedParams!$B$33/(FixedParams!$B$33+0.25*9000)^2,-((1+F21)^2/(1+FixedParams!$B$23))*((FixedParams!$B$23-F21)/(1+F21)-0.25*9000/FixedParams!$B$33)/$B21)</f>
        <v>1.1619676635434331E-2</v>
      </c>
      <c r="K21" s="17">
        <f>((1+C21)^(-Sectors!$B$10)*Sectors!$B$11^(1-Sectors!$B$10)*G21+$B$4*(1+E21)^(-Sectors!$B$10)*I21)/((1+D21)^(-Sectors!$B$10)*Sectors!$B$11^(1-Sectors!$B$10)*H21+$B$4*(1+F21)^(-Sectors!$B$10)*J21)</f>
        <v>0.54314017499798273</v>
      </c>
      <c r="L21" s="17">
        <f>Sectors!$B$11^(1-Sectors!$B$10)*((1+D21)^(1-Sectors!$B$10)-(1+C21)^(1-Sectors!$B$10))+$B$4*((1+F21)^(1-Sectors!$B$10)-(1+E21)^(1-Sectors!$B$10))</f>
        <v>2.784413906208888E-2</v>
      </c>
      <c r="N21" s="7">
        <f t="shared" si="0"/>
        <v>1200</v>
      </c>
      <c r="O21" s="7">
        <f t="shared" si="1"/>
        <v>6462.2425910546199</v>
      </c>
    </row>
    <row r="22" spans="1:15" x14ac:dyDescent="0.15">
      <c r="A22" s="24">
        <f t="shared" si="2"/>
        <v>0.65</v>
      </c>
      <c r="B22" s="17">
        <f t="shared" si="3"/>
        <v>0.73325869046478331</v>
      </c>
      <c r="C22" s="17">
        <f>$A22*FixedParams!$C$12*FixedParams!$C$13*(1+FixedParams!$B$23)/(FixedParams!$B$32-FixedParams!$C$12*FixedParams!$C$13*$A22)+FixedParams!$B$23</f>
        <v>0.12849785943847059</v>
      </c>
      <c r="D22" s="17">
        <f>((1-FixedParams!$C$11)*($B22*FixedParams!$C$15*FixedParams!$C$13+$B22*63*FixedParams!$B$34-0.25*9000)+$B22*FixedParams!$C$11*FixedParams!$C$12)*(1+FixedParams!$B$23)/(FixedParams!$B$32-((1-FixedParams!$C$11)*($B22*FixedParams!$C$15*FixedParams!$C$13+$B22*63*FixedParams!$B$34-0.25*9000)+$B22*FixedParams!$C$11*FixedParams!$C$12))+FixedParams!$B$23</f>
        <v>0.21594993323515183</v>
      </c>
      <c r="E22" s="17">
        <f>$A22*FixedParams!$C$12*FixedParams!$C$14*(1+FixedParams!$B$23)/(FixedParams!$B$33-FixedParams!$C$12*FixedParams!$C$14*$A22)+FixedParams!$B$23</f>
        <v>9.9752248167882834E-2</v>
      </c>
      <c r="F22" s="17">
        <f>(($B22*FixedParams!$C$16*FixedParams!$C$14+$B22*63*FixedParams!$B$34-0.25*9000))*(1+FixedParams!$B$23)/(FixedParams!$B$33-((1-FixedParams!$C$11)*($B22*FixedParams!$C$16*FixedParams!$C$14+$B22*63*FixedParams!$B$34-0.25*9000)))+FixedParams!$B$23</f>
        <v>5.6482671108740015E-2</v>
      </c>
      <c r="G22" s="17">
        <f>IF($A22=0,FixedParams!$C$12*FixedParams!$C$13*(1+FixedParams!$B$23)/FixedParams!$B$32,(C22-FixedParams!$B$23)*(1+C22)/($A22*(1+FixedParams!$B$23)))</f>
        <v>8.3860763973984814E-2</v>
      </c>
      <c r="H22" s="17">
        <f>IF($B22=0,((1-FixedParams!$C$11)*(FixedParams!$C$15*FixedParams!$C$13+63*FixedParams!$B$34)+FixedParams!$C$11*FixedParams!$C$12)*(1+FixedParams!$B$23)*FixedParams!$B$32/(FixedParams!$B$32+0.25*9000)^2,-((1+D22)^2/(1+FixedParams!$B$23))*((FixedParams!$B$23-D22)/(1+D22)-0.25*9000/FixedParams!$B$32)/$B22)</f>
        <v>0.34496566335666279</v>
      </c>
      <c r="I22" s="17">
        <f>IF($A22=0,FixedParams!$C$12*FixedParams!$C$14*(1+FixedParams!$B$23)/FixedParams!$B$33,(E22-FixedParams!$B$23)*(1+E22)/($A22*(1+FixedParams!$B$23)))</f>
        <v>3.6545374536548901E-2</v>
      </c>
      <c r="J22" s="17">
        <f>IF($B22=0,((FixedParams!$C$16*FixedParams!$C$14+63*FixedParams!$B$34))*(1+FixedParams!$B$23)*FixedParams!$B$33/(FixedParams!$B$33+0.25*9000)^2,-((1+F22)^2/(1+FixedParams!$B$23))*((FixedParams!$B$23-F22)/(1+F22)-0.25*9000/FixedParams!$B$33)/$B22)</f>
        <v>1.1626623072059621E-2</v>
      </c>
      <c r="K22" s="17">
        <f>((1+C22)^(-Sectors!$B$10)*Sectors!$B$11^(1-Sectors!$B$10)*G22+$B$4*(1+E22)^(-Sectors!$B$10)*I22)/((1+D22)^(-Sectors!$B$10)*Sectors!$B$11^(1-Sectors!$B$10)*H22+$B$4*(1+F22)^(-Sectors!$B$10)*J22)</f>
        <v>0.54196062481498442</v>
      </c>
      <c r="L22" s="17">
        <f>Sectors!$B$11^(1-Sectors!$B$10)*((1+D22)^(1-Sectors!$B$10)-(1+C22)^(1-Sectors!$B$10))+$B$4*((1+F22)^(1-Sectors!$B$10)-(1+E22)^(1-Sectors!$B$10))</f>
        <v>2.783741253679152E-2</v>
      </c>
      <c r="N22" s="7">
        <f t="shared" si="0"/>
        <v>1300</v>
      </c>
      <c r="O22" s="7">
        <f t="shared" si="1"/>
        <v>6710.7835351336971</v>
      </c>
    </row>
    <row r="23" spans="1:15" x14ac:dyDescent="0.15">
      <c r="A23" s="24">
        <f t="shared" si="2"/>
        <v>0.70000000000000007</v>
      </c>
      <c r="B23" s="17">
        <f t="shared" si="3"/>
        <v>0.76035672170553248</v>
      </c>
      <c r="C23" s="17">
        <f>$A23*FixedParams!$C$12*FixedParams!$C$13*(1+FixedParams!$B$23)/(FixedParams!$B$32-FixedParams!$C$12*FixedParams!$C$13*$A23)+FixedParams!$B$23</f>
        <v>0.13270653536192525</v>
      </c>
      <c r="D23" s="17">
        <f>((1-FixedParams!$C$11)*($B23*FixedParams!$C$15*FixedParams!$C$13+$B23*63*FixedParams!$B$34-0.25*9000)+$B23*FixedParams!$C$11*FixedParams!$C$12)*(1+FixedParams!$B$23)/(FixedParams!$B$32-((1-FixedParams!$C$11)*($B23*FixedParams!$C$15*FixedParams!$C$13+$B23*63*FixedParams!$B$34-0.25*9000)+$B23*FixedParams!$C$11*FixedParams!$C$12))+FixedParams!$B$23</f>
        <v>0.22537024433146652</v>
      </c>
      <c r="E23" s="17">
        <f>$A23*FixedParams!$C$12*FixedParams!$C$14*(1+FixedParams!$B$23)/(FixedParams!$B$33-FixedParams!$C$12*FixedParams!$C$14*$A23)+FixedParams!$B$23</f>
        <v>0.10158255800504347</v>
      </c>
      <c r="F23" s="17">
        <f>(($B23*FixedParams!$C$16*FixedParams!$C$14+$B23*63*FixedParams!$B$34-0.25*9000))*(1+FixedParams!$B$23)/(FixedParams!$B$33-((1-FixedParams!$C$11)*($B23*FixedParams!$C$16*FixedParams!$C$14+$B23*63*FixedParams!$B$34-0.25*9000)))+FixedParams!$B$23</f>
        <v>5.6797823687082548E-2</v>
      </c>
      <c r="G23" s="17">
        <f>IF($A23=0,FixedParams!$C$12*FixedParams!$C$13*(1+FixedParams!$B$23)/FixedParams!$B$32,(C23-FixedParams!$B$23)*(1+C23)/($A23*(1+FixedParams!$B$23)))</f>
        <v>8.4487439366337846E-2</v>
      </c>
      <c r="H23" s="17">
        <f>IF($B23=0,((1-FixedParams!$C$11)*(FixedParams!$C$15*FixedParams!$C$13+63*FixedParams!$B$34)+FixedParams!$C$11*FixedParams!$C$12)*(1+FixedParams!$B$23)*FixedParams!$B$32/(FixedParams!$B$32+0.25*9000)^2,-((1+D23)^2/(1+FixedParams!$B$23))*((FixedParams!$B$23-D23)/(1+D23)-0.25*9000/FixedParams!$B$32)/$B23)</f>
        <v>0.35033146319972275</v>
      </c>
      <c r="I23" s="17">
        <f>IF($A23=0,FixedParams!$C$12*FixedParams!$C$14*(1+FixedParams!$B$23)/FixedParams!$B$33,(E23-FixedParams!$B$23)*(1+E23)/($A23*(1+FixedParams!$B$23)))</f>
        <v>3.6667120175841901E-2</v>
      </c>
      <c r="J23" s="17">
        <f>IF($B23=0,((FixedParams!$C$16*FixedParams!$C$14+63*FixedParams!$B$34))*(1+FixedParams!$B$23)*FixedParams!$B$33/(FixedParams!$B$33+0.25*9000)^2,-((1+F23)^2/(1+FixedParams!$B$23))*((FixedParams!$B$23-F23)/(1+F23)-0.25*9000/FixedParams!$B$33)/$B23)</f>
        <v>1.1633560633564188E-2</v>
      </c>
      <c r="K23" s="17">
        <f>((1+C23)^(-Sectors!$B$10)*Sectors!$B$11^(1-Sectors!$B$10)*G23+$B$4*(1+E23)^(-Sectors!$B$10)*I23)/((1+D23)^(-Sectors!$B$10)*Sectors!$B$11^(1-Sectors!$B$10)*H23+$B$4*(1+F23)^(-Sectors!$B$10)*J23)</f>
        <v>0.54077488167435517</v>
      </c>
      <c r="L23" s="17">
        <f>Sectors!$B$11^(1-Sectors!$B$10)*((1+D23)^(1-Sectors!$B$10)-(1+C23)^(1-Sectors!$B$10))+$B$4*((1+F23)^(1-Sectors!$B$10)-(1+E23)^(1-Sectors!$B$10))</f>
        <v>2.7830627162663261E-2</v>
      </c>
      <c r="N23" s="7">
        <f t="shared" si="0"/>
        <v>1400.0000000000002</v>
      </c>
      <c r="O23" s="7">
        <f t="shared" si="1"/>
        <v>6958.7847170490331</v>
      </c>
    </row>
    <row r="24" spans="1:15" x14ac:dyDescent="0.15">
      <c r="A24" s="24">
        <f t="shared" si="2"/>
        <v>0.75000000000000011</v>
      </c>
      <c r="B24" s="17">
        <f t="shared" si="3"/>
        <v>0.78739546578925024</v>
      </c>
      <c r="C24" s="17">
        <f>$A24*FixedParams!$C$12*FixedParams!$C$13*(1+FixedParams!$B$23)/(FixedParams!$B$32-FixedParams!$C$12*FixedParams!$C$13*$A24)+FixedParams!$B$23</f>
        <v>0.13694672088858234</v>
      </c>
      <c r="D24" s="17">
        <f>((1-FixedParams!$C$11)*($B24*FixedParams!$C$15*FixedParams!$C$13+$B24*63*FixedParams!$B$34-0.25*9000)+$B24*FixedParams!$C$11*FixedParams!$C$12)*(1+FixedParams!$B$23)/(FixedParams!$B$32-((1-FixedParams!$C$11)*($B24*FixedParams!$C$15*FixedParams!$C$13+$B24*63*FixedParams!$B$34-0.25*9000)+$B24*FixedParams!$C$11*FixedParams!$C$12))+FixedParams!$B$23</f>
        <v>0.23491656335573369</v>
      </c>
      <c r="E24" s="17">
        <f>$A24*FixedParams!$C$12*FixedParams!$C$14*(1+FixedParams!$B$23)/(FixedParams!$B$33-FixedParams!$C$12*FixedParams!$C$14*$A24)+FixedParams!$B$23</f>
        <v>0.10341897034181367</v>
      </c>
      <c r="F24" s="17">
        <f>(($B24*FixedParams!$C$16*FixedParams!$C$14+$B24*63*FixedParams!$B$34-0.25*9000))*(1+FixedParams!$B$23)/(FixedParams!$B$33-((1-FixedParams!$C$11)*($B24*FixedParams!$C$16*FixedParams!$C$14+$B24*63*FixedParams!$B$34-0.25*9000)))+FixedParams!$B$23</f>
        <v>5.711247421186131E-2</v>
      </c>
      <c r="G24" s="17">
        <f>IF($A24=0,FixedParams!$C$12*FixedParams!$C$13*(1+FixedParams!$B$23)/FixedParams!$B$32,(C24-FixedParams!$B$23)*(1+C24)/($A24*(1+FixedParams!$B$23)))</f>
        <v>8.5121165632749407E-2</v>
      </c>
      <c r="H24" s="17">
        <f>IF($B24=0,((1-FixedParams!$C$11)*(FixedParams!$C$15*FixedParams!$C$13+63*FixedParams!$B$34)+FixedParams!$C$11*FixedParams!$C$12)*(1+FixedParams!$B$23)*FixedParams!$B$32/(FixedParams!$B$32+0.25*9000)^2,-((1+D24)^2/(1+FixedParams!$B$23))*((FixedParams!$B$23-D24)/(1+D24)-0.25*9000/FixedParams!$B$32)/$B24)</f>
        <v>0.3558112815749192</v>
      </c>
      <c r="I24" s="17">
        <f>IF($A24=0,FixedParams!$C$12*FixedParams!$C$14*(1+FixedParams!$B$23)/FixedParams!$B$33,(E24-FixedParams!$B$23)*(1+E24)/($A24*(1+FixedParams!$B$23)))</f>
        <v>3.6789475197059433E-2</v>
      </c>
      <c r="J24" s="17">
        <f>IF($B24=0,((FixedParams!$C$16*FixedParams!$C$14+63*FixedParams!$B$34))*(1+FixedParams!$B$23)*FixedParams!$B$33/(FixedParams!$B$33+0.25*9000)^2,-((1+F24)^2/(1+FixedParams!$B$23))*((FixedParams!$B$23-F24)/(1+F24)-0.25*9000/FixedParams!$B$33)/$B24)</f>
        <v>1.1640489207440978E-2</v>
      </c>
      <c r="K24" s="17">
        <f>((1+C24)^(-Sectors!$B$10)*Sectors!$B$11^(1-Sectors!$B$10)*G24+$B$4*(1+E24)^(-Sectors!$B$10)*I24)/((1+D24)^(-Sectors!$B$10)*Sectors!$B$11^(1-Sectors!$B$10)*H24+$B$4*(1+F24)^(-Sectors!$B$10)*J24)</f>
        <v>0.53958289697610595</v>
      </c>
      <c r="L24" s="17">
        <f>Sectors!$B$11^(1-Sectors!$B$10)*((1+D24)^(1-Sectors!$B$10)-(1+C24)^(1-Sectors!$B$10))+$B$4*((1+F24)^(1-Sectors!$B$10)-(1+E24)^(1-Sectors!$B$10))</f>
        <v>2.7823782192741287E-2</v>
      </c>
      <c r="N24" s="7">
        <f t="shared" si="0"/>
        <v>1500.0000000000002</v>
      </c>
      <c r="O24" s="7">
        <f t="shared" si="1"/>
        <v>7206.2433029032181</v>
      </c>
    </row>
    <row r="25" spans="1:15" x14ac:dyDescent="0.15">
      <c r="A25" s="24">
        <f t="shared" si="2"/>
        <v>0.80000000000000016</v>
      </c>
      <c r="B25" s="17">
        <f t="shared" si="3"/>
        <v>0.8143746106380555</v>
      </c>
      <c r="C25" s="17">
        <f>$A25*FixedParams!$C$12*FixedParams!$C$13*(1+FixedParams!$B$23)/(FixedParams!$B$32-FixedParams!$C$12*FixedParams!$C$13*$A25)+FixedParams!$B$23</f>
        <v>0.14121877120820045</v>
      </c>
      <c r="D25" s="17">
        <f>((1-FixedParams!$C$11)*($B25*FixedParams!$C$15*FixedParams!$C$13+$B25*63*FixedParams!$B$34-0.25*9000)+$B25*FixedParams!$C$11*FixedParams!$C$12)*(1+FixedParams!$B$23)/(FixedParams!$B$32-((1-FixedParams!$C$11)*($B25*FixedParams!$C$15*FixedParams!$C$13+$B25*63*FixedParams!$B$34-0.25*9000)+$B25*FixedParams!$C$11*FixedParams!$C$12))+FixedParams!$B$23</f>
        <v>0.24459125256148401</v>
      </c>
      <c r="E25" s="17">
        <f>$A25*FixedParams!$C$12*FixedParams!$C$14*(1+FixedParams!$B$23)/(FixedParams!$B$33-FixedParams!$C$12*FixedParams!$C$14*$A25)+FixedParams!$B$23</f>
        <v>0.10526151574899097</v>
      </c>
      <c r="F25" s="17">
        <f>(($B25*FixedParams!$C$16*FixedParams!$C$14+$B25*63*FixedParams!$B$34-0.25*9000))*(1+FixedParams!$B$23)/(FixedParams!$B$33-((1-FixedParams!$C$11)*($B25*FixedParams!$C$16*FixedParams!$C$14+$B25*63*FixedParams!$B$34-0.25*9000)))+FixedParams!$B$23</f>
        <v>5.7426617983162759E-2</v>
      </c>
      <c r="G25" s="17">
        <f>IF($A25=0,FixedParams!$C$12*FixedParams!$C$13*(1+FixedParams!$B$23)/FixedParams!$B$32,(C25-FixedParams!$B$23)*(1+C25)/($A25*(1+FixedParams!$B$23)))</f>
        <v>8.5762048946037117E-2</v>
      </c>
      <c r="H25" s="17">
        <f>IF($B25=0,((1-FixedParams!$C$11)*(FixedParams!$C$15*FixedParams!$C$13+63*FixedParams!$B$34)+FixedParams!$C$11*FixedParams!$C$12)*(1+FixedParams!$B$23)*FixedParams!$B$32/(FixedParams!$B$32+0.25*9000)^2,-((1+D25)^2/(1+FixedParams!$B$23))*((FixedParams!$B$23-D25)/(1+D25)-0.25*9000/FixedParams!$B$32)/$B25)</f>
        <v>0.36140817434898342</v>
      </c>
      <c r="I25" s="17">
        <f>IF($A25=0,FixedParams!$C$12*FixedParams!$C$14*(1+FixedParams!$B$23)/FixedParams!$B$33,(E25-FixedParams!$B$23)*(1+E25)/($A25*(1+FixedParams!$B$23)))</f>
        <v>3.6912443673906434E-2</v>
      </c>
      <c r="J25" s="17">
        <f>IF($B25=0,((FixedParams!$C$16*FixedParams!$C$14+63*FixedParams!$B$34))*(1+FixedParams!$B$23)*FixedParams!$B$33/(FixedParams!$B$33+0.25*9000)^2,-((1+F25)^2/(1+FixedParams!$B$23))*((FixedParams!$B$23-F25)/(1+F25)-0.25*9000/FixedParams!$B$33)/$B25)</f>
        <v>1.1647408680278984E-2</v>
      </c>
      <c r="K25" s="17">
        <f>((1+C25)^(-Sectors!$B$10)*Sectors!$B$11^(1-Sectors!$B$10)*G25+$B$4*(1+E25)^(-Sectors!$B$10)*I25)/((1+D25)^(-Sectors!$B$10)*Sectors!$B$11^(1-Sectors!$B$10)*H25+$B$4*(1+F25)^(-Sectors!$B$10)*J25)</f>
        <v>0.53838462158294187</v>
      </c>
      <c r="L25" s="17">
        <f>Sectors!$B$11^(1-Sectors!$B$10)*((1+D25)^(1-Sectors!$B$10)-(1+C25)^(1-Sectors!$B$10))+$B$4*((1+F25)^(1-Sectors!$B$10)-(1+E25)^(1-Sectors!$B$10))</f>
        <v>2.781687686729005E-2</v>
      </c>
      <c r="N25" s="7">
        <f t="shared" si="0"/>
        <v>1600.0000000000002</v>
      </c>
      <c r="O25" s="7">
        <f t="shared" si="1"/>
        <v>7453.1564365594841</v>
      </c>
    </row>
    <row r="26" spans="1:15" x14ac:dyDescent="0.15">
      <c r="A26" s="24">
        <f t="shared" si="2"/>
        <v>0.8500000000000002</v>
      </c>
      <c r="B26" s="17">
        <f t="shared" si="3"/>
        <v>0.84129384171720256</v>
      </c>
      <c r="C26" s="17">
        <f>$A26*FixedParams!$C$12*FixedParams!$C$13*(1+FixedParams!$B$23)/(FixedParams!$B$32-FixedParams!$C$12*FixedParams!$C$13*$A26)+FixedParams!$B$23</f>
        <v>0.14552304686914125</v>
      </c>
      <c r="D26" s="17">
        <f>((1-FixedParams!$C$11)*($B26*FixedParams!$C$15*FixedParams!$C$13+$B26*63*FixedParams!$B$34-0.25*9000)+$B26*FixedParams!$C$11*FixedParams!$C$12)*(1+FixedParams!$B$23)/(FixedParams!$B$32-((1-FixedParams!$C$11)*($B26*FixedParams!$C$15*FixedParams!$C$13+$B26*63*FixedParams!$B$34-0.25*9000)+$B26*FixedParams!$C$11*FixedParams!$C$12))+FixedParams!$B$23</f>
        <v>0.25439673104566385</v>
      </c>
      <c r="E26" s="17">
        <f>$A26*FixedParams!$C$12*FixedParams!$C$14*(1+FixedParams!$B$23)/(FixedParams!$B$33-FixedParams!$C$12*FixedParams!$C$14*$A26)+FixedParams!$B$23</f>
        <v>0.10711022500190906</v>
      </c>
      <c r="F26" s="17">
        <f>(($B26*FixedParams!$C$16*FixedParams!$C$14+$B26*63*FixedParams!$B$34-0.25*9000))*(1+FixedParams!$B$23)/(FixedParams!$B$33-((1-FixedParams!$C$11)*($B26*FixedParams!$C$16*FixedParams!$C$14+$B26*63*FixedParams!$B$34-0.25*9000)))+FixedParams!$B$23</f>
        <v>5.7740250264518123E-2</v>
      </c>
      <c r="G26" s="17">
        <f>IF($A26=0,FixedParams!$C$12*FixedParams!$C$13*(1+FixedParams!$B$23)/FixedParams!$B$32,(C26-FixedParams!$B$23)*(1+C26)/($A26*(1+FixedParams!$B$23)))</f>
        <v>8.6410197485019755E-2</v>
      </c>
      <c r="H26" s="17">
        <f>IF($B26=0,((1-FixedParams!$C$11)*(FixedParams!$C$15*FixedParams!$C$13+63*FixedParams!$B$34)+FixedParams!$C$11*FixedParams!$C$12)*(1+FixedParams!$B$23)*FixedParams!$B$32/(FixedParams!$B$32+0.25*9000)^2,-((1+D26)^2/(1+FixedParams!$B$23))*((FixedParams!$B$23-D26)/(1+D26)-0.25*9000/FixedParams!$B$32)/$B26)</f>
        <v>0.36712529610756506</v>
      </c>
      <c r="I26" s="17">
        <f>IF($A26=0,FixedParams!$C$12*FixedParams!$C$14*(1+FixedParams!$B$23)/FixedParams!$B$33,(E26-FixedParams!$B$23)*(1+E26)/($A26*(1+FixedParams!$B$23)))</f>
        <v>3.7036029714185514E-2</v>
      </c>
      <c r="J26" s="17">
        <f>IF($B26=0,((FixedParams!$C$16*FixedParams!$C$14+63*FixedParams!$B$34))*(1+FixedParams!$B$23)*FixedParams!$B$33/(FixedParams!$B$33+0.25*9000)^2,-((1+F26)^2/(1+FixedParams!$B$23))*((FixedParams!$B$23-F26)/(1+F26)-0.25*9000/FixedParams!$B$33)/$B26)</f>
        <v>1.1654318937754538E-2</v>
      </c>
      <c r="K26" s="17">
        <f>((1+C26)^(-Sectors!$B$10)*Sectors!$B$11^(1-Sectors!$B$10)*G26+$B$4*(1+E26)^(-Sectors!$B$10)*I26)/((1+D26)^(-Sectors!$B$10)*Sectors!$B$11^(1-Sectors!$B$10)*H26+$B$4*(1+F26)^(-Sectors!$B$10)*J26)</f>
        <v>0.53718000581230085</v>
      </c>
      <c r="L26" s="17">
        <f>Sectors!$B$11^(1-Sectors!$B$10)*((1+D26)^(1-Sectors!$B$10)-(1+C26)^(1-Sectors!$B$10))+$B$4*((1+F26)^(1-Sectors!$B$10)-(1+E26)^(1-Sectors!$B$10))</f>
        <v>2.7809910413521752E-2</v>
      </c>
      <c r="N26" s="7">
        <f t="shared" si="0"/>
        <v>1700.0000000000005</v>
      </c>
      <c r="O26" s="7">
        <f t="shared" si="1"/>
        <v>7699.5212393958382</v>
      </c>
    </row>
    <row r="27" spans="1:15" x14ac:dyDescent="0.15">
      <c r="A27" s="24">
        <f t="shared" si="2"/>
        <v>0.90000000000000024</v>
      </c>
      <c r="B27" s="17">
        <f t="shared" si="3"/>
        <v>0.86815284200781762</v>
      </c>
      <c r="C27" s="17">
        <f>$A27*FixedParams!$C$12*FixedParams!$C$13*(1+FixedParams!$B$23)/(FixedParams!$B$32-FixedParams!$C$12*FixedParams!$C$13*$A27)+FixedParams!$B$23</f>
        <v>0.14985991387980613</v>
      </c>
      <c r="D27" s="17">
        <f>((1-FixedParams!$C$11)*($B27*FixedParams!$C$15*FixedParams!$C$13+$B27*63*FixedParams!$B$34-0.25*9000)+$B27*FixedParams!$C$11*FixedParams!$C$12)*(1+FixedParams!$B$23)/(FixedParams!$B$32-((1-FixedParams!$C$11)*($B27*FixedParams!$C$15*FixedParams!$C$13+$B27*63*FixedParams!$B$34-0.25*9000)+$B27*FixedParams!$C$11*FixedParams!$C$12))+FixedParams!$B$23</f>
        <v>0.26433547641867694</v>
      </c>
      <c r="E27" s="17">
        <f>$A27*FixedParams!$C$12*FixedParams!$C$14*(1+FixedParams!$B$23)/(FixedParams!$B$33-FixedParams!$C$12*FixedParams!$C$14*$A27)+FixedParams!$B$23</f>
        <v>0.10896512908215145</v>
      </c>
      <c r="F27" s="17">
        <f>(($B27*FixedParams!$C$16*FixedParams!$C$14+$B27*63*FixedParams!$B$34-0.25*9000))*(1+FixedParams!$B$23)/(FixedParams!$B$33-((1-FixedParams!$C$11)*($B27*FixedParams!$C$16*FixedParams!$C$14+$B27*63*FixedParams!$B$34-0.25*9000)))+FixedParams!$B$23</f>
        <v>5.8053366282537461E-2</v>
      </c>
      <c r="G27" s="17">
        <f>IF($A27=0,FixedParams!$C$12*FixedParams!$C$13*(1+FixedParams!$B$23)/FixedParams!$B$32,(C27-FixedParams!$B$23)*(1+C27)/($A27*(1+FixedParams!$B$23)))</f>
        <v>8.7065721480171179E-2</v>
      </c>
      <c r="H27" s="17">
        <f>IF($B27=0,((1-FixedParams!$C$11)*(FixedParams!$C$15*FixedParams!$C$13+63*FixedParams!$B$34)+FixedParams!$C$11*FixedParams!$C$12)*(1+FixedParams!$B$23)*FixedParams!$B$32/(FixedParams!$B$32+0.25*9000)^2,-((1+D27)^2/(1+FixedParams!$B$23))*((FixedParams!$B$23-D27)/(1+D27)-0.25*9000/FixedParams!$B$32)/$B27)</f>
        <v>0.37296590388667766</v>
      </c>
      <c r="I27" s="17">
        <f>IF($A27=0,FixedParams!$C$12*FixedParams!$C$14*(1+FixedParams!$B$23)/FixedParams!$B$33,(E27-FixedParams!$B$23)*(1+E27)/($A27*(1+FixedParams!$B$23)))</f>
        <v>3.716023746014014E-2</v>
      </c>
      <c r="J27" s="17">
        <f>IF($B27=0,((FixedParams!$C$16*FixedParams!$C$14+63*FixedParams!$B$34))*(1+FixedParams!$B$23)*FixedParams!$B$33/(FixedParams!$B$33+0.25*9000)^2,-((1+F27)^2/(1+FixedParams!$B$23))*((FixedParams!$B$23-F27)/(1+F27)-0.25*9000/FixedParams!$B$33)/$B27)</f>
        <v>1.166121986462264E-2</v>
      </c>
      <c r="K27" s="17">
        <f>((1+C27)^(-Sectors!$B$10)*Sectors!$B$11^(1-Sectors!$B$10)*G27+$B$4*(1+E27)^(-Sectors!$B$10)*I27)/((1+D27)^(-Sectors!$B$10)*Sectors!$B$11^(1-Sectors!$B$10)*H27+$B$4*(1+F27)^(-Sectors!$B$10)*J27)</f>
        <v>0.53596899942824539</v>
      </c>
      <c r="L27" s="17">
        <f>Sectors!$B$11^(1-Sectors!$B$10)*((1+D27)^(1-Sectors!$B$10)-(1+C27)^(1-Sectors!$B$10))+$B$4*((1+F27)^(1-Sectors!$B$10)-(1+E27)^(1-Sectors!$B$10))</f>
        <v>2.780288204531163E-2</v>
      </c>
      <c r="N27" s="7">
        <f t="shared" si="0"/>
        <v>1800.0000000000005</v>
      </c>
      <c r="O27" s="7">
        <f t="shared" si="1"/>
        <v>7945.3348100555468</v>
      </c>
    </row>
    <row r="28" spans="1:15" x14ac:dyDescent="0.15">
      <c r="A28" s="24">
        <f t="shared" si="2"/>
        <v>0.95000000000000029</v>
      </c>
      <c r="B28" s="17">
        <f t="shared" si="3"/>
        <v>0.89495129197922985</v>
      </c>
      <c r="C28" s="17">
        <f>$A28*FixedParams!$C$12*FixedParams!$C$13*(1+FixedParams!$B$23)/(FixedParams!$B$32-FixedParams!$C$12*FixedParams!$C$13*$A28)+FixedParams!$B$23</f>
        <v>0.15422974381238536</v>
      </c>
      <c r="D28" s="17">
        <f>((1-FixedParams!$C$11)*($B28*FixedParams!$C$15*FixedParams!$C$13+$B28*63*FixedParams!$B$34-0.25*9000)+$B28*FixedParams!$C$11*FixedParams!$C$12)*(1+FixedParams!$B$23)/(FixedParams!$B$32-((1-FixedParams!$C$11)*($B28*FixedParams!$C$15*FixedParams!$C$13+$B28*63*FixedParams!$B$34-0.25*9000)+$B28*FixedParams!$C$11*FixedParams!$C$12))+FixedParams!$B$23</f>
        <v>0.27441002653240648</v>
      </c>
      <c r="E28" s="17">
        <f>$A28*FixedParams!$C$12*FixedParams!$C$14*(1+FixedParams!$B$23)/(FixedParams!$B$33-FixedParams!$C$12*FixedParams!$C$14*$A28)+FixedParams!$B$23</f>
        <v>0.11082625917928202</v>
      </c>
      <c r="F28" s="17">
        <f>(($B28*FixedParams!$C$16*FixedParams!$C$14+$B28*63*FixedParams!$B$34-0.25*9000))*(1+FixedParams!$B$23)/(FixedParams!$B$33-((1-FixedParams!$C$11)*($B28*FixedParams!$C$16*FixedParams!$C$14+$B28*63*FixedParams!$B$34-0.25*9000)))+FixedParams!$B$23</f>
        <v>5.8365961226538657E-2</v>
      </c>
      <c r="G28" s="17">
        <f>IF($A28=0,FixedParams!$C$12*FixedParams!$C$13*(1+FixedParams!$B$23)/FixedParams!$B$32,(C28-FixedParams!$B$23)*(1+C28)/($A28*(1+FixedParams!$B$23)))</f>
        <v>8.7728733260490258E-2</v>
      </c>
      <c r="H28" s="17">
        <f>IF($B28=0,((1-FixedParams!$C$11)*(FixedParams!$C$15*FixedParams!$C$13+63*FixedParams!$B$34)+FixedParams!$C$11*FixedParams!$C$12)*(1+FixedParams!$B$23)*FixedParams!$B$32/(FixedParams!$B$32+0.25*9000)^2,-((1+D28)^2/(1+FixedParams!$B$23))*((FixedParams!$B$23-D28)/(1+D28)-0.25*9000/FixedParams!$B$32)/$B28)</f>
        <v>0.37893336106573405</v>
      </c>
      <c r="I28" s="17">
        <f>IF($A28=0,FixedParams!$C$12*FixedParams!$C$14*(1+FixedParams!$B$23)/FixedParams!$B$33,(E28-FixedParams!$B$23)*(1+E28)/($A28*(1+FixedParams!$B$23)))</f>
        <v>3.728507108880174E-2</v>
      </c>
      <c r="J28" s="17">
        <f>IF($B28=0,((FixedParams!$C$16*FixedParams!$C$14+63*FixedParams!$B$34))*(1+FixedParams!$B$23)*FixedParams!$B$33/(FixedParams!$B$33+0.25*9000)^2,-((1+F28)^2/(1+FixedParams!$B$23))*((FixedParams!$B$23-F28)/(1+F28)-0.25*9000/FixedParams!$B$33)/$B28)</f>
        <v>1.1668111344707976E-2</v>
      </c>
      <c r="K28" s="17">
        <f>((1+C28)^(-Sectors!$B$10)*Sectors!$B$11^(1-Sectors!$B$10)*G28+$B$4*(1+E28)^(-Sectors!$B$10)*I28)/((1+D28)^(-Sectors!$B$10)*Sectors!$B$11^(1-Sectors!$B$10)*H28+$B$4*(1+F28)^(-Sectors!$B$10)*J28)</f>
        <v>0.53475155163319432</v>
      </c>
      <c r="L28" s="17">
        <f>Sectors!$B$11^(1-Sectors!$B$10)*((1+D28)^(1-Sectors!$B$10)-(1+C28)^(1-Sectors!$B$10))+$B$4*((1+F28)^(1-Sectors!$B$10)-(1+E28)^(1-Sectors!$B$10))</f>
        <v>2.7795790962905756E-2</v>
      </c>
      <c r="N28" s="7">
        <f t="shared" si="0"/>
        <v>1900.0000000000007</v>
      </c>
      <c r="O28" s="7">
        <f t="shared" si="1"/>
        <v>8190.5942241939119</v>
      </c>
    </row>
    <row r="29" spans="1:15" x14ac:dyDescent="0.15">
      <c r="A29" s="24">
        <f t="shared" si="2"/>
        <v>1.0000000000000002</v>
      </c>
      <c r="B29" s="17">
        <f t="shared" si="3"/>
        <v>0.92168886956088958</v>
      </c>
      <c r="C29" s="17">
        <f>$A29*FixedParams!$C$12*FixedParams!$C$13*(1+FixedParams!$B$23)/(FixedParams!$B$32-FixedParams!$C$12*FixedParams!$C$13*$A29)+FixedParams!$B$23</f>
        <v>0.15863291390898215</v>
      </c>
      <c r="D29" s="17">
        <f>((1-FixedParams!$C$11)*($B29*FixedParams!$C$15*FixedParams!$C$13+$B29*63*FixedParams!$B$34-0.25*9000)+$B29*FixedParams!$C$11*FixedParams!$C$12)*(1+FixedParams!$B$23)/(FixedParams!$B$32-((1-FixedParams!$C$11)*($B29*FixedParams!$C$15*FixedParams!$C$13+$B29*63*FixedParams!$B$34-0.25*9000)+$B29*FixedParams!$C$11*FixedParams!$C$12))+FixedParams!$B$23</f>
        <v>0.28462298126854341</v>
      </c>
      <c r="E29" s="17">
        <f>$A29*FixedParams!$C$12*FixedParams!$C$14*(1+FixedParams!$B$23)/(FixedParams!$B$33-FixedParams!$C$12*FixedParams!$C$14*$A29)+FixedParams!$B$23</f>
        <v>0.11269364669259319</v>
      </c>
      <c r="F29" s="17">
        <f>(($B29*FixedParams!$C$16*FixedParams!$C$14+$B29*63*FixedParams!$B$34-0.25*9000))*(1+FixedParams!$B$23)/(FixedParams!$B$33-((1-FixedParams!$C$11)*($B29*FixedParams!$C$16*FixedParams!$C$14+$B29*63*FixedParams!$B$34-0.25*9000)))+FixedParams!$B$23</f>
        <v>5.8678030248171267E-2</v>
      </c>
      <c r="G29" s="17">
        <f>IF($A29=0,FixedParams!$C$12*FixedParams!$C$13*(1+FixedParams!$B$23)/FixedParams!$B$32,(C29-FixedParams!$B$23)*(1+C29)/($A29*(1+FixedParams!$B$23)))</f>
        <v>8.8399347301625214E-2</v>
      </c>
      <c r="H29" s="17">
        <f>IF($B29=0,((1-FixedParams!$C$11)*(FixedParams!$C$15*FixedParams!$C$13+63*FixedParams!$B$34)+FixedParams!$C$11*FixedParams!$C$12)*(1+FixedParams!$B$23)*FixedParams!$B$32/(FixedParams!$B$32+0.25*9000)^2,-((1+D29)^2/(1+FixedParams!$B$23))*((FixedParams!$B$23-D29)/(1+D29)-0.25*9000/FixedParams!$B$32)/$B29)</f>
        <v>0.38503114143006001</v>
      </c>
      <c r="I29" s="17">
        <f>IF($A29=0,FixedParams!$C$12*FixedParams!$C$14*(1+FixedParams!$B$23)/FixedParams!$B$33,(E29-FixedParams!$B$23)*(1+E29)/($A29*(1+FixedParams!$B$23)))</f>
        <v>3.7410534812340746E-2</v>
      </c>
      <c r="J29" s="17">
        <f>IF($B29=0,((FixedParams!$C$16*FixedParams!$C$14+63*FixedParams!$B$34))*(1+FixedParams!$B$23)*FixedParams!$B$33/(FixedParams!$B$33+0.25*9000)^2,-((1+F29)^2/(1+FixedParams!$B$23))*((FixedParams!$B$23-F29)/(1+F29)-0.25*9000/FixedParams!$B$33)/$B29)</f>
        <v>1.1674993260895999E-2</v>
      </c>
      <c r="K29" s="17">
        <f>((1+C29)^(-Sectors!$B$10)*Sectors!$B$11^(1-Sectors!$B$10)*G29+$B$4*(1+E29)^(-Sectors!$B$10)*I29)/((1+D29)^(-Sectors!$B$10)*Sectors!$B$11^(1-Sectors!$B$10)*H29+$B$4*(1+F29)^(-Sectors!$B$10)*J29)</f>
        <v>0.53352761105950131</v>
      </c>
      <c r="L29" s="17">
        <f>Sectors!$B$11^(1-Sectors!$B$10)*((1+D29)^(1-Sectors!$B$10)-(1+C29)^(1-Sectors!$B$10))+$B$4*((1+F29)^(1-Sectors!$B$10)-(1+E29)^(1-Sectors!$B$10))</f>
        <v>2.7788636352615026E-2</v>
      </c>
      <c r="N29" s="7">
        <f t="shared" si="0"/>
        <v>2000.0000000000005</v>
      </c>
      <c r="O29" s="7">
        <f t="shared" si="1"/>
        <v>8435.296534221261</v>
      </c>
    </row>
    <row r="30" spans="1:15" x14ac:dyDescent="0.15">
      <c r="A30" s="24">
        <f t="shared" si="2"/>
        <v>1.0500000000000003</v>
      </c>
      <c r="B30" s="17">
        <f t="shared" si="3"/>
        <v>0.94836525011386463</v>
      </c>
      <c r="C30" s="17">
        <f>$A30*FixedParams!$C$12*FixedParams!$C$13*(1+FixedParams!$B$23)/(FixedParams!$B$32-FixedParams!$C$12*FixedParams!$C$13*$A30)+FixedParams!$B$23</f>
        <v>0.16306980719017522</v>
      </c>
      <c r="D30" s="17">
        <f>((1-FixedParams!$C$11)*($B30*FixedParams!$C$15*FixedParams!$C$13+$B30*63*FixedParams!$B$34-0.25*9000)+$B30*FixedParams!$C$11*FixedParams!$C$12)*(1+FixedParams!$B$23)/(FixedParams!$B$32-((1-FixedParams!$C$11)*($B30*FixedParams!$C$15*FixedParams!$C$13+$B30*63*FixedParams!$B$34-0.25*9000)+$B30*FixedParams!$C$11*FixedParams!$C$12))+FixedParams!$B$23</f>
        <v>0.29497700438964874</v>
      </c>
      <c r="E30" s="17">
        <f>$A30*FixedParams!$C$12*FixedParams!$C$14*(1+FixedParams!$B$23)/(FixedParams!$B$33-FixedParams!$C$12*FixedParams!$C$14*$A30)+FixedParams!$B$23</f>
        <v>0.11456732323287189</v>
      </c>
      <c r="F30" s="17">
        <f>(($B30*FixedParams!$C$16*FixedParams!$C$14+$B30*63*FixedParams!$B$34-0.25*9000))*(1+FixedParams!$B$23)/(FixedParams!$B$33-((1-FixedParams!$C$11)*($B30*FixedParams!$C$16*FixedParams!$C$14+$B30*63*FixedParams!$B$34-0.25*9000)))+FixedParams!$B$23</f>
        <v>5.8989568461035188E-2</v>
      </c>
      <c r="G30" s="17">
        <f>IF($A30=0,FixedParams!$C$12*FixedParams!$C$13*(1+FixedParams!$B$23)/FixedParams!$B$32,(C30-FixedParams!$B$23)*(1+C30)/($A30*(1+FixedParams!$B$23)))</f>
        <v>8.9077680275290477E-2</v>
      </c>
      <c r="H30" s="17">
        <f>IF($B30=0,((1-FixedParams!$C$11)*(FixedParams!$C$15*FixedParams!$C$13+63*FixedParams!$B$34)+FixedParams!$C$11*FixedParams!$C$12)*(1+FixedParams!$B$23)*FixedParams!$B$32/(FixedParams!$B$32+0.25*9000)^2,-((1+D30)^2/(1+FixedParams!$B$23))*((FixedParams!$B$23-D30)/(1+D30)-0.25*9000/FixedParams!$B$32)/$B30)</f>
        <v>0.39126283341120777</v>
      </c>
      <c r="I30" s="17">
        <f>IF($A30=0,FixedParams!$C$12*FixedParams!$C$14*(1+FixedParams!$B$23)/FixedParams!$B$33,(E30-FixedParams!$B$23)*(1+E30)/($A30*(1+FixedParams!$B$23)))</f>
        <v>3.7536632878422162E-2</v>
      </c>
      <c r="J30" s="17">
        <f>IF($B30=0,((FixedParams!$C$16*FixedParams!$C$14+63*FixedParams!$B$34))*(1+FixedParams!$B$23)*FixedParams!$B$33/(FixedParams!$B$33+0.25*9000)^2,-((1+F30)^2/(1+FixedParams!$B$23))*((FixedParams!$B$23-F30)/(1+F30)-0.25*9000/FixedParams!$B$33)/$B30)</f>
        <v>1.1681865495123806E-2</v>
      </c>
      <c r="K30" s="17">
        <f>((1+C30)^(-Sectors!$B$10)*Sectors!$B$11^(1-Sectors!$B$10)*G30+$B$4*(1+E30)^(-Sectors!$B$10)*I30)/((1+D30)^(-Sectors!$B$10)*Sectors!$B$11^(1-Sectors!$B$10)*H30+$B$4*(1+F30)^(-Sectors!$B$10)*J30)</f>
        <v>0.53229712576087018</v>
      </c>
      <c r="L30" s="17">
        <f>Sectors!$B$11^(1-Sectors!$B$10)*((1+D30)^(1-Sectors!$B$10)-(1+C30)^(1-Sectors!$B$10))+$B$4*((1+F30)^(1-Sectors!$B$10)-(1+E30)^(1-Sectors!$B$10))</f>
        <v>2.7781417386509799E-2</v>
      </c>
      <c r="N30" s="7">
        <f t="shared" si="0"/>
        <v>2100.0000000000005</v>
      </c>
      <c r="O30" s="7">
        <f t="shared" si="1"/>
        <v>8679.4387690420899</v>
      </c>
    </row>
    <row r="31" spans="1:15" x14ac:dyDescent="0.15">
      <c r="A31" s="24">
        <f t="shared" si="2"/>
        <v>1.1000000000000003</v>
      </c>
      <c r="B31" s="17">
        <f t="shared" si="3"/>
        <v>0.97498010640190813</v>
      </c>
      <c r="C31" s="17">
        <f>$A31*FixedParams!$C$12*FixedParams!$C$13*(1+FixedParams!$B$23)/(FixedParams!$B$32-FixedParams!$C$12*FixedParams!$C$13*$A31)+FixedParams!$B$23</f>
        <v>0.16754081256608511</v>
      </c>
      <c r="D31" s="17">
        <f>((1-FixedParams!$C$11)*($B31*FixedParams!$C$15*FixedParams!$C$13+$B31*63*FixedParams!$B$34-0.25*9000)+$B31*FixedParams!$C$11*FixedParams!$C$12)*(1+FixedParams!$B$23)/(FixedParams!$B$32-((1-FixedParams!$C$11)*($B31*FixedParams!$C$15*FixedParams!$C$13+$B31*63*FixedParams!$B$34-0.25*9000)+$B31*FixedParams!$C$11*FixedParams!$C$12))+FixedParams!$B$23</f>
        <v>0.30547482545549365</v>
      </c>
      <c r="E31" s="17">
        <f>$A31*FixedParams!$C$12*FixedParams!$C$14*(1+FixedParams!$B$23)/(FixedParams!$B$33-FixedParams!$C$12*FixedParams!$C$14*$A31)+FixedParams!$B$23</f>
        <v>0.11644732062418298</v>
      </c>
      <c r="F31" s="17">
        <f>(($B31*FixedParams!$C$16*FixedParams!$C$14+$B31*63*FixedParams!$B$34-0.25*9000))*(1+FixedParams!$B$23)/(FixedParams!$B$33-((1-FixedParams!$C$11)*($B31*FixedParams!$C$16*FixedParams!$C$14+$B31*63*FixedParams!$B$34-0.25*9000)))+FixedParams!$B$23</f>
        <v>5.9300570940293895E-2</v>
      </c>
      <c r="G31" s="17">
        <f>IF($A31=0,FixedParams!$C$12*FixedParams!$C$13*(1+FixedParams!$B$23)/FixedParams!$B$32,(C31-FixedParams!$B$23)*(1+C31)/($A31*(1+FixedParams!$B$23)))</f>
        <v>8.9763851100015737E-2</v>
      </c>
      <c r="H31" s="17">
        <f>IF($B31=0,((1-FixedParams!$C$11)*(FixedParams!$C$15*FixedParams!$C$13+63*FixedParams!$B$34)+FixedParams!$C$11*FixedParams!$C$12)*(1+FixedParams!$B$23)*FixedParams!$B$32/(FixedParams!$B$32+0.25*9000)^2,-((1+D31)^2/(1+FixedParams!$B$23))*((FixedParams!$B$23-D31)/(1+D31)-0.25*9000/FixedParams!$B$32)/$B31)</f>
        <v>0.39763214451384393</v>
      </c>
      <c r="I31" s="17">
        <f>IF($A31=0,FixedParams!$C$12*FixedParams!$C$14*(1+FixedParams!$B$23)/FixedParams!$B$33,(E31-FixedParams!$B$23)*(1+E31)/($A31*(1+FixedParams!$B$23)))</f>
        <v>3.7663369570564743E-2</v>
      </c>
      <c r="J31" s="17">
        <f>IF($B31=0,((FixedParams!$C$16*FixedParams!$C$14+63*FixedParams!$B$34))*(1+FixedParams!$B$23)*FixedParams!$B$33/(FixedParams!$B$33+0.25*9000)^2,-((1+F31)^2/(1+FixedParams!$B$23))*((FixedParams!$B$23-F31)/(1+F31)-0.25*9000/FixedParams!$B$33)/$B31)</f>
        <v>1.1688727928370871E-2</v>
      </c>
      <c r="K31" s="17">
        <f>((1+C31)^(-Sectors!$B$10)*Sectors!$B$11^(1-Sectors!$B$10)*G31+$B$4*(1+E31)^(-Sectors!$B$10)*I31)/((1+D31)^(-Sectors!$B$10)*Sectors!$B$11^(1-Sectors!$B$10)*H31+$B$4*(1+F31)^(-Sectors!$B$10)*J31)</f>
        <v>0.53106004320360412</v>
      </c>
      <c r="L31" s="17">
        <f>Sectors!$B$11^(1-Sectors!$B$10)*((1+D31)^(1-Sectors!$B$10)-(1+C31)^(1-Sectors!$B$10))+$B$4*((1+F31)^(1-Sectors!$B$10)-(1+E31)^(1-Sectors!$B$10))</f>
        <v>2.7774133222101788E-2</v>
      </c>
      <c r="N31" s="7">
        <f t="shared" si="0"/>
        <v>2200.0000000000005</v>
      </c>
      <c r="O31" s="7">
        <f t="shared" si="1"/>
        <v>8923.0179337902628</v>
      </c>
    </row>
    <row r="32" spans="1:15" x14ac:dyDescent="0.15">
      <c r="A32" s="24">
        <f t="shared" si="2"/>
        <v>1.1500000000000004</v>
      </c>
      <c r="B32" s="17">
        <f t="shared" si="3"/>
        <v>1.0015331085620884</v>
      </c>
      <c r="C32" s="17">
        <f>$A32*FixedParams!$C$12*FixedParams!$C$13*(1+FixedParams!$B$23)/(FixedParams!$B$32-FixedParams!$C$12*FixedParams!$C$13*$A32)+FixedParams!$B$23</f>
        <v>0.1720463249500121</v>
      </c>
      <c r="D32" s="17">
        <f>((1-FixedParams!$C$11)*($B32*FixedParams!$C$15*FixedParams!$C$13+$B32*63*FixedParams!$B$34-0.25*9000)+$B32*FixedParams!$C$11*FixedParams!$C$12)*(1+FixedParams!$B$23)/(FixedParams!$B$32-((1-FixedParams!$C$11)*($B32*FixedParams!$C$15*FixedParams!$C$13+$B32*63*FixedParams!$B$34-0.25*9000)+$B32*FixedParams!$C$11*FixedParams!$C$12))+FixedParams!$B$23</f>
        <v>0.31611924180733508</v>
      </c>
      <c r="E32" s="17">
        <f>$A32*FixedParams!$C$12*FixedParams!$C$14*(1+FixedParams!$B$23)/(FixedParams!$B$33-FixedParams!$C$12*FixedParams!$C$14*$A32)+FixedParams!$B$23</f>
        <v>0.11833367090567132</v>
      </c>
      <c r="F32" s="17">
        <f>(($B32*FixedParams!$C$16*FixedParams!$C$14+$B32*63*FixedParams!$B$34-0.25*9000))*(1+FixedParams!$B$23)/(FixedParams!$B$33-((1-FixedParams!$C$11)*($B32*FixedParams!$C$16*FixedParams!$C$14+$B32*63*FixedParams!$B$34-0.25*9000)))+FixedParams!$B$23</f>
        <v>5.9611032722282409E-2</v>
      </c>
      <c r="G32" s="17">
        <f>IF($A32=0,FixedParams!$C$12*FixedParams!$C$13*(1+FixedParams!$B$23)/FixedParams!$B$32,(C32-FixedParams!$B$23)*(1+C32)/($A32*(1+FixedParams!$B$23)))</f>
        <v>9.0457980993268267E-2</v>
      </c>
      <c r="H32" s="17">
        <f>IF($B32=0,((1-FixedParams!$C$11)*(FixedParams!$C$15*FixedParams!$C$13+63*FixedParams!$B$34)+FixedParams!$C$11*FixedParams!$C$12)*(1+FixedParams!$B$23)*FixedParams!$B$32/(FixedParams!$B$32+0.25*9000)^2,-((1+D32)^2/(1+FixedParams!$B$23))*((FixedParams!$B$23-D32)/(1+D32)-0.25*9000/FixedParams!$B$32)/$B32)</f>
        <v>0.40414290593847252</v>
      </c>
      <c r="I32" s="17">
        <f>IF($A32=0,FixedParams!$C$12*FixedParams!$C$14*(1+FixedParams!$B$23)/FixedParams!$B$33,(E32-FixedParams!$B$23)*(1+E32)/($A32*(1+FixedParams!$B$23)))</f>
        <v>3.7790749208505149E-2</v>
      </c>
      <c r="J32" s="17">
        <f>IF($B32=0,((FixedParams!$C$16*FixedParams!$C$14+63*FixedParams!$B$34))*(1+FixedParams!$B$23)*FixedParams!$B$33/(FixedParams!$B$33+0.25*9000)^2,-((1+F32)^2/(1+FixedParams!$B$23))*((FixedParams!$B$23-F32)/(1+F32)-0.25*9000/FixedParams!$B$33)/$B32)</f>
        <v>1.1695580440649746E-2</v>
      </c>
      <c r="K32" s="17">
        <f>((1+C32)^(-Sectors!$B$10)*Sectors!$B$11^(1-Sectors!$B$10)*G32+$B$4*(1+E32)^(-Sectors!$B$10)*I32)/((1+D32)^(-Sectors!$B$10)*Sectors!$B$11^(1-Sectors!$B$10)*H32+$B$4*(1+F32)^(-Sectors!$B$10)*J32)</f>
        <v>0.52981631025768561</v>
      </c>
      <c r="L32" s="17">
        <f>Sectors!$B$11^(1-Sectors!$B$10)*((1+D32)^(1-Sectors!$B$10)-(1+C32)^(1-Sectors!$B$10))+$B$4*((1+F32)^(1-Sectors!$B$10)-(1+E32)^(1-Sectors!$B$10))</f>
        <v>2.7766783002017612E-2</v>
      </c>
      <c r="N32" s="7">
        <f t="shared" si="0"/>
        <v>2300.0000000000009</v>
      </c>
      <c r="O32" s="7">
        <f t="shared" si="1"/>
        <v>9166.0310095602326</v>
      </c>
    </row>
    <row r="33" spans="1:15" x14ac:dyDescent="0.15">
      <c r="A33" s="24">
        <f t="shared" si="2"/>
        <v>1.2000000000000004</v>
      </c>
      <c r="B33" s="17">
        <f t="shared" si="3"/>
        <v>1.0280239240749727</v>
      </c>
      <c r="C33" s="17">
        <f>$A33*FixedParams!$C$12*FixedParams!$C$13*(1+FixedParams!$B$23)/(FixedParams!$B$32-FixedParams!$C$12*FixedParams!$C$13*$A33)+FixedParams!$B$23</f>
        <v>0.17658674537471575</v>
      </c>
      <c r="D33" s="17">
        <f>((1-FixedParams!$C$11)*($B33*FixedParams!$C$15*FixedParams!$C$13+$B33*63*FixedParams!$B$34-0.25*9000)+$B33*FixedParams!$C$11*FixedParams!$C$12)*(1+FixedParams!$B$23)/(FixedParams!$B$32-((1-FixedParams!$C$11)*($B33*FixedParams!$C$15*FixedParams!$C$13+$B33*63*FixedParams!$B$34-0.25*9000)+$B33*FixedParams!$C$11*FixedParams!$C$12))+FixedParams!$B$23</f>
        <v>0.32691312062290523</v>
      </c>
      <c r="E33" s="17">
        <f>$A33*FixedParams!$C$12*FixedParams!$C$14*(1+FixedParams!$B$23)/(FixedParams!$B$33-FixedParams!$C$12*FixedParams!$C$14*$A33)+FixedParams!$B$23</f>
        <v>0.12022640633338164</v>
      </c>
      <c r="F33" s="17">
        <f>(($B33*FixedParams!$C$16*FixedParams!$C$14+$B33*63*FixedParams!$B$34-0.25*9000))*(1+FixedParams!$B$23)/(FixedParams!$B$33-((1-FixedParams!$C$11)*($B33*FixedParams!$C$16*FixedParams!$C$14+$B33*63*FixedParams!$B$34-0.25*9000)))+FixedParams!$B$23</f>
        <v>5.9920948804109531E-2</v>
      </c>
      <c r="G33" s="17">
        <f>IF($A33=0,FixedParams!$C$12*FixedParams!$C$13*(1+FixedParams!$B$23)/FixedParams!$B$32,(C33-FixedParams!$B$23)*(1+C33)/($A33*(1+FixedParams!$B$23)))</f>
        <v>9.1160193524991967E-2</v>
      </c>
      <c r="H33" s="17">
        <f>IF($B33=0,((1-FixedParams!$C$11)*(FixedParams!$C$15*FixedParams!$C$13+63*FixedParams!$B$34)+FixedParams!$C$11*FixedParams!$C$12)*(1+FixedParams!$B$23)*FixedParams!$B$32/(FixedParams!$B$32+0.25*9000)^2,-((1+D33)^2/(1+FixedParams!$B$23))*((FixedParams!$B$23-D33)/(1+D33)-0.25*9000/FixedParams!$B$32)/$B33)</f>
        <v>0.41079907740975563</v>
      </c>
      <c r="I33" s="17">
        <f>IF($A33=0,FixedParams!$C$12*FixedParams!$C$14*(1+FixedParams!$B$23)/FixedParams!$B$33,(E33-FixedParams!$B$23)*(1+E33)/($A33*(1+FixedParams!$B$23)))</f>
        <v>3.7918776148565807E-2</v>
      </c>
      <c r="J33" s="17">
        <f>IF($B33=0,((FixedParams!$C$16*FixedParams!$C$14+63*FixedParams!$B$34))*(1+FixedParams!$B$23)*FixedParams!$B$33/(FixedParams!$B$33+0.25*9000)^2,-((1+F33)^2/(1+FixedParams!$B$23))*((FixedParams!$B$23-F33)/(1+F33)-0.25*9000/FixedParams!$B$33)/$B33)</f>
        <v>1.1702422910996482E-2</v>
      </c>
      <c r="K33" s="17">
        <f>((1+C33)^(-Sectors!$B$10)*Sectors!$B$11^(1-Sectors!$B$10)*G33+$B$4*(1+E33)^(-Sectors!$B$10)*I33)/((1+D33)^(-Sectors!$B$10)*Sectors!$B$11^(1-Sectors!$B$10)*H33+$B$4*(1+F33)^(-Sectors!$B$10)*J33)</f>
        <v>0.52856587318768578</v>
      </c>
      <c r="L33" s="17">
        <f>Sectors!$B$11^(1-Sectors!$B$10)*((1+D33)^(1-Sectors!$B$10)-(1+C33)^(1-Sectors!$B$10))+$B$4*((1+F33)^(1-Sectors!$B$10)-(1+E33)^(1-Sectors!$B$10))</f>
        <v>2.7759365853657819E-2</v>
      </c>
      <c r="N33" s="7">
        <f t="shared" si="0"/>
        <v>2400.0000000000009</v>
      </c>
      <c r="O33" s="7">
        <f t="shared" si="1"/>
        <v>9408.4749531341495</v>
      </c>
    </row>
    <row r="34" spans="1:15" x14ac:dyDescent="0.15">
      <c r="A34" s="24">
        <f t="shared" si="2"/>
        <v>1.2500000000000004</v>
      </c>
      <c r="B34" s="17">
        <f t="shared" si="3"/>
        <v>1.0544522177343569</v>
      </c>
      <c r="C34" s="17">
        <f>$A34*FixedParams!$C$12*FixedParams!$C$13*(1+FixedParams!$B$23)/(FixedParams!$B$32-FixedParams!$C$12*FixedParams!$C$13*$A34)+FixedParams!$B$23</f>
        <v>0.18116248111140737</v>
      </c>
      <c r="D34" s="17">
        <f>((1-FixedParams!$C$11)*($B34*FixedParams!$C$15*FixedParams!$C$13+$B34*63*FixedParams!$B$34-0.25*9000)+$B34*FixedParams!$C$11*FixedParams!$C$12)*(1+FixedParams!$B$23)/(FixedParams!$B$32-((1-FixedParams!$C$11)*($B34*FixedParams!$C$15*FixedParams!$C$13+$B34*63*FixedParams!$B$34-0.25*9000)+$B34*FixedParams!$C$11*FixedParams!$C$12))+FixedParams!$B$23</f>
        <v>0.33785940104503004</v>
      </c>
      <c r="E34" s="17">
        <f>$A34*FixedParams!$C$12*FixedParams!$C$14*(1+FixedParams!$B$23)/(FixedParams!$B$33-FixedParams!$C$12*FixedParams!$C$14*$A34)+FixedParams!$B$23</f>
        <v>0.12212555938209718</v>
      </c>
      <c r="F34" s="17">
        <f>(($B34*FixedParams!$C$16*FixedParams!$C$14+$B34*63*FixedParams!$B$34-0.25*9000))*(1+FixedParams!$B$23)/(FixedParams!$B$33-((1-FixedParams!$C$11)*($B34*FixedParams!$C$16*FixedParams!$C$14+$B34*63*FixedParams!$B$34-0.25*9000)))+FixedParams!$B$23</f>
        <v>6.0230314143254651E-2</v>
      </c>
      <c r="G34" s="17">
        <f>IF($A34=0,FixedParams!$C$12*FixedParams!$C$13*(1+FixedParams!$B$23)/FixedParams!$B$32,(C34-FixedParams!$B$23)*(1+C34)/($A34*(1+FixedParams!$B$23)))</f>
        <v>9.1870614672606182E-2</v>
      </c>
      <c r="H34" s="17">
        <f>IF($B34=0,((1-FixedParams!$C$11)*(FixedParams!$C$15*FixedParams!$C$13+63*FixedParams!$B$34)+FixedParams!$C$11*FixedParams!$C$12)*(1+FixedParams!$B$23)*FixedParams!$B$32/(FixedParams!$B$32+0.25*9000)^2,-((1+D34)^2/(1+FixedParams!$B$23))*((FixedParams!$B$23-D34)/(1+D34)-0.25*9000/FixedParams!$B$32)/$B34)</f>
        <v>0.41760475222075355</v>
      </c>
      <c r="I34" s="17">
        <f>IF($A34=0,FixedParams!$C$12*FixedParams!$C$14*(1+FixedParams!$B$23)/FixedParams!$B$33,(E34-FixedParams!$B$23)*(1+E34)/($A34*(1+FixedParams!$B$23)))</f>
        <v>3.80474547840274E-2</v>
      </c>
      <c r="J34" s="17">
        <f>IF($B34=0,((FixedParams!$C$16*FixedParams!$C$14+63*FixedParams!$B$34))*(1+FixedParams!$B$23)*FixedParams!$B$33/(FixedParams!$B$33+0.25*9000)^2,-((1+F34)^2/(1+FixedParams!$B$23))*((FixedParams!$B$23-F34)/(1+F34)-0.25*9000/FixedParams!$B$33)/$B34)</f>
        <v>1.1709255217461152E-2</v>
      </c>
      <c r="K34" s="17">
        <f>((1+C34)^(-Sectors!$B$10)*Sectors!$B$11^(1-Sectors!$B$10)*G34+$B$4*(1+E34)^(-Sectors!$B$10)*I34)/((1+D34)^(-Sectors!$B$10)*Sectors!$B$11^(1-Sectors!$B$10)*H34+$B$4*(1+F34)^(-Sectors!$B$10)*J34)</f>
        <v>0.52730867764349076</v>
      </c>
      <c r="L34" s="17">
        <f>Sectors!$B$11^(1-Sectors!$B$10)*((1+D34)^(1-Sectors!$B$10)-(1+C34)^(1-Sectors!$B$10))+$B$4*((1+F34)^(1-Sectors!$B$10)-(1+E34)^(1-Sectors!$B$10))</f>
        <v>2.7751880888858146E-2</v>
      </c>
      <c r="N34" s="7">
        <f t="shared" si="0"/>
        <v>2500.0000000000009</v>
      </c>
      <c r="O34" s="7">
        <f t="shared" si="1"/>
        <v>9650.3466967048353</v>
      </c>
    </row>
    <row r="35" spans="1:15" x14ac:dyDescent="0.15">
      <c r="A35" s="24">
        <f t="shared" si="2"/>
        <v>1.3000000000000005</v>
      </c>
      <c r="B35" s="17">
        <f t="shared" si="3"/>
        <v>1.0808176516165315</v>
      </c>
      <c r="C35" s="17">
        <f>$A35*FixedParams!$C$12*FixedParams!$C$13*(1+FixedParams!$B$23)/(FixedParams!$B$32-FixedParams!$C$12*FixedParams!$C$13*$A35)+FixedParams!$B$23</f>
        <v>0.18577394579153017</v>
      </c>
      <c r="D35" s="17">
        <f>((1-FixedParams!$C$11)*($B35*FixedParams!$C$15*FixedParams!$C$13+$B35*63*FixedParams!$B$34-0.25*9000)+$B35*FixedParams!$C$11*FixedParams!$C$12)*(1+FixedParams!$B$23)/(FixedParams!$B$32-((1-FixedParams!$C$11)*($B35*FixedParams!$C$15*FixedParams!$C$13+$B35*63*FixedParams!$B$34-0.25*9000)+$B35*FixedParams!$C$11*FixedParams!$C$12))+FixedParams!$B$23</f>
        <v>0.34896109638691819</v>
      </c>
      <c r="E35" s="17">
        <f>$A35*FixedParams!$C$12*FixedParams!$C$14*(1+FixedParams!$B$23)/(FixedParams!$B$33-FixedParams!$C$12*FixedParams!$C$14*$A35)+FixedParams!$B$23</f>
        <v>0.12403116274719703</v>
      </c>
      <c r="F35" s="17">
        <f>(($B35*FixedParams!$C$16*FixedParams!$C$14+$B35*63*FixedParams!$B$34-0.25*9000))*(1+FixedParams!$B$23)/(FixedParams!$B$33-((1-FixedParams!$C$11)*($B35*FixedParams!$C$16*FixedParams!$C$14+$B35*63*FixedParams!$B$34-0.25*9000)))+FixedParams!$B$23</f>
        <v>6.0539123657158682E-2</v>
      </c>
      <c r="G35" s="17">
        <f>IF($A35=0,FixedParams!$C$12*FixedParams!$C$13*(1+FixedParams!$B$23)/FixedParams!$B$32,(C35-FixedParams!$B$23)*(1+C35)/($A35*(1+FixedParams!$B$23)))</f>
        <v>9.2589372877510775E-2</v>
      </c>
      <c r="H35" s="17">
        <f>IF($B35=0,((1-FixedParams!$C$11)*(FixedParams!$C$15*FixedParams!$C$13+63*FixedParams!$B$34)+FixedParams!$C$11*FixedParams!$C$12)*(1+FixedParams!$B$23)*FixedParams!$B$32/(FixedParams!$B$32+0.25*9000)^2,-((1+D35)^2/(1+FixedParams!$B$23))*((FixedParams!$B$23-D35)/(1+D35)-0.25*9000/FixedParams!$B$32)/$B35)</f>
        <v>0.42456416250396439</v>
      </c>
      <c r="I35" s="17">
        <f>IF($A35=0,FixedParams!$C$12*FixedParams!$C$14*(1+FixedParams!$B$23)/FixedParams!$B$33,(E35-FixedParams!$B$23)*(1+E35)/($A35*(1+FixedParams!$B$23)))</f>
        <v>3.817678954550581E-2</v>
      </c>
      <c r="J35" s="17">
        <f>IF($B35=0,((FixedParams!$C$16*FixedParams!$C$14+63*FixedParams!$B$34))*(1+FixedParams!$B$23)*FixedParams!$B$33/(FixedParams!$B$33+0.25*9000)^2,-((1+F35)^2/(1+FixedParams!$B$23))*((FixedParams!$B$23-F35)/(1+F35)-0.25*9000/FixedParams!$B$33)/$B35)</f>
        <v>1.1716077237097996E-2</v>
      </c>
      <c r="K35" s="17">
        <f>((1+C35)^(-Sectors!$B$10)*Sectors!$B$11^(1-Sectors!$B$10)*G35+$B$4*(1+E35)^(-Sectors!$B$10)*I35)/((1+D35)^(-Sectors!$B$10)*Sectors!$B$11^(1-Sectors!$B$10)*H35+$B$4*(1+F35)^(-Sectors!$B$10)*J35)</f>
        <v>0.52604466865085231</v>
      </c>
      <c r="L35" s="17">
        <f>Sectors!$B$11^(1-Sectors!$B$10)*((1+D35)^(1-Sectors!$B$10)-(1+C35)^(1-Sectors!$B$10))+$B$4*((1+F35)^(1-Sectors!$B$10)-(1+E35)^(1-Sectors!$B$10))</f>
        <v>2.7744327203533439E-2</v>
      </c>
      <c r="N35" s="7">
        <f t="shared" si="0"/>
        <v>2600.0000000000009</v>
      </c>
      <c r="O35" s="7">
        <f t="shared" si="1"/>
        <v>9891.6431475944973</v>
      </c>
    </row>
    <row r="36" spans="1:15" x14ac:dyDescent="0.15">
      <c r="A36" s="24">
        <f t="shared" si="2"/>
        <v>1.3500000000000005</v>
      </c>
      <c r="B36" s="17">
        <f t="shared" si="3"/>
        <v>1.1071198850490742</v>
      </c>
      <c r="C36" s="17">
        <f>$A36*FixedParams!$C$12*FixedParams!$C$13*(1+FixedParams!$B$23)/(FixedParams!$B$32-FixedParams!$C$12*FixedParams!$C$13*$A36)+FixedParams!$B$23</f>
        <v>0.19042155953140311</v>
      </c>
      <c r="D36" s="17">
        <f>((1-FixedParams!$C$11)*($B36*FixedParams!$C$15*FixedParams!$C$13+$B36*63*FixedParams!$B$34-0.25*9000)+$B36*FixedParams!$C$11*FixedParams!$C$12)*(1+FixedParams!$B$23)/(FixedParams!$B$32-((1-FixedParams!$C$11)*($B36*FixedParams!$C$15*FixedParams!$C$13+$B36*63*FixedParams!$B$34-0.25*9000)+$B36*FixedParams!$C$11*FixedParams!$C$12))+FixedParams!$B$23</f>
        <v>0.36022129641731387</v>
      </c>
      <c r="E36" s="17">
        <f>$A36*FixedParams!$C$12*FixedParams!$C$14*(1+FixedParams!$B$23)/(FixedParams!$B$33-FixedParams!$C$12*FixedParams!$C$14*$A36)+FixedParams!$B$23</f>
        <v>0.12594324934653242</v>
      </c>
      <c r="F36" s="17">
        <f>(($B36*FixedParams!$C$16*FixedParams!$C$14+$B36*63*FixedParams!$B$34-0.25*9000))*(1+FixedParams!$B$23)/(FixedParams!$B$33-((1-FixedParams!$C$11)*($B36*FixedParams!$C$16*FixedParams!$C$14+$B36*63*FixedParams!$B$34-0.25*9000)))+FixedParams!$B$23</f>
        <v>6.0847372222809171E-2</v>
      </c>
      <c r="G36" s="17">
        <f>IF($A36=0,FixedParams!$C$12*FixedParams!$C$13*(1+FixedParams!$B$23)/FixedParams!$B$32,(C36-FixedParams!$B$23)*(1+C36)/($A36*(1+FixedParams!$B$23)))</f>
        <v>9.3316599103144576E-2</v>
      </c>
      <c r="H36" s="17">
        <f>IF($B36=0,((1-FixedParams!$C$11)*(FixedParams!$C$15*FixedParams!$C$13+63*FixedParams!$B$34)+FixedParams!$C$11*FixedParams!$C$12)*(1+FixedParams!$B$23)*FixedParams!$B$32/(FixedParams!$B$32+0.25*9000)^2,-((1+D36)^2/(1+FixedParams!$B$23))*((FixedParams!$B$23-D36)/(1+D36)-0.25*9000/FixedParams!$B$32)/$B36)</f>
        <v>0.43168168474067059</v>
      </c>
      <c r="I36" s="17">
        <f>IF($A36=0,FixedParams!$C$12*FixedParams!$C$14*(1+FixedParams!$B$23)/FixedParams!$B$33,(E36-FixedParams!$B$23)*(1+E36)/($A36*(1+FixedParams!$B$23)))</f>
        <v>3.8306784901333546E-2</v>
      </c>
      <c r="J36" s="17">
        <f>IF($B36=0,((FixedParams!$C$16*FixedParams!$C$14+63*FixedParams!$B$34))*(1+FixedParams!$B$23)*FixedParams!$B$33/(FixedParams!$B$33+0.25*9000)^2,-((1+F36)^2/(1+FixedParams!$B$23))*((FixedParams!$B$23-F36)/(1+F36)-0.25*9000/FixedParams!$B$33)/$B36)</f>
        <v>1.1722888845955624E-2</v>
      </c>
      <c r="K36" s="17">
        <f>((1+C36)^(-Sectors!$B$10)*Sectors!$B$11^(1-Sectors!$B$10)*G36+$B$4*(1+E36)^(-Sectors!$B$10)*I36)/((1+D36)^(-Sectors!$B$10)*Sectors!$B$11^(1-Sectors!$B$10)*H36+$B$4*(1+F36)^(-Sectors!$B$10)*J36)</f>
        <v>0.524773790601749</v>
      </c>
      <c r="L36" s="17">
        <f>Sectors!$B$11^(1-Sectors!$B$10)*((1+D36)^(1-Sectors!$B$10)-(1+C36)^(1-Sectors!$B$10))+$B$4*((1+F36)^(1-Sectors!$B$10)-(1+E36)^(1-Sectors!$B$10))</f>
        <v>2.7736703877313237E-2</v>
      </c>
      <c r="N36" s="7">
        <f t="shared" si="0"/>
        <v>2700.0000000000009</v>
      </c>
      <c r="O36" s="7">
        <f t="shared" si="1"/>
        <v>10132.361187969127</v>
      </c>
    </row>
    <row r="37" spans="1:15" x14ac:dyDescent="0.15">
      <c r="A37" s="24">
        <f>A36+$B$5</f>
        <v>1.4000000000000006</v>
      </c>
      <c r="B37" s="17">
        <f>$B$5*K36+B36</f>
        <v>1.1333585745791617</v>
      </c>
      <c r="C37" s="17">
        <f>$A37*FixedParams!$C$12*FixedParams!$C$13*(1+FixedParams!$B$23)/(FixedParams!$B$32-FixedParams!$C$12*FixedParams!$C$13*$A37)+FixedParams!$B$23</f>
        <v>0.19510574905980754</v>
      </c>
      <c r="D37" s="17">
        <f>((1-FixedParams!$C$11)*($B37*FixedParams!$C$15*FixedParams!$C$13+$B37*63*FixedParams!$B$34-0.25*9000)+$B37*FixedParams!$C$11*FixedParams!$C$12)*(1+FixedParams!$B$23)/(FixedParams!$B$32-((1-FixedParams!$C$11)*($B37*FixedParams!$C$15*FixedParams!$C$13+$B37*63*FixedParams!$B$34-0.25*9000)+$B37*FixedParams!$C$11*FixedParams!$C$12))+FixedParams!$B$23</f>
        <v>0.37164316972884992</v>
      </c>
      <c r="E37" s="17">
        <f>$A37*FixedParams!$C$12*FixedParams!$C$14*(1+FixedParams!$B$23)/(FixedParams!$B$33-FixedParams!$C$12*FixedParams!$C$14*$A37)+FixedParams!$B$23</f>
        <v>0.12786185232232208</v>
      </c>
      <c r="F37" s="17">
        <f>(($B37*FixedParams!$C$16*FixedParams!$C$14+$B37*63*FixedParams!$B$34-0.25*9000))*(1+FixedParams!$B$23)/(FixedParams!$B$33-((1-FixedParams!$C$11)*($B37*FixedParams!$C$16*FixedParams!$C$14+$B37*63*FixedParams!$B$34-0.25*9000)))+FixedParams!$B$23</f>
        <v>6.1155054676319459E-2</v>
      </c>
      <c r="G37" s="17">
        <f>IF($A37=0,FixedParams!$C$12*FixedParams!$C$13*(1+FixedParams!$B$23)/FixedParams!$B$32,(C37-FixedParams!$B$23)*(1+C37)/($A37*(1+FixedParams!$B$23)))</f>
        <v>9.405242689464588E-2</v>
      </c>
      <c r="H37" s="17">
        <f>IF($B37=0,((1-FixedParams!$C$11)*(FixedParams!$C$15*FixedParams!$C$13+63*FixedParams!$B$34)+FixedParams!$C$11*FixedParams!$C$12)*(1+FixedParams!$B$23)*FixedParams!$B$32/(FixedParams!$B$32+0.25*9000)^2,-((1+D37)^2/(1+FixedParams!$B$23))*((FixedParams!$B$23-D37)/(1+D37)-0.25*9000/FixedParams!$B$32)/$B37)</f>
        <v>0.43896184552073503</v>
      </c>
      <c r="I37" s="17">
        <f>IF($A37=0,FixedParams!$C$12*FixedParams!$C$14*(1+FixedParams!$B$23)/FixedParams!$B$33,(E37-FixedParams!$B$23)*(1+E37)/($A37*(1+FixedParams!$B$23)))</f>
        <v>3.8437445357945542E-2</v>
      </c>
      <c r="J37" s="17">
        <f>IF($B37=0,((FixedParams!$C$16*FixedParams!$C$14+63*FixedParams!$B$34))*(1+FixedParams!$B$23)*FixedParams!$B$33/(FixedParams!$B$33+0.25*9000)^2,-((1+F37)^2/(1+FixedParams!$B$23))*((FixedParams!$B$23-F37)/(1+F37)-0.25*9000/FixedParams!$B$33)/$B37)</f>
        <v>1.1729689919066933E-2</v>
      </c>
      <c r="K37" s="17">
        <f>((1+C37)^(-Sectors!$B$10)*Sectors!$B$11^(1-Sectors!$B$10)*G37+$B$4*(1+E37)^(-Sectors!$B$10)*I37)/((1+D37)^(-Sectors!$B$10)*Sectors!$B$11^(1-Sectors!$B$10)*H37+$B$4*(1+F37)^(-Sectors!$B$10)*J37)</f>
        <v>0.52349598724455548</v>
      </c>
      <c r="L37" s="17">
        <f>Sectors!$B$11^(1-Sectors!$B$10)*((1+D37)^(1-Sectors!$B$10)-(1+C37)^(1-Sectors!$B$10))+$B$4*((1+F37)^(1-Sectors!$B$10)-(1+E37)^(1-Sectors!$B$10))</f>
        <v>2.7729009973164423E-2</v>
      </c>
      <c r="N37" s="7">
        <f t="shared" si="0"/>
        <v>2800.0000000000014</v>
      </c>
      <c r="O37" s="7">
        <f t="shared" si="1"/>
        <v>10372.497674548487</v>
      </c>
    </row>
    <row r="38" spans="1:15" x14ac:dyDescent="0.15">
      <c r="A38" s="24">
        <f>A37+$B$5</f>
        <v>1.4500000000000006</v>
      </c>
      <c r="B38" s="17">
        <f>$B$5*K37+B37</f>
        <v>1.1595333739413896</v>
      </c>
      <c r="C38" s="17">
        <f>$A38*FixedParams!$C$12*FixedParams!$C$13*(1+FixedParams!$B$23)/(FixedParams!$B$32-FixedParams!$C$12*FixedParams!$C$13*$A38)+FixedParams!$B$23</f>
        <v>0.19982694784859811</v>
      </c>
      <c r="D38" s="17">
        <f>((1-FixedParams!$C$11)*($B38*FixedParams!$C$15*FixedParams!$C$13+$B38*63*FixedParams!$B$34-0.25*9000)+$B38*FixedParams!$C$11*FixedParams!$C$12)*(1+FixedParams!$B$23)/(FixedParams!$B$32-((1-FixedParams!$C$11)*($B38*FixedParams!$C$15*FixedParams!$C$13+$B38*63*FixedParams!$B$34-0.25*9000)+$B38*FixedParams!$C$11*FixedParams!$C$12))+FixedParams!$B$23</f>
        <v>0.3832299661931024</v>
      </c>
      <c r="E38" s="17">
        <f>$A38*FixedParams!$C$12*FixedParams!$C$14*(1+FixedParams!$B$23)/(FixedParams!$B$33-FixedParams!$C$12*FixedParams!$C$14*$A38)+FixedParams!$B$23</f>
        <v>0.12978700504306723</v>
      </c>
      <c r="F38" s="17">
        <f>(($B38*FixedParams!$C$16*FixedParams!$C$14+$B38*63*FixedParams!$B$34-0.25*9000))*(1+FixedParams!$B$23)/(FixedParams!$B$33-((1-FixedParams!$C$11)*($B38*FixedParams!$C$16*FixedParams!$C$14+$B38*63*FixedParams!$B$34-0.25*9000)))+FixedParams!$B$23</f>
        <v>6.1462165812501808E-2</v>
      </c>
      <c r="G38" s="17">
        <f>IF($A38=0,FixedParams!$C$12*FixedParams!$C$13*(1+FixedParams!$B$23)/FixedParams!$B$32,(C38-FixedParams!$B$23)*(1+C38)/($A38*(1+FixedParams!$B$23)))</f>
        <v>9.4796992440166331E-2</v>
      </c>
      <c r="H38" s="17">
        <f>IF($B38=0,((1-FixedParams!$C$11)*(FixedParams!$C$15*FixedParams!$C$13+63*FixedParams!$B$34)+FixedParams!$C$11*FixedParams!$C$12)*(1+FixedParams!$B$23)*FixedParams!$B$32/(FixedParams!$B$32+0.25*9000)^2,-((1+D38)^2/(1+FixedParams!$B$23))*((FixedParams!$B$23-D38)/(1+D38)-0.25*9000/FixedParams!$B$32)/$B38)</f>
        <v>0.44640932756569446</v>
      </c>
      <c r="I38" s="17">
        <f>IF($A38=0,FixedParams!$C$12*FixedParams!$C$14*(1+FixedParams!$B$23)/FixedParams!$B$33,(E38-FixedParams!$B$23)*(1+E38)/($A38*(1+FixedParams!$B$23)))</f>
        <v>3.8568775460269843E-2</v>
      </c>
      <c r="J38" s="17">
        <f>IF($B38=0,((FixedParams!$C$16*FixedParams!$C$14+63*FixedParams!$B$34))*(1+FixedParams!$B$23)*FixedParams!$B$33/(FixedParams!$B$33+0.25*9000)^2,-((1+F38)^2/(1+FixedParams!$B$23))*((FixedParams!$B$23-F38)/(1+F38)-0.25*9000/FixedParams!$B$33)/$B38)</f>
        <v>1.1736480330439029E-2</v>
      </c>
      <c r="K38" s="17">
        <f>((1+C38)^(-Sectors!$B$10)*Sectors!$B$11^(1-Sectors!$B$10)*G38+$B$4*(1+E38)^(-Sectors!$B$10)*I38)/((1+D38)^(-Sectors!$B$10)*Sectors!$B$11^(1-Sectors!$B$10)*H38+$B$4*(1+F38)^(-Sectors!$B$10)*J38)</f>
        <v>0.52221120167402169</v>
      </c>
      <c r="L38" s="17">
        <f>Sectors!$B$11^(1-Sectors!$B$10)*((1+D38)^(1-Sectors!$B$10)-(1+C38)^(1-Sectors!$B$10))+$B$4*((1+F38)^(1-Sectors!$B$10)-(1+E38)^(1-Sectors!$B$10))</f>
        <v>2.7721244537011233E-2</v>
      </c>
      <c r="N38" s="7">
        <f t="shared" si="0"/>
        <v>2900.0000000000014</v>
      </c>
      <c r="O38" s="7">
        <f t="shared" si="1"/>
        <v>10612.049438311597</v>
      </c>
    </row>
    <row r="39" spans="1:15" x14ac:dyDescent="0.15">
      <c r="A39" s="2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5" x14ac:dyDescent="0.15">
      <c r="A40" s="17">
        <v>0.32600000000000001</v>
      </c>
      <c r="B40" s="17">
        <v>1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N40" s="7">
        <f>2000*A40</f>
        <v>652</v>
      </c>
      <c r="O40" s="7">
        <f>9152*B40</f>
        <v>9152</v>
      </c>
    </row>
    <row r="41" spans="1:15" x14ac:dyDescent="0.15">
      <c r="A41" s="2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5" x14ac:dyDescent="0.15">
      <c r="A42">
        <v>1</v>
      </c>
      <c r="B42" s="11">
        <v>1</v>
      </c>
      <c r="C42" s="17">
        <f>$A42*FixedParams!$C$12*FixedParams!$C$13*(1+FixedParams!$B$23)/(FixedParams!$B$32-FixedParams!$C$12*FixedParams!$C$13*$A42)+FixedParams!$B$23</f>
        <v>0.15863291390898213</v>
      </c>
      <c r="D42" s="17">
        <f>((1-FixedParams!$C$11)*($B42*FixedParams!$C$15*FixedParams!$C$13+$B42*63*FixedParams!$B$34-0.25*9000)+$B42*FixedParams!$C$11*FixedParams!$C$12)*(1+FixedParams!$B$23)/(FixedParams!$B$32-((1-FixedParams!$C$11)*($B42*FixedParams!$C$15*FixedParams!$C$13+$B42*63*FixedParams!$B$34-0.25*9000)+$B42*FixedParams!$C$11*FixedParams!$C$12))+FixedParams!$B$23</f>
        <v>0.31549993840997909</v>
      </c>
      <c r="E42" s="17">
        <f>$A42*FixedParams!$C$12*FixedParams!$C$14*(1+FixedParams!$B$23)/(FixedParams!$B$33-FixedParams!$C$12*FixedParams!$C$14*$A42)+FixedParams!$B$23</f>
        <v>0.11269364669259319</v>
      </c>
      <c r="F42" s="17">
        <f>(($B42*FixedParams!$C$16*FixedParams!$C$14+$B42*63*FixedParams!$B$34-0.25*9000))*(1+FixedParams!$B$23)/(FixedParams!$B$33-((1-FixedParams!$C$11)*($B42*FixedParams!$C$16*FixedParams!$C$14+$B42*63*FixedParams!$B$34-0.25*9000)))+FixedParams!$B$23</f>
        <v>5.9593102431184208E-2</v>
      </c>
    </row>
  </sheetData>
  <mergeCells count="1">
    <mergeCell ref="N7:O7"/>
  </mergeCells>
  <phoneticPr fontId="27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65"/>
  <sheetViews>
    <sheetView workbookViewId="0">
      <pane ySplit="14" topLeftCell="A15" activePane="bottomLeft" state="frozen"/>
      <selection pane="bottomLeft" activeCell="L76" sqref="L76"/>
    </sheetView>
  </sheetViews>
  <sheetFormatPr baseColWidth="10" defaultColWidth="8.83203125" defaultRowHeight="14" x14ac:dyDescent="0.15"/>
  <cols>
    <col min="2" max="2" width="8.6640625" customWidth="1"/>
  </cols>
  <sheetData>
    <row r="1" spans="1:4" x14ac:dyDescent="0.15">
      <c r="A1" s="1" t="s">
        <v>100</v>
      </c>
    </row>
    <row r="3" spans="1:4" x14ac:dyDescent="0.15">
      <c r="A3" t="s">
        <v>34</v>
      </c>
      <c r="B3">
        <v>0.1</v>
      </c>
    </row>
    <row r="4" spans="1:4" x14ac:dyDescent="0.15">
      <c r="A4" t="s">
        <v>58</v>
      </c>
      <c r="B4">
        <f>VLOOKUP(B3,Sectors!$B$17:$D$217,3)</f>
        <v>-0.24994165775069171</v>
      </c>
    </row>
    <row r="5" spans="1:4" x14ac:dyDescent="0.15">
      <c r="A5" t="s">
        <v>4</v>
      </c>
      <c r="B5" s="24">
        <v>0.2</v>
      </c>
    </row>
    <row r="6" spans="1:4" x14ac:dyDescent="0.15">
      <c r="A6" t="s">
        <v>101</v>
      </c>
      <c r="B6" s="7">
        <v>11000</v>
      </c>
      <c r="C6" s="22" t="s">
        <v>56</v>
      </c>
      <c r="D6">
        <f>B6/B7</f>
        <v>0.11</v>
      </c>
    </row>
    <row r="7" spans="1:4" x14ac:dyDescent="0.15">
      <c r="A7" t="s">
        <v>102</v>
      </c>
      <c r="B7" s="7">
        <v>100000</v>
      </c>
      <c r="C7" s="22" t="s">
        <v>106</v>
      </c>
    </row>
    <row r="8" spans="1:4" x14ac:dyDescent="0.15">
      <c r="B8" s="7"/>
    </row>
    <row r="9" spans="1:4" x14ac:dyDescent="0.15">
      <c r="B9" s="35" t="s">
        <v>74</v>
      </c>
      <c r="C9" s="22" t="s">
        <v>103</v>
      </c>
      <c r="D9" s="22" t="s">
        <v>41</v>
      </c>
    </row>
    <row r="10" spans="1:4" x14ac:dyDescent="0.15">
      <c r="A10" t="s">
        <v>104</v>
      </c>
      <c r="B10" s="7">
        <f>B6*(1+FixedParams!$C23)</f>
        <v>12712.899513925637</v>
      </c>
      <c r="C10" s="7">
        <f>B6*(1+FixedParams!$C24)*EXP(-$B$4)</f>
        <v>23430.185711453738</v>
      </c>
      <c r="D10" s="7">
        <f>B6*(1+FixedParams!$C25)</f>
        <v>15052.459949517024</v>
      </c>
    </row>
    <row r="11" spans="1:4" x14ac:dyDescent="0.15">
      <c r="A11" t="s">
        <v>105</v>
      </c>
      <c r="B11" s="7">
        <f>B7*(1+FixedParams!$C26)</f>
        <v>111210.48382815142</v>
      </c>
      <c r="C11" s="7">
        <f>B7*(1+FixedParams!$C27)*EXP(-$B$4)</f>
        <v>148670.73321976425</v>
      </c>
      <c r="D11" s="7">
        <f>B7*(1+FixedParams!$C28)</f>
        <v>105827.45101672894</v>
      </c>
    </row>
    <row r="12" spans="1:4" x14ac:dyDescent="0.15">
      <c r="A12" t="s">
        <v>106</v>
      </c>
      <c r="B12" s="14">
        <f>+(B10*(1-$B$3)/($B$3*B11))^$B$5</f>
        <v>1.0056996030161824</v>
      </c>
      <c r="C12" s="14">
        <f>+(C10*(1-$B$3)/($B$3*C11))^$B$5</f>
        <v>1.0724043116308806</v>
      </c>
      <c r="D12" s="14">
        <f>+(D10*(1-$B$3)/($B$3*D11))^$B$5</f>
        <v>1.0506312898774823</v>
      </c>
    </row>
    <row r="13" spans="1:4" x14ac:dyDescent="0.15">
      <c r="B13" s="7">
        <f>MIN(B15:B65)</f>
        <v>123923.38334207705</v>
      </c>
      <c r="C13" s="7">
        <f>MIN(C15:C65)</f>
        <v>171899.0527457844</v>
      </c>
      <c r="D13" s="7">
        <f>MIN(D15:D65)</f>
        <v>120805.35766109401</v>
      </c>
    </row>
    <row r="14" spans="1:4" x14ac:dyDescent="0.15">
      <c r="A14" s="22" t="s">
        <v>26</v>
      </c>
      <c r="B14" s="35" t="s">
        <v>74</v>
      </c>
      <c r="C14" s="22" t="s">
        <v>103</v>
      </c>
      <c r="D14" s="22" t="s">
        <v>41</v>
      </c>
    </row>
    <row r="15" spans="1:4" x14ac:dyDescent="0.15">
      <c r="A15">
        <v>0.5</v>
      </c>
      <c r="B15" s="7">
        <f>($A15*B$11+B$10)*($B$3*FixedParams!$B$31+(1-$B$3)*$A15^(($B$5-1)/$B$5))^($B$5/(1-$B$5))</f>
        <v>133314.7011825394</v>
      </c>
      <c r="C15" s="7">
        <f>($A15*C$11+C$10)*($B$3*FixedParams!$B$31+(1-$B$3)*$A15^(($B$5-1)/$B$5))^($B$5/(1-$B$5))</f>
        <v>190777.80983548213</v>
      </c>
      <c r="D15" s="7">
        <f>($A15*D$11+D$10)*($B$3*FixedParams!$B$31+(1-$B$3)*$A15^(($B$5-1)/$B$5))^($B$5/(1-$B$5))</f>
        <v>132627.90110271893</v>
      </c>
    </row>
    <row r="16" spans="1:4" x14ac:dyDescent="0.15">
      <c r="A16">
        <f>A15+0.05</f>
        <v>0.55000000000000004</v>
      </c>
      <c r="B16" s="7">
        <f>($A16*B$11+B$10)*($B$3*FixedParams!$B$31+(1-$B$3)*$A16^(($B$5-1)/$B$5))^($B$5/(1-$B$5))</f>
        <v>131164.19966257538</v>
      </c>
      <c r="C16" s="7">
        <f>($A16*C$11+C$10)*($B$3*FixedParams!$B$31+(1-$B$3)*$A16^(($B$5-1)/$B$5))^($B$5/(1-$B$5))</f>
        <v>186770.48639023575</v>
      </c>
      <c r="D16" s="7">
        <f>($A16*D$11+D$10)*($B$3*FixedParams!$B$31+(1-$B$3)*$A16^(($B$5-1)/$B$5))^($B$5/(1-$B$5))</f>
        <v>130061.48506997162</v>
      </c>
    </row>
    <row r="17" spans="1:4" x14ac:dyDescent="0.15">
      <c r="A17">
        <f t="shared" ref="A17:A65" si="0">A16+0.05</f>
        <v>0.60000000000000009</v>
      </c>
      <c r="B17" s="7">
        <f>($A17*B$11+B$10)*($B$3*FixedParams!$B$31+(1-$B$3)*$A17^(($B$5-1)/$B$5))^($B$5/(1-$B$5))</f>
        <v>129418.53915753304</v>
      </c>
      <c r="C17" s="7">
        <f>($A17*C$11+C$10)*($B$3*FixedParams!$B$31+(1-$B$3)*$A17^(($B$5-1)/$B$5))^($B$5/(1-$B$5))</f>
        <v>183495.70164233967</v>
      </c>
      <c r="D17" s="7">
        <f>($A17*D$11+D$10)*($B$3*FixedParams!$B$31+(1-$B$3)*$A17^(($B$5-1)/$B$5))^($B$5/(1-$B$5))</f>
        <v>127968.17124662905</v>
      </c>
    </row>
    <row r="18" spans="1:4" x14ac:dyDescent="0.15">
      <c r="A18">
        <f t="shared" si="0"/>
        <v>0.65000000000000013</v>
      </c>
      <c r="B18" s="7">
        <f>($A18*B$11+B$10)*($B$3*FixedParams!$B$31+(1-$B$3)*$A18^(($B$5-1)/$B$5))^($B$5/(1-$B$5))</f>
        <v>127996.2098623404</v>
      </c>
      <c r="C18" s="7">
        <f>($A18*C$11+C$10)*($B$3*FixedParams!$B$31+(1-$B$3)*$A18^(($B$5-1)/$B$5))^($B$5/(1-$B$5))</f>
        <v>180800.76960335375</v>
      </c>
      <c r="D18" s="7">
        <f>($A18*D$11+D$10)*($B$3*FixedParams!$B$31+(1-$B$3)*$A18^(($B$5-1)/$B$5))^($B$5/(1-$B$5))</f>
        <v>126250.31928412171</v>
      </c>
    </row>
    <row r="19" spans="1:4" x14ac:dyDescent="0.15">
      <c r="A19">
        <f t="shared" si="0"/>
        <v>0.70000000000000018</v>
      </c>
      <c r="B19" s="7">
        <f>($A19*B$11+B$10)*($B$3*FixedParams!$B$31+(1-$B$3)*$A19^(($B$5-1)/$B$5))^($B$5/(1-$B$5))</f>
        <v>126840.71572563665</v>
      </c>
      <c r="C19" s="7">
        <f>($A19*C$11+C$10)*($B$3*FixedParams!$B$31+(1-$B$3)*$A19^(($B$5-1)/$B$5))^($B$5/(1-$B$5))</f>
        <v>178578.95908999152</v>
      </c>
      <c r="D19" s="7">
        <f>($A19*D$11+D$10)*($B$3*FixedParams!$B$31+(1-$B$3)*$A19^(($B$5-1)/$B$5))^($B$5/(1-$B$5))</f>
        <v>124839.83876590997</v>
      </c>
    </row>
    <row r="20" spans="1:4" x14ac:dyDescent="0.15">
      <c r="A20">
        <f t="shared" si="0"/>
        <v>0.75000000000000022</v>
      </c>
      <c r="B20" s="7">
        <f>($A20*B$11+B$10)*($B$3*FixedParams!$B$31+(1-$B$3)*$A20^(($B$5-1)/$B$5))^($B$5/(1-$B$5))</f>
        <v>125912.26833107619</v>
      </c>
      <c r="C20" s="7">
        <f>($A20*C$11+C$10)*($B$3*FixedParams!$B$31+(1-$B$3)*$A20^(($B$5-1)/$B$5))^($B$5/(1-$B$5))</f>
        <v>176754.2136515606</v>
      </c>
      <c r="D20" s="7">
        <f>($A20*D$11+D$10)*($B$3*FixedParams!$B$31+(1-$B$3)*$A20^(($B$5-1)/$B$5))^($B$5/(1-$B$5))</f>
        <v>123688.36750889097</v>
      </c>
    </row>
    <row r="21" spans="1:4" x14ac:dyDescent="0.15">
      <c r="A21">
        <f t="shared" si="0"/>
        <v>0.80000000000000027</v>
      </c>
      <c r="B21" s="7">
        <f>($A21*B$11+B$10)*($B$3*FixedParams!$B$31+(1-$B$3)*$A21^(($B$5-1)/$B$5))^($B$5/(1-$B$5))</f>
        <v>125182.56217816954</v>
      </c>
      <c r="C21" s="7">
        <f>($A21*C$11+C$10)*($B$3*FixedParams!$B$31+(1-$B$3)*$A21^(($B$5-1)/$B$5))^($B$5/(1-$B$5))</f>
        <v>175271.55609461063</v>
      </c>
      <c r="D21" s="7">
        <f>($A21*D$11+D$10)*($B$3*FixedParams!$B$31+(1-$B$3)*$A21^(($B$5-1)/$B$5))^($B$5/(1-$B$5))</f>
        <v>122761.10086222424</v>
      </c>
    </row>
    <row r="22" spans="1:4" x14ac:dyDescent="0.15">
      <c r="A22">
        <f t="shared" si="0"/>
        <v>0.85000000000000031</v>
      </c>
      <c r="B22" s="7">
        <f>($A22*B$11+B$10)*($B$3*FixedParams!$B$31+(1-$B$3)*$A22^(($B$5-1)/$B$5))^($B$5/(1-$B$5))</f>
        <v>124631.35830161767</v>
      </c>
      <c r="C22" s="7">
        <f>($A22*C$11+C$10)*($B$3*FixedParams!$B$31+(1-$B$3)*$A22^(($B$5-1)/$B$5))^($B$5/(1-$B$5))</f>
        <v>174090.83122101711</v>
      </c>
      <c r="D22" s="7">
        <f>($A22*D$11+D$10)*($B$3*FixedParams!$B$31+(1-$B$3)*$A22^(($B$5-1)/$B$5))^($B$5/(1-$B$5))</f>
        <v>122032.76461416057</v>
      </c>
    </row>
    <row r="23" spans="1:4" x14ac:dyDescent="0.15">
      <c r="A23">
        <f t="shared" si="0"/>
        <v>0.90000000000000036</v>
      </c>
      <c r="B23" s="7">
        <f>($A23*B$11+B$10)*($B$3*FixedParams!$B$31+(1-$B$3)*$A23^(($B$5-1)/$B$5))^($B$5/(1-$B$5))</f>
        <v>124244.16986394895</v>
      </c>
      <c r="C23" s="7">
        <f>($A23*C$11+C$10)*($B$3*FixedParams!$B$31+(1-$B$3)*$A23^(($B$5-1)/$B$5))^($B$5/(1-$B$5))</f>
        <v>173182.48446977319</v>
      </c>
      <c r="D23" s="7">
        <f>($A23*D$11+D$10)*($B$3*FixedParams!$B$31+(1-$B$3)*$A23^(($B$5-1)/$B$5))^($B$5/(1-$B$5))</f>
        <v>121484.89493714141</v>
      </c>
    </row>
    <row r="24" spans="1:4" x14ac:dyDescent="0.15">
      <c r="A24">
        <f t="shared" si="0"/>
        <v>0.9500000000000004</v>
      </c>
      <c r="B24" s="7">
        <f>($A24*B$11+B$10)*($B$3*FixedParams!$B$31+(1-$B$3)*$A24^(($B$5-1)/$B$5))^($B$5/(1-$B$5))</f>
        <v>124010.64205843529</v>
      </c>
      <c r="C24" s="7">
        <f>($A24*C$11+C$10)*($B$3*FixedParams!$B$31+(1-$B$3)*$A24^(($B$5-1)/$B$5))^($B$5/(1-$B$5))</f>
        <v>172524.62426088238</v>
      </c>
      <c r="D24" s="7">
        <f>($A24*D$11+D$10)*($B$3*FixedParams!$B$31+(1-$B$3)*$A24^(($B$5-1)/$B$5))^($B$5/(1-$B$5))</f>
        <v>121103.94228686533</v>
      </c>
    </row>
    <row r="25" spans="1:4" x14ac:dyDescent="0.15">
      <c r="A25">
        <f t="shared" si="0"/>
        <v>1.0000000000000004</v>
      </c>
      <c r="B25" s="7">
        <f>($A25*B$11+B$10)*($B$3*FixedParams!$B$31+(1-$B$3)*$A25^(($B$5-1)/$B$5))^($B$5/(1-$B$5))</f>
        <v>123923.38334207705</v>
      </c>
      <c r="C25" s="7">
        <f>($A25*C$11+C$10)*($B$3*FixedParams!$B$31+(1-$B$3)*$A25^(($B$5-1)/$B$5))^($B$5/(1-$B$5))</f>
        <v>172100.91893121795</v>
      </c>
      <c r="D25" s="7">
        <f>($A25*D$11+D$10)*($B$3*FixedParams!$B$31+(1-$B$3)*$A25^(($B$5-1)/$B$5))^($B$5/(1-$B$5))</f>
        <v>120879.91096624595</v>
      </c>
    </row>
    <row r="26" spans="1:4" x14ac:dyDescent="0.15">
      <c r="A26">
        <f t="shared" si="0"/>
        <v>1.0500000000000005</v>
      </c>
      <c r="B26" s="7">
        <f>($A26*B$11+B$10)*($B$3*FixedParams!$B$31+(1-$B$3)*$A26^(($B$5-1)/$B$5))^($B$5/(1-$B$5))</f>
        <v>123977.09942310928</v>
      </c>
      <c r="C26" s="7">
        <f>($A26*C$11+C$10)*($B$3*FixedParams!$B$31+(1-$B$3)*$A26^(($B$5-1)/$B$5))^($B$5/(1-$B$5))</f>
        <v>171899.0527457844</v>
      </c>
      <c r="D26" s="7">
        <f>($A26*D$11+D$10)*($B$3*FixedParams!$B$31+(1-$B$3)*$A26^(($B$5-1)/$B$5))^($B$5/(1-$B$5))</f>
        <v>120805.35766109401</v>
      </c>
    </row>
    <row r="27" spans="1:4" x14ac:dyDescent="0.15">
      <c r="A27">
        <f t="shared" si="0"/>
        <v>1.1000000000000005</v>
      </c>
      <c r="B27" s="7">
        <f>($A27*B$11+B$10)*($B$3*FixedParams!$B$31+(1-$B$3)*$A27^(($B$5-1)/$B$5))^($B$5/(1-$B$5))</f>
        <v>124167.93736799287</v>
      </c>
      <c r="C27" s="7">
        <f>($A27*C$11+C$10)*($B$3*FixedParams!$B$31+(1-$B$3)*$A27^(($B$5-1)/$B$5))^($B$5/(1-$B$5))</f>
        <v>171909.56824645447</v>
      </c>
      <c r="D27" s="7">
        <f>($A27*D$11+D$10)*($B$3*FixedParams!$B$31+(1-$B$3)*$A27^(($B$5-1)/$B$5))^($B$5/(1-$B$5))</f>
        <v>120874.6383421783</v>
      </c>
    </row>
    <row r="28" spans="1:4" x14ac:dyDescent="0.15">
      <c r="A28">
        <f t="shared" si="0"/>
        <v>1.1500000000000006</v>
      </c>
      <c r="B28" s="7">
        <f>($A28*B$11+B$10)*($B$3*FixedParams!$B$31+(1-$B$3)*$A28^(($B$5-1)/$B$5))^($B$5/(1-$B$5))</f>
        <v>124492.98122086558</v>
      </c>
      <c r="C28" s="7">
        <f>($A28*C$11+C$10)*($B$3*FixedParams!$B$31+(1-$B$3)*$A28^(($B$5-1)/$B$5))^($B$5/(1-$B$5))</f>
        <v>172124.98471837502</v>
      </c>
      <c r="D28" s="7">
        <f>($A28*D$11+D$10)*($B$3*FixedParams!$B$31+(1-$B$3)*$A28^(($B$5-1)/$B$5))^($B$5/(1-$B$5))</f>
        <v>121083.33312836512</v>
      </c>
    </row>
    <row r="29" spans="1:4" x14ac:dyDescent="0.15">
      <c r="A29">
        <f t="shared" si="0"/>
        <v>1.2000000000000006</v>
      </c>
      <c r="B29" s="7">
        <f>($A29*B$11+B$10)*($B$3*FixedParams!$B$31+(1-$B$3)*$A29^(($B$5-1)/$B$5))^($B$5/(1-$B$5))</f>
        <v>124949.86158232937</v>
      </c>
      <c r="C29" s="7">
        <f>($A29*C$11+C$10)*($B$3*FixedParams!$B$31+(1-$B$3)*$A29^(($B$5-1)/$B$5))^($B$5/(1-$B$5))</f>
        <v>172539.12132669243</v>
      </c>
      <c r="D29" s="7">
        <f>($A29*D$11+D$10)*($B$3*FixedParams!$B$31+(1-$B$3)*$A29^(($B$5-1)/$B$5))^($B$5/(1-$B$5))</f>
        <v>121427.80362003579</v>
      </c>
    </row>
    <row r="30" spans="1:4" x14ac:dyDescent="0.15">
      <c r="A30">
        <f t="shared" si="0"/>
        <v>1.2500000000000007</v>
      </c>
      <c r="B30" s="7">
        <f>($A30*B$11+B$10)*($B$3*FixedParams!$B$31+(1-$B$3)*$A30^(($B$5-1)/$B$5))^($B$5/(1-$B$5))</f>
        <v>125536.45468013243</v>
      </c>
      <c r="C30" s="7">
        <f>($A30*C$11+C$10)*($B$3*FixedParams!$B$31+(1-$B$3)*$A30^(($B$5-1)/$B$5))^($B$5/(1-$B$5))</f>
        <v>173146.57775343189</v>
      </c>
      <c r="D30" s="7">
        <f>($A30*D$11+D$10)*($B$3*FixedParams!$B$31+(1-$B$3)*$A30^(($B$5-1)/$B$5))^($B$5/(1-$B$5))</f>
        <v>121904.85277927641</v>
      </c>
    </row>
    <row r="31" spans="1:4" x14ac:dyDescent="0.15">
      <c r="A31">
        <f t="shared" si="0"/>
        <v>1.3000000000000007</v>
      </c>
      <c r="B31" s="7">
        <f>($A31*B$11+B$10)*($B$3*FixedParams!$B$31+(1-$B$3)*$A31^(($B$5-1)/$B$5))^($B$5/(1-$B$5))</f>
        <v>126250.65450017205</v>
      </c>
      <c r="C31" s="7">
        <f>($A31*C$11+C$10)*($B$3*FixedParams!$B$31+(1-$B$3)*$A31^(($B$5-1)/$B$5))^($B$5/(1-$B$5))</f>
        <v>173942.34032573598</v>
      </c>
      <c r="D31" s="7">
        <f>($A31*D$11+D$10)*($B$3*FixedParams!$B$31+(1-$B$3)*$A31^(($B$5-1)/$B$5))^($B$5/(1-$B$5))</f>
        <v>122511.46710925251</v>
      </c>
    </row>
    <row r="32" spans="1:4" x14ac:dyDescent="0.15">
      <c r="A32">
        <f t="shared" si="0"/>
        <v>1.3500000000000008</v>
      </c>
      <c r="B32" s="7">
        <f>($A32*B$11+B$10)*($B$3*FixedParams!$B$31+(1-$B$3)*$A32^(($B$5-1)/$B$5))^($B$5/(1-$B$5))</f>
        <v>127090.20631817263</v>
      </c>
      <c r="C32" s="7">
        <f>($A32*C$11+C$10)*($B$3*FixedParams!$B$31+(1-$B$3)*$A32^(($B$5-1)/$B$5))^($B$5/(1-$B$5))</f>
        <v>174921.49093778018</v>
      </c>
      <c r="D32" s="7">
        <f>($A32*D$11+D$10)*($B$3*FixedParams!$B$31+(1-$B$3)*$A32^(($B$5-1)/$B$5))^($B$5/(1-$B$5))</f>
        <v>123244.6267723849</v>
      </c>
    </row>
    <row r="33" spans="1:4" x14ac:dyDescent="0.15">
      <c r="A33">
        <f t="shared" si="0"/>
        <v>1.4000000000000008</v>
      </c>
      <c r="B33" s="7">
        <f>($A33*B$11+B$10)*($B$3*FixedParams!$B$31+(1-$B$3)*$A33^(($B$5-1)/$B$5))^($B$5/(1-$B$5))</f>
        <v>128052.59263705603</v>
      </c>
      <c r="C33" s="7">
        <f>($A33*C$11+C$10)*($B$3*FixedParams!$B$31+(1-$B$3)*$A33^(($B$5-1)/$B$5))^($B$5/(1-$B$5))</f>
        <v>176079.00161096675</v>
      </c>
      <c r="D33" s="7">
        <f>($A33*D$11+D$10)*($B$3*FixedParams!$B$31+(1-$B$3)*$A33^(($B$5-1)/$B$5))^($B$5/(1-$B$5))</f>
        <v>124101.17273184522</v>
      </c>
    </row>
    <row r="34" spans="1:4" x14ac:dyDescent="0.15">
      <c r="A34">
        <f t="shared" si="0"/>
        <v>1.4500000000000008</v>
      </c>
      <c r="B34" s="7">
        <f>($A34*B$11+B$10)*($B$3*FixedParams!$B$31+(1-$B$3)*$A34^(($B$5-1)/$B$5))^($B$5/(1-$B$5))</f>
        <v>129134.96388477473</v>
      </c>
      <c r="C34" s="7">
        <f>($A34*C$11+C$10)*($B$3*FixedParams!$B$31+(1-$B$3)*$A34^(($B$5-1)/$B$5))^($B$5/(1-$B$5))</f>
        <v>177409.6007032273</v>
      </c>
      <c r="D34" s="7">
        <f>($A34*D$11+D$10)*($B$3*FixedParams!$B$31+(1-$B$3)*$A34^(($B$5-1)/$B$5))^($B$5/(1-$B$5))</f>
        <v>125077.72191064587</v>
      </c>
    </row>
    <row r="35" spans="1:4" x14ac:dyDescent="0.15">
      <c r="A35">
        <f t="shared" si="0"/>
        <v>1.5000000000000009</v>
      </c>
      <c r="B35" s="7">
        <f>($A35*B$11+B$10)*($B$3*FixedParams!$B$31+(1-$B$3)*$A35^(($B$5-1)/$B$5))^($B$5/(1-$B$5))</f>
        <v>130334.10682621074</v>
      </c>
      <c r="C35" s="7">
        <f>($A35*C$11+C$10)*($B$3*FixedParams!$B$31+(1-$B$3)*$A35^(($B$5-1)/$B$5))^($B$5/(1-$B$5))</f>
        <v>178907.69853409514</v>
      </c>
      <c r="D35" s="7">
        <f>($A35*D$11+D$10)*($B$3*FixedParams!$B$31+(1-$B$3)*$A35^(($B$5-1)/$B$5))^($B$5/(1-$B$5))</f>
        <v>126170.62237110409</v>
      </c>
    </row>
    <row r="36" spans="1:4" x14ac:dyDescent="0.15">
      <c r="A36">
        <f t="shared" si="0"/>
        <v>1.5500000000000009</v>
      </c>
      <c r="B36" s="7">
        <f>($A36*B$11+B$10)*($B$3*FixedParams!$B$31+(1-$B$3)*$A36^(($B$5-1)/$B$5))^($B$5/(1-$B$5))</f>
        <v>131646.44389359694</v>
      </c>
      <c r="C36" s="7">
        <f>($A36*C$11+C$10)*($B$3*FixedParams!$B$31+(1-$B$3)*$A36^(($B$5-1)/$B$5))^($B$5/(1-$B$5))</f>
        <v>180567.36121246018</v>
      </c>
      <c r="D36" s="7">
        <f>($A36*D$11+D$10)*($B$3*FixedParams!$B$31+(1-$B$3)*$A36^(($B$5-1)/$B$5))^($B$5/(1-$B$5))</f>
        <v>127375.94107066953</v>
      </c>
    </row>
    <row r="37" spans="1:4" x14ac:dyDescent="0.15">
      <c r="A37">
        <f t="shared" si="0"/>
        <v>1.600000000000001</v>
      </c>
      <c r="B37" s="7">
        <f>($A37*B$11+B$10)*($B$3*FixedParams!$B$31+(1-$B$3)*$A37^(($B$5-1)/$B$5))^($B$5/(1-$B$5))</f>
        <v>133068.05681826209</v>
      </c>
      <c r="C37" s="7">
        <f>($A37*C$11+C$10)*($B$3*FixedParams!$B$31+(1-$B$3)*$A37^(($B$5-1)/$B$5))^($B$5/(1-$B$5))</f>
        <v>182382.32219500397</v>
      </c>
      <c r="D37" s="7">
        <f>($A37*D$11+D$10)*($B$3*FixedParams!$B$31+(1-$B$3)*$A37^(($B$5-1)/$B$5))^($B$5/(1-$B$5))</f>
        <v>128689.47715063742</v>
      </c>
    </row>
    <row r="38" spans="1:4" x14ac:dyDescent="0.15">
      <c r="A38">
        <f t="shared" si="0"/>
        <v>1.650000000000001</v>
      </c>
      <c r="B38" s="7">
        <f>($A38*B$11+B$10)*($B$3*FixedParams!$B$31+(1-$B$3)*$A38^(($B$5-1)/$B$5))^($B$5/(1-$B$5))</f>
        <v>134594.72822072575</v>
      </c>
      <c r="C38" s="7">
        <f>($A38*C$11+C$10)*($B$3*FixedParams!$B$31+(1-$B$3)*$A38^(($B$5-1)/$B$5))^($B$5/(1-$B$5))</f>
        <v>184346.02184751205</v>
      </c>
      <c r="D38" s="7">
        <f>($A38*D$11+D$10)*($B$3*FixedParams!$B$31+(1-$B$3)*$A38^(($B$5-1)/$B$5))^($B$5/(1-$B$5))</f>
        <v>130106.7941486121</v>
      </c>
    </row>
    <row r="39" spans="1:4" x14ac:dyDescent="0.15">
      <c r="A39">
        <f t="shared" si="0"/>
        <v>1.7000000000000011</v>
      </c>
      <c r="B39" s="7">
        <f>($A39*B$11+B$10)*($B$3*FixedParams!$B$31+(1-$B$3)*$A39^(($B$5-1)/$B$5))^($B$5/(1-$B$5))</f>
        <v>136221.99526561677</v>
      </c>
      <c r="C39" s="7">
        <f>($A39*C$11+C$10)*($B$3*FixedParams!$B$31+(1-$B$3)*$A39^(($B$5-1)/$B$5))^($B$5/(1-$B$5))</f>
        <v>186451.66617163681</v>
      </c>
      <c r="D39" s="7">
        <f>($A39*D$11+D$10)*($B$3*FixedParams!$B$31+(1-$B$3)*$A39^(($B$5-1)/$B$5))^($B$5/(1-$B$5))</f>
        <v>131623.26508623076</v>
      </c>
    </row>
    <row r="40" spans="1:4" x14ac:dyDescent="0.15">
      <c r="A40">
        <f t="shared" si="0"/>
        <v>1.7500000000000011</v>
      </c>
      <c r="B40" s="7">
        <f>($A40*B$11+B$10)*($B$3*FixedParams!$B$31+(1-$B$3)*$A40^(($B$5-1)/$B$5))^($B$5/(1-$B$5))</f>
        <v>137945.21012287616</v>
      </c>
      <c r="C40" s="7">
        <f>($A40*C$11+C$10)*($B$3*FixedParams!$B$31+(1-$B$3)*$A40^(($B$5-1)/$B$5))^($B$5/(1-$B$5))</f>
        <v>188692.29693396695</v>
      </c>
      <c r="D40" s="7">
        <f>($A40*D$11+D$10)*($B$3*FixedParams!$B$31+(1-$B$3)*$A40^(($B$5-1)/$B$5))^($B$5/(1-$B$5))</f>
        <v>133234.12509141237</v>
      </c>
    </row>
    <row r="41" spans="1:4" x14ac:dyDescent="0.15">
      <c r="A41">
        <f t="shared" si="0"/>
        <v>1.8000000000000012</v>
      </c>
      <c r="B41" s="7">
        <f>($A41*B$11+B$10)*($B$3*FixedParams!$B$31+(1-$B$3)*$A41^(($B$5-1)/$B$5))^($B$5/(1-$B$5))</f>
        <v>139759.60276043697</v>
      </c>
      <c r="C41" s="7">
        <f>($A41*C$11+C$10)*($B$3*FixedParams!$B$31+(1-$B$3)*$A41^(($B$5-1)/$B$5))^($B$5/(1-$B$5))</f>
        <v>191060.86665890386</v>
      </c>
      <c r="D41" s="7">
        <f>($A41*D$11+D$10)*($B$3*FixedParams!$B$31+(1-$B$3)*$A41^(($B$5-1)/$B$5))^($B$5/(1-$B$5))</f>
        <v>134934.52704143221</v>
      </c>
    </row>
    <row r="42" spans="1:4" x14ac:dyDescent="0.15">
      <c r="A42">
        <f t="shared" si="0"/>
        <v>1.8500000000000012</v>
      </c>
      <c r="B42" s="7">
        <f>($A42*B$11+B$10)*($B$3*FixedParams!$B$31+(1-$B$3)*$A42^(($B$5-1)/$B$5))^($B$5/(1-$B$5))</f>
        <v>141660.34246374658</v>
      </c>
      <c r="C42" s="7">
        <f>($A42*C$11+C$10)*($B$3*FixedParams!$B$31+(1-$B$3)*$A42^(($B$5-1)/$B$5))^($B$5/(1-$B$5))</f>
        <v>193550.31324905937</v>
      </c>
      <c r="D42" s="7">
        <f>($A42*D$11+D$10)*($B$3*FixedParams!$B$31+(1-$B$3)*$A42^(($B$5-1)/$B$5))^($B$5/(1-$B$5))</f>
        <v>136719.59660497244</v>
      </c>
    </row>
    <row r="43" spans="1:4" x14ac:dyDescent="0.15">
      <c r="A43">
        <f t="shared" si="0"/>
        <v>1.9000000000000012</v>
      </c>
      <c r="B43" s="7">
        <f>($A43*B$11+B$10)*($B$3*FixedParams!$B$31+(1-$B$3)*$A43^(($B$5-1)/$B$5))^($B$5/(1-$B$5))</f>
        <v>143642.59536490851</v>
      </c>
      <c r="C43" s="7">
        <f>($A43*C$11+C$10)*($B$3*FixedParams!$B$31+(1-$B$3)*$A43^(($B$5-1)/$B$5))^($B$5/(1-$B$5))</f>
        <v>196153.63029160973</v>
      </c>
      <c r="D43" s="7">
        <f>($A43*D$11+D$10)*($B$3*FixedParams!$B$31+(1-$B$3)*$A43^(($B$5-1)/$B$5))^($B$5/(1-$B$5))</f>
        <v>138584.48395552734</v>
      </c>
    </row>
    <row r="44" spans="1:4" x14ac:dyDescent="0.15">
      <c r="A44">
        <f t="shared" si="0"/>
        <v>1.9500000000000013</v>
      </c>
      <c r="B44" s="7">
        <f>($A44*B$11+B$10)*($B$3*FixedParams!$B$31+(1-$B$3)*$A44^(($B$5-1)/$B$5))^($B$5/(1-$B$5))</f>
        <v>145701.57610652884</v>
      </c>
      <c r="C44" s="7">
        <f>($A44*C$11+C$10)*($B$3*FixedParams!$B$31+(1-$B$3)*$A44^(($B$5-1)/$B$5))^($B$5/(1-$B$5))</f>
        <v>198863.93031857119</v>
      </c>
      <c r="D44" s="7">
        <f>($A44*D$11+D$10)*($B$3*FixedParams!$B$31+(1-$B$3)*$A44^(($B$5-1)/$B$5))^($B$5/(1-$B$5))</f>
        <v>140524.41026842251</v>
      </c>
    </row>
    <row r="45" spans="1:4" x14ac:dyDescent="0.15">
      <c r="A45">
        <f t="shared" si="0"/>
        <v>2.0000000000000013</v>
      </c>
      <c r="B45" s="7">
        <f>($A45*B$11+B$10)*($B$3*FixedParams!$B$31+(1-$B$3)*$A45^(($B$5-1)/$B$5))^($B$5/(1-$B$5))</f>
        <v>147832.59251523612</v>
      </c>
      <c r="C45" s="7">
        <f>($A45*C$11+C$10)*($B$3*FixedParams!$B$31+(1-$B$3)*$A45^(($B$5-1)/$B$5))^($B$5/(1-$B$5))</f>
        <v>201674.49935463563</v>
      </c>
      <c r="D45" s="7">
        <f>($A45*D$11+D$10)*($B$3*FixedParams!$B$31+(1-$B$3)*$A45^(($B$5-1)/$B$5))^($B$5/(1-$B$5))</f>
        <v>142534.70785631146</v>
      </c>
    </row>
    <row r="46" spans="1:4" x14ac:dyDescent="0.15">
      <c r="A46">
        <f t="shared" si="0"/>
        <v>2.0500000000000012</v>
      </c>
      <c r="B46" s="7">
        <f>($A46*B$11+B$10)*($B$3*FixedParams!$B$31+(1-$B$3)*$A46^(($B$5-1)/$B$5))^($B$5/(1-$B$5))</f>
        <v>150031.08278810585</v>
      </c>
      <c r="C46" s="7">
        <f>($A46*C$11+C$10)*($B$3*FixedParams!$B$31+(1-$B$3)*$A46^(($B$5-1)/$B$5))^($B$5/(1-$B$5))</f>
        <v>204578.84197289654</v>
      </c>
      <c r="D46" s="7">
        <f>($A46*D$11+D$10)*($B$3*FixedParams!$B$31+(1-$B$3)*$A46^(($B$5-1)/$B$5))^($B$5/(1-$B$5))</f>
        <v>144610.85341735921</v>
      </c>
    </row>
    <row r="47" spans="1:4" x14ac:dyDescent="0.15">
      <c r="A47">
        <f t="shared" si="0"/>
        <v>2.100000000000001</v>
      </c>
      <c r="B47" s="7">
        <f>($A47*B$11+B$10)*($B$3*FixedParams!$B$31+(1-$B$3)*$A47^(($B$5-1)/$B$5))^($B$5/(1-$B$5))</f>
        <v>152292.64519000449</v>
      </c>
      <c r="C47" s="7">
        <f>($A47*C$11+C$10)*($B$3*FixedParams!$B$31+(1-$B$3)*$A47^(($B$5-1)/$B$5))^($B$5/(1-$B$5))</f>
        <v>207570.71677405079</v>
      </c>
      <c r="D47" s="7">
        <f>($A47*D$11+D$10)*($B$3*FixedParams!$B$31+(1-$B$3)*$A47^(($B$5-1)/$B$5))^($B$5/(1-$B$5))</f>
        <v>146748.49435667961</v>
      </c>
    </row>
    <row r="48" spans="1:4" x14ac:dyDescent="0.15">
      <c r="A48">
        <f t="shared" si="0"/>
        <v>2.1500000000000008</v>
      </c>
      <c r="B48" s="7">
        <f>($A48*B$11+B$10)*($B$3*FixedParams!$B$31+(1-$B$3)*$A48^(($B$5-1)/$B$5))^($B$5/(1-$B$5))</f>
        <v>154613.06062349229</v>
      </c>
      <c r="C48" s="7">
        <f>($A48*C$11+C$10)*($B$3*FixedParams!$B$31+(1-$B$3)*$A48^(($B$5-1)/$B$5))^($B$5/(1-$B$5))</f>
        <v>210644.16271450403</v>
      </c>
      <c r="D48" s="7">
        <f>($A48*D$11+D$10)*($B$3*FixedParams!$B$31+(1-$B$3)*$A48^(($B$5-1)/$B$5))^($B$5/(1-$B$5))</f>
        <v>148943.46849851584</v>
      </c>
    </row>
    <row r="49" spans="1:4" x14ac:dyDescent="0.15">
      <c r="A49">
        <f t="shared" si="0"/>
        <v>2.2000000000000006</v>
      </c>
      <c r="B49" s="7">
        <f>($A49*B$11+B$10)*($B$3*FixedParams!$B$31+(1-$B$3)*$A49^(($B$5-1)/$B$5))^($B$5/(1-$B$5))</f>
        <v>156988.3086776931</v>
      </c>
      <c r="C49" s="7">
        <f>($A49*C$11+C$10)*($B$3*FixedParams!$B$31+(1-$B$3)*$A49^(($B$5-1)/$B$5))^($B$5/(1-$B$5))</f>
        <v>213793.5170521737</v>
      </c>
      <c r="D49" s="7">
        <f>($A49*D$11+D$10)*($B$3*FixedParams!$B$31+(1-$B$3)*$A49^(($B$5-1)/$B$5))^($B$5/(1-$B$5))</f>
        <v>151191.8177469903</v>
      </c>
    </row>
    <row r="50" spans="1:4" x14ac:dyDescent="0.15">
      <c r="A50">
        <f t="shared" si="0"/>
        <v>2.2500000000000004</v>
      </c>
      <c r="B50" s="7">
        <f>($A50*B$11+B$10)*($B$3*FixedParams!$B$31+(1-$B$3)*$A50^(($B$5-1)/$B$5))^($B$5/(1-$B$5))</f>
        <v>159414.57790658664</v>
      </c>
      <c r="C50" s="7">
        <f>($A50*C$11+C$10)*($B$3*FixedParams!$B$31+(1-$B$3)*$A50^(($B$5-1)/$B$5))^($B$5/(1-$B$5))</f>
        <v>217013.42588196287</v>
      </c>
      <c r="D50" s="7">
        <f>($A50*D$11+D$10)*($B$3*FixedParams!$B$31+(1-$B$3)*$A50^(($B$5-1)/$B$5))^($B$5/(1-$B$5))</f>
        <v>153489.79639519661</v>
      </c>
    </row>
    <row r="51" spans="1:4" x14ac:dyDescent="0.15">
      <c r="A51">
        <f t="shared" si="0"/>
        <v>2.3000000000000003</v>
      </c>
      <c r="B51" s="7">
        <f>($A51*B$11+B$10)*($B$3*FixedParams!$B$31+(1-$B$3)*$A51^(($B$5-1)/$B$5))^($B$5/(1-$B$5))</f>
        <v>161888.27115091778</v>
      </c>
      <c r="C51" s="7">
        <f>($A51*C$11+C$10)*($B$3*FixedParams!$B$31+(1-$B$3)*$A51^(($B$5-1)/$B$5))^($B$5/(1-$B$5))</f>
        <v>220298.84832479505</v>
      </c>
      <c r="D51" s="7">
        <f>($A51*D$11+D$10)*($B$3*FixedParams!$B$31+(1-$B$3)*$A51^(($B$5-1)/$B$5))^($B$5/(1-$B$5))</f>
        <v>155833.87484614138</v>
      </c>
    </row>
    <row r="52" spans="1:4" x14ac:dyDescent="0.15">
      <c r="A52">
        <f t="shared" si="0"/>
        <v>2.35</v>
      </c>
      <c r="B52" s="7">
        <f>($A52*B$11+B$10)*($B$3*FixedParams!$B$31+(1-$B$3)*$A52^(($B$5-1)/$B$5))^($B$5/(1-$B$5))</f>
        <v>164406.00672145415</v>
      </c>
      <c r="C52" s="7">
        <f>($A52*C$11+C$10)*($B$3*FixedParams!$B$31+(1-$B$3)*$A52^(($B$5-1)/$B$5))^($B$5/(1-$B$5))</f>
        <v>223645.05544289562</v>
      </c>
      <c r="D52" s="7">
        <f>($A52*D$11+D$10)*($B$3*FixedParams!$B$31+(1-$B$3)*$A52^(($B$5-1)/$B$5))^($B$5/(1-$B$5))</f>
        <v>158220.73951427624</v>
      </c>
    </row>
    <row r="53" spans="1:4" x14ac:dyDescent="0.15">
      <c r="A53">
        <f t="shared" si="0"/>
        <v>2.4</v>
      </c>
      <c r="B53" s="7">
        <f>($A53*B$11+B$10)*($B$3*FixedParams!$B$31+(1-$B$3)*$A53^(($B$5-1)/$B$5))^($B$5/(1-$B$5))</f>
        <v>166964.61622274978</v>
      </c>
      <c r="C53" s="7">
        <f>($A53*C$11+C$10)*($B$3*FixedParams!$B$31+(1-$B$3)*$A53^(($B$5-1)/$B$5))^($B$5/(1-$B$5))</f>
        <v>227047.62490481418</v>
      </c>
      <c r="D53" s="7">
        <f>($A53*D$11+D$10)*($B$3*FixedParams!$B$31+(1-$B$3)*$A53^(($B$5-1)/$B$5))^($B$5/(1-$B$5))</f>
        <v>160647.28964074462</v>
      </c>
    </row>
    <row r="54" spans="1:4" x14ac:dyDescent="0.15">
      <c r="A54">
        <f t="shared" si="0"/>
        <v>2.4499999999999997</v>
      </c>
      <c r="B54" s="7">
        <f>($A54*B$11+B$10)*($B$3*FixedParams!$B$31+(1-$B$3)*$A54^(($B$5-1)/$B$5))^($B$5/(1-$B$5))</f>
        <v>169561.13973111898</v>
      </c>
      <c r="C54" s="7">
        <f>($A54*C$11+C$10)*($B$3*FixedParams!$B$31+(1-$B$3)*$A54^(($B$5-1)/$B$5))^($B$5/(1-$B$5))</f>
        <v>230502.43233752676</v>
      </c>
      <c r="D54" s="7">
        <f>($A54*D$11+D$10)*($B$3*FixedParams!$B$31+(1-$B$3)*$A54^(($B$5-1)/$B$5))^($B$5/(1-$B$5))</f>
        <v>163110.63169380106</v>
      </c>
    </row>
    <row r="55" spans="1:4" x14ac:dyDescent="0.15">
      <c r="A55">
        <f t="shared" si="0"/>
        <v>2.4999999999999996</v>
      </c>
      <c r="B55" s="7">
        <f>($A55*B$11+B$10)*($B$3*FixedParams!$B$31+(1-$B$3)*$A55^(($B$5-1)/$B$5))^($B$5/(1-$B$5))</f>
        <v>172192.8189602624</v>
      </c>
      <c r="C55" s="7">
        <f>($A55*C$11+C$10)*($B$3*FixedParams!$B$31+(1-$B$3)*$A55^(($B$5-1)/$B$5))^($B$5/(1-$B$5))</f>
        <v>234005.64019645134</v>
      </c>
      <c r="D55" s="7">
        <f>($A55*D$11+D$10)*($B$3*FixedParams!$B$31+(1-$B$3)*$A55^(($B$5-1)/$B$5))^($B$5/(1-$B$5))</f>
        <v>165608.0719498471</v>
      </c>
    </row>
    <row r="56" spans="1:4" x14ac:dyDescent="0.15">
      <c r="A56">
        <f t="shared" si="0"/>
        <v>2.5499999999999994</v>
      </c>
      <c r="B56" s="7">
        <f>($A56*B$11+B$10)*($B$3*FixedParams!$B$31+(1-$B$3)*$A56^(($B$5-1)/$B$5))^($B$5/(1-$B$5))</f>
        <v>174857.08896197754</v>
      </c>
      <c r="C56" s="7">
        <f>($A56*C$11+C$10)*($B$3*FixedParams!$B$31+(1-$B$3)*$A56^(($B$5-1)/$B$5))^($B$5/(1-$B$5))</f>
        <v>237553.68486975605</v>
      </c>
      <c r="D56" s="7">
        <f>($A56*D$11+D$10)*($B$3*FixedParams!$B$31+(1-$B$3)*$A56^(($B$5-1)/$B$5))^($B$5/(1-$B$5))</f>
        <v>168137.10776892264</v>
      </c>
    </row>
    <row r="57" spans="1:4" x14ac:dyDescent="0.15">
      <c r="A57">
        <f t="shared" si="0"/>
        <v>2.5999999999999992</v>
      </c>
      <c r="B57" s="7">
        <f>($A57*B$11+B$10)*($B$3*FixedParams!$B$31+(1-$B$3)*$A57^(($B$5-1)/$B$5))^($B$5/(1-$B$5))</f>
        <v>177551.56882402702</v>
      </c>
      <c r="C57" s="7">
        <f>($A57*C$11+C$10)*($B$3*FixedParams!$B$31+(1-$B$3)*$A57^(($B$5-1)/$B$5))^($B$5/(1-$B$5))</f>
        <v>241143.26261968986</v>
      </c>
      <c r="D57" s="7">
        <f>($A57*D$11+D$10)*($B$3*FixedParams!$B$31+(1-$B$3)*$A57^(($B$5-1)/$B$5))^($B$5/(1-$B$5))</f>
        <v>170695.41799747854</v>
      </c>
    </row>
    <row r="58" spans="1:4" x14ac:dyDescent="0.15">
      <c r="A58">
        <f t="shared" si="0"/>
        <v>2.649999999999999</v>
      </c>
      <c r="B58" s="7">
        <f>($A58*B$11+B$10)*($B$3*FixedParams!$B$31+(1-$B$3)*$A58^(($B$5-1)/$B$5))^($B$5/(1-$B$5))</f>
        <v>180274.05174675008</v>
      </c>
      <c r="C58" s="7">
        <f>($A58*C$11+C$10)*($B$3*FixedParams!$B$31+(1-$B$3)*$A58^(($B$5-1)/$B$5))^($B$5/(1-$B$5))</f>
        <v>244771.31485654597</v>
      </c>
      <c r="D58" s="7">
        <f>($A58*D$11+D$10)*($B$3*FixedParams!$B$31+(1-$B$3)*$A58^(($B$5-1)/$B$5))^($B$5/(1-$B$5))</f>
        <v>173280.85285488196</v>
      </c>
    </row>
    <row r="59" spans="1:4" x14ac:dyDescent="0.15">
      <c r="A59">
        <f t="shared" si="0"/>
        <v>2.6999999999999988</v>
      </c>
      <c r="B59" s="7">
        <f>($A59*B$11+B$10)*($B$3*FixedParams!$B$31+(1-$B$3)*$A59^(($B$5-1)/$B$5))^($B$5/(1-$B$5))</f>
        <v>183022.49480687905</v>
      </c>
      <c r="C59" s="7">
        <f>($A59*C$11+C$10)*($B$3*FixedParams!$B$31+(1-$B$3)*$A59^(($B$5-1)/$B$5))^($B$5/(1-$B$5))</f>
        <v>248435.01314367462</v>
      </c>
      <c r="D59" s="7">
        <f>($A59*D$11+D$10)*($B$3*FixedParams!$B$31+(1-$B$3)*$A59^(($B$5-1)/$B$5))^($B$5/(1-$B$5))</f>
        <v>175891.42359078163</v>
      </c>
    </row>
    <row r="60" spans="1:4" x14ac:dyDescent="0.15">
      <c r="A60">
        <f t="shared" si="0"/>
        <v>2.7499999999999987</v>
      </c>
      <c r="B60" s="7">
        <f>($A60*B$11+B$10)*($B$3*FixedParams!$B$31+(1-$B$3)*$A60^(($B$5-1)/$B$5))^($B$5/(1-$B$5))</f>
        <v>185795.0086524972</v>
      </c>
      <c r="C60" s="7">
        <f>($A60*C$11+C$10)*($B$3*FixedParams!$B$31+(1-$B$3)*$A60^(($B$5-1)/$B$5))^($B$5/(1-$B$5))</f>
        <v>252131.74424634513</v>
      </c>
      <c r="D60" s="7">
        <f>($A60*D$11+D$10)*($B$3*FixedParams!$B$31+(1-$B$3)*$A60^(($B$5-1)/$B$5))^($B$5/(1-$B$5))</f>
        <v>178525.29213935236</v>
      </c>
    </row>
    <row r="61" spans="1:4" x14ac:dyDescent="0.15">
      <c r="A61">
        <f t="shared" si="0"/>
        <v>2.7999999999999985</v>
      </c>
      <c r="B61" s="7">
        <f>($A61*B$11+B$10)*($B$3*FixedParams!$B$31+(1-$B$3)*$A61^(($B$5-1)/$B$5))^($B$5/(1-$B$5))</f>
        <v>188589.84731747129</v>
      </c>
      <c r="C61" s="7">
        <f>($A61*C$11+C$10)*($B$3*FixedParams!$B$31+(1-$B$3)*$A61^(($B$5-1)/$B$5))^($B$5/(1-$B$5))</f>
        <v>255859.09546364687</v>
      </c>
      <c r="D61" s="7">
        <f>($A61*D$11+D$10)*($B$3*FixedParams!$B$31+(1-$B$3)*$A61^(($B$5-1)/$B$5))^($B$5/(1-$B$5))</f>
        <v>181180.76094385894</v>
      </c>
    </row>
    <row r="62" spans="1:4" x14ac:dyDescent="0.15">
      <c r="A62">
        <f t="shared" si="0"/>
        <v>2.8499999999999983</v>
      </c>
      <c r="B62" s="7">
        <f>($A62*B$11+B$10)*($B$3*FixedParams!$B$31+(1-$B$3)*$A62^(($B$5-1)/$B$5))^($B$5/(1-$B$5))</f>
        <v>191405.39829674989</v>
      </c>
      <c r="C62" s="7">
        <f>($A62*C$11+C$10)*($B$3*FixedParams!$B$31+(1-$B$3)*$A62^(($B$5-1)/$B$5))^($B$5/(1-$B$5))</f>
        <v>259614.84042064575</v>
      </c>
      <c r="D62" s="7">
        <f>($A62*D$11+D$10)*($B$3*FixedParams!$B$31+(1-$B$3)*$A62^(($B$5-1)/$B$5))^($B$5/(1-$B$5))</f>
        <v>183856.26308066718</v>
      </c>
    </row>
    <row r="63" spans="1:4" x14ac:dyDescent="0.15">
      <c r="A63">
        <f t="shared" si="0"/>
        <v>2.8999999999999981</v>
      </c>
      <c r="B63" s="7">
        <f>($A63*B$11+B$10)*($B$3*FixedParams!$B$31+(1-$B$3)*$A63^(($B$5-1)/$B$5))^($B$5/(1-$B$5))</f>
        <v>194240.17298499541</v>
      </c>
      <c r="C63" s="7">
        <f>($A63*C$11+C$10)*($B$3*FixedParams!$B$31+(1-$B$3)*$A63^(($B$5-1)/$B$5))^($B$5/(1-$B$5))</f>
        <v>263396.92544679809</v>
      </c>
      <c r="D63" s="7">
        <f>($A63*D$11+D$10)*($B$3*FixedParams!$B$31+(1-$B$3)*$A63^(($B$5-1)/$B$5))^($B$5/(1-$B$5))</f>
        <v>186550.35277516805</v>
      </c>
    </row>
    <row r="64" spans="1:4" x14ac:dyDescent="0.15">
      <c r="A64">
        <f t="shared" si="0"/>
        <v>2.949999999999998</v>
      </c>
      <c r="B64" s="7">
        <f>($A64*B$11+B$10)*($B$3*FixedParams!$B$31+(1-$B$3)*$A64^(($B$5-1)/$B$5))^($B$5/(1-$B$5))</f>
        <v>197092.79754929108</v>
      </c>
      <c r="C64" s="7">
        <f>($A64*C$11+C$10)*($B$3*FixedParams!$B$31+(1-$B$3)*$A64^(($B$5-1)/$B$5))^($B$5/(1-$B$5))</f>
        <v>267203.45662504423</v>
      </c>
      <c r="D64" s="7">
        <f>($A64*D$11+D$10)*($B$3*FixedParams!$B$31+(1-$B$3)*$A64^(($B$5-1)/$B$5))^($B$5/(1-$B$5))</f>
        <v>189261.69637227195</v>
      </c>
    </row>
    <row r="65" spans="1:4" x14ac:dyDescent="0.15">
      <c r="A65">
        <f t="shared" si="0"/>
        <v>2.9999999999999978</v>
      </c>
      <c r="B65" s="7">
        <f>($A65*B$11+B$10)*($B$3*FixedParams!$B$31+(1-$B$3)*$A65^(($B$5-1)/$B$5))^($B$5/(1-$B$5))</f>
        <v>199962.00428122078</v>
      </c>
      <c r="C65" s="7">
        <f>($A65*C$11+C$10)*($B$3*FixedParams!$B$31+(1-$B$3)*$A65^(($B$5-1)/$B$5))^($B$5/(1-$B$5))</f>
        <v>271032.68756282033</v>
      </c>
      <c r="D65" s="7">
        <f>($A65*D$11+D$10)*($B$3*FixedParams!$B$31+(1-$B$3)*$A65^(($B$5-1)/$B$5))^($B$5/(1-$B$5))</f>
        <v>191989.06380030079</v>
      </c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2:F38"/>
  <sheetViews>
    <sheetView workbookViewId="0">
      <selection activeCell="J45" sqref="J45"/>
    </sheetView>
  </sheetViews>
  <sheetFormatPr baseColWidth="10" defaultColWidth="8.83203125" defaultRowHeight="14" x14ac:dyDescent="0.15"/>
  <cols>
    <col min="1" max="1" width="21.5" bestFit="1" customWidth="1"/>
    <col min="8" max="8" width="12.5" bestFit="1" customWidth="1"/>
  </cols>
  <sheetData>
    <row r="2" spans="1:6" x14ac:dyDescent="0.15">
      <c r="A2" t="s">
        <v>4</v>
      </c>
      <c r="B2" s="24">
        <f>Sectors!B10</f>
        <v>1.5</v>
      </c>
      <c r="C2" s="24"/>
      <c r="D2" s="24">
        <v>2</v>
      </c>
      <c r="E2">
        <v>0.999</v>
      </c>
      <c r="F2">
        <v>0.5</v>
      </c>
    </row>
    <row r="3" spans="1:6" x14ac:dyDescent="0.15">
      <c r="A3" t="s">
        <v>101</v>
      </c>
      <c r="B3" s="7">
        <f>FixedParams!B32</f>
        <v>32381.22</v>
      </c>
    </row>
    <row r="4" spans="1:6" x14ac:dyDescent="0.15">
      <c r="A4" t="s">
        <v>102</v>
      </c>
      <c r="B4" s="7">
        <f>FixedParams!B33</f>
        <v>82813.23</v>
      </c>
    </row>
    <row r="5" spans="1:6" x14ac:dyDescent="0.15">
      <c r="A5" t="s">
        <v>107</v>
      </c>
      <c r="B5" s="7">
        <v>9000</v>
      </c>
    </row>
    <row r="6" spans="1:6" x14ac:dyDescent="0.15">
      <c r="A6" t="s">
        <v>108</v>
      </c>
      <c r="B6">
        <v>0.25</v>
      </c>
    </row>
    <row r="7" spans="1:6" x14ac:dyDescent="0.15">
      <c r="A7" t="s">
        <v>109</v>
      </c>
      <c r="B7" s="7">
        <f>2000/((1+0.0765)*(1-0.39))</f>
        <v>3045.6930093731203</v>
      </c>
    </row>
    <row r="8" spans="1:6" x14ac:dyDescent="0.15">
      <c r="A8" t="s">
        <v>113</v>
      </c>
      <c r="B8" s="7">
        <f>B4-B6*B5</f>
        <v>80563.23</v>
      </c>
    </row>
    <row r="9" spans="1:6" x14ac:dyDescent="0.15">
      <c r="A9" t="s">
        <v>114</v>
      </c>
      <c r="B9" s="7">
        <f>B4+B7</f>
        <v>85858.923009373117</v>
      </c>
    </row>
    <row r="10" spans="1:6" x14ac:dyDescent="0.15">
      <c r="A10" t="s">
        <v>115</v>
      </c>
      <c r="B10" s="7">
        <f>B7+B3</f>
        <v>35426.913009373122</v>
      </c>
    </row>
    <row r="11" spans="1:6" x14ac:dyDescent="0.15">
      <c r="A11" t="s">
        <v>117</v>
      </c>
      <c r="B11" s="7">
        <f>B3-B6*B5</f>
        <v>30131.22</v>
      </c>
    </row>
    <row r="12" spans="1:6" x14ac:dyDescent="0.15">
      <c r="A12" t="s">
        <v>119</v>
      </c>
      <c r="B12" s="7">
        <v>7946.4</v>
      </c>
    </row>
    <row r="13" spans="1:6" x14ac:dyDescent="0.15">
      <c r="A13" s="36" t="s">
        <v>26</v>
      </c>
    </row>
    <row r="14" spans="1:6" x14ac:dyDescent="0.15">
      <c r="A14" s="36" t="s">
        <v>120</v>
      </c>
      <c r="B14" s="24">
        <f>(FixedParams!B6-FixedParams!B7)/(FixedParams!B8-FixedParams!B9)</f>
        <v>2.9772385044359457</v>
      </c>
      <c r="C14" s="24">
        <f>$B$3*(1+FixedParams!$B$25)/($B$4*(1+FixedParams!$B$28))</f>
        <v>0.3745928365283252</v>
      </c>
      <c r="D14" s="17">
        <f>1/($B14^(1/D$2)/$C14+1)</f>
        <v>0.1783724061518967</v>
      </c>
      <c r="E14" s="17">
        <f t="shared" ref="E14:F16" si="0">1/($B14^(1/E$2)/$C14+1)</f>
        <v>0.11164929938852575</v>
      </c>
      <c r="F14" s="17">
        <f t="shared" si="0"/>
        <v>4.0546748459154368E-2</v>
      </c>
    </row>
    <row r="15" spans="1:6" x14ac:dyDescent="0.15">
      <c r="A15" s="36" t="s">
        <v>121</v>
      </c>
      <c r="B15" s="24">
        <f>FixedParams!B7/FixedParams!B9</f>
        <v>0.559982662957762</v>
      </c>
      <c r="C15" s="24">
        <f>$B$3*(1+FixedParams!$B$23)/($B$4*(1+FixedParams!$B$26))</f>
        <v>0.39101505882574566</v>
      </c>
      <c r="D15" s="17">
        <f>1/($B15^(1/D$2)/$C15+1)</f>
        <v>0.34319587759424508</v>
      </c>
      <c r="E15" s="17">
        <f t="shared" si="0"/>
        <v>0.41130351559643463</v>
      </c>
      <c r="F15" s="17">
        <f t="shared" si="0"/>
        <v>0.55494958486569201</v>
      </c>
    </row>
    <row r="16" spans="1:6" x14ac:dyDescent="0.15">
      <c r="A16" s="36" t="s">
        <v>122</v>
      </c>
      <c r="B16" s="24">
        <f>FixedParams!$B$6/FixedParams!$B$8</f>
        <v>1.9919469913066425</v>
      </c>
      <c r="C16" s="24">
        <f>AVERAGE(C14:C15)</f>
        <v>0.38280394767703541</v>
      </c>
      <c r="D16" s="17">
        <f>1/($B16^(1/D$2)/$C16+1)</f>
        <v>0.21336020975807779</v>
      </c>
      <c r="E16" s="17">
        <f t="shared" si="0"/>
        <v>0.16110426561346672</v>
      </c>
      <c r="F16" s="17">
        <f t="shared" si="0"/>
        <v>8.798762312337699E-2</v>
      </c>
    </row>
    <row r="17" spans="1:6" x14ac:dyDescent="0.15">
      <c r="A17" s="22"/>
    </row>
    <row r="18" spans="1:6" x14ac:dyDescent="0.15">
      <c r="A18" s="115" t="s">
        <v>110</v>
      </c>
      <c r="B18" s="115"/>
      <c r="C18" s="115"/>
      <c r="D18" s="115" t="s">
        <v>118</v>
      </c>
      <c r="E18" s="115"/>
      <c r="F18" s="115"/>
    </row>
    <row r="19" spans="1:6" x14ac:dyDescent="0.15">
      <c r="A19" s="22" t="s">
        <v>111</v>
      </c>
      <c r="B19" t="s">
        <v>112</v>
      </c>
      <c r="C19" s="22" t="s">
        <v>116</v>
      </c>
      <c r="D19" t="str">
        <f>"factor subs. = "&amp;TEXT(D$2,"0.0")</f>
        <v>factor subs. = 2.0</v>
      </c>
      <c r="E19" t="str">
        <f>"factor subs. = "&amp;TEXT(E$2,"0.0")</f>
        <v>factor subs. = 1.0</v>
      </c>
      <c r="F19" t="str">
        <f>"factor subs. = "&amp;TEXT(F$2,"0.0")</f>
        <v>factor subs. = 0.5</v>
      </c>
    </row>
    <row r="20" spans="1:6" x14ac:dyDescent="0.15">
      <c r="A20" s="7">
        <v>4000</v>
      </c>
      <c r="B20" s="7">
        <f t="shared" ref="B20:B38" si="1">A20/(1-$B$6)</f>
        <v>5333.333333333333</v>
      </c>
      <c r="C20" s="7">
        <f t="shared" ref="C20:C38" si="2">$B20+$B$11</f>
        <v>35464.553333333337</v>
      </c>
      <c r="D20">
        <f>1/((($B$9^(1-D$2)-$B$8^(1-D$2))/($C20^(1-D$2)-$B$10^(1-D$2)))^(-1/D$2)+1)</f>
        <v>0.83485241282881151</v>
      </c>
      <c r="E20">
        <f>1/((($B$9^(1-E$2)-$B$8^(1-E$2))/($C20^(1-E$2)-$B$10^(1-E$2)))^(-1/E$2)+1)</f>
        <v>0.98367318000887638</v>
      </c>
      <c r="F20">
        <f>1/((($B$9^(1-F$2)-$B$8^(1-F$2))/($C20^(1-F$2)-$B$10^(1-F$2)))^(-1/F$2)+1)</f>
        <v>0.99988144582846539</v>
      </c>
    </row>
    <row r="21" spans="1:6" x14ac:dyDescent="0.15">
      <c r="A21" s="7">
        <v>4500</v>
      </c>
      <c r="B21" s="7">
        <f t="shared" si="1"/>
        <v>6000</v>
      </c>
      <c r="C21" s="7">
        <f t="shared" si="2"/>
        <v>36131.22</v>
      </c>
      <c r="D21">
        <f t="shared" ref="D21:F38" si="3">1/((($B$9^(1-D$2)-$B$8^(1-D$2))/($C21^(1-D$2)-$B$10^(1-D$2)))^(-1/D$2)+1)</f>
        <v>0.54119590502183534</v>
      </c>
      <c r="E21">
        <f t="shared" si="3"/>
        <v>0.76418134033471019</v>
      </c>
      <c r="F21">
        <f t="shared" si="3"/>
        <v>0.96049726180020945</v>
      </c>
    </row>
    <row r="22" spans="1:6" x14ac:dyDescent="0.15">
      <c r="A22" s="7">
        <v>5000</v>
      </c>
      <c r="B22" s="7">
        <f t="shared" si="1"/>
        <v>6666.666666666667</v>
      </c>
      <c r="C22" s="7">
        <f t="shared" si="2"/>
        <v>36797.886666666665</v>
      </c>
      <c r="D22">
        <f t="shared" si="3"/>
        <v>0.46040023600250368</v>
      </c>
      <c r="E22">
        <f t="shared" si="3"/>
        <v>0.62672645371587976</v>
      </c>
      <c r="F22">
        <f t="shared" si="3"/>
        <v>0.86624572838830238</v>
      </c>
    </row>
    <row r="23" spans="1:6" x14ac:dyDescent="0.15">
      <c r="A23" s="7">
        <v>5500</v>
      </c>
      <c r="B23" s="7">
        <f t="shared" si="1"/>
        <v>7333.333333333333</v>
      </c>
      <c r="C23" s="7">
        <f t="shared" si="2"/>
        <v>37464.553333333337</v>
      </c>
      <c r="D23">
        <f t="shared" si="3"/>
        <v>0.41389425454848683</v>
      </c>
      <c r="E23">
        <f t="shared" si="3"/>
        <v>0.5325983081653386</v>
      </c>
      <c r="F23">
        <f t="shared" si="3"/>
        <v>0.74738324695097247</v>
      </c>
    </row>
    <row r="24" spans="1:6" x14ac:dyDescent="0.15">
      <c r="A24" s="7">
        <v>6000</v>
      </c>
      <c r="B24" s="7">
        <f t="shared" si="1"/>
        <v>8000</v>
      </c>
      <c r="C24" s="7">
        <f t="shared" si="2"/>
        <v>38131.22</v>
      </c>
      <c r="D24">
        <f t="shared" si="3"/>
        <v>0.38211109860276038</v>
      </c>
      <c r="E24">
        <f t="shared" si="3"/>
        <v>0.46410092345825393</v>
      </c>
      <c r="F24">
        <f t="shared" si="3"/>
        <v>0.62891380987389067</v>
      </c>
    </row>
    <row r="25" spans="1:6" x14ac:dyDescent="0.15">
      <c r="A25" s="7">
        <v>6500</v>
      </c>
      <c r="B25" s="7">
        <f t="shared" si="1"/>
        <v>8666.6666666666661</v>
      </c>
      <c r="C25" s="7">
        <f t="shared" si="2"/>
        <v>38797.886666666665</v>
      </c>
      <c r="D25">
        <f t="shared" si="3"/>
        <v>0.35844744939802314</v>
      </c>
      <c r="E25">
        <f t="shared" si="3"/>
        <v>0.41201655671970705</v>
      </c>
      <c r="F25">
        <f t="shared" si="3"/>
        <v>0.52390484131395121</v>
      </c>
    </row>
    <row r="26" spans="1:6" x14ac:dyDescent="0.15">
      <c r="A26" s="7">
        <v>7000</v>
      </c>
      <c r="B26" s="7">
        <f t="shared" si="1"/>
        <v>9333.3333333333339</v>
      </c>
      <c r="C26" s="7">
        <f t="shared" si="2"/>
        <v>39464.553333333337</v>
      </c>
      <c r="D26">
        <f t="shared" si="3"/>
        <v>0.33988204866764532</v>
      </c>
      <c r="E26">
        <f t="shared" si="3"/>
        <v>0.37107334569144396</v>
      </c>
      <c r="F26">
        <f t="shared" si="3"/>
        <v>0.43622548448649684</v>
      </c>
    </row>
    <row r="27" spans="1:6" x14ac:dyDescent="0.15">
      <c r="A27" s="7">
        <v>7500</v>
      </c>
      <c r="B27" s="7">
        <f t="shared" si="1"/>
        <v>10000</v>
      </c>
      <c r="C27" s="7">
        <f t="shared" si="2"/>
        <v>40131.22</v>
      </c>
      <c r="D27">
        <f t="shared" si="3"/>
        <v>0.32478821905560523</v>
      </c>
      <c r="E27">
        <f t="shared" si="3"/>
        <v>0.33803850878016467</v>
      </c>
      <c r="F27">
        <f t="shared" si="3"/>
        <v>0.36505002181957452</v>
      </c>
    </row>
    <row r="28" spans="1:6" x14ac:dyDescent="0.15">
      <c r="A28" s="7">
        <v>8000</v>
      </c>
      <c r="B28" s="7">
        <f t="shared" si="1"/>
        <v>10666.666666666666</v>
      </c>
      <c r="C28" s="7">
        <f t="shared" si="2"/>
        <v>40797.886666666665</v>
      </c>
      <c r="D28">
        <f t="shared" si="3"/>
        <v>0.31219431302036965</v>
      </c>
      <c r="E28">
        <f t="shared" si="3"/>
        <v>0.31081957788707854</v>
      </c>
      <c r="F28">
        <f t="shared" si="3"/>
        <v>0.3078773243821093</v>
      </c>
    </row>
    <row r="29" spans="1:6" x14ac:dyDescent="0.15">
      <c r="A29" s="7">
        <v>8500</v>
      </c>
      <c r="B29" s="7">
        <f t="shared" si="1"/>
        <v>11333.333333333334</v>
      </c>
      <c r="C29" s="7">
        <f t="shared" si="2"/>
        <v>41464.553333333337</v>
      </c>
      <c r="D29">
        <f t="shared" si="3"/>
        <v>0.30147617825856926</v>
      </c>
      <c r="E29">
        <f t="shared" si="3"/>
        <v>0.28800242516156777</v>
      </c>
      <c r="F29">
        <f t="shared" si="3"/>
        <v>0.26198762550452664</v>
      </c>
    </row>
    <row r="30" spans="1:6" x14ac:dyDescent="0.15">
      <c r="A30" s="7">
        <v>9000</v>
      </c>
      <c r="B30" s="7">
        <f t="shared" si="1"/>
        <v>12000</v>
      </c>
      <c r="C30" s="7">
        <f t="shared" si="2"/>
        <v>42131.22</v>
      </c>
      <c r="D30">
        <f t="shared" si="3"/>
        <v>0.292210629750012</v>
      </c>
      <c r="E30">
        <f t="shared" si="3"/>
        <v>0.26859701862501506</v>
      </c>
      <c r="F30">
        <f t="shared" si="3"/>
        <v>0.22498780076570524</v>
      </c>
    </row>
    <row r="31" spans="1:6" x14ac:dyDescent="0.15">
      <c r="A31" s="7">
        <v>9500</v>
      </c>
      <c r="B31" s="7">
        <f t="shared" si="1"/>
        <v>12666.666666666666</v>
      </c>
      <c r="C31" s="7">
        <f t="shared" si="2"/>
        <v>42797.886666666665</v>
      </c>
      <c r="D31">
        <f t="shared" si="3"/>
        <v>0.28409848459290765</v>
      </c>
      <c r="E31">
        <f t="shared" si="3"/>
        <v>0.25188954213718245</v>
      </c>
      <c r="F31">
        <f t="shared" si="3"/>
        <v>0.19493972205574972</v>
      </c>
    </row>
    <row r="32" spans="1:6" x14ac:dyDescent="0.15">
      <c r="A32" s="7">
        <v>10000</v>
      </c>
      <c r="B32" s="7">
        <f t="shared" si="1"/>
        <v>13333.333333333334</v>
      </c>
      <c r="C32" s="7">
        <f t="shared" si="2"/>
        <v>43464.553333333337</v>
      </c>
      <c r="D32">
        <f t="shared" si="3"/>
        <v>0.27692103999130657</v>
      </c>
      <c r="E32">
        <f t="shared" si="3"/>
        <v>0.2373523539516702</v>
      </c>
      <c r="F32">
        <f t="shared" si="3"/>
        <v>0.17033005616069877</v>
      </c>
    </row>
    <row r="33" spans="1:6" x14ac:dyDescent="0.15">
      <c r="A33" s="7">
        <v>10500</v>
      </c>
      <c r="B33" s="7">
        <f t="shared" si="1"/>
        <v>14000</v>
      </c>
      <c r="C33" s="7">
        <f t="shared" si="2"/>
        <v>44131.22</v>
      </c>
      <c r="D33">
        <f t="shared" si="3"/>
        <v>0.27051399321910496</v>
      </c>
      <c r="E33">
        <f t="shared" si="3"/>
        <v>0.22458700902928544</v>
      </c>
      <c r="F33">
        <f t="shared" si="3"/>
        <v>0.14999494514781986</v>
      </c>
    </row>
    <row r="34" spans="1:6" x14ac:dyDescent="0.15">
      <c r="A34" s="7">
        <v>11000</v>
      </c>
      <c r="B34" s="7">
        <f t="shared" si="1"/>
        <v>14666.666666666666</v>
      </c>
      <c r="C34" s="7">
        <f t="shared" si="2"/>
        <v>44797.886666666665</v>
      </c>
      <c r="D34">
        <f t="shared" si="3"/>
        <v>0.26475106318998559</v>
      </c>
      <c r="E34">
        <f t="shared" si="3"/>
        <v>0.21328699824734043</v>
      </c>
      <c r="F34">
        <f t="shared" si="3"/>
        <v>0.13304303438589016</v>
      </c>
    </row>
    <row r="35" spans="1:6" x14ac:dyDescent="0.15">
      <c r="A35" s="7">
        <v>11500</v>
      </c>
      <c r="B35" s="7">
        <f t="shared" si="1"/>
        <v>15333.333333333334</v>
      </c>
      <c r="C35" s="7">
        <f t="shared" si="2"/>
        <v>45464.553333333337</v>
      </c>
      <c r="D35">
        <f t="shared" si="3"/>
        <v>0.25953329814916676</v>
      </c>
      <c r="E35">
        <f t="shared" si="3"/>
        <v>0.20321267894530834</v>
      </c>
      <c r="F35">
        <f t="shared" si="3"/>
        <v>0.1187904581650425</v>
      </c>
    </row>
    <row r="36" spans="1:6" x14ac:dyDescent="0.15">
      <c r="A36" s="7">
        <v>12000</v>
      </c>
      <c r="B36" s="7">
        <f t="shared" si="1"/>
        <v>16000</v>
      </c>
      <c r="C36" s="7">
        <f t="shared" si="2"/>
        <v>46131.22</v>
      </c>
      <c r="D36">
        <f t="shared" si="3"/>
        <v>0.25478186399032893</v>
      </c>
      <c r="E36">
        <f t="shared" si="3"/>
        <v>0.19417398403316427</v>
      </c>
      <c r="F36">
        <f t="shared" si="3"/>
        <v>0.10670988644807486</v>
      </c>
    </row>
    <row r="37" spans="1:6" x14ac:dyDescent="0.15">
      <c r="A37" s="7">
        <v>12500</v>
      </c>
      <c r="B37" s="7">
        <f t="shared" si="1"/>
        <v>16666.666666666668</v>
      </c>
      <c r="C37" s="7">
        <f t="shared" si="2"/>
        <v>46797.886666666673</v>
      </c>
      <c r="D37">
        <f t="shared" si="3"/>
        <v>0.25043304279574885</v>
      </c>
      <c r="E37">
        <f t="shared" si="3"/>
        <v>0.18601823246636096</v>
      </c>
      <c r="F37">
        <f t="shared" si="3"/>
        <v>9.6391914408806192E-2</v>
      </c>
    </row>
    <row r="38" spans="1:6" x14ac:dyDescent="0.15">
      <c r="A38" s="7">
        <v>13000</v>
      </c>
      <c r="B38" s="7">
        <f t="shared" si="1"/>
        <v>17333.333333333332</v>
      </c>
      <c r="C38" s="7">
        <f t="shared" si="2"/>
        <v>47464.55333333333</v>
      </c>
      <c r="D38">
        <f t="shared" si="3"/>
        <v>0.24643467970958433</v>
      </c>
      <c r="E38">
        <f t="shared" si="3"/>
        <v>0.17862136755850294</v>
      </c>
      <c r="F38">
        <f t="shared" si="3"/>
        <v>8.7516233703292437E-2</v>
      </c>
    </row>
  </sheetData>
  <mergeCells count="2">
    <mergeCell ref="A18:C18"/>
    <mergeCell ref="D18:F18"/>
  </mergeCells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G218"/>
  <sheetViews>
    <sheetView workbookViewId="0">
      <selection activeCell="E24" sqref="E24"/>
    </sheetView>
  </sheetViews>
  <sheetFormatPr baseColWidth="10" defaultColWidth="8.83203125" defaultRowHeight="14" x14ac:dyDescent="0.15"/>
  <cols>
    <col min="1" max="1" width="32" bestFit="1" customWidth="1"/>
    <col min="2" max="2" width="14" bestFit="1" customWidth="1"/>
  </cols>
  <sheetData>
    <row r="1" spans="1:7" x14ac:dyDescent="0.15">
      <c r="B1" s="22" t="s">
        <v>137</v>
      </c>
      <c r="C1" s="22" t="s">
        <v>138</v>
      </c>
    </row>
    <row r="2" spans="1:7" x14ac:dyDescent="0.15">
      <c r="A2" t="s">
        <v>141</v>
      </c>
      <c r="B2">
        <v>0</v>
      </c>
      <c r="C2" s="24">
        <f>FixedParams!B62</f>
        <v>-2.0300054006411243</v>
      </c>
    </row>
    <row r="3" spans="1:7" x14ac:dyDescent="0.15">
      <c r="B3" s="24">
        <f>Sectors!I7</f>
        <v>0.78747614300973667</v>
      </c>
      <c r="C3" s="24">
        <f>C2</f>
        <v>-2.0300054006411243</v>
      </c>
    </row>
    <row r="4" spans="1:7" x14ac:dyDescent="0.15">
      <c r="A4" t="s">
        <v>142</v>
      </c>
      <c r="B4" s="24">
        <f>B3</f>
        <v>0.78747614300973667</v>
      </c>
      <c r="C4" s="24">
        <f>FixedParams!B61</f>
        <v>-0.35915975138139061</v>
      </c>
    </row>
    <row r="5" spans="1:7" x14ac:dyDescent="0.15">
      <c r="B5">
        <v>1</v>
      </c>
      <c r="C5" s="24">
        <f>C4</f>
        <v>-0.35915975138139061</v>
      </c>
    </row>
    <row r="6" spans="1:7" x14ac:dyDescent="0.15">
      <c r="A6" t="s">
        <v>139</v>
      </c>
      <c r="B6">
        <v>0</v>
      </c>
      <c r="C6" s="24">
        <f>FixedParams!C68</f>
        <v>-1.1301129161284098</v>
      </c>
      <c r="G6" s="82">
        <f>FixedParams!C68</f>
        <v>-1.1301129161284098</v>
      </c>
    </row>
    <row r="7" spans="1:7" x14ac:dyDescent="0.15">
      <c r="B7">
        <v>1</v>
      </c>
      <c r="C7" s="24">
        <f>C6</f>
        <v>-1.1301129161284098</v>
      </c>
      <c r="G7" s="82"/>
    </row>
    <row r="8" spans="1:7" x14ac:dyDescent="0.15">
      <c r="A8" t="s">
        <v>140</v>
      </c>
      <c r="B8" s="24">
        <f>B3</f>
        <v>0.78747614300973667</v>
      </c>
      <c r="C8">
        <v>-2.9</v>
      </c>
      <c r="G8" s="82"/>
    </row>
    <row r="9" spans="1:7" x14ac:dyDescent="0.15">
      <c r="B9" s="24">
        <f>B4</f>
        <v>0.78747614300973667</v>
      </c>
      <c r="C9">
        <v>1.4</v>
      </c>
      <c r="G9" s="82"/>
    </row>
    <row r="10" spans="1:7" x14ac:dyDescent="0.15">
      <c r="A10" t="s">
        <v>143</v>
      </c>
      <c r="B10" s="24">
        <f>FixedParams!$C$69</f>
        <v>0.74857476100102172</v>
      </c>
      <c r="C10">
        <f>C8</f>
        <v>-2.9</v>
      </c>
      <c r="G10" s="82"/>
    </row>
    <row r="11" spans="1:7" x14ac:dyDescent="0.15">
      <c r="B11" s="24">
        <f>B10</f>
        <v>0.74857476100102172</v>
      </c>
      <c r="C11">
        <f>C9</f>
        <v>1.4</v>
      </c>
      <c r="G11" s="82"/>
    </row>
    <row r="12" spans="1:7" x14ac:dyDescent="0.15">
      <c r="A12" t="s">
        <v>250</v>
      </c>
      <c r="B12">
        <v>0</v>
      </c>
      <c r="C12" s="24">
        <f>FixedParams!B68</f>
        <v>-0.965940134081817</v>
      </c>
      <c r="G12" s="82">
        <f>FixedParams!B68</f>
        <v>-0.965940134081817</v>
      </c>
    </row>
    <row r="13" spans="1:7" x14ac:dyDescent="0.15">
      <c r="B13">
        <v>1</v>
      </c>
      <c r="C13" s="24">
        <f>C12</f>
        <v>-0.965940134081817</v>
      </c>
      <c r="G13" s="82"/>
    </row>
    <row r="14" spans="1:7" x14ac:dyDescent="0.15">
      <c r="G14" s="82"/>
    </row>
    <row r="15" spans="1:7" x14ac:dyDescent="0.15">
      <c r="A15" t="s">
        <v>246</v>
      </c>
    </row>
    <row r="16" spans="1:7" x14ac:dyDescent="0.15">
      <c r="A16" t="s">
        <v>244</v>
      </c>
      <c r="B16" t="s">
        <v>245</v>
      </c>
    </row>
    <row r="18" spans="1:3" x14ac:dyDescent="0.15">
      <c r="A18" s="4" t="s">
        <v>247</v>
      </c>
      <c r="B18" s="2" t="s">
        <v>248</v>
      </c>
      <c r="C18" s="2" t="s">
        <v>249</v>
      </c>
    </row>
    <row r="19" spans="1:3" x14ac:dyDescent="0.15">
      <c r="A19">
        <v>1</v>
      </c>
      <c r="B19">
        <v>1.5475E-3</v>
      </c>
      <c r="C19">
        <v>-5.064889</v>
      </c>
    </row>
    <row r="20" spans="1:3" x14ac:dyDescent="0.15">
      <c r="A20">
        <v>2</v>
      </c>
      <c r="B20">
        <v>5.7330999999999997E-3</v>
      </c>
      <c r="C20">
        <v>-4.0486009999999997</v>
      </c>
    </row>
    <row r="21" spans="1:3" x14ac:dyDescent="0.15">
      <c r="A21">
        <v>3</v>
      </c>
      <c r="B21">
        <v>9.3913E-3</v>
      </c>
      <c r="C21">
        <v>-3.7436970000000001</v>
      </c>
    </row>
    <row r="22" spans="1:3" x14ac:dyDescent="0.15">
      <c r="A22">
        <v>4</v>
      </c>
      <c r="B22">
        <v>1.30417E-2</v>
      </c>
      <c r="C22">
        <v>-3.512823</v>
      </c>
    </row>
    <row r="23" spans="1:3" x14ac:dyDescent="0.15">
      <c r="A23">
        <v>5</v>
      </c>
      <c r="B23">
        <v>1.6986999999999999E-2</v>
      </c>
      <c r="C23">
        <v>-3.3613819999999999</v>
      </c>
    </row>
    <row r="24" spans="1:3" x14ac:dyDescent="0.15">
      <c r="A24">
        <v>6</v>
      </c>
      <c r="B24">
        <v>2.0553499999999999E-2</v>
      </c>
      <c r="C24">
        <v>-3.2886220000000002</v>
      </c>
    </row>
    <row r="25" spans="1:3" x14ac:dyDescent="0.15">
      <c r="A25">
        <v>7</v>
      </c>
      <c r="B25">
        <v>2.4149799999999999E-2</v>
      </c>
      <c r="C25">
        <v>-3.2214800000000001</v>
      </c>
    </row>
    <row r="26" spans="1:3" x14ac:dyDescent="0.15">
      <c r="A26">
        <v>8</v>
      </c>
      <c r="B26">
        <v>2.8132399999999998E-2</v>
      </c>
      <c r="C26">
        <v>-3.146557</v>
      </c>
    </row>
    <row r="27" spans="1:3" x14ac:dyDescent="0.15">
      <c r="A27">
        <v>9</v>
      </c>
      <c r="B27">
        <v>3.27246E-2</v>
      </c>
      <c r="C27">
        <v>-3.104584</v>
      </c>
    </row>
    <row r="28" spans="1:3" x14ac:dyDescent="0.15">
      <c r="A28">
        <v>10</v>
      </c>
      <c r="B28">
        <v>3.6497799999999997E-2</v>
      </c>
      <c r="C28">
        <v>-3.0626440000000001</v>
      </c>
    </row>
    <row r="29" spans="1:3" x14ac:dyDescent="0.15">
      <c r="A29">
        <v>11</v>
      </c>
      <c r="B29">
        <v>4.1141400000000002E-2</v>
      </c>
      <c r="C29">
        <v>-3.0052449999999999</v>
      </c>
    </row>
    <row r="30" spans="1:3" x14ac:dyDescent="0.15">
      <c r="A30">
        <v>12</v>
      </c>
      <c r="B30">
        <v>4.5981800000000003E-2</v>
      </c>
      <c r="C30">
        <v>-2.9658129999999998</v>
      </c>
    </row>
    <row r="31" spans="1:3" x14ac:dyDescent="0.15">
      <c r="A31">
        <v>13</v>
      </c>
      <c r="B31">
        <v>4.9967600000000001E-2</v>
      </c>
      <c r="C31">
        <v>-2.936334</v>
      </c>
    </row>
    <row r="32" spans="1:3" x14ac:dyDescent="0.15">
      <c r="A32">
        <v>14</v>
      </c>
      <c r="B32">
        <v>5.4970199999999997E-2</v>
      </c>
      <c r="C32">
        <v>-2.8986399999999999</v>
      </c>
    </row>
    <row r="33" spans="1:3" x14ac:dyDescent="0.15">
      <c r="A33">
        <v>15</v>
      </c>
      <c r="B33">
        <v>5.8980499999999998E-2</v>
      </c>
      <c r="C33">
        <v>-2.8655710000000001</v>
      </c>
    </row>
    <row r="34" spans="1:3" x14ac:dyDescent="0.15">
      <c r="A34">
        <v>16</v>
      </c>
      <c r="B34">
        <v>6.3383499999999995E-2</v>
      </c>
      <c r="C34">
        <v>-2.8384369999999999</v>
      </c>
    </row>
    <row r="35" spans="1:3" x14ac:dyDescent="0.15">
      <c r="A35">
        <v>17</v>
      </c>
      <c r="B35">
        <v>6.7824700000000002E-2</v>
      </c>
      <c r="C35">
        <v>-2.8047580000000001</v>
      </c>
    </row>
    <row r="36" spans="1:3" x14ac:dyDescent="0.15">
      <c r="A36">
        <v>18</v>
      </c>
      <c r="B36">
        <v>7.2904999999999998E-2</v>
      </c>
      <c r="C36">
        <v>-2.7771479999999999</v>
      </c>
    </row>
    <row r="37" spans="1:3" x14ac:dyDescent="0.15">
      <c r="A37">
        <v>19</v>
      </c>
      <c r="B37">
        <v>7.7019099999999993E-2</v>
      </c>
      <c r="C37">
        <v>-2.7423329999999999</v>
      </c>
    </row>
    <row r="38" spans="1:3" x14ac:dyDescent="0.15">
      <c r="A38">
        <v>20</v>
      </c>
      <c r="B38">
        <v>8.2304299999999997E-2</v>
      </c>
      <c r="C38">
        <v>-2.718118</v>
      </c>
    </row>
    <row r="39" spans="1:3" x14ac:dyDescent="0.15">
      <c r="A39">
        <v>21</v>
      </c>
      <c r="B39">
        <v>8.7465500000000002E-2</v>
      </c>
      <c r="C39">
        <v>-2.6973129999999998</v>
      </c>
    </row>
    <row r="40" spans="1:3" x14ac:dyDescent="0.15">
      <c r="A40">
        <v>22</v>
      </c>
      <c r="B40">
        <v>9.3031500000000003E-2</v>
      </c>
      <c r="C40">
        <v>-2.675249</v>
      </c>
    </row>
    <row r="41" spans="1:3" x14ac:dyDescent="0.15">
      <c r="A41">
        <v>23</v>
      </c>
      <c r="B41">
        <v>9.7940799999999995E-2</v>
      </c>
      <c r="C41">
        <v>-2.6569590000000001</v>
      </c>
    </row>
    <row r="42" spans="1:3" x14ac:dyDescent="0.15">
      <c r="A42">
        <v>24</v>
      </c>
      <c r="B42">
        <v>0.10152890000000001</v>
      </c>
      <c r="C42">
        <v>-2.6350159999999998</v>
      </c>
    </row>
    <row r="43" spans="1:3" x14ac:dyDescent="0.15">
      <c r="A43">
        <v>25</v>
      </c>
      <c r="B43">
        <v>0.10565430000000001</v>
      </c>
      <c r="C43">
        <v>-2.6159129999999999</v>
      </c>
    </row>
    <row r="44" spans="1:3" x14ac:dyDescent="0.15">
      <c r="A44">
        <v>26</v>
      </c>
      <c r="B44">
        <v>0.1096347</v>
      </c>
      <c r="C44">
        <v>-2.5912820000000001</v>
      </c>
    </row>
    <row r="45" spans="1:3" x14ac:dyDescent="0.15">
      <c r="A45">
        <v>27</v>
      </c>
      <c r="B45">
        <v>0.1147659</v>
      </c>
      <c r="C45">
        <v>-2.571412</v>
      </c>
    </row>
    <row r="46" spans="1:3" x14ac:dyDescent="0.15">
      <c r="A46">
        <v>28</v>
      </c>
      <c r="B46">
        <v>0.1198588</v>
      </c>
      <c r="C46">
        <v>-2.5491259999999998</v>
      </c>
    </row>
    <row r="47" spans="1:3" x14ac:dyDescent="0.15">
      <c r="A47">
        <v>29</v>
      </c>
      <c r="B47">
        <v>0.12473720000000001</v>
      </c>
      <c r="C47">
        <v>-2.525884</v>
      </c>
    </row>
    <row r="48" spans="1:3" x14ac:dyDescent="0.15">
      <c r="A48">
        <v>30</v>
      </c>
      <c r="B48">
        <v>0.12967619999999999</v>
      </c>
      <c r="C48">
        <v>-2.5135239999999999</v>
      </c>
    </row>
    <row r="49" spans="1:3" x14ac:dyDescent="0.15">
      <c r="A49">
        <v>31</v>
      </c>
      <c r="B49">
        <v>0.13444400000000001</v>
      </c>
      <c r="C49">
        <v>-2.5015939999999999</v>
      </c>
    </row>
    <row r="50" spans="1:3" x14ac:dyDescent="0.15">
      <c r="A50">
        <v>32</v>
      </c>
      <c r="B50">
        <v>0.13857949999999999</v>
      </c>
      <c r="C50">
        <v>-2.484963</v>
      </c>
    </row>
    <row r="51" spans="1:3" x14ac:dyDescent="0.15">
      <c r="A51">
        <v>33</v>
      </c>
      <c r="B51">
        <v>0.14330209999999999</v>
      </c>
      <c r="C51">
        <v>-2.4683229999999998</v>
      </c>
    </row>
    <row r="52" spans="1:3" x14ac:dyDescent="0.15">
      <c r="A52">
        <v>34</v>
      </c>
      <c r="B52">
        <v>0.14772959999999999</v>
      </c>
      <c r="C52">
        <v>-2.4537659999999999</v>
      </c>
    </row>
    <row r="53" spans="1:3" x14ac:dyDescent="0.15">
      <c r="A53">
        <v>35</v>
      </c>
      <c r="B53">
        <v>0.15206330000000001</v>
      </c>
      <c r="C53">
        <v>-2.4378090000000001</v>
      </c>
    </row>
    <row r="54" spans="1:3" x14ac:dyDescent="0.15">
      <c r="A54">
        <v>36</v>
      </c>
      <c r="B54">
        <v>0.15637970000000001</v>
      </c>
      <c r="C54">
        <v>-2.424248</v>
      </c>
    </row>
    <row r="55" spans="1:3" x14ac:dyDescent="0.15">
      <c r="A55">
        <v>37</v>
      </c>
      <c r="B55">
        <v>0.16181519999999999</v>
      </c>
      <c r="C55">
        <v>-2.4120020000000002</v>
      </c>
    </row>
    <row r="56" spans="1:3" x14ac:dyDescent="0.15">
      <c r="A56">
        <v>38</v>
      </c>
      <c r="B56">
        <v>0.1666618</v>
      </c>
      <c r="C56">
        <v>-2.3962439999999998</v>
      </c>
    </row>
    <row r="57" spans="1:3" x14ac:dyDescent="0.15">
      <c r="A57">
        <v>39</v>
      </c>
      <c r="B57">
        <v>0.17195579999999999</v>
      </c>
      <c r="C57">
        <v>-2.3830420000000001</v>
      </c>
    </row>
    <row r="58" spans="1:3" x14ac:dyDescent="0.15">
      <c r="A58">
        <v>40</v>
      </c>
      <c r="B58">
        <v>0.17681910000000001</v>
      </c>
      <c r="C58">
        <v>-2.3735879999999998</v>
      </c>
    </row>
    <row r="59" spans="1:3" x14ac:dyDescent="0.15">
      <c r="A59">
        <v>41</v>
      </c>
      <c r="B59">
        <v>0.1814723</v>
      </c>
      <c r="C59">
        <v>-2.3641040000000002</v>
      </c>
    </row>
    <row r="60" spans="1:3" x14ac:dyDescent="0.15">
      <c r="A60">
        <v>42</v>
      </c>
      <c r="B60">
        <v>0.18612200000000001</v>
      </c>
      <c r="C60">
        <v>-2.3522479999999999</v>
      </c>
    </row>
    <row r="61" spans="1:3" x14ac:dyDescent="0.15">
      <c r="A61">
        <v>43</v>
      </c>
      <c r="B61">
        <v>0.19066050000000001</v>
      </c>
      <c r="C61">
        <v>-2.3442729999999998</v>
      </c>
    </row>
    <row r="62" spans="1:3" x14ac:dyDescent="0.15">
      <c r="A62">
        <v>44</v>
      </c>
      <c r="B62">
        <v>0.1951918</v>
      </c>
      <c r="C62">
        <v>-2.3339940000000001</v>
      </c>
    </row>
    <row r="63" spans="1:3" x14ac:dyDescent="0.15">
      <c r="A63">
        <v>45</v>
      </c>
      <c r="B63">
        <v>0.19986229999999999</v>
      </c>
      <c r="C63">
        <v>-2.317815</v>
      </c>
    </row>
    <row r="64" spans="1:3" x14ac:dyDescent="0.15">
      <c r="A64">
        <v>46</v>
      </c>
      <c r="B64">
        <v>0.20420369999999999</v>
      </c>
      <c r="C64">
        <v>-2.3108270000000002</v>
      </c>
    </row>
    <row r="65" spans="1:3" x14ac:dyDescent="0.15">
      <c r="A65">
        <v>47</v>
      </c>
      <c r="B65">
        <v>0.2094308</v>
      </c>
      <c r="C65">
        <v>-2.2962560000000001</v>
      </c>
    </row>
    <row r="66" spans="1:3" x14ac:dyDescent="0.15">
      <c r="A66">
        <v>48</v>
      </c>
      <c r="B66">
        <v>0.21380450000000001</v>
      </c>
      <c r="C66">
        <v>-2.2803900000000001</v>
      </c>
    </row>
    <row r="67" spans="1:3" x14ac:dyDescent="0.15">
      <c r="A67">
        <v>49</v>
      </c>
      <c r="B67">
        <v>0.21918499999999999</v>
      </c>
      <c r="C67">
        <v>-2.2718980000000002</v>
      </c>
    </row>
    <row r="68" spans="1:3" x14ac:dyDescent="0.15">
      <c r="A68">
        <v>50</v>
      </c>
      <c r="B68">
        <v>0.2239631</v>
      </c>
      <c r="C68">
        <v>-2.2621169999999999</v>
      </c>
    </row>
    <row r="69" spans="1:3" x14ac:dyDescent="0.15">
      <c r="A69">
        <v>51</v>
      </c>
      <c r="B69">
        <v>0.23021430000000001</v>
      </c>
      <c r="C69">
        <v>-2.2531829999999999</v>
      </c>
    </row>
    <row r="70" spans="1:3" x14ac:dyDescent="0.15">
      <c r="A70">
        <v>52</v>
      </c>
      <c r="B70">
        <v>0.2368025</v>
      </c>
      <c r="C70">
        <v>-2.2447010000000001</v>
      </c>
    </row>
    <row r="71" spans="1:3" x14ac:dyDescent="0.15">
      <c r="A71">
        <v>53</v>
      </c>
      <c r="B71">
        <v>0.24190600000000001</v>
      </c>
      <c r="C71">
        <v>-2.2295370000000001</v>
      </c>
    </row>
    <row r="72" spans="1:3" x14ac:dyDescent="0.15">
      <c r="A72">
        <v>54</v>
      </c>
      <c r="B72">
        <v>0.24591399999999999</v>
      </c>
      <c r="C72">
        <v>-2.218699</v>
      </c>
    </row>
    <row r="73" spans="1:3" x14ac:dyDescent="0.15">
      <c r="A73">
        <v>55</v>
      </c>
      <c r="B73">
        <v>0.25210009999999999</v>
      </c>
      <c r="C73">
        <v>-2.215436</v>
      </c>
    </row>
    <row r="74" spans="1:3" x14ac:dyDescent="0.15">
      <c r="A74">
        <v>56</v>
      </c>
      <c r="B74">
        <v>0.25778109999999999</v>
      </c>
      <c r="C74">
        <v>-2.2101139999999999</v>
      </c>
    </row>
    <row r="75" spans="1:3" x14ac:dyDescent="0.15">
      <c r="A75">
        <v>57</v>
      </c>
      <c r="B75">
        <v>0.26253080000000001</v>
      </c>
      <c r="C75">
        <v>-2.1951710000000002</v>
      </c>
    </row>
    <row r="76" spans="1:3" x14ac:dyDescent="0.15">
      <c r="A76">
        <v>58</v>
      </c>
      <c r="B76">
        <v>0.26667970000000002</v>
      </c>
      <c r="C76">
        <v>-2.1870270000000001</v>
      </c>
    </row>
    <row r="77" spans="1:3" x14ac:dyDescent="0.15">
      <c r="A77">
        <v>59</v>
      </c>
      <c r="B77">
        <v>0.27244689999999999</v>
      </c>
      <c r="C77">
        <v>-2.1771250000000002</v>
      </c>
    </row>
    <row r="78" spans="1:3" x14ac:dyDescent="0.15">
      <c r="A78">
        <v>60</v>
      </c>
      <c r="B78">
        <v>0.27743230000000002</v>
      </c>
      <c r="C78">
        <v>-2.1632069999999999</v>
      </c>
    </row>
    <row r="79" spans="1:3" x14ac:dyDescent="0.15">
      <c r="A79">
        <v>61</v>
      </c>
      <c r="B79">
        <v>0.28210560000000001</v>
      </c>
      <c r="C79">
        <v>-2.152406</v>
      </c>
    </row>
    <row r="80" spans="1:3" x14ac:dyDescent="0.15">
      <c r="A80">
        <v>62</v>
      </c>
      <c r="B80">
        <v>0.28791470000000002</v>
      </c>
      <c r="C80">
        <v>-2.14656</v>
      </c>
    </row>
    <row r="81" spans="1:3" x14ac:dyDescent="0.15">
      <c r="A81">
        <v>63</v>
      </c>
      <c r="B81">
        <v>0.29223300000000002</v>
      </c>
      <c r="C81">
        <v>-2.1384759999999998</v>
      </c>
    </row>
    <row r="82" spans="1:3" x14ac:dyDescent="0.15">
      <c r="A82">
        <v>64</v>
      </c>
      <c r="B82">
        <v>0.2971242</v>
      </c>
      <c r="C82">
        <v>-2.1236869999999999</v>
      </c>
    </row>
    <row r="83" spans="1:3" x14ac:dyDescent="0.15">
      <c r="A83">
        <v>65</v>
      </c>
      <c r="B83">
        <v>0.30258269999999998</v>
      </c>
      <c r="C83">
        <v>-2.112851</v>
      </c>
    </row>
    <row r="84" spans="1:3" x14ac:dyDescent="0.15">
      <c r="A84">
        <v>66</v>
      </c>
      <c r="B84">
        <v>0.30722250000000001</v>
      </c>
      <c r="C84">
        <v>-2.1027629999999999</v>
      </c>
    </row>
    <row r="85" spans="1:3" x14ac:dyDescent="0.15">
      <c r="A85">
        <v>67</v>
      </c>
      <c r="B85">
        <v>0.31366300000000003</v>
      </c>
      <c r="C85">
        <v>-2.0952000000000002</v>
      </c>
    </row>
    <row r="86" spans="1:3" x14ac:dyDescent="0.15">
      <c r="A86">
        <v>68</v>
      </c>
      <c r="B86">
        <v>0.31920219999999999</v>
      </c>
      <c r="C86">
        <v>-2.085261</v>
      </c>
    </row>
    <row r="87" spans="1:3" x14ac:dyDescent="0.15">
      <c r="A87">
        <v>69</v>
      </c>
      <c r="B87">
        <v>0.32431579999999999</v>
      </c>
      <c r="C87">
        <v>-2.0746709999999999</v>
      </c>
    </row>
    <row r="88" spans="1:3" x14ac:dyDescent="0.15">
      <c r="A88">
        <v>70</v>
      </c>
      <c r="B88">
        <v>0.32982860000000003</v>
      </c>
      <c r="C88">
        <v>-2.0680489999999998</v>
      </c>
    </row>
    <row r="89" spans="1:3" x14ac:dyDescent="0.15">
      <c r="A89">
        <v>71</v>
      </c>
      <c r="B89">
        <v>0.3357328</v>
      </c>
      <c r="C89">
        <v>-2.0552630000000001</v>
      </c>
    </row>
    <row r="90" spans="1:3" x14ac:dyDescent="0.15">
      <c r="A90">
        <v>72</v>
      </c>
      <c r="B90">
        <v>0.34070879999999998</v>
      </c>
      <c r="C90">
        <v>-2.03708</v>
      </c>
    </row>
    <row r="91" spans="1:3" x14ac:dyDescent="0.15">
      <c r="A91">
        <v>73</v>
      </c>
      <c r="B91">
        <v>0.34695799999999999</v>
      </c>
      <c r="C91">
        <v>-2.0278640000000001</v>
      </c>
    </row>
    <row r="92" spans="1:3" x14ac:dyDescent="0.15">
      <c r="A92">
        <v>74</v>
      </c>
      <c r="B92">
        <v>0.35215970000000002</v>
      </c>
      <c r="C92">
        <v>-2.0156510000000001</v>
      </c>
    </row>
    <row r="93" spans="1:3" x14ac:dyDescent="0.15">
      <c r="A93">
        <v>75</v>
      </c>
      <c r="B93">
        <v>0.35807480000000003</v>
      </c>
      <c r="C93">
        <v>-2.00814</v>
      </c>
    </row>
    <row r="94" spans="1:3" x14ac:dyDescent="0.15">
      <c r="A94">
        <v>76</v>
      </c>
      <c r="B94">
        <v>0.36405140000000002</v>
      </c>
      <c r="C94">
        <v>-2.0017469999999999</v>
      </c>
    </row>
    <row r="95" spans="1:3" x14ac:dyDescent="0.15">
      <c r="A95">
        <v>77</v>
      </c>
      <c r="B95">
        <v>0.369226</v>
      </c>
      <c r="C95">
        <v>-1.992335</v>
      </c>
    </row>
    <row r="96" spans="1:3" x14ac:dyDescent="0.15">
      <c r="A96">
        <v>78</v>
      </c>
      <c r="B96">
        <v>0.37459039999999999</v>
      </c>
      <c r="C96">
        <v>-1.979921</v>
      </c>
    </row>
    <row r="97" spans="1:3" x14ac:dyDescent="0.15">
      <c r="A97">
        <v>79</v>
      </c>
      <c r="B97">
        <v>0.37902760000000002</v>
      </c>
      <c r="C97">
        <v>-1.9699530000000001</v>
      </c>
    </row>
    <row r="98" spans="1:3" x14ac:dyDescent="0.15">
      <c r="A98">
        <v>80</v>
      </c>
      <c r="B98">
        <v>0.38357340000000001</v>
      </c>
      <c r="C98">
        <v>-1.955727</v>
      </c>
    </row>
    <row r="99" spans="1:3" x14ac:dyDescent="0.15">
      <c r="A99">
        <v>81</v>
      </c>
      <c r="B99">
        <v>0.38944709999999999</v>
      </c>
      <c r="C99">
        <v>-1.9423919999999999</v>
      </c>
    </row>
    <row r="100" spans="1:3" x14ac:dyDescent="0.15">
      <c r="A100">
        <v>82</v>
      </c>
      <c r="B100">
        <v>0.39443489999999998</v>
      </c>
      <c r="C100">
        <v>-1.928407</v>
      </c>
    </row>
    <row r="101" spans="1:3" x14ac:dyDescent="0.15">
      <c r="A101">
        <v>83</v>
      </c>
      <c r="B101">
        <v>0.39926970000000001</v>
      </c>
      <c r="C101">
        <v>-1.915575</v>
      </c>
    </row>
    <row r="102" spans="1:3" x14ac:dyDescent="0.15">
      <c r="A102">
        <v>84</v>
      </c>
      <c r="B102">
        <v>0.40440589999999998</v>
      </c>
      <c r="C102">
        <v>-1.9030149999999999</v>
      </c>
    </row>
    <row r="103" spans="1:3" x14ac:dyDescent="0.15">
      <c r="A103">
        <v>85</v>
      </c>
      <c r="B103">
        <v>0.41004620000000003</v>
      </c>
      <c r="C103">
        <v>-1.894406</v>
      </c>
    </row>
    <row r="104" spans="1:3" x14ac:dyDescent="0.15">
      <c r="A104">
        <v>86</v>
      </c>
      <c r="B104">
        <v>0.41572239999999999</v>
      </c>
      <c r="C104">
        <v>-1.8874770000000001</v>
      </c>
    </row>
    <row r="105" spans="1:3" x14ac:dyDescent="0.15">
      <c r="A105">
        <v>87</v>
      </c>
      <c r="B105">
        <v>0.42143760000000002</v>
      </c>
      <c r="C105">
        <v>-1.8765829999999999</v>
      </c>
    </row>
    <row r="106" spans="1:3" x14ac:dyDescent="0.15">
      <c r="A106">
        <v>88</v>
      </c>
      <c r="B106">
        <v>0.42678680000000002</v>
      </c>
      <c r="C106">
        <v>-1.8675619999999999</v>
      </c>
    </row>
    <row r="107" spans="1:3" x14ac:dyDescent="0.15">
      <c r="A107">
        <v>89</v>
      </c>
      <c r="B107">
        <v>0.43250090000000002</v>
      </c>
      <c r="C107">
        <v>-1.858417</v>
      </c>
    </row>
    <row r="108" spans="1:3" x14ac:dyDescent="0.15">
      <c r="A108">
        <v>90</v>
      </c>
      <c r="B108">
        <v>0.43752950000000002</v>
      </c>
      <c r="C108">
        <v>-1.8457030000000001</v>
      </c>
    </row>
    <row r="109" spans="1:3" x14ac:dyDescent="0.15">
      <c r="A109">
        <v>91</v>
      </c>
      <c r="B109">
        <v>0.4428745</v>
      </c>
      <c r="C109">
        <v>-1.832994</v>
      </c>
    </row>
    <row r="110" spans="1:3" x14ac:dyDescent="0.15">
      <c r="A110">
        <v>92</v>
      </c>
      <c r="B110">
        <v>0.4478319</v>
      </c>
      <c r="C110">
        <v>-1.8190360000000001</v>
      </c>
    </row>
    <row r="111" spans="1:3" x14ac:dyDescent="0.15">
      <c r="A111">
        <v>93</v>
      </c>
      <c r="B111">
        <v>0.45229599999999998</v>
      </c>
      <c r="C111">
        <v>-1.80087</v>
      </c>
    </row>
    <row r="112" spans="1:3" x14ac:dyDescent="0.15">
      <c r="A112">
        <v>94</v>
      </c>
      <c r="B112">
        <v>0.45745530000000001</v>
      </c>
      <c r="C112">
        <v>-1.7865519999999999</v>
      </c>
    </row>
    <row r="113" spans="1:3" x14ac:dyDescent="0.15">
      <c r="A113">
        <v>95</v>
      </c>
      <c r="B113">
        <v>0.46266350000000001</v>
      </c>
      <c r="C113">
        <v>-1.774437</v>
      </c>
    </row>
    <row r="114" spans="1:3" x14ac:dyDescent="0.15">
      <c r="A114">
        <v>96</v>
      </c>
      <c r="B114">
        <v>0.46864640000000002</v>
      </c>
      <c r="C114">
        <v>-1.7654780000000001</v>
      </c>
    </row>
    <row r="115" spans="1:3" x14ac:dyDescent="0.15">
      <c r="A115">
        <v>97</v>
      </c>
      <c r="B115">
        <v>0.47494350000000002</v>
      </c>
      <c r="C115">
        <v>-1.7592179999999999</v>
      </c>
    </row>
    <row r="116" spans="1:3" x14ac:dyDescent="0.15">
      <c r="A116">
        <v>98</v>
      </c>
      <c r="B116">
        <v>0.48074070000000002</v>
      </c>
      <c r="C116">
        <v>-1.746826</v>
      </c>
    </row>
    <row r="117" spans="1:3" x14ac:dyDescent="0.15">
      <c r="A117">
        <v>99</v>
      </c>
      <c r="B117">
        <v>0.48536279999999998</v>
      </c>
      <c r="C117">
        <v>-1.732464</v>
      </c>
    </row>
    <row r="118" spans="1:3" x14ac:dyDescent="0.15">
      <c r="A118">
        <v>100</v>
      </c>
      <c r="B118">
        <v>0.49024459999999997</v>
      </c>
      <c r="C118">
        <v>-1.7179279999999999</v>
      </c>
    </row>
    <row r="119" spans="1:3" x14ac:dyDescent="0.15">
      <c r="A119">
        <v>101</v>
      </c>
      <c r="B119">
        <v>0.49582199999999998</v>
      </c>
      <c r="C119">
        <v>-1.705808</v>
      </c>
    </row>
    <row r="120" spans="1:3" x14ac:dyDescent="0.15">
      <c r="A120">
        <v>102</v>
      </c>
      <c r="B120">
        <v>0.50215549999999998</v>
      </c>
      <c r="C120">
        <v>-1.693991</v>
      </c>
    </row>
    <row r="121" spans="1:3" x14ac:dyDescent="0.15">
      <c r="A121">
        <v>103</v>
      </c>
      <c r="B121">
        <v>0.50722560000000005</v>
      </c>
      <c r="C121">
        <v>-1.6783509999999999</v>
      </c>
    </row>
    <row r="122" spans="1:3" x14ac:dyDescent="0.15">
      <c r="A122">
        <v>104</v>
      </c>
      <c r="B122">
        <v>0.51119789999999998</v>
      </c>
      <c r="C122">
        <v>-1.670358</v>
      </c>
    </row>
    <row r="123" spans="1:3" x14ac:dyDescent="0.15">
      <c r="A123">
        <v>105</v>
      </c>
      <c r="B123">
        <v>0.51586310000000002</v>
      </c>
      <c r="C123">
        <v>-1.6562110000000001</v>
      </c>
    </row>
    <row r="124" spans="1:3" x14ac:dyDescent="0.15">
      <c r="A124">
        <v>106</v>
      </c>
      <c r="B124">
        <v>0.52159849999999996</v>
      </c>
      <c r="C124">
        <v>-1.640293</v>
      </c>
    </row>
    <row r="125" spans="1:3" x14ac:dyDescent="0.15">
      <c r="A125">
        <v>107</v>
      </c>
      <c r="B125">
        <v>0.52661190000000002</v>
      </c>
      <c r="C125">
        <v>-1.6189150000000001</v>
      </c>
    </row>
    <row r="126" spans="1:3" x14ac:dyDescent="0.15">
      <c r="A126">
        <v>108</v>
      </c>
      <c r="B126">
        <v>0.5316459</v>
      </c>
      <c r="C126">
        <v>-1.6041829999999999</v>
      </c>
    </row>
    <row r="127" spans="1:3" x14ac:dyDescent="0.15">
      <c r="A127">
        <v>109</v>
      </c>
      <c r="B127">
        <v>0.5374814</v>
      </c>
      <c r="C127">
        <v>-1.59331</v>
      </c>
    </row>
    <row r="128" spans="1:3" x14ac:dyDescent="0.15">
      <c r="A128">
        <v>110</v>
      </c>
      <c r="B128">
        <v>0.54316109999999995</v>
      </c>
      <c r="C128">
        <v>-1.5778319999999999</v>
      </c>
    </row>
    <row r="129" spans="1:3" x14ac:dyDescent="0.15">
      <c r="A129">
        <v>111</v>
      </c>
      <c r="B129">
        <v>0.54836910000000005</v>
      </c>
      <c r="C129">
        <v>-1.560327</v>
      </c>
    </row>
    <row r="130" spans="1:3" x14ac:dyDescent="0.15">
      <c r="A130">
        <v>112</v>
      </c>
      <c r="B130">
        <v>0.55326679999999995</v>
      </c>
      <c r="C130">
        <v>-1.5432600000000001</v>
      </c>
    </row>
    <row r="131" spans="1:3" x14ac:dyDescent="0.15">
      <c r="A131">
        <v>113</v>
      </c>
      <c r="B131">
        <v>0.55836450000000004</v>
      </c>
      <c r="C131">
        <v>-1.5268710000000001</v>
      </c>
    </row>
    <row r="132" spans="1:3" x14ac:dyDescent="0.15">
      <c r="A132">
        <v>114</v>
      </c>
      <c r="B132">
        <v>0.56289820000000002</v>
      </c>
      <c r="C132">
        <v>-1.510516</v>
      </c>
    </row>
    <row r="133" spans="1:3" x14ac:dyDescent="0.15">
      <c r="A133">
        <v>115</v>
      </c>
      <c r="B133">
        <v>0.56734260000000003</v>
      </c>
      <c r="C133">
        <v>-1.4958450000000001</v>
      </c>
    </row>
    <row r="134" spans="1:3" x14ac:dyDescent="0.15">
      <c r="A134">
        <v>116</v>
      </c>
      <c r="B134">
        <v>0.57237079999999996</v>
      </c>
      <c r="C134">
        <v>-1.4845630000000001</v>
      </c>
    </row>
    <row r="135" spans="1:3" x14ac:dyDescent="0.15">
      <c r="A135">
        <v>117</v>
      </c>
      <c r="B135">
        <v>0.57826889999999997</v>
      </c>
      <c r="C135">
        <v>-1.4744360000000001</v>
      </c>
    </row>
    <row r="136" spans="1:3" x14ac:dyDescent="0.15">
      <c r="A136">
        <v>118</v>
      </c>
      <c r="B136">
        <v>0.58292390000000005</v>
      </c>
      <c r="C136">
        <v>-1.4591160000000001</v>
      </c>
    </row>
    <row r="137" spans="1:3" x14ac:dyDescent="0.15">
      <c r="A137">
        <v>119</v>
      </c>
      <c r="B137">
        <v>0.58743179999999995</v>
      </c>
      <c r="C137">
        <v>-1.443559</v>
      </c>
    </row>
    <row r="138" spans="1:3" x14ac:dyDescent="0.15">
      <c r="A138">
        <v>120</v>
      </c>
      <c r="B138">
        <v>0.59188059999999998</v>
      </c>
      <c r="C138">
        <v>-1.4341839999999999</v>
      </c>
    </row>
    <row r="139" spans="1:3" x14ac:dyDescent="0.15">
      <c r="A139">
        <v>121</v>
      </c>
      <c r="B139">
        <v>0.59646690000000002</v>
      </c>
      <c r="C139">
        <v>-1.4193100000000001</v>
      </c>
    </row>
    <row r="140" spans="1:3" x14ac:dyDescent="0.15">
      <c r="A140">
        <v>122</v>
      </c>
      <c r="B140">
        <v>0.60178209999999999</v>
      </c>
      <c r="C140">
        <v>-1.399437</v>
      </c>
    </row>
    <row r="141" spans="1:3" x14ac:dyDescent="0.15">
      <c r="A141">
        <v>123</v>
      </c>
      <c r="B141">
        <v>0.60655800000000004</v>
      </c>
      <c r="C141">
        <v>-1.3852869999999999</v>
      </c>
    </row>
    <row r="142" spans="1:3" x14ac:dyDescent="0.15">
      <c r="A142">
        <v>124</v>
      </c>
      <c r="B142">
        <v>0.61166480000000001</v>
      </c>
      <c r="C142">
        <v>-1.3693789999999999</v>
      </c>
    </row>
    <row r="143" spans="1:3" x14ac:dyDescent="0.15">
      <c r="A143">
        <v>125</v>
      </c>
      <c r="B143">
        <v>0.61659459999999999</v>
      </c>
      <c r="C143">
        <v>-1.3519479999999999</v>
      </c>
    </row>
    <row r="144" spans="1:3" x14ac:dyDescent="0.15">
      <c r="A144">
        <v>126</v>
      </c>
      <c r="B144">
        <v>0.62114009999999997</v>
      </c>
      <c r="C144">
        <v>-1.339412</v>
      </c>
    </row>
    <row r="145" spans="1:3" x14ac:dyDescent="0.15">
      <c r="A145">
        <v>127</v>
      </c>
      <c r="B145">
        <v>0.62571520000000003</v>
      </c>
      <c r="C145">
        <v>-1.3295889999999999</v>
      </c>
    </row>
    <row r="146" spans="1:3" x14ac:dyDescent="0.15">
      <c r="A146">
        <v>128</v>
      </c>
      <c r="B146">
        <v>0.62986699999999995</v>
      </c>
      <c r="C146">
        <v>-1.321018</v>
      </c>
    </row>
    <row r="147" spans="1:3" x14ac:dyDescent="0.15">
      <c r="A147">
        <v>129</v>
      </c>
      <c r="B147">
        <v>0.63518799999999997</v>
      </c>
      <c r="C147">
        <v>-1.308819</v>
      </c>
    </row>
    <row r="148" spans="1:3" x14ac:dyDescent="0.15">
      <c r="A148">
        <v>130</v>
      </c>
      <c r="B148">
        <v>0.64045669999999999</v>
      </c>
      <c r="C148">
        <v>-1.29511</v>
      </c>
    </row>
    <row r="149" spans="1:3" x14ac:dyDescent="0.15">
      <c r="A149">
        <v>131</v>
      </c>
      <c r="B149">
        <v>0.64458139999999997</v>
      </c>
      <c r="C149">
        <v>-1.2842290000000001</v>
      </c>
    </row>
    <row r="150" spans="1:3" x14ac:dyDescent="0.15">
      <c r="A150">
        <v>132</v>
      </c>
      <c r="B150">
        <v>0.64929400000000004</v>
      </c>
      <c r="C150">
        <v>-1.275542</v>
      </c>
    </row>
    <row r="151" spans="1:3" x14ac:dyDescent="0.15">
      <c r="A151">
        <v>133</v>
      </c>
      <c r="B151">
        <v>0.65532460000000003</v>
      </c>
      <c r="C151">
        <v>-1.266354</v>
      </c>
    </row>
    <row r="152" spans="1:3" x14ac:dyDescent="0.15">
      <c r="A152">
        <v>134</v>
      </c>
      <c r="B152">
        <v>0.66070070000000003</v>
      </c>
      <c r="C152">
        <v>-1.2544850000000001</v>
      </c>
    </row>
    <row r="153" spans="1:3" x14ac:dyDescent="0.15">
      <c r="A153">
        <v>135</v>
      </c>
      <c r="B153">
        <v>0.66531720000000005</v>
      </c>
      <c r="C153">
        <v>-1.2445329999999999</v>
      </c>
    </row>
    <row r="154" spans="1:3" x14ac:dyDescent="0.15">
      <c r="A154">
        <v>136</v>
      </c>
      <c r="B154">
        <v>0.67029179999999999</v>
      </c>
      <c r="C154">
        <v>-1.2389870000000001</v>
      </c>
    </row>
    <row r="155" spans="1:3" x14ac:dyDescent="0.15">
      <c r="A155">
        <v>137</v>
      </c>
      <c r="B155">
        <v>0.67472480000000001</v>
      </c>
      <c r="C155">
        <v>-1.2258549999999999</v>
      </c>
    </row>
    <row r="156" spans="1:3" x14ac:dyDescent="0.15">
      <c r="A156">
        <v>138</v>
      </c>
      <c r="B156">
        <v>0.67960200000000004</v>
      </c>
      <c r="C156">
        <v>-1.215808</v>
      </c>
    </row>
    <row r="157" spans="1:3" x14ac:dyDescent="0.15">
      <c r="A157">
        <v>139</v>
      </c>
      <c r="B157">
        <v>0.68465489999999996</v>
      </c>
      <c r="C157">
        <v>-1.2042729999999999</v>
      </c>
    </row>
    <row r="158" spans="1:3" x14ac:dyDescent="0.15">
      <c r="A158">
        <v>140</v>
      </c>
      <c r="B158">
        <v>0.68964289999999995</v>
      </c>
      <c r="C158">
        <v>-1.1927669999999999</v>
      </c>
    </row>
    <row r="159" spans="1:3" x14ac:dyDescent="0.15">
      <c r="A159">
        <v>141</v>
      </c>
      <c r="B159">
        <v>0.69433370000000005</v>
      </c>
      <c r="C159">
        <v>-1.1811970000000001</v>
      </c>
    </row>
    <row r="160" spans="1:3" x14ac:dyDescent="0.15">
      <c r="A160">
        <v>142</v>
      </c>
      <c r="B160">
        <v>0.69963770000000003</v>
      </c>
      <c r="C160">
        <v>-1.166215</v>
      </c>
    </row>
    <row r="161" spans="1:3" x14ac:dyDescent="0.15">
      <c r="A161">
        <v>143</v>
      </c>
      <c r="B161">
        <v>0.70567820000000003</v>
      </c>
      <c r="C161">
        <v>-1.159853</v>
      </c>
    </row>
    <row r="162" spans="1:3" x14ac:dyDescent="0.15">
      <c r="A162">
        <v>144</v>
      </c>
      <c r="B162">
        <v>0.71114129999999998</v>
      </c>
      <c r="C162">
        <v>-1.14758</v>
      </c>
    </row>
    <row r="163" spans="1:3" x14ac:dyDescent="0.15">
      <c r="A163">
        <v>145</v>
      </c>
      <c r="B163">
        <v>0.71644470000000005</v>
      </c>
      <c r="C163">
        <v>-1.1405989999999999</v>
      </c>
    </row>
    <row r="164" spans="1:3" x14ac:dyDescent="0.15">
      <c r="A164">
        <v>146</v>
      </c>
      <c r="B164">
        <v>0.72209619999999997</v>
      </c>
      <c r="C164">
        <v>-1.13052</v>
      </c>
    </row>
    <row r="165" spans="1:3" x14ac:dyDescent="0.15">
      <c r="A165">
        <v>147</v>
      </c>
      <c r="B165">
        <v>0.7268078</v>
      </c>
      <c r="C165">
        <v>-1.1180410000000001</v>
      </c>
    </row>
    <row r="166" spans="1:3" x14ac:dyDescent="0.15">
      <c r="A166">
        <v>148</v>
      </c>
      <c r="B166">
        <v>0.73139379999999998</v>
      </c>
      <c r="C166">
        <v>-1.107113</v>
      </c>
    </row>
    <row r="167" spans="1:3" x14ac:dyDescent="0.15">
      <c r="A167">
        <v>149</v>
      </c>
      <c r="B167">
        <v>0.73719789999999996</v>
      </c>
      <c r="C167">
        <v>-1.0952059999999999</v>
      </c>
    </row>
    <row r="168" spans="1:3" x14ac:dyDescent="0.15">
      <c r="A168">
        <v>150</v>
      </c>
      <c r="B168">
        <v>0.74313669999999998</v>
      </c>
      <c r="C168">
        <v>-1.09104</v>
      </c>
    </row>
    <row r="169" spans="1:3" x14ac:dyDescent="0.15">
      <c r="A169">
        <v>151</v>
      </c>
      <c r="B169">
        <v>0.74858020000000003</v>
      </c>
      <c r="C169">
        <v>-1.0752820000000001</v>
      </c>
    </row>
    <row r="170" spans="1:3" x14ac:dyDescent="0.15">
      <c r="A170">
        <v>152</v>
      </c>
      <c r="B170">
        <v>0.75300990000000001</v>
      </c>
      <c r="C170">
        <v>-1.063177</v>
      </c>
    </row>
    <row r="171" spans="1:3" x14ac:dyDescent="0.15">
      <c r="A171">
        <v>153</v>
      </c>
      <c r="B171">
        <v>0.75819239999999999</v>
      </c>
      <c r="C171">
        <v>-1.0510889999999999</v>
      </c>
    </row>
    <row r="172" spans="1:3" x14ac:dyDescent="0.15">
      <c r="A172">
        <v>154</v>
      </c>
      <c r="B172">
        <v>0.76413629999999999</v>
      </c>
      <c r="C172">
        <v>-1.038999</v>
      </c>
    </row>
    <row r="173" spans="1:3" x14ac:dyDescent="0.15">
      <c r="A173">
        <v>155</v>
      </c>
      <c r="B173">
        <v>0.7680517</v>
      </c>
      <c r="C173">
        <v>-1.020559</v>
      </c>
    </row>
    <row r="174" spans="1:3" x14ac:dyDescent="0.15">
      <c r="A174">
        <v>156</v>
      </c>
      <c r="B174">
        <v>0.77319320000000002</v>
      </c>
      <c r="C174">
        <v>-1.0075460000000001</v>
      </c>
    </row>
    <row r="175" spans="1:3" x14ac:dyDescent="0.15">
      <c r="A175">
        <v>157</v>
      </c>
      <c r="B175">
        <v>0.7788815</v>
      </c>
      <c r="C175">
        <v>-0.99571310000000002</v>
      </c>
    </row>
    <row r="176" spans="1:3" x14ac:dyDescent="0.15">
      <c r="A176">
        <v>158</v>
      </c>
      <c r="B176">
        <v>0.78433129999999995</v>
      </c>
      <c r="C176">
        <v>-0.98069779999999995</v>
      </c>
    </row>
    <row r="177" spans="1:3" x14ac:dyDescent="0.15">
      <c r="A177">
        <v>159</v>
      </c>
      <c r="B177">
        <v>0.78873009999999999</v>
      </c>
      <c r="C177">
        <v>-0.96839640000000005</v>
      </c>
    </row>
    <row r="178" spans="1:3" x14ac:dyDescent="0.15">
      <c r="A178">
        <v>160</v>
      </c>
      <c r="B178">
        <v>0.7931783</v>
      </c>
      <c r="C178">
        <v>-0.95549569999999995</v>
      </c>
    </row>
    <row r="179" spans="1:3" x14ac:dyDescent="0.15">
      <c r="A179">
        <v>161</v>
      </c>
      <c r="B179">
        <v>0.79865399999999998</v>
      </c>
      <c r="C179">
        <v>-0.93634220000000001</v>
      </c>
    </row>
    <row r="180" spans="1:3" x14ac:dyDescent="0.15">
      <c r="A180">
        <v>162</v>
      </c>
      <c r="B180">
        <v>0.80358209999999997</v>
      </c>
      <c r="C180">
        <v>-0.92380329999999999</v>
      </c>
    </row>
    <row r="181" spans="1:3" x14ac:dyDescent="0.15">
      <c r="A181">
        <v>163</v>
      </c>
      <c r="B181">
        <v>0.80810139999999997</v>
      </c>
      <c r="C181">
        <v>-0.90738280000000004</v>
      </c>
    </row>
    <row r="182" spans="1:3" x14ac:dyDescent="0.15">
      <c r="A182">
        <v>164</v>
      </c>
      <c r="B182">
        <v>0.8135464</v>
      </c>
      <c r="C182">
        <v>-0.89809740000000005</v>
      </c>
    </row>
    <row r="183" spans="1:3" x14ac:dyDescent="0.15">
      <c r="A183">
        <v>165</v>
      </c>
      <c r="B183">
        <v>0.81918420000000003</v>
      </c>
      <c r="C183">
        <v>-0.89134429999999998</v>
      </c>
    </row>
    <row r="184" spans="1:3" x14ac:dyDescent="0.15">
      <c r="A184">
        <v>166</v>
      </c>
      <c r="B184">
        <v>0.82423259999999998</v>
      </c>
      <c r="C184">
        <v>-0.88056400000000001</v>
      </c>
    </row>
    <row r="185" spans="1:3" x14ac:dyDescent="0.15">
      <c r="A185">
        <v>167</v>
      </c>
      <c r="B185">
        <v>0.82819279999999995</v>
      </c>
      <c r="C185">
        <v>-0.86670420000000004</v>
      </c>
    </row>
    <row r="186" spans="1:3" x14ac:dyDescent="0.15">
      <c r="A186">
        <v>168</v>
      </c>
      <c r="B186">
        <v>0.83262570000000002</v>
      </c>
      <c r="C186">
        <v>-0.85117299999999996</v>
      </c>
    </row>
    <row r="187" spans="1:3" x14ac:dyDescent="0.15">
      <c r="A187">
        <v>169</v>
      </c>
      <c r="B187">
        <v>0.83848909999999999</v>
      </c>
      <c r="C187">
        <v>-0.8365089</v>
      </c>
    </row>
    <row r="188" spans="1:3" x14ac:dyDescent="0.15">
      <c r="A188">
        <v>170</v>
      </c>
      <c r="B188">
        <v>0.84366209999999997</v>
      </c>
      <c r="C188">
        <v>-0.82023690000000005</v>
      </c>
    </row>
    <row r="189" spans="1:3" x14ac:dyDescent="0.15">
      <c r="A189">
        <v>171</v>
      </c>
      <c r="B189">
        <v>0.84843800000000003</v>
      </c>
      <c r="C189">
        <v>-0.80318310000000004</v>
      </c>
    </row>
    <row r="190" spans="1:3" x14ac:dyDescent="0.15">
      <c r="A190">
        <v>172</v>
      </c>
      <c r="B190">
        <v>0.8537226</v>
      </c>
      <c r="C190">
        <v>-0.78392110000000004</v>
      </c>
    </row>
    <row r="191" spans="1:3" x14ac:dyDescent="0.15">
      <c r="A191">
        <v>173</v>
      </c>
      <c r="B191">
        <v>0.85893739999999996</v>
      </c>
      <c r="C191">
        <v>-0.76170139999999997</v>
      </c>
    </row>
    <row r="192" spans="1:3" x14ac:dyDescent="0.15">
      <c r="A192">
        <v>174</v>
      </c>
      <c r="B192">
        <v>0.86375310000000005</v>
      </c>
      <c r="C192">
        <v>-0.74356500000000003</v>
      </c>
    </row>
    <row r="193" spans="1:3" x14ac:dyDescent="0.15">
      <c r="A193">
        <v>175</v>
      </c>
      <c r="B193">
        <v>0.86884779999999995</v>
      </c>
      <c r="C193">
        <v>-0.72500849999999994</v>
      </c>
    </row>
    <row r="194" spans="1:3" x14ac:dyDescent="0.15">
      <c r="A194">
        <v>176</v>
      </c>
      <c r="B194">
        <v>0.87336769999999997</v>
      </c>
      <c r="C194">
        <v>-0.70194230000000002</v>
      </c>
    </row>
    <row r="195" spans="1:3" x14ac:dyDescent="0.15">
      <c r="A195">
        <v>177</v>
      </c>
      <c r="B195">
        <v>0.87831680000000001</v>
      </c>
      <c r="C195">
        <v>-0.67795499999999997</v>
      </c>
    </row>
    <row r="196" spans="1:3" x14ac:dyDescent="0.15">
      <c r="A196">
        <v>178</v>
      </c>
      <c r="B196">
        <v>0.88355450000000002</v>
      </c>
      <c r="C196">
        <v>-0.64692090000000002</v>
      </c>
    </row>
    <row r="197" spans="1:3" x14ac:dyDescent="0.15">
      <c r="A197">
        <v>179</v>
      </c>
      <c r="B197">
        <v>0.88953519999999997</v>
      </c>
      <c r="C197">
        <v>-0.62028810000000001</v>
      </c>
    </row>
    <row r="198" spans="1:3" x14ac:dyDescent="0.15">
      <c r="A198">
        <v>180</v>
      </c>
      <c r="B198">
        <v>0.89457730000000002</v>
      </c>
      <c r="C198">
        <v>-0.59439379999999997</v>
      </c>
    </row>
    <row r="199" spans="1:3" x14ac:dyDescent="0.15">
      <c r="A199">
        <v>181</v>
      </c>
      <c r="B199">
        <v>0.90005420000000003</v>
      </c>
      <c r="C199">
        <v>-0.56266179999999999</v>
      </c>
    </row>
    <row r="200" spans="1:3" x14ac:dyDescent="0.15">
      <c r="A200">
        <v>182</v>
      </c>
      <c r="B200">
        <v>0.90506730000000002</v>
      </c>
      <c r="C200">
        <v>-0.54261079999999995</v>
      </c>
    </row>
    <row r="201" spans="1:3" x14ac:dyDescent="0.15">
      <c r="A201">
        <v>183</v>
      </c>
      <c r="B201">
        <v>0.90949120000000006</v>
      </c>
      <c r="C201">
        <v>-0.51944630000000003</v>
      </c>
    </row>
    <row r="202" spans="1:3" x14ac:dyDescent="0.15">
      <c r="A202">
        <v>184</v>
      </c>
      <c r="B202">
        <v>0.91387810000000003</v>
      </c>
      <c r="C202">
        <v>-0.49183480000000002</v>
      </c>
    </row>
    <row r="203" spans="1:3" x14ac:dyDescent="0.15">
      <c r="A203">
        <v>185</v>
      </c>
      <c r="B203">
        <v>0.91829150000000004</v>
      </c>
      <c r="C203">
        <v>-0.4639587</v>
      </c>
    </row>
    <row r="204" spans="1:3" x14ac:dyDescent="0.15">
      <c r="A204">
        <v>186</v>
      </c>
      <c r="B204">
        <v>0.92304200000000003</v>
      </c>
      <c r="C204">
        <v>-0.4190102</v>
      </c>
    </row>
    <row r="205" spans="1:3" x14ac:dyDescent="0.15">
      <c r="A205">
        <v>187</v>
      </c>
      <c r="B205">
        <v>0.92847679999999999</v>
      </c>
      <c r="C205">
        <v>-0.37318129999999999</v>
      </c>
    </row>
    <row r="206" spans="1:3" x14ac:dyDescent="0.15">
      <c r="A206">
        <v>188</v>
      </c>
      <c r="B206">
        <v>0.93403210000000003</v>
      </c>
      <c r="C206">
        <v>-0.34996280000000002</v>
      </c>
    </row>
    <row r="207" spans="1:3" x14ac:dyDescent="0.15">
      <c r="A207">
        <v>189</v>
      </c>
      <c r="B207">
        <v>0.93853509999999996</v>
      </c>
      <c r="C207">
        <v>-0.31210599999999999</v>
      </c>
    </row>
    <row r="208" spans="1:3" x14ac:dyDescent="0.15">
      <c r="A208">
        <v>190</v>
      </c>
      <c r="B208">
        <v>0.94321379999999999</v>
      </c>
      <c r="C208">
        <v>-0.29341729999999999</v>
      </c>
    </row>
    <row r="209" spans="1:3" x14ac:dyDescent="0.15">
      <c r="A209">
        <v>191</v>
      </c>
      <c r="B209">
        <v>0.94811129999999999</v>
      </c>
      <c r="C209">
        <v>-0.26296960000000003</v>
      </c>
    </row>
    <row r="210" spans="1:3" x14ac:dyDescent="0.15">
      <c r="A210">
        <v>192</v>
      </c>
      <c r="B210">
        <v>0.95281519999999997</v>
      </c>
      <c r="C210">
        <v>-0.23417789999999999</v>
      </c>
    </row>
    <row r="211" spans="1:3" x14ac:dyDescent="0.15">
      <c r="A211">
        <v>193</v>
      </c>
      <c r="B211">
        <v>0.95780430000000005</v>
      </c>
      <c r="C211">
        <v>-0.19693040000000001</v>
      </c>
    </row>
    <row r="212" spans="1:3" x14ac:dyDescent="0.15">
      <c r="A212">
        <v>194</v>
      </c>
      <c r="B212">
        <v>0.96358820000000001</v>
      </c>
      <c r="C212">
        <v>-0.1561149</v>
      </c>
    </row>
    <row r="213" spans="1:3" x14ac:dyDescent="0.15">
      <c r="A213">
        <v>195</v>
      </c>
      <c r="B213">
        <v>0.96978500000000001</v>
      </c>
      <c r="C213">
        <v>-0.1265222</v>
      </c>
    </row>
    <row r="214" spans="1:3" x14ac:dyDescent="0.15">
      <c r="A214">
        <v>196</v>
      </c>
      <c r="B214">
        <v>0.97551390000000004</v>
      </c>
      <c r="C214">
        <v>-8.7910199999999994E-2</v>
      </c>
    </row>
    <row r="215" spans="1:3" x14ac:dyDescent="0.15">
      <c r="A215">
        <v>197</v>
      </c>
      <c r="B215">
        <v>0.98108649999999997</v>
      </c>
      <c r="C215">
        <v>-5.3533499999999998E-2</v>
      </c>
    </row>
    <row r="216" spans="1:3" x14ac:dyDescent="0.15">
      <c r="A216">
        <v>198</v>
      </c>
      <c r="B216">
        <v>0.98644790000000004</v>
      </c>
      <c r="C216">
        <v>3.2447999999999999E-3</v>
      </c>
    </row>
    <row r="217" spans="1:3" x14ac:dyDescent="0.15">
      <c r="A217">
        <v>199</v>
      </c>
      <c r="B217">
        <v>0.99217120000000003</v>
      </c>
      <c r="C217">
        <v>0.1222869</v>
      </c>
    </row>
    <row r="218" spans="1:3" x14ac:dyDescent="0.15">
      <c r="A218">
        <v>200</v>
      </c>
      <c r="B218">
        <v>0.99755839999999996</v>
      </c>
      <c r="C218">
        <v>0.25735370000000002</v>
      </c>
    </row>
  </sheetData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>
      <selection activeCell="B4" sqref="B4"/>
    </sheetView>
  </sheetViews>
  <sheetFormatPr baseColWidth="10" defaultRowHeight="14" x14ac:dyDescent="0.15"/>
  <cols>
    <col min="1" max="1" width="42.5" customWidth="1"/>
    <col min="3" max="3" width="12.83203125" bestFit="1" customWidth="1"/>
    <col min="9" max="9" width="20" bestFit="1" customWidth="1"/>
    <col min="10" max="10" width="12.83203125" bestFit="1" customWidth="1"/>
    <col min="11" max="11" width="20.1640625" customWidth="1"/>
    <col min="12" max="13" width="19.33203125" bestFit="1" customWidth="1"/>
    <col min="15" max="15" width="24.1640625" bestFit="1" customWidth="1"/>
    <col min="16" max="16" width="22.5" bestFit="1" customWidth="1"/>
    <col min="17" max="17" width="28.33203125" bestFit="1" customWidth="1"/>
  </cols>
  <sheetData>
    <row r="1" spans="1:11" ht="16" x14ac:dyDescent="0.2">
      <c r="A1" s="56" t="s">
        <v>304</v>
      </c>
    </row>
    <row r="3" spans="1:11" x14ac:dyDescent="0.15">
      <c r="A3" s="2" t="s">
        <v>281</v>
      </c>
      <c r="B3" s="22" t="s">
        <v>277</v>
      </c>
      <c r="C3" s="22" t="s">
        <v>45</v>
      </c>
      <c r="J3" s="118" t="s">
        <v>284</v>
      </c>
      <c r="K3" s="118"/>
    </row>
    <row r="4" spans="1:11" x14ac:dyDescent="0.15">
      <c r="A4" s="48" t="s">
        <v>279</v>
      </c>
      <c r="B4" s="17">
        <f>J5+K5*FixedParams!B68</f>
        <v>0.78960842462328684</v>
      </c>
      <c r="C4" s="17">
        <f>J12+K12*FixedParams!B68</f>
        <v>0.79182895637369088</v>
      </c>
      <c r="J4" t="s">
        <v>282</v>
      </c>
      <c r="K4" t="s">
        <v>283</v>
      </c>
    </row>
    <row r="5" spans="1:11" x14ac:dyDescent="0.15">
      <c r="A5" s="48" t="s">
        <v>280</v>
      </c>
      <c r="B5" s="17">
        <f>J6+K6*FixedParams!C68</f>
        <v>0.72224989952475216</v>
      </c>
      <c r="C5" s="17">
        <f>J13+K13*FixedParams!C68</f>
        <v>0.7506421544802413</v>
      </c>
      <c r="I5" t="s">
        <v>285</v>
      </c>
      <c r="J5">
        <f>INTERCEPT(chartcomponents!B176:B177,chartcomponents!C176:C177)</f>
        <v>1.1350144322158506</v>
      </c>
      <c r="K5">
        <f>SLOPE(chartcomponents!B176:B177,chartcomponents!C176:C177)</f>
        <v>0.35758531549255118</v>
      </c>
    </row>
    <row r="6" spans="1:11" x14ac:dyDescent="0.15">
      <c r="A6" s="48" t="s">
        <v>278</v>
      </c>
      <c r="B6" s="41">
        <f>B4-B5</f>
        <v>6.7358525098534683E-2</v>
      </c>
      <c r="C6" s="41">
        <f>C4-C5</f>
        <v>4.1186801893449587E-2</v>
      </c>
      <c r="I6" t="s">
        <v>286</v>
      </c>
      <c r="J6">
        <f>INTERCEPT(chartcomponents!B164:B165,chartcomponents!C164:C165)</f>
        <v>1.1489379366776249</v>
      </c>
      <c r="K6">
        <f>SLOPE(chartcomponents!B164:B165,chartcomponents!C164:C165)</f>
        <v>0.37756230467185459</v>
      </c>
    </row>
    <row r="10" spans="1:11" x14ac:dyDescent="0.15">
      <c r="J10" s="118" t="s">
        <v>287</v>
      </c>
      <c r="K10" s="118"/>
    </row>
    <row r="11" spans="1:11" x14ac:dyDescent="0.15">
      <c r="J11" t="s">
        <v>282</v>
      </c>
      <c r="K11" t="s">
        <v>283</v>
      </c>
    </row>
    <row r="12" spans="1:11" x14ac:dyDescent="0.15">
      <c r="I12" t="s">
        <v>285</v>
      </c>
      <c r="J12">
        <f>INTERCEPT(Sectors!W133:W134,Sectors!V133:V134)</f>
        <v>0.98644402456806779</v>
      </c>
      <c r="K12">
        <f>SLOPE(Sectors!W133:W134,Sectors!V133:V134)</f>
        <v>0.20147736006369585</v>
      </c>
    </row>
    <row r="13" spans="1:11" x14ac:dyDescent="0.15">
      <c r="I13" t="s">
        <v>286</v>
      </c>
      <c r="J13">
        <f>INTERCEPT(Sectors!W124:W125,Sectors!V124:V125)</f>
        <v>1.0106498342551025</v>
      </c>
      <c r="K13">
        <f>SLOPE(Sectors!W124:W125,Sectors!V124:V125)</f>
        <v>0.23007230168256715</v>
      </c>
    </row>
    <row r="17" spans="9:10" x14ac:dyDescent="0.15">
      <c r="I17" t="s">
        <v>288</v>
      </c>
      <c r="J17" s="81">
        <f>C6/C4</f>
        <v>5.2014771071357664E-2</v>
      </c>
    </row>
    <row r="18" spans="9:10" x14ac:dyDescent="0.15">
      <c r="I18" t="s">
        <v>289</v>
      </c>
      <c r="J18" s="84">
        <f>C6</f>
        <v>4.1186801893449587E-2</v>
      </c>
    </row>
    <row r="19" spans="9:10" x14ac:dyDescent="0.15">
      <c r="J19" s="14"/>
    </row>
    <row r="227" spans="17:18" x14ac:dyDescent="0.15">
      <c r="Q227" s="24" t="b">
        <f>Sectors!V221&lt;Table_CPR!J224</f>
        <v>0</v>
      </c>
      <c r="R227" s="24">
        <f>Q227-P227</f>
        <v>0</v>
      </c>
    </row>
  </sheetData>
  <mergeCells count="2">
    <mergeCell ref="J3:K3"/>
    <mergeCell ref="J10:K10"/>
  </mergeCells>
  <phoneticPr fontId="2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15</vt:i4>
      </vt:variant>
    </vt:vector>
  </HeadingPairs>
  <TitlesOfParts>
    <vt:vector size="27" baseType="lpstr">
      <vt:lpstr>FixedParams</vt:lpstr>
      <vt:lpstr>Sectors</vt:lpstr>
      <vt:lpstr>Calibrations</vt:lpstr>
      <vt:lpstr>Figure_4_6_7_9</vt:lpstr>
      <vt:lpstr>NGIindiff</vt:lpstr>
      <vt:lpstr>CondCostCurves</vt:lpstr>
      <vt:lpstr>Criticalalpha</vt:lpstr>
      <vt:lpstr>chartcomponents</vt:lpstr>
      <vt:lpstr>Table_CPR</vt:lpstr>
      <vt:lpstr>Table_Params</vt:lpstr>
      <vt:lpstr>Table_Fits </vt:lpstr>
      <vt:lpstr>Table_Robustness</vt:lpstr>
      <vt:lpstr>Chartbaseline</vt:lpstr>
      <vt:lpstr>ChartACA</vt:lpstr>
      <vt:lpstr>ChartACAhalf</vt:lpstr>
      <vt:lpstr>ChartSectorImpacts</vt:lpstr>
      <vt:lpstr>ChartKL</vt:lpstr>
      <vt:lpstr>ChartCostEnv</vt:lpstr>
      <vt:lpstr>ChartNGIindiff</vt:lpstr>
      <vt:lpstr>ChartESI</vt:lpstr>
      <vt:lpstr>ChartAlpha</vt:lpstr>
      <vt:lpstr>Chartfactoradvantage</vt:lpstr>
      <vt:lpstr>ChartCPSsectors</vt:lpstr>
      <vt:lpstr>Chart_ACA_ESI</vt:lpstr>
      <vt:lpstr>Chart_ACA_Private</vt:lpstr>
      <vt:lpstr>Chart_ESI_WindowDressing</vt:lpstr>
      <vt:lpstr>Chart_ACA_Coverage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B. Mulligan</dc:creator>
  <cp:lastModifiedBy>Microsoft Office User</cp:lastModifiedBy>
  <cp:lastPrinted>2017-10-10T18:45:14Z</cp:lastPrinted>
  <dcterms:created xsi:type="dcterms:W3CDTF">2013-03-02T20:34:56Z</dcterms:created>
  <dcterms:modified xsi:type="dcterms:W3CDTF">2018-01-22T19:45:40Z</dcterms:modified>
</cp:coreProperties>
</file>