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ed84\My Drive\Teaching\ECHE 260_Intro to Chemical Systems\2024\ECHE 260 TA Folder (HW assignments, solutions, rubrics)\"/>
    </mc:Choice>
  </mc:AlternateContent>
  <xr:revisionPtr revIDLastSave="0" documentId="13_ncr:1_{BEC9A3CC-5A22-44A0-9742-AAD35698E99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alculations - Setting up Txy" sheetId="1" r:id="rId1"/>
    <sheet name="Data Table" sheetId="2" r:id="rId2"/>
    <sheet name="Txy" sheetId="3" r:id="rId3"/>
    <sheet name="Calculations - Part E" sheetId="4" r:id="rId4"/>
  </sheets>
  <definedNames>
    <definedName name="solver_adj" localSheetId="3" hidden="1">'Calculations - Part E'!$F$8</definedName>
    <definedName name="solver_adj" localSheetId="0" hidden="1">'Calculations - Setting up Txy'!$F$7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1</definedName>
    <definedName name="solver_eng" localSheetId="3" hidden="1">1</definedName>
    <definedName name="solver_eng" localSheetId="0" hidden="1">1</definedName>
    <definedName name="solver_est" localSheetId="3" hidden="1">1</definedName>
    <definedName name="solver_est" localSheetId="0" hidden="1">1</definedName>
    <definedName name="solver_itr" localSheetId="3" hidden="1">2147483647</definedName>
    <definedName name="solver_itr" localSheetId="0" hidden="1">2147483647</definedName>
    <definedName name="solver_mip" localSheetId="3" hidden="1">2147483647</definedName>
    <definedName name="solver_mip" localSheetId="0" hidden="1">2147483647</definedName>
    <definedName name="solver_mni" localSheetId="3" hidden="1">30</definedName>
    <definedName name="solver_mni" localSheetId="0" hidden="1">30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od" localSheetId="0" hidden="1">2147483647</definedName>
    <definedName name="solver_num" localSheetId="3" hidden="1">0</definedName>
    <definedName name="solver_num" localSheetId="0" hidden="1">0</definedName>
    <definedName name="solver_nwt" localSheetId="3" hidden="1">1</definedName>
    <definedName name="solver_nwt" localSheetId="0" hidden="1">1</definedName>
    <definedName name="solver_opt" localSheetId="3" hidden="1">'Calculations - Part E'!$L$8</definedName>
    <definedName name="solver_opt" localSheetId="0" hidden="1">'Calculations - Setting up Txy'!$K$7</definedName>
    <definedName name="solver_pre" localSheetId="3" hidden="1">0.000001</definedName>
    <definedName name="solver_pre" localSheetId="0" hidden="1">0.000001</definedName>
    <definedName name="solver_rbv" localSheetId="3" hidden="1">1</definedName>
    <definedName name="solver_rbv" localSheetId="0" hidden="1">1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rsd" localSheetId="0" hidden="1">0</definedName>
    <definedName name="solver_scl" localSheetId="3" hidden="1">1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ssz" localSheetId="0" hidden="1">100</definedName>
    <definedName name="solver_tim" localSheetId="3" hidden="1">2147483647</definedName>
    <definedName name="solver_tim" localSheetId="0" hidden="1">2147483647</definedName>
    <definedName name="solver_tol" localSheetId="3" hidden="1">0.01</definedName>
    <definedName name="solver_tol" localSheetId="0" hidden="1">0.01</definedName>
    <definedName name="solver_typ" localSheetId="3" hidden="1">3</definedName>
    <definedName name="solver_typ" localSheetId="0" hidden="1">3</definedName>
    <definedName name="solver_val" localSheetId="3" hidden="1">0.95</definedName>
    <definedName name="solver_val" localSheetId="0" hidden="1">1</definedName>
    <definedName name="solver_ver" localSheetId="3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4" l="1"/>
  <c r="H8" i="4" s="1"/>
  <c r="H3" i="2" l="1"/>
  <c r="G3" i="2"/>
  <c r="D3" i="2"/>
  <c r="E3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4" i="2"/>
  <c r="K7" i="1"/>
  <c r="J7" i="1"/>
  <c r="I7" i="1"/>
  <c r="H7" i="1"/>
  <c r="I8" i="4"/>
  <c r="J8" i="4"/>
  <c r="J8" i="1"/>
  <c r="I8" i="1"/>
  <c r="H8" i="1"/>
  <c r="G7" i="1"/>
  <c r="C3" i="2"/>
  <c r="F3" i="2" s="1"/>
  <c r="G8" i="1"/>
  <c r="K8" i="4" l="1"/>
  <c r="L8" i="4" s="1"/>
  <c r="G10" i="1"/>
  <c r="L7" i="1"/>
  <c r="K8" i="1"/>
  <c r="L8" i="1" s="1"/>
  <c r="D5" i="2" l="1"/>
  <c r="E5" i="2" s="1"/>
  <c r="D4" i="2"/>
  <c r="E4" i="2" s="1"/>
  <c r="C4" i="2"/>
  <c r="F4" i="2" s="1"/>
  <c r="G4" i="2" l="1"/>
  <c r="H4" i="2" s="1"/>
  <c r="C6" i="2"/>
  <c r="F6" i="2" s="1"/>
  <c r="C5" i="2"/>
  <c r="F5" i="2" s="1"/>
  <c r="G5" i="2" s="1"/>
  <c r="H5" i="2" s="1"/>
  <c r="C7" i="2" l="1"/>
  <c r="F7" i="2" s="1"/>
  <c r="D6" i="2"/>
  <c r="E6" i="2" s="1"/>
  <c r="G6" i="2" s="1"/>
  <c r="H6" i="2" s="1"/>
  <c r="C8" i="2" l="1"/>
  <c r="F8" i="2" s="1"/>
  <c r="D7" i="2"/>
  <c r="E7" i="2" s="1"/>
  <c r="G7" i="2" s="1"/>
  <c r="H7" i="2" s="1"/>
  <c r="D8" i="2" l="1"/>
  <c r="E8" i="2" s="1"/>
  <c r="G8" i="2" s="1"/>
  <c r="H8" i="2" s="1"/>
  <c r="C9" i="2"/>
  <c r="F9" i="2" s="1"/>
  <c r="D9" i="2"/>
  <c r="E9" i="2" s="1"/>
  <c r="G9" i="2" l="1"/>
  <c r="H9" i="2" s="1"/>
  <c r="C10" i="2"/>
  <c r="F10" i="2" s="1"/>
  <c r="D10" i="2"/>
  <c r="E10" i="2" s="1"/>
  <c r="G10" i="2" l="1"/>
  <c r="H10" i="2" s="1"/>
  <c r="C11" i="2"/>
  <c r="F11" i="2" s="1"/>
  <c r="D11" i="2"/>
  <c r="E11" i="2" s="1"/>
  <c r="G11" i="2" l="1"/>
  <c r="H11" i="2" s="1"/>
  <c r="C12" i="2"/>
  <c r="F12" i="2" s="1"/>
  <c r="D12" i="2"/>
  <c r="E12" i="2" s="1"/>
  <c r="G12" i="2" l="1"/>
  <c r="H12" i="2" s="1"/>
  <c r="C13" i="2"/>
  <c r="F13" i="2" s="1"/>
  <c r="D13" i="2"/>
  <c r="E13" i="2" s="1"/>
  <c r="G13" i="2" l="1"/>
  <c r="H13" i="2" s="1"/>
  <c r="C14" i="2"/>
  <c r="F14" i="2" s="1"/>
  <c r="D14" i="2"/>
  <c r="E14" i="2" s="1"/>
  <c r="G14" i="2" l="1"/>
  <c r="H14" i="2" s="1"/>
  <c r="C15" i="2"/>
  <c r="F15" i="2" s="1"/>
  <c r="D15" i="2"/>
  <c r="E15" i="2" s="1"/>
  <c r="G15" i="2" l="1"/>
  <c r="H15" i="2" s="1"/>
  <c r="C16" i="2"/>
  <c r="F16" i="2" s="1"/>
  <c r="D16" i="2"/>
  <c r="E16" i="2" s="1"/>
  <c r="G16" i="2" l="1"/>
  <c r="H16" i="2" s="1"/>
  <c r="C17" i="2"/>
  <c r="F17" i="2" s="1"/>
  <c r="D17" i="2"/>
  <c r="E17" i="2" s="1"/>
  <c r="G17" i="2" l="1"/>
  <c r="H17" i="2" s="1"/>
  <c r="C18" i="2"/>
  <c r="F18" i="2" s="1"/>
  <c r="D18" i="2"/>
  <c r="E18" i="2" s="1"/>
  <c r="G18" i="2" l="1"/>
  <c r="H18" i="2" s="1"/>
  <c r="C19" i="2"/>
  <c r="F19" i="2" s="1"/>
  <c r="D19" i="2"/>
  <c r="E19" i="2" s="1"/>
  <c r="G19" i="2" l="1"/>
  <c r="H19" i="2" s="1"/>
  <c r="C20" i="2"/>
  <c r="F20" i="2" s="1"/>
  <c r="D20" i="2"/>
  <c r="E20" i="2" s="1"/>
  <c r="G20" i="2" l="1"/>
  <c r="H20" i="2" s="1"/>
  <c r="C21" i="2"/>
  <c r="F21" i="2" s="1"/>
  <c r="D21" i="2"/>
  <c r="E21" i="2" s="1"/>
  <c r="G21" i="2" l="1"/>
  <c r="H21" i="2" s="1"/>
  <c r="C22" i="2"/>
  <c r="F22" i="2" s="1"/>
  <c r="D22" i="2"/>
  <c r="E22" i="2" s="1"/>
  <c r="G22" i="2" l="1"/>
  <c r="H22" i="2" s="1"/>
  <c r="C23" i="2"/>
  <c r="F23" i="2" s="1"/>
  <c r="D23" i="2"/>
  <c r="E23" i="2" s="1"/>
  <c r="G23" i="2" l="1"/>
  <c r="H23" i="2" s="1"/>
  <c r="C24" i="2"/>
  <c r="F24" i="2" s="1"/>
  <c r="D24" i="2"/>
  <c r="E24" i="2" s="1"/>
  <c r="G24" i="2" l="1"/>
  <c r="H24" i="2" s="1"/>
  <c r="C25" i="2"/>
  <c r="F25" i="2" s="1"/>
  <c r="D25" i="2"/>
  <c r="E25" i="2"/>
  <c r="G25" i="2" l="1"/>
  <c r="H25" i="2" s="1"/>
  <c r="C26" i="2"/>
  <c r="F26" i="2" s="1"/>
  <c r="D26" i="2"/>
  <c r="E26" i="2" s="1"/>
  <c r="G26" i="2" l="1"/>
  <c r="H26" i="2" s="1"/>
  <c r="C27" i="2"/>
  <c r="F27" i="2" s="1"/>
  <c r="D27" i="2"/>
  <c r="E27" i="2" s="1"/>
  <c r="G27" i="2" l="1"/>
  <c r="H27" i="2" s="1"/>
  <c r="C28" i="2"/>
  <c r="F28" i="2" s="1"/>
  <c r="D28" i="2"/>
  <c r="E28" i="2" s="1"/>
  <c r="G28" i="2" l="1"/>
  <c r="H28" i="2" s="1"/>
</calcChain>
</file>

<file path=xl/sharedStrings.xml><?xml version="1.0" encoding="utf-8"?>
<sst xmlns="http://schemas.openxmlformats.org/spreadsheetml/2006/main" count="55" uniqueCount="29">
  <si>
    <t>Givens</t>
  </si>
  <si>
    <t>unit</t>
  </si>
  <si>
    <t>variable</t>
  </si>
  <si>
    <t>P</t>
  </si>
  <si>
    <t>A</t>
  </si>
  <si>
    <t>B</t>
  </si>
  <si>
    <t>C</t>
  </si>
  <si>
    <t>Antoine Constants</t>
  </si>
  <si>
    <t>Legend</t>
  </si>
  <si>
    <t>Problem Inputs</t>
  </si>
  <si>
    <t>Calculations</t>
  </si>
  <si>
    <t>step</t>
  </si>
  <si>
    <t>Raoult's</t>
  </si>
  <si>
    <t>rearrange Raoult's</t>
  </si>
  <si>
    <t xml:space="preserve">T ( K ) </t>
  </si>
  <si>
    <t>T (.C)</t>
  </si>
  <si>
    <t>Pm sat (T) bar</t>
  </si>
  <si>
    <t>Pw sat (T) mmHg</t>
  </si>
  <si>
    <t>menthol</t>
  </si>
  <si>
    <t>water</t>
  </si>
  <si>
    <t>Pm sat (T) mmHg</t>
  </si>
  <si>
    <t>xm</t>
  </si>
  <si>
    <t>ym</t>
  </si>
  <si>
    <t>mmg</t>
  </si>
  <si>
    <t>Pm^sat (T) in bar</t>
  </si>
  <si>
    <t>Pw^sat (T) in mmHg</t>
  </si>
  <si>
    <t>Pm^sat (T) in mmHg</t>
  </si>
  <si>
    <t>rearrange Bubble Point</t>
  </si>
  <si>
    <t>**Water in the menthol stream yw=0.05 therefore ym=0.95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</si>
</sst>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64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Table'!$G$3:$G$33</c:f>
              <c:numCache>
                <c:formatCode>0.0</c:formatCode>
                <c:ptCount val="31"/>
                <c:pt idx="0">
                  <c:v>1.0136990037619977</c:v>
                </c:pt>
                <c:pt idx="1">
                  <c:v>0.96023840816861072</c:v>
                </c:pt>
                <c:pt idx="2">
                  <c:v>0.90844815942138513</c:v>
                </c:pt>
                <c:pt idx="3">
                  <c:v>0.85822227306160359</c:v>
                </c:pt>
                <c:pt idx="4">
                  <c:v>0.80946033461413647</c:v>
                </c:pt>
                <c:pt idx="5">
                  <c:v>0.76206712182753955</c:v>
                </c:pt>
                <c:pt idx="6">
                  <c:v>0.71595225164174647</c:v>
                </c:pt>
                <c:pt idx="7">
                  <c:v>0.67102984999860837</c:v>
                </c:pt>
                <c:pt idx="8">
                  <c:v>0.62721824275227644</c:v>
                </c:pt>
                <c:pt idx="9">
                  <c:v>0.58443966606626174</c:v>
                </c:pt>
                <c:pt idx="10">
                  <c:v>0.5426199948026591</c:v>
                </c:pt>
                <c:pt idx="11">
                  <c:v>0.50168848751766537</c:v>
                </c:pt>
                <c:pt idx="12">
                  <c:v>0.46157754677678275</c:v>
                </c:pt>
                <c:pt idx="13">
                  <c:v>0.42222249359383979</c:v>
                </c:pt>
                <c:pt idx="14">
                  <c:v>0.38356135488085769</c:v>
                </c:pt>
                <c:pt idx="15">
                  <c:v>0.34553466287132462</c:v>
                </c:pt>
                <c:pt idx="16">
                  <c:v>0.30808526554836452</c:v>
                </c:pt>
                <c:pt idx="17">
                  <c:v>0.27115814717189407</c:v>
                </c:pt>
                <c:pt idx="18">
                  <c:v>0.23470025805575048</c:v>
                </c:pt>
                <c:pt idx="19">
                  <c:v>0.19866035279725341</c:v>
                </c:pt>
                <c:pt idx="20">
                  <c:v>0.16298883620812271</c:v>
                </c:pt>
                <c:pt idx="21">
                  <c:v>0.12763761623740577</c:v>
                </c:pt>
                <c:pt idx="22">
                  <c:v>9.2559963214397356E-2</c:v>
                </c:pt>
                <c:pt idx="23">
                  <c:v>5.7710374772601714E-2</c:v>
                </c:pt>
                <c:pt idx="24">
                  <c:v>2.3044445844952448E-2</c:v>
                </c:pt>
                <c:pt idx="25">
                  <c:v>-1.1481256854269234E-2</c:v>
                </c:pt>
              </c:numCache>
            </c:numRef>
          </c:xVal>
          <c:yVal>
            <c:numRef>
              <c:f>'Data Table'!$B$3:$B$33</c:f>
              <c:numCache>
                <c:formatCode>General</c:formatCode>
                <c:ptCount val="31"/>
                <c:pt idx="0">
                  <c:v>336</c:v>
                </c:pt>
                <c:pt idx="1">
                  <c:v>337.5</c:v>
                </c:pt>
                <c:pt idx="2">
                  <c:v>339</c:v>
                </c:pt>
                <c:pt idx="3">
                  <c:v>340.5</c:v>
                </c:pt>
                <c:pt idx="4">
                  <c:v>342</c:v>
                </c:pt>
                <c:pt idx="5">
                  <c:v>343.5</c:v>
                </c:pt>
                <c:pt idx="6">
                  <c:v>345</c:v>
                </c:pt>
                <c:pt idx="7">
                  <c:v>346.5</c:v>
                </c:pt>
                <c:pt idx="8">
                  <c:v>348</c:v>
                </c:pt>
                <c:pt idx="9">
                  <c:v>349.5</c:v>
                </c:pt>
                <c:pt idx="10">
                  <c:v>351</c:v>
                </c:pt>
                <c:pt idx="11">
                  <c:v>352.5</c:v>
                </c:pt>
                <c:pt idx="12">
                  <c:v>354</c:v>
                </c:pt>
                <c:pt idx="13">
                  <c:v>355.5</c:v>
                </c:pt>
                <c:pt idx="14">
                  <c:v>357</c:v>
                </c:pt>
                <c:pt idx="15">
                  <c:v>358.5</c:v>
                </c:pt>
                <c:pt idx="16">
                  <c:v>360</c:v>
                </c:pt>
                <c:pt idx="17">
                  <c:v>361.5</c:v>
                </c:pt>
                <c:pt idx="18">
                  <c:v>363</c:v>
                </c:pt>
                <c:pt idx="19">
                  <c:v>364.5</c:v>
                </c:pt>
                <c:pt idx="20">
                  <c:v>366</c:v>
                </c:pt>
                <c:pt idx="21">
                  <c:v>367.5</c:v>
                </c:pt>
                <c:pt idx="22">
                  <c:v>369</c:v>
                </c:pt>
                <c:pt idx="23">
                  <c:v>370.5</c:v>
                </c:pt>
                <c:pt idx="24">
                  <c:v>372</c:v>
                </c:pt>
                <c:pt idx="25">
                  <c:v>373.5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A4-42FF-B3E2-D5BFC4610F47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Table'!$H$3:$H$33</c:f>
              <c:numCache>
                <c:formatCode>0.0</c:formatCode>
                <c:ptCount val="31"/>
                <c:pt idx="0">
                  <c:v>1.0030903308707764</c:v>
                </c:pt>
                <c:pt idx="1">
                  <c:v>0.99040205804310955</c:v>
                </c:pt>
                <c:pt idx="2">
                  <c:v>0.97636912438968881</c:v>
                </c:pt>
                <c:pt idx="3">
                  <c:v>0.96089577291348738</c:v>
                </c:pt>
                <c:pt idx="4">
                  <c:v>0.9438805870876914</c:v>
                </c:pt>
                <c:pt idx="5">
                  <c:v>0.92521617925107558</c:v>
                </c:pt>
                <c:pt idx="6">
                  <c:v>0.90478886141705483</c:v>
                </c:pt>
                <c:pt idx="7">
                  <c:v>0.88247829739629002</c:v>
                </c:pt>
                <c:pt idx="8">
                  <c:v>0.85815713505318758</c:v>
                </c:pt>
                <c:pt idx="9">
                  <c:v>0.83169061743061323</c:v>
                </c:pt>
                <c:pt idx="10">
                  <c:v>0.80293617138387752</c:v>
                </c:pt>
                <c:pt idx="11">
                  <c:v>0.77174297226403954</c:v>
                </c:pt>
                <c:pt idx="12">
                  <c:v>0.73795148308094005</c:v>
                </c:pt>
                <c:pt idx="13">
                  <c:v>0.70139296645738947</c:v>
                </c:pt>
                <c:pt idx="14">
                  <c:v>0.66188896755671656</c:v>
                </c:pt>
                <c:pt idx="15">
                  <c:v>0.61925076602530305</c:v>
                </c:pt>
                <c:pt idx="16">
                  <c:v>0.57327879483889788</c:v>
                </c:pt>
                <c:pt idx="17">
                  <c:v>0.52376202377499348</c:v>
                </c:pt>
                <c:pt idx="18">
                  <c:v>0.47047730505213559</c:v>
                </c:pt>
                <c:pt idx="19">
                  <c:v>0.41318867847920698</c:v>
                </c:pt>
                <c:pt idx="20">
                  <c:v>0.35164663324171241</c:v>
                </c:pt>
                <c:pt idx="21">
                  <c:v>0.28558732321616515</c:v>
                </c:pt>
                <c:pt idx="22">
                  <c:v>0.21473173244569035</c:v>
                </c:pt>
                <c:pt idx="23">
                  <c:v>0.13878478712752704</c:v>
                </c:pt>
                <c:pt idx="24">
                  <c:v>5.743441015393555E-2</c:v>
                </c:pt>
                <c:pt idx="25">
                  <c:v>-2.964948609127472E-2</c:v>
                </c:pt>
              </c:numCache>
            </c:numRef>
          </c:xVal>
          <c:yVal>
            <c:numRef>
              <c:f>'Data Table'!$B$3:$B$33</c:f>
              <c:numCache>
                <c:formatCode>General</c:formatCode>
                <c:ptCount val="31"/>
                <c:pt idx="0">
                  <c:v>336</c:v>
                </c:pt>
                <c:pt idx="1">
                  <c:v>337.5</c:v>
                </c:pt>
                <c:pt idx="2">
                  <c:v>339</c:v>
                </c:pt>
                <c:pt idx="3">
                  <c:v>340.5</c:v>
                </c:pt>
                <c:pt idx="4">
                  <c:v>342</c:v>
                </c:pt>
                <c:pt idx="5">
                  <c:v>343.5</c:v>
                </c:pt>
                <c:pt idx="6">
                  <c:v>345</c:v>
                </c:pt>
                <c:pt idx="7">
                  <c:v>346.5</c:v>
                </c:pt>
                <c:pt idx="8">
                  <c:v>348</c:v>
                </c:pt>
                <c:pt idx="9">
                  <c:v>349.5</c:v>
                </c:pt>
                <c:pt idx="10">
                  <c:v>351</c:v>
                </c:pt>
                <c:pt idx="11">
                  <c:v>352.5</c:v>
                </c:pt>
                <c:pt idx="12">
                  <c:v>354</c:v>
                </c:pt>
                <c:pt idx="13">
                  <c:v>355.5</c:v>
                </c:pt>
                <c:pt idx="14">
                  <c:v>357</c:v>
                </c:pt>
                <c:pt idx="15">
                  <c:v>358.5</c:v>
                </c:pt>
                <c:pt idx="16">
                  <c:v>360</c:v>
                </c:pt>
                <c:pt idx="17">
                  <c:v>361.5</c:v>
                </c:pt>
                <c:pt idx="18">
                  <c:v>363</c:v>
                </c:pt>
                <c:pt idx="19">
                  <c:v>364.5</c:v>
                </c:pt>
                <c:pt idx="20">
                  <c:v>366</c:v>
                </c:pt>
                <c:pt idx="21">
                  <c:v>367.5</c:v>
                </c:pt>
                <c:pt idx="22">
                  <c:v>369</c:v>
                </c:pt>
                <c:pt idx="23">
                  <c:v>370.5</c:v>
                </c:pt>
                <c:pt idx="24">
                  <c:v>372</c:v>
                </c:pt>
                <c:pt idx="25">
                  <c:v>373.5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A4-42FF-B3E2-D5BFC461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70272"/>
        <c:axId val="139672192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'Data Table'!$G$3:$G$32</c:f>
              <c:numCache>
                <c:formatCode>0.0</c:formatCode>
                <c:ptCount val="30"/>
                <c:pt idx="0">
                  <c:v>1.0136990037619977</c:v>
                </c:pt>
                <c:pt idx="1">
                  <c:v>0.96023840816861072</c:v>
                </c:pt>
                <c:pt idx="2">
                  <c:v>0.90844815942138513</c:v>
                </c:pt>
                <c:pt idx="3">
                  <c:v>0.85822227306160359</c:v>
                </c:pt>
                <c:pt idx="4">
                  <c:v>0.80946033461413647</c:v>
                </c:pt>
                <c:pt idx="5">
                  <c:v>0.76206712182753955</c:v>
                </c:pt>
                <c:pt idx="6">
                  <c:v>0.71595225164174647</c:v>
                </c:pt>
                <c:pt idx="7">
                  <c:v>0.67102984999860837</c:v>
                </c:pt>
                <c:pt idx="8">
                  <c:v>0.62721824275227644</c:v>
                </c:pt>
                <c:pt idx="9">
                  <c:v>0.58443966606626174</c:v>
                </c:pt>
                <c:pt idx="10">
                  <c:v>0.5426199948026591</c:v>
                </c:pt>
                <c:pt idx="11">
                  <c:v>0.50168848751766537</c:v>
                </c:pt>
                <c:pt idx="12">
                  <c:v>0.46157754677678275</c:v>
                </c:pt>
                <c:pt idx="13">
                  <c:v>0.42222249359383979</c:v>
                </c:pt>
                <c:pt idx="14">
                  <c:v>0.38356135488085769</c:v>
                </c:pt>
                <c:pt idx="15">
                  <c:v>0.34553466287132462</c:v>
                </c:pt>
                <c:pt idx="16">
                  <c:v>0.30808526554836452</c:v>
                </c:pt>
                <c:pt idx="17">
                  <c:v>0.27115814717189407</c:v>
                </c:pt>
                <c:pt idx="18">
                  <c:v>0.23470025805575048</c:v>
                </c:pt>
                <c:pt idx="19">
                  <c:v>0.19866035279725341</c:v>
                </c:pt>
                <c:pt idx="20">
                  <c:v>0.16298883620812271</c:v>
                </c:pt>
                <c:pt idx="21">
                  <c:v>0.12763761623740577</c:v>
                </c:pt>
                <c:pt idx="22">
                  <c:v>9.2559963214397356E-2</c:v>
                </c:pt>
                <c:pt idx="23">
                  <c:v>5.7710374772601714E-2</c:v>
                </c:pt>
                <c:pt idx="24">
                  <c:v>2.3044445844952448E-2</c:v>
                </c:pt>
                <c:pt idx="25">
                  <c:v>-1.1481256854269234E-2</c:v>
                </c:pt>
              </c:numCache>
            </c:numRef>
          </c:xVal>
          <c:yVal>
            <c:numRef>
              <c:f>'Calculations - Setting up Txy'!$G$14:$G$44</c:f>
              <c:numCache>
                <c:formatCode>General</c:formatCode>
                <c:ptCount val="3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A4-42FF-B3E2-D5BFC4610F47}"/>
            </c:ext>
          </c:extLst>
        </c:ser>
        <c:ser>
          <c:idx val="3"/>
          <c:order val="3"/>
          <c:tx>
            <c:v>DTX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'Calculations - Setting up Txy'!$L$14:$L$44</c:f>
              <c:numCache>
                <c:formatCode>General</c:formatCode>
                <c:ptCount val="31"/>
              </c:numCache>
            </c:numRef>
          </c:xVal>
          <c:yVal>
            <c:numRef>
              <c:f>'Calculations - Setting up Txy'!$H$14:$H$44</c:f>
              <c:numCache>
                <c:formatCode>General</c:formatCode>
                <c:ptCount val="3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5-4DAD-B8D8-EEAE43DE1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4096"/>
        <c:axId val="139682560"/>
      </c:scatterChart>
      <c:valAx>
        <c:axId val="139670272"/>
        <c:scaling>
          <c:orientation val="minMax"/>
          <c:max val="1"/>
          <c:min val="0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 fractions of menthol (xm, ym)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2192"/>
        <c:crosses val="autoZero"/>
        <c:crossBetween val="midCat"/>
      </c:valAx>
      <c:valAx>
        <c:axId val="139672192"/>
        <c:scaling>
          <c:orientation val="minMax"/>
          <c:max val="380"/>
          <c:min val="320"/>
        </c:scaling>
        <c:delete val="0"/>
        <c:axPos val="l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 K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0272"/>
        <c:crosses val="autoZero"/>
        <c:crossBetween val="midCat"/>
      </c:valAx>
      <c:valAx>
        <c:axId val="139682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9684096"/>
        <c:crosses val="max"/>
        <c:crossBetween val="midCat"/>
      </c:valAx>
      <c:valAx>
        <c:axId val="1396840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396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0.07679</cdr:x>
      <cdr:y>0.51346</cdr:y>
    </cdr:from>
    <cdr:to>
      <cdr:x>0.99808</cdr:x>
      <cdr:y>0.51346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066BF47-17BD-E7DB-848C-D495725B495D}"/>
            </a:ext>
          </a:extLst>
        </cdr:cNvPr>
        <cdr:cNvCxnSpPr/>
      </cdr:nvCxnSpPr>
      <cdr:spPr>
        <a:xfrm xmlns:a="http://schemas.openxmlformats.org/drawingml/2006/main">
          <a:off x="666009" y="3233593"/>
          <a:ext cx="799067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0.64081</cdr:x>
      <cdr:y>0.42237</cdr:y>
    </cdr:from>
    <cdr:to>
      <cdr:x>0.64081</cdr:x>
      <cdr:y>0.89462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4839084D-4E91-3766-3D1A-CE8D4F3158EA}"/>
            </a:ext>
          </a:extLst>
        </cdr:cNvPr>
        <cdr:cNvCxnSpPr/>
      </cdr:nvCxnSpPr>
      <cdr:spPr>
        <a:xfrm xmlns:a="http://schemas.openxmlformats.org/drawingml/2006/main" flipH="1">
          <a:off x="5557962" y="2659947"/>
          <a:ext cx="0" cy="297409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0.84737</cdr:x>
      <cdr:y>0.42349</cdr:y>
    </cdr:from>
    <cdr:to>
      <cdr:x>0.84967</cdr:x>
      <cdr:y>0.90735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227ECE58-3D65-201E-9B07-397FDAFC4AA2}"/>
            </a:ext>
          </a:extLst>
        </cdr:cNvPr>
        <cdr:cNvCxnSpPr/>
      </cdr:nvCxnSpPr>
      <cdr:spPr>
        <a:xfrm xmlns:a="http://schemas.openxmlformats.org/drawingml/2006/main">
          <a:off x="7349517" y="2666989"/>
          <a:ext cx="19948" cy="30472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0.53424</cdr:x>
      <cdr:y>0.81849</cdr:y>
    </cdr:from>
    <cdr:to>
      <cdr:x>0.61879</cdr:x>
      <cdr:y>0.93513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1F1F661B-E638-2177-657E-06439453DC10}"/>
            </a:ext>
          </a:extLst>
        </cdr:cNvPr>
        <cdr:cNvSpPr txBox="1"/>
      </cdr:nvSpPr>
      <cdr:spPr>
        <a:xfrm xmlns:a="http://schemas.openxmlformats.org/drawingml/2006/main">
          <a:off x="4633669" y="5154607"/>
          <a:ext cx="733332" cy="734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For part C)</a:t>
          </a:r>
        </a:p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xm = 0.64</a:t>
          </a:r>
        </a:p>
      </cdr:txBody>
    </cdr:sp>
  </cdr:relSizeAnchor>
  <cdr:relSizeAnchor xmlns:cdr="http://schemas.openxmlformats.org/drawingml/2006/chartDrawing">
    <cdr:from>
      <cdr:x>0.76593</cdr:x>
      <cdr:y>0.79826</cdr:y>
    </cdr:from>
    <cdr:to>
      <cdr:x>0.85048</cdr:x>
      <cdr:y>0.91489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DB5100C3-6A47-B8E8-3CF4-C5844C1E6966}"/>
            </a:ext>
          </a:extLst>
        </cdr:cNvPr>
        <cdr:cNvSpPr txBox="1"/>
      </cdr:nvSpPr>
      <cdr:spPr>
        <a:xfrm xmlns:a="http://schemas.openxmlformats.org/drawingml/2006/main">
          <a:off x="6643218" y="5027178"/>
          <a:ext cx="733332" cy="734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For part C)</a:t>
          </a:r>
        </a:p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ym = 0.86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5"/>
  <sheetViews>
    <sheetView workbookViewId="0">
      <selection activeCell="J21" sqref="J21"/>
    </sheetView>
  </sheetViews>
  <sheetFormatPr defaultRowHeight="15" x14ac:dyDescent="0.25"/>
  <cols>
    <col min="1" max="1" width="2.5703125" customWidth="1"/>
    <col min="8" max="8" width="12.7109375" bestFit="1" customWidth="1"/>
    <col min="9" max="9" width="15.5703125" bestFit="1" customWidth="1"/>
    <col min="10" max="10" width="15.42578125" bestFit="1" customWidth="1"/>
    <col min="11" max="11" width="11.7109375" bestFit="1" customWidth="1"/>
    <col min="12" max="12" width="11" bestFit="1" customWidth="1"/>
    <col min="15" max="15" width="15.42578125" bestFit="1" customWidth="1"/>
  </cols>
  <sheetData>
    <row r="1" spans="2:15" x14ac:dyDescent="0.25">
      <c r="B1" s="15" t="s">
        <v>0</v>
      </c>
      <c r="C1" s="15"/>
      <c r="D1" s="15"/>
      <c r="N1" s="16" t="s">
        <v>8</v>
      </c>
      <c r="O1" s="16"/>
    </row>
    <row r="2" spans="2:15" x14ac:dyDescent="0.25">
      <c r="C2" t="s">
        <v>1</v>
      </c>
      <c r="D2" t="s">
        <v>2</v>
      </c>
      <c r="N2" s="2"/>
      <c r="O2" s="3" t="s">
        <v>9</v>
      </c>
    </row>
    <row r="3" spans="2:15" x14ac:dyDescent="0.25">
      <c r="B3" s="5">
        <v>760</v>
      </c>
      <c r="C3" t="s">
        <v>23</v>
      </c>
      <c r="D3" t="s">
        <v>3</v>
      </c>
      <c r="N3" s="4"/>
      <c r="O3" s="3" t="s">
        <v>10</v>
      </c>
    </row>
    <row r="4" spans="2:15" x14ac:dyDescent="0.25">
      <c r="K4" s="17" t="s">
        <v>13</v>
      </c>
    </row>
    <row r="5" spans="2:15" x14ac:dyDescent="0.25">
      <c r="B5" s="15" t="s">
        <v>7</v>
      </c>
      <c r="C5" s="15"/>
      <c r="D5" s="15"/>
      <c r="E5" s="15"/>
      <c r="K5" s="17"/>
      <c r="L5" t="s">
        <v>12</v>
      </c>
    </row>
    <row r="6" spans="2:15" x14ac:dyDescent="0.25">
      <c r="C6" t="s">
        <v>4</v>
      </c>
      <c r="D6" t="s">
        <v>5</v>
      </c>
      <c r="E6" t="s">
        <v>6</v>
      </c>
      <c r="F6" t="s">
        <v>15</v>
      </c>
      <c r="G6" t="s">
        <v>14</v>
      </c>
      <c r="H6" t="s">
        <v>16</v>
      </c>
      <c r="I6" t="s">
        <v>20</v>
      </c>
      <c r="J6" t="s">
        <v>17</v>
      </c>
      <c r="K6" t="s">
        <v>21</v>
      </c>
      <c r="L6" t="s">
        <v>22</v>
      </c>
    </row>
    <row r="7" spans="2:15" x14ac:dyDescent="0.25">
      <c r="B7" t="s">
        <v>18</v>
      </c>
      <c r="C7" s="6">
        <v>5.38347</v>
      </c>
      <c r="D7" s="6">
        <v>2405.9459999999999</v>
      </c>
      <c r="E7" s="6">
        <v>111</v>
      </c>
      <c r="F7" s="10">
        <v>63.379802421209298</v>
      </c>
      <c r="G7" s="11">
        <f>F7+273</f>
        <v>336.37980242120932</v>
      </c>
      <c r="H7" s="9">
        <f>10^($C$7-($D$7/(G7+$E$7)))</f>
        <v>1.01300100303681</v>
      </c>
      <c r="I7" s="12">
        <f>H7*(760/1.013)</f>
        <v>760.00075252514876</v>
      </c>
      <c r="J7" s="12">
        <f>10^($C$8-($D$8/($E$8+F7)))</f>
        <v>174.4222631258092</v>
      </c>
      <c r="K7" s="12">
        <f>($B$3-J7)/(I7-J7)</f>
        <v>0.99999871490301917</v>
      </c>
      <c r="L7" s="12">
        <f>K7*I7/$B$3</f>
        <v>0.99999970506641611</v>
      </c>
    </row>
    <row r="8" spans="2:15" x14ac:dyDescent="0.25">
      <c r="B8" t="s">
        <v>19</v>
      </c>
      <c r="C8" s="6">
        <v>7.9668099999999997</v>
      </c>
      <c r="D8" s="6">
        <v>1668.21</v>
      </c>
      <c r="E8" s="6">
        <v>228</v>
      </c>
      <c r="F8">
        <v>100.00076473823752</v>
      </c>
      <c r="G8" s="1">
        <f>F8+273</f>
        <v>373.00076473823754</v>
      </c>
      <c r="H8" s="9">
        <f>10^(C7-(D7/(G8+E7)))</f>
        <v>2.5853243961360155</v>
      </c>
      <c r="I8" s="12">
        <f>H8*(760/1.013)</f>
        <v>1939.6313337249476</v>
      </c>
      <c r="J8" s="12">
        <f>10^(C8-(D8/(E8+F8)))</f>
        <v>760.00379437128186</v>
      </c>
      <c r="K8" s="12">
        <f>($B$3-J8)/(I8-J8)</f>
        <v>-3.216584180405783E-6</v>
      </c>
      <c r="L8" s="12">
        <f>K8*I8/$B$3</f>
        <v>-8.2091940314197855E-6</v>
      </c>
    </row>
    <row r="10" spans="2:15" x14ac:dyDescent="0.25">
      <c r="F10" t="s">
        <v>11</v>
      </c>
      <c r="G10" s="1">
        <f>(G8-G7)/30</f>
        <v>1.2206987439009405</v>
      </c>
    </row>
    <row r="14" spans="2:15" x14ac:dyDescent="0.25">
      <c r="G14" s="7"/>
    </row>
    <row r="15" spans="2:15" x14ac:dyDescent="0.25">
      <c r="G15" s="8"/>
    </row>
  </sheetData>
  <mergeCells count="4">
    <mergeCell ref="B1:D1"/>
    <mergeCell ref="B5:E5"/>
    <mergeCell ref="N1:O1"/>
    <mergeCell ref="K4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33"/>
  <sheetViews>
    <sheetView workbookViewId="0">
      <selection activeCell="G4" sqref="G4"/>
    </sheetView>
  </sheetViews>
  <sheetFormatPr defaultRowHeight="15" x14ac:dyDescent="0.25"/>
  <cols>
    <col min="1" max="1" width="2.5703125" customWidth="1"/>
    <col min="3" max="3" width="5.5703125" bestFit="1" customWidth="1"/>
    <col min="4" max="4" width="15.42578125" bestFit="1" customWidth="1"/>
    <col min="5" max="5" width="15.42578125" customWidth="1"/>
    <col min="6" max="6" width="18.28515625" bestFit="1" customWidth="1"/>
    <col min="7" max="7" width="7.85546875" customWidth="1"/>
    <col min="8" max="8" width="11.28515625" customWidth="1"/>
  </cols>
  <sheetData>
    <row r="2" spans="2:8" x14ac:dyDescent="0.25">
      <c r="B2" t="s">
        <v>14</v>
      </c>
      <c r="C2" t="s">
        <v>15</v>
      </c>
      <c r="D2" t="s">
        <v>24</v>
      </c>
      <c r="E2" t="s">
        <v>26</v>
      </c>
      <c r="F2" t="s">
        <v>25</v>
      </c>
      <c r="G2" t="s">
        <v>21</v>
      </c>
      <c r="H2" t="s">
        <v>22</v>
      </c>
    </row>
    <row r="3" spans="2:8" x14ac:dyDescent="0.25">
      <c r="B3" s="1">
        <v>336</v>
      </c>
      <c r="C3" s="12">
        <f>B3-273</f>
        <v>63</v>
      </c>
      <c r="D3" s="12">
        <f>(10^('Calculations - Setting up Txy'!$C$7-('Calculations - Setting up Txy'!$D$7/('Calculations - Setting up Txy'!$E$7+B3))))</f>
        <v>1.0023986423988531</v>
      </c>
      <c r="E3" s="12">
        <f>D3*(760/1.013)</f>
        <v>752.04636547199254</v>
      </c>
      <c r="F3" s="12">
        <f>10^('Calculations - Setting up Txy'!$C$8-('Calculations - Setting up Txy'!$D$8/('Calculations - Setting up Txy'!$E$8+(C3))))</f>
        <v>171.4468805611622</v>
      </c>
      <c r="G3" s="12">
        <f>('Calculations - Setting up Txy'!$B$3-F3)/(E3-F3)</f>
        <v>1.0136990037619977</v>
      </c>
      <c r="H3" s="12">
        <f>G3*E3/'Calculations - Setting up Txy'!$B$3</f>
        <v>1.0030903308707764</v>
      </c>
    </row>
    <row r="4" spans="2:8" x14ac:dyDescent="0.25">
      <c r="B4" s="1">
        <f>B3+1.5</f>
        <v>337.5</v>
      </c>
      <c r="C4" s="12">
        <f t="shared" ref="C4:C28" si="0">B4-273</f>
        <v>64.5</v>
      </c>
      <c r="D4" s="12">
        <f>(10^('Calculations - Setting up Txy'!$C$7-('Calculations - Setting up Txy'!$D$7/('Calculations - Setting up Txy'!$E$7+B4))))</f>
        <v>1.0448210322175551</v>
      </c>
      <c r="E4" s="12">
        <f t="shared" ref="E4:E28" si="1">D4*(760/1.013)</f>
        <v>783.87362733005125</v>
      </c>
      <c r="F4" s="12">
        <f>10^('Calculations - Setting up Txy'!$C$8-('Calculations - Setting up Txy'!$D$8/('Calculations - Setting up Txy'!$E$8+(C4))))</f>
        <v>183.4543224066372</v>
      </c>
      <c r="G4" s="12">
        <f>('Calculations - Setting up Txy'!$B$3-F4)/(E4-F4)</f>
        <v>0.96023840816861072</v>
      </c>
      <c r="H4" s="12">
        <f>G4*E4/'Calculations - Setting up Txy'!$B$3</f>
        <v>0.99040205804310955</v>
      </c>
    </row>
    <row r="5" spans="2:8" x14ac:dyDescent="0.25">
      <c r="B5" s="1">
        <f t="shared" ref="B5:B28" si="2">B4+1.5</f>
        <v>339</v>
      </c>
      <c r="C5" s="12">
        <f t="shared" si="0"/>
        <v>66</v>
      </c>
      <c r="D5" s="12">
        <f>(10^('Calculations - Setting up Txy'!$C$7-('Calculations - Setting up Txy'!$D$7/('Calculations - Setting up Txy'!$E$7+B5))))</f>
        <v>1.0887378798111216</v>
      </c>
      <c r="E5" s="12">
        <f t="shared" si="1"/>
        <v>816.82210133904493</v>
      </c>
      <c r="F5" s="12">
        <f>10^('Calculations - Setting up Txy'!$C$8-('Calculations - Setting up Txy'!$D$8/('Calculations - Setting up Txy'!$E$8+(C5))))</f>
        <v>196.16716988245403</v>
      </c>
      <c r="G5" s="12">
        <f>('Calculations - Setting up Txy'!$B$3-F5)/(E5-F5)</f>
        <v>0.90844815942138513</v>
      </c>
      <c r="H5" s="12">
        <f>G5*E5/'Calculations - Setting up Txy'!$B$3</f>
        <v>0.97636912438968881</v>
      </c>
    </row>
    <row r="6" spans="2:8" x14ac:dyDescent="0.25">
      <c r="B6" s="1">
        <f t="shared" si="2"/>
        <v>340.5</v>
      </c>
      <c r="C6" s="12">
        <f t="shared" si="0"/>
        <v>67.5</v>
      </c>
      <c r="D6" s="12">
        <f>(10^('Calculations - Setting up Txy'!$C$7-('Calculations - Setting up Txy'!$D$7/('Calculations - Setting up Txy'!$E$7+B6))))</f>
        <v>1.1341903473198398</v>
      </c>
      <c r="E6" s="12">
        <f t="shared" si="1"/>
        <v>850.9226692626637</v>
      </c>
      <c r="F6" s="12">
        <f>10^('Calculations - Setting up Txy'!$C$8-('Calculations - Setting up Txy'!$D$8/('Calculations - Setting up Txy'!$E$8+(C6))))</f>
        <v>209.61834575513328</v>
      </c>
      <c r="G6" s="12">
        <f>('Calculations - Setting up Txy'!$B$3-F6)/(E6-F6)</f>
        <v>0.85822227306160359</v>
      </c>
      <c r="H6" s="12">
        <f>G6*E6/'Calculations - Setting up Txy'!$B$3</f>
        <v>0.96089577291348738</v>
      </c>
    </row>
    <row r="7" spans="2:8" x14ac:dyDescent="0.25">
      <c r="B7" s="1">
        <f t="shared" si="2"/>
        <v>342</v>
      </c>
      <c r="C7" s="12">
        <f t="shared" si="0"/>
        <v>69</v>
      </c>
      <c r="D7" s="12">
        <f>(10^('Calculations - Setting up Txy'!$C$7-('Calculations - Setting up Txy'!$D$7/('Calculations - Setting up Txy'!$E$7+B7))))</f>
        <v>1.1812203684762654</v>
      </c>
      <c r="E7" s="12">
        <f t="shared" si="1"/>
        <v>886.20679174922191</v>
      </c>
      <c r="F7" s="12">
        <f>10^('Calculations - Setting up Txy'!$C$8-('Calculations - Setting up Txy'!$D$8/('Calculations - Setting up Txy'!$E$8+(C7))))</f>
        <v>223.8418637241862</v>
      </c>
      <c r="G7" s="12">
        <f>('Calculations - Setting up Txy'!$B$3-F7)/(E7-F7)</f>
        <v>0.80946033461413647</v>
      </c>
      <c r="H7" s="12">
        <f>G7*E7/'Calculations - Setting up Txy'!$B$3</f>
        <v>0.9438805870876914</v>
      </c>
    </row>
    <row r="8" spans="2:8" x14ac:dyDescent="0.25">
      <c r="B8" s="1">
        <f t="shared" si="2"/>
        <v>343.5</v>
      </c>
      <c r="C8" s="12">
        <f t="shared" si="0"/>
        <v>70.5</v>
      </c>
      <c r="D8" s="12">
        <f>(10^('Calculations - Setting up Txy'!$C$7-('Calculations - Setting up Txy'!$D$7/('Calculations - Setting up Txy'!$E$7+B8))))</f>
        <v>1.229870654088451</v>
      </c>
      <c r="E8" s="12">
        <f t="shared" si="1"/>
        <v>922.70651244543228</v>
      </c>
      <c r="F8" s="12">
        <f>10^('Calculations - Setting up Txy'!$C$8-('Calculations - Setting up Txy'!$D$8/('Calculations - Setting up Txy'!$E$8+(C8))))</f>
        <v>238.87284601326294</v>
      </c>
      <c r="G8" s="12">
        <f>('Calculations - Setting up Txy'!$B$3-F8)/(E8-F8)</f>
        <v>0.76206712182753955</v>
      </c>
      <c r="H8" s="12">
        <f>G8*E8/'Calculations - Setting up Txy'!$B$3</f>
        <v>0.92521617925107558</v>
      </c>
    </row>
    <row r="9" spans="2:8" x14ac:dyDescent="0.25">
      <c r="B9" s="1">
        <f t="shared" si="2"/>
        <v>345</v>
      </c>
      <c r="C9" s="12">
        <f t="shared" si="0"/>
        <v>72</v>
      </c>
      <c r="D9" s="12">
        <f>(10^('Calculations - Setting up Txy'!$C$7-('Calculations - Setting up Txy'!$D$7/('Calculations - Setting up Txy'!$E$7+B9))))</f>
        <v>1.2801846973925115</v>
      </c>
      <c r="E9" s="12">
        <f t="shared" si="1"/>
        <v>960.45446201215088</v>
      </c>
      <c r="F9" s="12">
        <f>10^('Calculations - Setting up Txy'!$C$8-('Calculations - Setting up Txy'!$D$8/('Calculations - Setting up Txy'!$E$8+(C9))))</f>
        <v>254.74754065564386</v>
      </c>
      <c r="G9" s="12">
        <f>('Calculations - Setting up Txy'!$B$3-F9)/(E9-F9)</f>
        <v>0.71595225164174647</v>
      </c>
      <c r="H9" s="12">
        <f>G9*E9/'Calculations - Setting up Txy'!$B$3</f>
        <v>0.90478886141705483</v>
      </c>
    </row>
    <row r="10" spans="2:8" x14ac:dyDescent="0.25">
      <c r="B10" s="1">
        <f t="shared" si="2"/>
        <v>346.5</v>
      </c>
      <c r="C10" s="12">
        <f t="shared" si="0"/>
        <v>73.5</v>
      </c>
      <c r="D10" s="12">
        <f>(10^('Calculations - Setting up Txy'!$C$7-('Calculations - Setting up Txy'!$D$7/('Calculations - Setting up Txy'!$E$7+B10))))</f>
        <v>1.3322067792726295</v>
      </c>
      <c r="E10" s="12">
        <f t="shared" si="1"/>
        <v>999.48386204066981</v>
      </c>
      <c r="F10" s="12">
        <f>10^('Calculations - Setting up Txy'!$C$8-('Calculations - Setting up Txy'!$D$8/('Calculations - Setting up Txy'!$E$8+(C10))))</f>
        <v>271.50333845925445</v>
      </c>
      <c r="G10" s="12">
        <f>('Calculations - Setting up Txy'!$B$3-F10)/(E10-F10)</f>
        <v>0.67102984999860837</v>
      </c>
      <c r="H10" s="12">
        <f>G10*E10/'Calculations - Setting up Txy'!$B$3</f>
        <v>0.88247829739629002</v>
      </c>
    </row>
    <row r="11" spans="2:8" x14ac:dyDescent="0.25">
      <c r="B11" s="1">
        <f t="shared" si="2"/>
        <v>348</v>
      </c>
      <c r="C11" s="12">
        <f t="shared" si="0"/>
        <v>75</v>
      </c>
      <c r="D11" s="12">
        <f>(10^('Calculations - Setting up Txy'!$C$7-('Calculations - Setting up Txy'!$D$7/('Calculations - Setting up Txy'!$E$7+B11))))</f>
        <v>1.3859819733467467</v>
      </c>
      <c r="E11" s="12">
        <f t="shared" si="1"/>
        <v>1039.8285288682405</v>
      </c>
      <c r="F11" s="12">
        <f>10^('Calculations - Setting up Txy'!$C$8-('Calculations - Setting up Txy'!$D$8/('Calculations - Setting up Txy'!$E$8+(C11))))</f>
        <v>289.17878963680351</v>
      </c>
      <c r="G11" s="12">
        <f>('Calculations - Setting up Txy'!$B$3-F11)/(E11-F11)</f>
        <v>0.62721824275227644</v>
      </c>
      <c r="H11" s="12">
        <f>G11*E11/'Calculations - Setting up Txy'!$B$3</f>
        <v>0.85815713505318758</v>
      </c>
    </row>
    <row r="12" spans="2:8" x14ac:dyDescent="0.25">
      <c r="B12" s="1">
        <f t="shared" si="2"/>
        <v>349.5</v>
      </c>
      <c r="C12" s="12">
        <f t="shared" si="0"/>
        <v>76.5</v>
      </c>
      <c r="D12" s="12">
        <f>(10^('Calculations - Setting up Txy'!$C$7-('Calculations - Setting up Txy'!$D$7/('Calculations - Setting up Txy'!$E$7+B12))))</f>
        <v>1.4415561509161683</v>
      </c>
      <c r="E12" s="12">
        <f t="shared" si="1"/>
        <v>1081.5228772914986</v>
      </c>
      <c r="F12" s="12">
        <f>10^('Calculations - Setting up Txy'!$C$8-('Calculations - Setting up Txy'!$D$8/('Calculations - Setting up Txy'!$E$8+(C12))))</f>
        <v>307.81362008706589</v>
      </c>
      <c r="G12" s="12">
        <f>('Calculations - Setting up Txy'!$B$3-F12)/(E12-F12)</f>
        <v>0.58443966606626174</v>
      </c>
      <c r="H12" s="12">
        <f>G12*E12/'Calculations - Setting up Txy'!$B$3</f>
        <v>0.83169061743061323</v>
      </c>
    </row>
    <row r="13" spans="2:8" x14ac:dyDescent="0.25">
      <c r="B13" s="1">
        <f t="shared" si="2"/>
        <v>351</v>
      </c>
      <c r="C13" s="12">
        <f t="shared" si="0"/>
        <v>78</v>
      </c>
      <c r="D13" s="12">
        <f>(10^('Calculations - Setting up Txy'!$C$7-('Calculations - Setting up Txy'!$D$7/('Calculations - Setting up Txy'!$E$7+B13))))</f>
        <v>1.4989759857774447</v>
      </c>
      <c r="E13" s="12">
        <f t="shared" si="1"/>
        <v>1124.6019241765628</v>
      </c>
      <c r="F13" s="12">
        <f>10^('Calculations - Setting up Txy'!$C$8-('Calculations - Setting up Txy'!$D$8/('Calculations - Setting up Txy'!$E$8+(C13))))</f>
        <v>327.44874731380986</v>
      </c>
      <c r="G13" s="12">
        <f>('Calculations - Setting up Txy'!$B$3-F13)/(E13-F13)</f>
        <v>0.5426199948026591</v>
      </c>
      <c r="H13" s="12">
        <f>G13*E13/'Calculations - Setting up Txy'!$B$3</f>
        <v>0.80293617138387752</v>
      </c>
    </row>
    <row r="14" spans="2:8" x14ac:dyDescent="0.25">
      <c r="B14" s="1">
        <f t="shared" si="2"/>
        <v>352.5</v>
      </c>
      <c r="C14" s="12">
        <f t="shared" si="0"/>
        <v>79.5</v>
      </c>
      <c r="D14" s="12">
        <f>(10^('Calculations - Setting up Txy'!$C$7-('Calculations - Setting up Txy'!$D$7/('Calculations - Setting up Txy'!$E$7+B14))))</f>
        <v>1.5582889588949242</v>
      </c>
      <c r="E14" s="12">
        <f t="shared" si="1"/>
        <v>1169.1012919646028</v>
      </c>
      <c r="F14" s="12">
        <f>10^('Calculations - Setting up Txy'!$C$8-('Calculations - Setting up Txy'!$D$8/('Calculations - Setting up Txy'!$E$8+(C14))))</f>
        <v>348.12629596929025</v>
      </c>
      <c r="G14" s="12">
        <f>('Calculations - Setting up Txy'!$B$3-F14)/(E14-F14)</f>
        <v>0.50168848751766537</v>
      </c>
      <c r="H14" s="12">
        <f>G14*E14/'Calculations - Setting up Txy'!$B$3</f>
        <v>0.77174297226403954</v>
      </c>
    </row>
    <row r="15" spans="2:8" x14ac:dyDescent="0.25">
      <c r="B15" s="1">
        <f t="shared" si="2"/>
        <v>354</v>
      </c>
      <c r="C15" s="12">
        <f t="shared" si="0"/>
        <v>81</v>
      </c>
      <c r="D15" s="12">
        <f>(10^('Calculations - Setting up Txy'!$C$7-('Calculations - Setting up Txy'!$D$7/('Calculations - Setting up Txy'!$E$7+B15))))</f>
        <v>1.619543362932474</v>
      </c>
      <c r="E15" s="12">
        <f t="shared" si="1"/>
        <v>1215.0572120717477</v>
      </c>
      <c r="F15" s="12">
        <f>10^('Calculations - Setting up Txy'!$C$8-('Calculations - Setting up Txy'!$D$8/('Calculations - Setting up Txy'!$E$8+(C15))))</f>
        <v>369.88961300973068</v>
      </c>
      <c r="G15" s="12">
        <f>('Calculations - Setting up Txy'!$B$3-F15)/(E15-F15)</f>
        <v>0.46157754677678275</v>
      </c>
      <c r="H15" s="12">
        <f>G15*E15/'Calculations - Setting up Txy'!$B$3</f>
        <v>0.73795148308094005</v>
      </c>
    </row>
    <row r="16" spans="2:8" x14ac:dyDescent="0.25">
      <c r="B16" s="1">
        <f t="shared" si="2"/>
        <v>355.5</v>
      </c>
      <c r="C16" s="12">
        <f t="shared" si="0"/>
        <v>82.5</v>
      </c>
      <c r="D16" s="12">
        <f>(10^('Calculations - Setting up Txy'!$C$7-('Calculations - Setting up Txy'!$D$7/('Calculations - Setting up Txy'!$E$7+B16))))</f>
        <v>1.6827883066429357</v>
      </c>
      <c r="E16" s="12">
        <f t="shared" si="1"/>
        <v>1262.5065281822619</v>
      </c>
      <c r="F16" s="12">
        <f>10^('Calculations - Setting up Txy'!$C$8-('Calculations - Setting up Txy'!$D$8/('Calculations - Setting up Txy'!$E$8+(C16))))</f>
        <v>392.78328245068622</v>
      </c>
      <c r="G16" s="12">
        <f>('Calculations - Setting up Txy'!$B$3-F16)/(E16-F16)</f>
        <v>0.42222249359383979</v>
      </c>
      <c r="H16" s="12">
        <f>G16*E16/'Calculations - Setting up Txy'!$B$3</f>
        <v>0.70139296645738947</v>
      </c>
    </row>
    <row r="17" spans="2:8" x14ac:dyDescent="0.25">
      <c r="B17" s="1">
        <f t="shared" si="2"/>
        <v>357</v>
      </c>
      <c r="C17" s="12">
        <f t="shared" si="0"/>
        <v>84</v>
      </c>
      <c r="D17" s="12">
        <f>(10^('Calculations - Setting up Txy'!$C$7-('Calculations - Setting up Txy'!$D$7/('Calculations - Setting up Txy'!$E$7+B17))))</f>
        <v>1.7480737191139166</v>
      </c>
      <c r="E17" s="12">
        <f t="shared" si="1"/>
        <v>1311.4866994339357</v>
      </c>
      <c r="F17" s="12">
        <f>10^('Calculations - Setting up Txy'!$C$8-('Calculations - Setting up Txy'!$D$8/('Calculations - Setting up Txy'!$E$8+(C17))))</f>
        <v>416.85313971065301</v>
      </c>
      <c r="G17" s="12">
        <f>('Calculations - Setting up Txy'!$B$3-F17)/(E17-F17)</f>
        <v>0.38356135488085769</v>
      </c>
      <c r="H17" s="12">
        <f>G17*E17/'Calculations - Setting up Txy'!$B$3</f>
        <v>0.66188896755671656</v>
      </c>
    </row>
    <row r="18" spans="2:8" x14ac:dyDescent="0.25">
      <c r="B18" s="1">
        <f t="shared" si="2"/>
        <v>358.5</v>
      </c>
      <c r="C18" s="12">
        <f t="shared" si="0"/>
        <v>85.5</v>
      </c>
      <c r="D18" s="12">
        <f>(10^('Calculations - Setting up Txy'!$C$7-('Calculations - Setting up Txy'!$D$7/('Calculations - Setting up Txy'!$E$7+B18))))</f>
        <v>1.8154503538686528</v>
      </c>
      <c r="E18" s="12">
        <f t="shared" si="1"/>
        <v>1362.0358034947446</v>
      </c>
      <c r="F18" s="12">
        <f>10^('Calculations - Setting up Txy'!$C$8-('Calculations - Setting up Txy'!$D$8/('Calculations - Setting up Txy'!$E$8+(C18))))</f>
        <v>442.14628553181319</v>
      </c>
      <c r="G18" s="12">
        <f>('Calculations - Setting up Txy'!$B$3-F18)/(E18-F18)</f>
        <v>0.34553466287132462</v>
      </c>
      <c r="H18" s="12">
        <f>G18*E18/'Calculations - Setting up Txy'!$B$3</f>
        <v>0.61925076602530305</v>
      </c>
    </row>
    <row r="19" spans="2:8" x14ac:dyDescent="0.25">
      <c r="B19" s="1">
        <f t="shared" si="2"/>
        <v>360</v>
      </c>
      <c r="C19" s="12">
        <f t="shared" si="0"/>
        <v>87</v>
      </c>
      <c r="D19" s="12">
        <f>(10^('Calculations - Setting up Txy'!$C$7-('Calculations - Setting up Txy'!$D$7/('Calculations - Setting up Txy'!$E$7+B19))))</f>
        <v>1.8849697928206754</v>
      </c>
      <c r="E19" s="12">
        <f t="shared" si="1"/>
        <v>1414.1925395298258</v>
      </c>
      <c r="F19" s="12">
        <f>10^('Calculations - Setting up Txy'!$C$8-('Calculations - Setting up Txy'!$D$8/('Calculations - Setting up Txy'!$E$8+(C19))))</f>
        <v>468.71109946728069</v>
      </c>
      <c r="G19" s="12">
        <f>('Calculations - Setting up Txy'!$B$3-F19)/(E19-F19)</f>
        <v>0.30808526554836452</v>
      </c>
      <c r="H19" s="12">
        <f>G19*E19/'Calculations - Setting up Txy'!$B$3</f>
        <v>0.57327879483889788</v>
      </c>
    </row>
    <row r="20" spans="2:8" x14ac:dyDescent="0.25">
      <c r="B20" s="1">
        <f t="shared" si="2"/>
        <v>361.5</v>
      </c>
      <c r="C20" s="12">
        <f t="shared" si="0"/>
        <v>88.5</v>
      </c>
      <c r="D20" s="12">
        <f>(10^('Calculations - Setting up Txy'!$C$7-('Calculations - Setting up Txy'!$D$7/('Calculations - Setting up Txy'!$E$7+B20))))</f>
        <v>1.9566844500811769</v>
      </c>
      <c r="E20" s="12">
        <f t="shared" si="1"/>
        <v>1467.9962310579413</v>
      </c>
      <c r="F20" s="12">
        <f>10^('Calculations - Setting up Txy'!$C$8-('Calculations - Setting up Txy'!$D$8/('Calculations - Setting up Txy'!$E$8+(C20))))</f>
        <v>496.59725292472609</v>
      </c>
      <c r="G20" s="12">
        <f>('Calculations - Setting up Txy'!$B$3-F20)/(E20-F20)</f>
        <v>0.27115814717189407</v>
      </c>
      <c r="H20" s="12">
        <f>G20*E20/'Calculations - Setting up Txy'!$B$3</f>
        <v>0.52376202377499348</v>
      </c>
    </row>
    <row r="21" spans="2:8" x14ac:dyDescent="0.25">
      <c r="B21" s="1">
        <f t="shared" si="2"/>
        <v>363</v>
      </c>
      <c r="C21" s="12">
        <f t="shared" si="0"/>
        <v>90</v>
      </c>
      <c r="D21" s="12">
        <f>(10^('Calculations - Setting up Txy'!$C$7-('Calculations - Setting up Txy'!$D$7/('Calculations - Setting up Txy'!$E$7+B21))))</f>
        <v>2.0306475756179343</v>
      </c>
      <c r="E21" s="12">
        <f t="shared" si="1"/>
        <v>1523.4868286965748</v>
      </c>
      <c r="F21" s="12">
        <f>10^('Calculations - Setting up Txy'!$C$8-('Calculations - Setting up Txy'!$D$8/('Calculations - Setting up Txy'!$E$8+(C21))))</f>
        <v>525.85572175678806</v>
      </c>
      <c r="G21" s="12">
        <f>('Calculations - Setting up Txy'!$B$3-F21)/(E21-F21)</f>
        <v>0.23470025805575048</v>
      </c>
      <c r="H21" s="12">
        <f>G21*E21/'Calculations - Setting up Txy'!$B$3</f>
        <v>0.47047730505213559</v>
      </c>
    </row>
    <row r="22" spans="2:8" x14ac:dyDescent="0.25">
      <c r="B22" s="1">
        <f t="shared" si="2"/>
        <v>364.5</v>
      </c>
      <c r="C22" s="12">
        <f t="shared" si="0"/>
        <v>91.5</v>
      </c>
      <c r="D22" s="12">
        <f>(10^('Calculations - Setting up Txy'!$C$7-('Calculations - Setting up Txy'!$D$7/('Calculations - Setting up Txy'!$E$7+B22))))</f>
        <v>2.1069132587648531</v>
      </c>
      <c r="E22" s="12">
        <f t="shared" si="1"/>
        <v>1580.7049127949542</v>
      </c>
      <c r="F22" s="12">
        <f>10^('Calculations - Setting up Txy'!$C$8-('Calculations - Setting up Txy'!$D$8/('Calculations - Setting up Txy'!$E$8+(C22))))</f>
        <v>556.53879838915088</v>
      </c>
      <c r="G22" s="12">
        <f>('Calculations - Setting up Txy'!$B$3-F22)/(E22-F22)</f>
        <v>0.19866035279725341</v>
      </c>
      <c r="H22" s="12">
        <f>G22*E22/'Calculations - Setting up Txy'!$B$3</f>
        <v>0.41318867847920698</v>
      </c>
    </row>
    <row r="23" spans="2:8" x14ac:dyDescent="0.25">
      <c r="B23" s="1">
        <f t="shared" si="2"/>
        <v>366</v>
      </c>
      <c r="C23" s="12">
        <f t="shared" si="0"/>
        <v>93</v>
      </c>
      <c r="D23" s="12">
        <f>(10^('Calculations - Setting up Txy'!$C$7-('Calculations - Setting up Txy'!$D$7/('Calculations - Setting up Txy'!$E$7+B23))))</f>
        <v>2.1855364315810863</v>
      </c>
      <c r="E23" s="12">
        <f t="shared" si="1"/>
        <v>1639.6916959542209</v>
      </c>
      <c r="F23" s="12">
        <f>10^('Calculations - Setting up Txy'!$C$8-('Calculations - Setting up Txy'!$D$8/('Calculations - Setting up Txy'!$E$8+(C23))))</f>
        <v>588.70010347773621</v>
      </c>
      <c r="G23" s="12">
        <f>('Calculations - Setting up Txy'!$B$3-F23)/(E23-F23)</f>
        <v>0.16298883620812271</v>
      </c>
      <c r="H23" s="12">
        <f>G23*E23/'Calculations - Setting up Txy'!$B$3</f>
        <v>0.35164663324171241</v>
      </c>
    </row>
    <row r="24" spans="2:8" x14ac:dyDescent="0.25">
      <c r="B24" s="1">
        <f t="shared" si="2"/>
        <v>367.5</v>
      </c>
      <c r="C24" s="12">
        <f t="shared" si="0"/>
        <v>94.5</v>
      </c>
      <c r="D24" s="12">
        <f>(10^('Calculations - Setting up Txy'!$C$7-('Calculations - Setting up Txy'!$D$7/('Calculations - Setting up Txy'!$E$7+B24))))</f>
        <v>2.2665728720589531</v>
      </c>
      <c r="E24" s="12">
        <f t="shared" si="1"/>
        <v>1700.4890254341606</v>
      </c>
      <c r="F24" s="12">
        <f>10^('Calculations - Setting up Txy'!$C$8-('Calculations - Setting up Txy'!$D$8/('Calculations - Setting up Txy'!$E$8+(C24))))</f>
        <v>622.39459708693096</v>
      </c>
      <c r="G24" s="12">
        <f>('Calculations - Setting up Txy'!$B$3-F24)/(E24-F24)</f>
        <v>0.12763761623740577</v>
      </c>
      <c r="H24" s="12">
        <f>G24*E24/'Calculations - Setting up Txy'!$B$3</f>
        <v>0.28558732321616515</v>
      </c>
    </row>
    <row r="25" spans="2:8" x14ac:dyDescent="0.25">
      <c r="B25" s="1">
        <f t="shared" si="2"/>
        <v>369</v>
      </c>
      <c r="C25" s="12">
        <f t="shared" si="0"/>
        <v>96</v>
      </c>
      <c r="D25" s="12">
        <f>(10^('Calculations - Setting up Txy'!$C$7-('Calculations - Setting up Txy'!$D$7/('Calculations - Setting up Txy'!$E$7+B25))))</f>
        <v>2.3500792071798204</v>
      </c>
      <c r="E25" s="12">
        <f t="shared" si="1"/>
        <v>1763.1393854458674</v>
      </c>
      <c r="F25" s="12">
        <f>10^('Calculations - Setting up Txy'!$C$8-('Calculations - Setting up Txy'!$D$8/('Calculations - Setting up Txy'!$E$8+(C25))))</f>
        <v>657.67858938130576</v>
      </c>
      <c r="G25" s="12">
        <f>('Calculations - Setting up Txy'!$B$3-F25)/(E25-F25)</f>
        <v>9.2559963214397356E-2</v>
      </c>
      <c r="H25" s="12">
        <f>G25*E25/'Calculations - Setting up Txy'!$B$3</f>
        <v>0.21473173244569035</v>
      </c>
    </row>
    <row r="26" spans="2:8" x14ac:dyDescent="0.25">
      <c r="B26" s="1">
        <f t="shared" si="2"/>
        <v>370.5</v>
      </c>
      <c r="C26" s="12">
        <f t="shared" si="0"/>
        <v>97.5</v>
      </c>
      <c r="D26" s="12">
        <f>(10^('Calculations - Setting up Txy'!$C$7-('Calculations - Setting up Txy'!$D$7/('Calculations - Setting up Txy'!$E$7+B26))))</f>
        <v>2.4361129158171781</v>
      </c>
      <c r="E26" s="12">
        <f t="shared" si="1"/>
        <v>1827.6858993297685</v>
      </c>
      <c r="F26" s="12">
        <f>10^('Calculations - Setting up Txy'!$C$8-('Calculations - Setting up Txy'!$D$8/('Calculations - Setting up Txy'!$E$8+(C26))))</f>
        <v>694.60975082382595</v>
      </c>
      <c r="G26" s="12">
        <f>('Calculations - Setting up Txy'!$B$3-F26)/(E26-F26)</f>
        <v>5.7710374772601714E-2</v>
      </c>
      <c r="H26" s="12">
        <f>G26*E26/'Calculations - Setting up Txy'!$B$3</f>
        <v>0.13878478712752704</v>
      </c>
    </row>
    <row r="27" spans="2:8" x14ac:dyDescent="0.25">
      <c r="B27" s="1">
        <f t="shared" si="2"/>
        <v>372</v>
      </c>
      <c r="C27" s="12">
        <f t="shared" si="0"/>
        <v>99</v>
      </c>
      <c r="D27" s="12">
        <f>(10^('Calculations - Setting up Txy'!$C$7-('Calculations - Setting up Txy'!$D$7/('Calculations - Setting up Txy'!$E$7+B27))))</f>
        <v>2.5247323314863057</v>
      </c>
      <c r="E27" s="12">
        <f t="shared" si="1"/>
        <v>1894.1723316185514</v>
      </c>
      <c r="F27" s="12">
        <f>10^('Calculations - Setting up Txy'!$C$8-('Calculations - Setting up Txy'!$D$8/('Calculations - Setting up Txy'!$E$8+(C27))))</f>
        <v>733.24712187400166</v>
      </c>
      <c r="G27" s="12">
        <f>('Calculations - Setting up Txy'!$B$3-F27)/(E27-F27)</f>
        <v>2.3044445844952448E-2</v>
      </c>
      <c r="H27" s="12">
        <f>G27*E27/'Calculations - Setting up Txy'!$B$3</f>
        <v>5.743441015393555E-2</v>
      </c>
    </row>
    <row r="28" spans="2:8" x14ac:dyDescent="0.25">
      <c r="B28" s="1">
        <f t="shared" si="2"/>
        <v>373.5</v>
      </c>
      <c r="C28" s="12">
        <f t="shared" si="0"/>
        <v>100.5</v>
      </c>
      <c r="D28" s="12">
        <f>(10^('Calculations - Setting up Txy'!$C$7-('Calculations - Setting up Txy'!$D$7/('Calculations - Setting up Txy'!$E$7+B28))))</f>
        <v>2.6159966449398775</v>
      </c>
      <c r="E28" s="12">
        <f t="shared" si="1"/>
        <v>1962.6430899845086</v>
      </c>
      <c r="F28" s="12">
        <f>10^('Calculations - Setting up Txy'!$C$8-('Calculations - Setting up Txy'!$D$8/('Calculations - Setting up Txy'!$E$8+(C28))))</f>
        <v>773.65112218002628</v>
      </c>
      <c r="G28" s="12">
        <f>('Calculations - Setting up Txy'!$B$3-F28)/(E28-F28)</f>
        <v>-1.1481256854269234E-2</v>
      </c>
      <c r="H28" s="12">
        <f>G28*E28/'Calculations - Setting up Txy'!$B$3</f>
        <v>-2.964948609127472E-2</v>
      </c>
    </row>
    <row r="29" spans="2:8" x14ac:dyDescent="0.25">
      <c r="B29" s="1"/>
      <c r="C29" s="12"/>
      <c r="D29" s="12"/>
      <c r="E29" s="12"/>
      <c r="F29" s="12"/>
      <c r="G29" s="12"/>
      <c r="H29" s="12"/>
    </row>
    <row r="30" spans="2:8" x14ac:dyDescent="0.25">
      <c r="B30" s="1"/>
      <c r="C30" s="12"/>
      <c r="D30" s="12"/>
      <c r="E30" s="12"/>
      <c r="F30" s="12"/>
      <c r="G30" s="12"/>
      <c r="H30" s="12"/>
    </row>
    <row r="31" spans="2:8" x14ac:dyDescent="0.25">
      <c r="B31" s="1"/>
      <c r="C31" s="12"/>
      <c r="D31" s="12"/>
      <c r="E31" s="12"/>
      <c r="F31" s="12"/>
      <c r="G31" s="12"/>
      <c r="H31" s="12"/>
    </row>
    <row r="32" spans="2:8" x14ac:dyDescent="0.25">
      <c r="B32" s="1"/>
      <c r="C32" s="12"/>
      <c r="D32" s="12"/>
      <c r="E32" s="12"/>
      <c r="F32" s="12"/>
      <c r="G32" s="12"/>
      <c r="H32" s="12"/>
    </row>
    <row r="33" spans="2:8" x14ac:dyDescent="0.25">
      <c r="B33" s="1"/>
      <c r="C33" s="12"/>
      <c r="D33" s="12"/>
      <c r="E33" s="12"/>
      <c r="F33" s="12"/>
      <c r="G33" s="12"/>
      <c r="H3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3CB8-3872-4F61-905F-25ECEF7C8426}">
  <dimension ref="B1:O15"/>
  <sheetViews>
    <sheetView tabSelected="1" workbookViewId="0">
      <selection activeCell="H3" sqref="H3"/>
    </sheetView>
  </sheetViews>
  <sheetFormatPr defaultRowHeight="15" x14ac:dyDescent="0.25"/>
  <cols>
    <col min="1" max="1" width="2.5703125" customWidth="1"/>
    <col min="8" max="8" width="12.7109375" bestFit="1" customWidth="1"/>
    <col min="9" max="9" width="15.5703125" bestFit="1" customWidth="1"/>
    <col min="10" max="10" width="15.42578125" bestFit="1" customWidth="1"/>
    <col min="11" max="11" width="11.7109375" bestFit="1" customWidth="1"/>
    <col min="12" max="12" width="11" bestFit="1" customWidth="1"/>
    <col min="15" max="15" width="15.42578125" bestFit="1" customWidth="1"/>
  </cols>
  <sheetData>
    <row r="1" spans="2:15" x14ac:dyDescent="0.25">
      <c r="B1" s="15" t="s">
        <v>0</v>
      </c>
      <c r="C1" s="15"/>
      <c r="D1" s="15"/>
      <c r="E1" s="7"/>
      <c r="F1" s="7"/>
      <c r="G1" s="7"/>
      <c r="H1" s="7"/>
      <c r="I1" s="7"/>
      <c r="J1" s="7"/>
      <c r="K1" s="7"/>
      <c r="L1" s="7"/>
      <c r="N1" s="16" t="s">
        <v>8</v>
      </c>
      <c r="O1" s="16"/>
    </row>
    <row r="2" spans="2:15" x14ac:dyDescent="0.25">
      <c r="B2" s="7"/>
      <c r="C2" s="7" t="s">
        <v>1</v>
      </c>
      <c r="D2" s="7" t="s">
        <v>2</v>
      </c>
      <c r="E2" s="7"/>
      <c r="F2" s="7"/>
      <c r="G2" s="7"/>
      <c r="H2" s="7"/>
      <c r="I2" s="7"/>
      <c r="J2" s="7"/>
      <c r="K2" s="7"/>
      <c r="L2" s="7"/>
      <c r="N2" s="2"/>
      <c r="O2" s="3" t="s">
        <v>9</v>
      </c>
    </row>
    <row r="3" spans="2:15" x14ac:dyDescent="0.25">
      <c r="B3" s="14">
        <v>760</v>
      </c>
      <c r="C3" s="7" t="s">
        <v>23</v>
      </c>
      <c r="D3" s="7" t="s">
        <v>3</v>
      </c>
      <c r="E3" s="7"/>
      <c r="F3" s="7"/>
      <c r="G3" s="7"/>
      <c r="H3" s="7"/>
      <c r="I3" s="7"/>
      <c r="J3" s="7"/>
      <c r="K3" s="7"/>
      <c r="L3" s="7"/>
      <c r="N3" s="4"/>
      <c r="O3" s="3" t="s">
        <v>10</v>
      </c>
    </row>
    <row r="4" spans="2:15" x14ac:dyDescent="0.25">
      <c r="B4" s="7"/>
      <c r="C4" s="7"/>
      <c r="D4" s="7"/>
      <c r="E4" s="7"/>
      <c r="F4" s="7"/>
      <c r="G4" s="7"/>
      <c r="H4" s="7"/>
      <c r="I4" s="7"/>
      <c r="J4" s="7"/>
      <c r="K4" s="17" t="s">
        <v>27</v>
      </c>
      <c r="L4" s="7"/>
    </row>
    <row r="5" spans="2:15" x14ac:dyDescent="0.25">
      <c r="B5" s="15" t="s">
        <v>7</v>
      </c>
      <c r="C5" s="15"/>
      <c r="D5" s="15"/>
      <c r="E5" s="15"/>
      <c r="F5" s="7"/>
      <c r="G5" s="7"/>
      <c r="H5" s="7"/>
      <c r="I5" s="7"/>
      <c r="J5" s="7"/>
      <c r="K5" s="17"/>
      <c r="L5" s="7" t="s">
        <v>12</v>
      </c>
    </row>
    <row r="6" spans="2:15" x14ac:dyDescent="0.25">
      <c r="B6" s="7"/>
      <c r="C6" s="7" t="s">
        <v>4</v>
      </c>
      <c r="D6" s="7" t="s">
        <v>5</v>
      </c>
      <c r="E6" s="7" t="s">
        <v>6</v>
      </c>
      <c r="F6" s="7" t="s">
        <v>15</v>
      </c>
      <c r="G6" s="7" t="s">
        <v>14</v>
      </c>
      <c r="H6" s="7" t="s">
        <v>16</v>
      </c>
      <c r="I6" s="7" t="s">
        <v>20</v>
      </c>
      <c r="J6" s="7" t="s">
        <v>17</v>
      </c>
      <c r="K6" s="7" t="s">
        <v>21</v>
      </c>
      <c r="L6" s="7" t="s">
        <v>22</v>
      </c>
    </row>
    <row r="7" spans="2:15" x14ac:dyDescent="0.25">
      <c r="B7" t="s">
        <v>18</v>
      </c>
      <c r="C7" s="6">
        <v>5.38347</v>
      </c>
      <c r="D7" s="6">
        <v>2405.9459999999999</v>
      </c>
      <c r="E7" s="6">
        <v>111</v>
      </c>
      <c r="F7" s="10"/>
      <c r="G7" s="11"/>
      <c r="H7" s="9"/>
      <c r="I7" s="12"/>
      <c r="J7" s="12"/>
      <c r="K7" s="12"/>
      <c r="L7" s="12"/>
    </row>
    <row r="8" spans="2:15" x14ac:dyDescent="0.25">
      <c r="B8" t="s">
        <v>19</v>
      </c>
      <c r="C8" s="6">
        <v>7.9668099999999997</v>
      </c>
      <c r="D8" s="6">
        <v>1668.21</v>
      </c>
      <c r="E8" s="6">
        <v>228</v>
      </c>
      <c r="F8" s="10">
        <v>68.476504611680312</v>
      </c>
      <c r="G8" s="11">
        <f>F8+273</f>
        <v>341.4765046116803</v>
      </c>
      <c r="H8" s="9">
        <f>10^(C7-(D7/(G8+E7)))</f>
        <v>1.1646251733843889</v>
      </c>
      <c r="I8" s="12">
        <f>H8*(760/1.013)</f>
        <v>873.75629987377658</v>
      </c>
      <c r="J8" s="12">
        <f>10^(C8-(D8/(E8+F8)))</f>
        <v>218.78799017984952</v>
      </c>
      <c r="K8" s="13">
        <f>($B$3-J8)/(I8-J8)</f>
        <v>0.82631785661975621</v>
      </c>
      <c r="L8" s="11">
        <f>K8*I8/$B$3</f>
        <v>0.95000056963119472</v>
      </c>
    </row>
    <row r="11" spans="2:15" x14ac:dyDescent="0.25">
      <c r="E11" t="s">
        <v>28</v>
      </c>
    </row>
    <row r="14" spans="2:15" x14ac:dyDescent="0.25">
      <c r="G14" s="7"/>
    </row>
    <row r="15" spans="2:15" x14ac:dyDescent="0.25">
      <c r="G15" s="8"/>
    </row>
  </sheetData>
  <mergeCells count="4">
    <mergeCell ref="B1:D1"/>
    <mergeCell ref="N1:O1"/>
    <mergeCell ref="K4:K5"/>
    <mergeCell ref="B5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Calculations - Setting up Txy</vt:lpstr>
      <vt:lpstr>Data Table</vt:lpstr>
      <vt:lpstr>Calculations - Part E</vt:lpstr>
      <vt:lpstr>Txy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Toro</dc:creator>
  <cp:lastModifiedBy>Christine Duval</cp:lastModifiedBy>
  <cp:lastPrinted>2015-04-12T20:24:18Z</cp:lastPrinted>
  <dcterms:created xsi:type="dcterms:W3CDTF">2015-04-06T20:12:51Z</dcterms:created>
  <dcterms:modified xsi:type="dcterms:W3CDTF">2024-10-28T01:59:20Z</dcterms:modified>
</cp:coreProperties>
</file>