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dc847ec8b5479/Documents/CWRU/Spring 2025/ECHE313/Homework/Homework 9/"/>
    </mc:Choice>
  </mc:AlternateContent>
  <xr:revisionPtr revIDLastSave="649" documentId="8_{0C70C739-1CE4-4F4C-B5B2-B3486CFC30FB}" xr6:coauthVersionLast="47" xr6:coauthVersionMax="47" xr10:uidLastSave="{65343A90-1E77-4003-AFD2-BDCC1D358407}"/>
  <bookViews>
    <workbookView xWindow="-105" yWindow="0" windowWidth="19410" windowHeight="20985" activeTab="2" xr2:uid="{236F1326-1885-432B-8846-6905B59997FD}"/>
  </bookViews>
  <sheets>
    <sheet name="Raw Data" sheetId="2" r:id="rId1"/>
    <sheet name="Calculations" sheetId="1" r:id="rId2"/>
    <sheet name="Plo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3" l="1" a="1"/>
  <c r="C85" i="3" s="1"/>
  <c r="E65" i="3" a="1"/>
  <c r="E65" i="3" s="1"/>
  <c r="C65" i="3" a="1"/>
  <c r="C65" i="3" s="1"/>
  <c r="C53" i="3" a="1"/>
  <c r="C53" i="3" s="1"/>
  <c r="C44" i="3" a="1"/>
  <c r="C44" i="3" s="1"/>
  <c r="D39" i="1"/>
  <c r="C39" i="1"/>
  <c r="K40" i="1"/>
  <c r="J40" i="1"/>
  <c r="I40" i="1"/>
  <c r="H40" i="1"/>
  <c r="G40" i="1"/>
  <c r="F40" i="1"/>
  <c r="E40" i="1"/>
  <c r="D40" i="1"/>
  <c r="C40" i="1"/>
  <c r="K39" i="1"/>
  <c r="J39" i="1"/>
  <c r="I39" i="1"/>
  <c r="H39" i="1"/>
  <c r="G39" i="1"/>
  <c r="F39" i="1"/>
  <c r="E39" i="1"/>
  <c r="K26" i="1"/>
  <c r="J26" i="1"/>
  <c r="I26" i="1"/>
  <c r="H26" i="1"/>
  <c r="G26" i="1"/>
  <c r="F26" i="1"/>
  <c r="E26" i="1"/>
  <c r="C27" i="1" s="1"/>
  <c r="D26" i="1"/>
  <c r="C26" i="1"/>
  <c r="K25" i="1"/>
  <c r="J25" i="1"/>
  <c r="I25" i="1"/>
  <c r="H25" i="1"/>
  <c r="G25" i="1"/>
  <c r="F25" i="1"/>
  <c r="E25" i="1"/>
  <c r="D25" i="1"/>
  <c r="C25" i="1"/>
  <c r="Q9" i="3"/>
  <c r="Q10" i="3"/>
  <c r="Q4" i="3"/>
  <c r="Q5" i="3"/>
  <c r="Q6" i="3"/>
  <c r="I12" i="3" a="1"/>
  <c r="I12" i="3" s="1"/>
  <c r="J4" i="3"/>
  <c r="K4" i="3"/>
  <c r="L4" i="3"/>
  <c r="J5" i="3"/>
  <c r="K5" i="3"/>
  <c r="L5" i="3"/>
  <c r="F5" i="3"/>
  <c r="F4" i="3"/>
  <c r="F3" i="3"/>
  <c r="F8" i="3"/>
  <c r="F9" i="3"/>
  <c r="C20" i="1"/>
  <c r="C21" i="1"/>
  <c r="S10" i="1"/>
  <c r="E20" i="1" s="1"/>
  <c r="S9" i="1"/>
  <c r="S11" i="1"/>
  <c r="S12" i="1"/>
  <c r="D21" i="1" s="1"/>
  <c r="S8" i="1"/>
  <c r="E21" i="1"/>
  <c r="M34" i="1"/>
  <c r="C36" i="1"/>
  <c r="S4" i="1"/>
  <c r="S3" i="1"/>
  <c r="C35" i="1" s="1"/>
  <c r="F5" i="1"/>
  <c r="F4" i="1"/>
  <c r="J5" i="1"/>
  <c r="G6" i="1" s="1"/>
  <c r="G7" i="1" s="1"/>
  <c r="J4" i="1"/>
  <c r="N5" i="1"/>
  <c r="S13" i="1" s="1"/>
  <c r="N4" i="1"/>
  <c r="F35" i="1" l="1"/>
  <c r="D20" i="1"/>
  <c r="C22" i="1"/>
  <c r="C6" i="1"/>
  <c r="K6" i="1"/>
  <c r="K7" i="1" s="1"/>
  <c r="O4" i="1"/>
  <c r="P4" i="1" s="1"/>
  <c r="O5" i="1"/>
  <c r="P5" i="1" s="1"/>
  <c r="C32" i="1"/>
  <c r="C33" i="1"/>
  <c r="C34" i="1"/>
  <c r="F34" i="1" l="1"/>
  <c r="I34" i="1" s="1"/>
  <c r="P34" i="1" s="1"/>
  <c r="O6" i="1"/>
  <c r="O7" i="1" s="1"/>
  <c r="D15" i="1" s="1"/>
  <c r="C7" i="1"/>
  <c r="E15" i="1"/>
  <c r="C15" i="1" l="1"/>
  <c r="C17" i="1" s="1"/>
  <c r="F33" i="1" s="1"/>
  <c r="I33" i="1" s="1"/>
  <c r="P33" i="1" s="1"/>
  <c r="C10" i="1"/>
  <c r="C11" i="1"/>
  <c r="C12" i="1" l="1"/>
  <c r="C30" i="1" l="1"/>
  <c r="F32" i="1"/>
  <c r="I32" i="1" s="1"/>
  <c r="P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<sst xmlns="http://schemas.openxmlformats.org/spreadsheetml/2006/main" count="82" uniqueCount="61">
  <si>
    <t>Glass Type</t>
  </si>
  <si>
    <t>Phosphor Type</t>
  </si>
  <si>
    <t>ybar i..</t>
  </si>
  <si>
    <t>y i..</t>
  </si>
  <si>
    <t>y .j.</t>
  </si>
  <si>
    <t>ybar .j.</t>
  </si>
  <si>
    <t>1 sum</t>
  </si>
  <si>
    <t>2 sum</t>
  </si>
  <si>
    <t>3 sum</t>
  </si>
  <si>
    <t>&lt;&lt; y …</t>
  </si>
  <si>
    <t>a</t>
  </si>
  <si>
    <t>b</t>
  </si>
  <si>
    <t>n</t>
  </si>
  <si>
    <t>SS A</t>
  </si>
  <si>
    <t>bn*sumof((ybar i.. - ybar ...)^2)</t>
  </si>
  <si>
    <t xml:space="preserve"> </t>
  </si>
  <si>
    <t>SS B</t>
  </si>
  <si>
    <t>an*sumof((ybar .j. - ybar ...)^2)</t>
  </si>
  <si>
    <t>SS E</t>
  </si>
  <si>
    <t>&lt;&lt; ybar …</t>
  </si>
  <si>
    <t>SS AB</t>
  </si>
  <si>
    <t>n*sumof((ybar ij. - ybar i.. -ybar .j. + ybar ...)^2)</t>
  </si>
  <si>
    <t>sumof((y ijk - ybar ij.)^2)</t>
  </si>
  <si>
    <t>SS T</t>
  </si>
  <si>
    <t>SS A + SS B + SS AB + SS E</t>
  </si>
  <si>
    <t>value</t>
  </si>
  <si>
    <t>DF A</t>
  </si>
  <si>
    <t>DF B</t>
  </si>
  <si>
    <t>DF AB</t>
  </si>
  <si>
    <t>DF E</t>
  </si>
  <si>
    <t>DF T</t>
  </si>
  <si>
    <t>MS A</t>
  </si>
  <si>
    <t>MS B</t>
  </si>
  <si>
    <t>MS AB</t>
  </si>
  <si>
    <t>MS E</t>
  </si>
  <si>
    <t>Fo A</t>
  </si>
  <si>
    <t>Fo B</t>
  </si>
  <si>
    <t>Fo AB</t>
  </si>
  <si>
    <t>F 0.05, 1, 12</t>
  </si>
  <si>
    <t>F 0.05, 2, 12</t>
  </si>
  <si>
    <t>Reject A</t>
  </si>
  <si>
    <t>Reject B</t>
  </si>
  <si>
    <t>Reject AB</t>
  </si>
  <si>
    <t>ybar ij.</t>
  </si>
  <si>
    <t>info</t>
  </si>
  <si>
    <t>Response</t>
  </si>
  <si>
    <t>glass_type</t>
  </si>
  <si>
    <t>phosphor_type</t>
  </si>
  <si>
    <t>Average Response</t>
  </si>
  <si>
    <t>Glass Type 1</t>
  </si>
  <si>
    <t>Glass Type 2</t>
  </si>
  <si>
    <t>Phosphor Type 1</t>
  </si>
  <si>
    <t>Phosphor Type 2</t>
  </si>
  <si>
    <t>Phosphor Type 3</t>
  </si>
  <si>
    <t>Residuals</t>
  </si>
  <si>
    <t>y ijk - ybar ij.</t>
  </si>
  <si>
    <t>Run Order</t>
  </si>
  <si>
    <t>Variance</t>
  </si>
  <si>
    <t>Glass</t>
  </si>
  <si>
    <t>Phosphor</t>
  </si>
  <si>
    <t>Fitted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</si>
</sst>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/>
    <xf numFmtId="0" fontId="0" fillId="0" borderId="1" xfId="0" applyBorder="1"/>
    <xf numFmtId="0" fontId="1" fillId="0" borderId="2" xfId="0" applyFont="1" applyBorder="1"/>
    <xf numFmtId="0" fontId="5" fillId="0" borderId="1" xfId="0" applyFont="1" applyBorder="1"/>
    <xf numFmtId="0" fontId="1" fillId="0" borderId="1" xfId="0" applyFont="1" applyBorder="1"/>
    <xf numFmtId="0" fontId="0" fillId="0" borderId="3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7" fillId="4" borderId="8" xfId="3" applyFont="1" applyBorder="1" applyAlignment="1">
      <alignment horizontal="center"/>
    </xf>
    <xf numFmtId="0" fontId="6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6" fillId="0" borderId="8" xfId="0" applyFont="1" applyBorder="1" applyAlignment="1">
      <alignment horizontal="center"/>
    </xf>
    <xf numFmtId="0" fontId="1" fillId="0" borderId="11" xfId="0" applyFon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Interaction Plot Television Tube Brightness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Plots!$H$8</c:f>
              <c:strCache>
                <c:ptCount val="1"/>
                <c:pt idx="0">
                  <c:v>Glass Type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Plots!$I$8:$K$8</c:f>
              <c:numCache>
                <c:formatCode>General</c:formatCode>
                <c:ptCount val="3"/>
                <c:pt idx="0">
                  <c:v>285</c:v>
                </c:pt>
                <c:pt idx="1">
                  <c:v>301.66666666666669</c:v>
                </c:pt>
                <c:pt idx="2">
                  <c:v>288.33333333333331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6C-43CD-B605-89FE50697ED5}"/>
            </c:ext>
          </c:extLst>
        </c:ser>
        <c:ser>
          <c:idx val="1"/>
          <c:order val="1"/>
          <c:tx>
            <c:strRef>
              <c:f>Plots!$H$9</c:f>
              <c:strCache>
                <c:ptCount val="1"/>
                <c:pt idx="0">
                  <c:v>Glass Type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Plots!$I$9:$K$9</c:f>
              <c:numCache>
                <c:formatCode>General</c:formatCode>
                <c:ptCount val="3"/>
                <c:pt idx="0">
                  <c:v>235</c:v>
                </c:pt>
                <c:pt idx="1">
                  <c:v>245</c:v>
                </c:pt>
                <c:pt idx="2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6C-43CD-B605-89FE50697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132607"/>
        <c:axId val="649330063"/>
      </c:lineChart>
      <c:catAx>
        <c:axId val="120013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Phosphor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330063"/>
        <c:crosses val="autoZero"/>
        <c:auto val="1"/>
        <c:lblAlgn val="ctr"/>
        <c:lblOffset val="100"/>
        <c:noMultiLvlLbl val="0"/>
      </c:catAx>
      <c:valAx>
        <c:axId val="64933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Response (microamps)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3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Interaction Plot Television Tube Brightness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Plots!$H$12</c:f>
              <c:strCache>
                <c:ptCount val="1"/>
                <c:pt idx="0">
                  <c:v>Phosphor Type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Plots!$I$12:$J$12</c:f>
              <c:numCache>
                <c:formatCode>General</c:formatCode>
                <c:ptCount val="2"/>
                <c:pt idx="0">
                  <c:v>285</c:v>
                </c:pt>
                <c:pt idx="1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BA-4AA5-829D-A0547115581C}"/>
            </c:ext>
          </c:extLst>
        </c:ser>
        <c:ser>
          <c:idx val="1"/>
          <c:order val="1"/>
          <c:tx>
            <c:strRef>
              <c:f>Plots!$H$13</c:f>
              <c:strCache>
                <c:ptCount val="1"/>
                <c:pt idx="0">
                  <c:v>Phosphor Type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Plots!$I$13:$J$13</c:f>
              <c:numCache>
                <c:formatCode>General</c:formatCode>
                <c:ptCount val="2"/>
                <c:pt idx="0">
                  <c:v>301.66666666666669</c:v>
                </c:pt>
                <c:pt idx="1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BA-4AA5-829D-A0547115581C}"/>
            </c:ext>
          </c:extLst>
        </c:ser>
        <c:ser>
          <c:idx val="2"/>
          <c:order val="2"/>
          <c:tx>
            <c:strRef>
              <c:f>Plots!$H$14</c:f>
              <c:strCache>
                <c:ptCount val="1"/>
                <c:pt idx="0">
                  <c:v>Phosphor Type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Plots!$I$14:$J$14</c:f>
              <c:numCache>
                <c:formatCode>General</c:formatCode>
                <c:ptCount val="2"/>
                <c:pt idx="0">
                  <c:v>288.33333333333331</c:v>
                </c:pt>
                <c:pt idx="1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BA-4AA5-829D-A0547115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782959"/>
        <c:axId val="1198783439"/>
      </c:lineChart>
      <c:catAx>
        <c:axId val="1198782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Glass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783439"/>
        <c:crosses val="autoZero"/>
        <c:auto val="1"/>
        <c:lblAlgn val="ctr"/>
        <c:lblOffset val="100"/>
        <c:noMultiLvlLbl val="0"/>
      </c:catAx>
      <c:valAx>
        <c:axId val="1198783439"/>
        <c:scaling>
          <c:orientation val="minMax"/>
          <c:max val="325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Response (microamps)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782959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Effects Plot for Television Tube Brightness</a:t>
            </a:r>
            <a:r>
              <a:rPr lang="en-US" baseline="0"/>
              <a:t> (1)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Plots!$Q$4:$Q$6</c:f>
              <c:numCache>
                <c:formatCode>General</c:formatCode>
                <c:ptCount val="3"/>
                <c:pt idx="0">
                  <c:v>260</c:v>
                </c:pt>
                <c:pt idx="1">
                  <c:v>273.33333333333331</c:v>
                </c:pt>
                <c:pt idx="2">
                  <c:v>256.66666666666669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3-4353-B3BC-8A9D20863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308687"/>
        <c:axId val="1261311087"/>
      </c:lineChart>
      <c:catAx>
        <c:axId val="1261308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Phosphor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311087"/>
        <c:crosses val="autoZero"/>
        <c:auto val="1"/>
        <c:lblAlgn val="ctr"/>
        <c:lblOffset val="100"/>
        <c:noMultiLvlLbl val="0"/>
      </c:catAx>
      <c:valAx>
        <c:axId val="126131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Response (microamps)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30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Main Effects Plot for Television Tube Brightness (2)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Plots!$Q$9:$Q$10</c:f>
              <c:numCache>
                <c:formatCode>General</c:formatCode>
                <c:ptCount val="2"/>
                <c:pt idx="0">
                  <c:v>291.66666666666669</c:v>
                </c:pt>
                <c:pt idx="1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4-48D3-9ED7-F1A7BB103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098335"/>
        <c:axId val="1337274399"/>
      </c:lineChart>
      <c:catAx>
        <c:axId val="1347098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Glass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274399"/>
        <c:crosses val="autoZero"/>
        <c:auto val="1"/>
        <c:lblAlgn val="ctr"/>
        <c:lblOffset val="100"/>
        <c:noMultiLvlLbl val="0"/>
      </c:catAx>
      <c:valAx>
        <c:axId val="133727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Response (microamps)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09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vs. Observation (Run)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Plots!$C$44:$C$61</c:f>
              <c:numCache>
                <c:formatCode>General</c:formatCode>
                <c:ptCount val="18"/>
                <c:pt idx="0">
                  <c:v>-5</c:v>
                </c:pt>
                <c:pt idx="1">
                  <c:v>5</c:v>
                </c:pt>
                <c:pt idx="2">
                  <c:v>0</c:v>
                </c:pt>
                <c:pt idx="3">
                  <c:v>-1.6666666666666856</c:v>
                </c:pt>
                <c:pt idx="4">
                  <c:v>8.3333333333333144</c:v>
                </c:pt>
                <c:pt idx="5">
                  <c:v>-6.6666666666666856</c:v>
                </c:pt>
                <c:pt idx="6">
                  <c:v>1.6666666666666856</c:v>
                </c:pt>
                <c:pt idx="7">
                  <c:v>-3.3333333333333144</c:v>
                </c:pt>
                <c:pt idx="8">
                  <c:v>1.6666666666666856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15</c:v>
                </c:pt>
                <c:pt idx="13">
                  <c:v>-5</c:v>
                </c:pt>
                <c:pt idx="14">
                  <c:v>-10</c:v>
                </c:pt>
                <c:pt idx="15">
                  <c:v>-5</c:v>
                </c:pt>
                <c:pt idx="16">
                  <c:v>0</c:v>
                </c:pt>
                <c:pt idx="1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7-4EDA-89D2-10BFDFF87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9170863"/>
        <c:axId val="1199169903"/>
      </c:lineChart>
      <c:catAx>
        <c:axId val="119917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 Order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69903"/>
        <c:crosses val="autoZero"/>
        <c:auto val="1"/>
        <c:lblAlgn val="ctr"/>
        <c:lblOffset val="100"/>
        <c:noMultiLvlLbl val="0"/>
      </c:catAx>
      <c:valAx>
        <c:axId val="119916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7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Per</a:t>
            </a:r>
            <a:r>
              <a:rPr lang="en-US" baseline="0"/>
              <a:t> Glass Type Factor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Plots!$B$65:$B$82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xVal>
          <c:yVal>
            <c:numRef>
              <c:f>Plots!$C$65:$C$82</c:f>
              <c:numCache>
                <c:formatCode>General</c:formatCode>
                <c:ptCount val="18"/>
                <c:pt idx="0">
                  <c:v>-5</c:v>
                </c:pt>
                <c:pt idx="1">
                  <c:v>5</c:v>
                </c:pt>
                <c:pt idx="2">
                  <c:v>0</c:v>
                </c:pt>
                <c:pt idx="3">
                  <c:v>-1.6666666666666856</c:v>
                </c:pt>
                <c:pt idx="4">
                  <c:v>8.3333333333333144</c:v>
                </c:pt>
                <c:pt idx="5">
                  <c:v>-6.6666666666666856</c:v>
                </c:pt>
                <c:pt idx="6">
                  <c:v>1.6666666666666856</c:v>
                </c:pt>
                <c:pt idx="7">
                  <c:v>-3.3333333333333144</c:v>
                </c:pt>
                <c:pt idx="8">
                  <c:v>1.6666666666666856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15</c:v>
                </c:pt>
                <c:pt idx="13">
                  <c:v>-5</c:v>
                </c:pt>
                <c:pt idx="14">
                  <c:v>-10</c:v>
                </c:pt>
                <c:pt idx="15">
                  <c:v>-5</c:v>
                </c:pt>
                <c:pt idx="16">
                  <c:v>0</c:v>
                </c:pt>
                <c:pt idx="1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A-42A0-9A31-269305228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129807"/>
        <c:axId val="457137487"/>
      </c:scatterChart>
      <c:valAx>
        <c:axId val="4571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Glass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37487"/>
        <c:crosses val="autoZero"/>
        <c:crossBetween val="midCat"/>
      </c:valAx>
      <c:valAx>
        <c:axId val="4571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per Phosphor</a:t>
            </a:r>
            <a:r>
              <a:rPr lang="en-US" baseline="0"/>
              <a:t> Type Factor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Plots!$D$65:$D$82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</c:numCache>
            </c:numRef>
          </c:xVal>
          <c:yVal>
            <c:numRef>
              <c:f>Plots!$E$65:$E$82</c:f>
              <c:numCache>
                <c:formatCode>General</c:formatCode>
                <c:ptCount val="18"/>
                <c:pt idx="0">
                  <c:v>-5</c:v>
                </c:pt>
                <c:pt idx="1">
                  <c:v>5</c:v>
                </c:pt>
                <c:pt idx="2">
                  <c:v>0</c:v>
                </c:pt>
                <c:pt idx="3">
                  <c:v>-1.6666666666666856</c:v>
                </c:pt>
                <c:pt idx="4">
                  <c:v>8.3333333333333144</c:v>
                </c:pt>
                <c:pt idx="5">
                  <c:v>-6.6666666666666856</c:v>
                </c:pt>
                <c:pt idx="6">
                  <c:v>1.6666666666666856</c:v>
                </c:pt>
                <c:pt idx="7">
                  <c:v>-3.3333333333333144</c:v>
                </c:pt>
                <c:pt idx="8">
                  <c:v>1.6666666666666856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15</c:v>
                </c:pt>
                <c:pt idx="13">
                  <c:v>-5</c:v>
                </c:pt>
                <c:pt idx="14">
                  <c:v>-10</c:v>
                </c:pt>
                <c:pt idx="15">
                  <c:v>-5</c:v>
                </c:pt>
                <c:pt idx="16">
                  <c:v>0</c:v>
                </c:pt>
                <c:pt idx="1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4-4E9D-B4E0-7AE1AEB48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160527"/>
        <c:axId val="457176847"/>
      </c:scatterChart>
      <c:valAx>
        <c:axId val="45716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Phosphor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76847"/>
        <c:crosses val="autoZero"/>
        <c:crossBetween val="midCat"/>
      </c:valAx>
      <c:valAx>
        <c:axId val="45717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6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vs. Fitted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Plots!$C$84</c:f>
              <c:strCache>
                <c:ptCount val="1"/>
                <c:pt idx="0">
                  <c:v>Residuals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Plots!$B$85:$B$102</c:f>
              <c:numCache>
                <c:formatCode>General</c:formatCode>
                <c:ptCount val="18"/>
                <c:pt idx="0">
                  <c:v>285</c:v>
                </c:pt>
                <c:pt idx="1">
                  <c:v>285</c:v>
                </c:pt>
                <c:pt idx="2">
                  <c:v>285</c:v>
                </c:pt>
                <c:pt idx="3">
                  <c:v>301.66666666666669</c:v>
                </c:pt>
                <c:pt idx="4">
                  <c:v>301.66666666666669</c:v>
                </c:pt>
                <c:pt idx="5">
                  <c:v>301.66666666666669</c:v>
                </c:pt>
                <c:pt idx="6">
                  <c:v>288.33333333333331</c:v>
                </c:pt>
                <c:pt idx="7">
                  <c:v>288.33333333333331</c:v>
                </c:pt>
                <c:pt idx="8">
                  <c:v>288.33333333333331</c:v>
                </c:pt>
                <c:pt idx="9">
                  <c:v>235</c:v>
                </c:pt>
                <c:pt idx="10">
                  <c:v>235</c:v>
                </c:pt>
                <c:pt idx="11">
                  <c:v>235</c:v>
                </c:pt>
                <c:pt idx="12">
                  <c:v>245</c:v>
                </c:pt>
                <c:pt idx="13">
                  <c:v>245</c:v>
                </c:pt>
                <c:pt idx="14">
                  <c:v>245</c:v>
                </c:pt>
                <c:pt idx="15">
                  <c:v>225</c:v>
                </c:pt>
                <c:pt idx="16">
                  <c:v>225</c:v>
                </c:pt>
                <c:pt idx="17">
                  <c:v>225</c:v>
                </c:pt>
              </c:numCache>
            </c:numRef>
          </c:xVal>
          <c:yVal>
            <c:numRef>
              <c:f>Plots!$C$85:$C$102</c:f>
              <c:numCache>
                <c:formatCode>General</c:formatCode>
                <c:ptCount val="18"/>
                <c:pt idx="0">
                  <c:v>-5</c:v>
                </c:pt>
                <c:pt idx="1">
                  <c:v>5</c:v>
                </c:pt>
                <c:pt idx="2">
                  <c:v>0</c:v>
                </c:pt>
                <c:pt idx="3">
                  <c:v>-1.6666666666666856</c:v>
                </c:pt>
                <c:pt idx="4">
                  <c:v>8.3333333333333144</c:v>
                </c:pt>
                <c:pt idx="5">
                  <c:v>-6.6666666666666856</c:v>
                </c:pt>
                <c:pt idx="6">
                  <c:v>1.6666666666666856</c:v>
                </c:pt>
                <c:pt idx="7">
                  <c:v>-3.3333333333333144</c:v>
                </c:pt>
                <c:pt idx="8">
                  <c:v>1.6666666666666856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15</c:v>
                </c:pt>
                <c:pt idx="13">
                  <c:v>-5</c:v>
                </c:pt>
                <c:pt idx="14">
                  <c:v>-10</c:v>
                </c:pt>
                <c:pt idx="15">
                  <c:v>-5</c:v>
                </c:pt>
                <c:pt idx="16">
                  <c:v>0</c:v>
                </c:pt>
                <c:pt idx="1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C-44E4-B41C-3E8AC09EF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6639"/>
        <c:axId val="1187237599"/>
      </c:scatterChart>
      <c:valAx>
        <c:axId val="1187236639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Fitted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7599"/>
        <c:crosses val="autoZero"/>
        <c:crossBetween val="midCat"/>
      </c:valAx>
      <c:valAx>
        <c:axId val="118723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21</xdr:row>
      <xdr:rowOff>23812</xdr:rowOff>
    </xdr:from>
    <xdr:to>
      <xdr:col>5</xdr:col>
      <xdr:colOff>876300</xdr:colOff>
      <xdr:row>35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A4580E-6530-6015-49A1-DB128DB41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433387</xdr:colOff>
      <xdr:row>21</xdr:row>
      <xdr:rowOff>90487</xdr:rowOff>
    </xdr:from>
    <xdr:to>
      <xdr:col>13</xdr:col>
      <xdr:colOff>309562</xdr:colOff>
      <xdr:row>35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DD19EE-8C73-7605-5876-2E23D9350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509587</xdr:colOff>
      <xdr:row>10</xdr:row>
      <xdr:rowOff>119062</xdr:rowOff>
    </xdr:from>
    <xdr:to>
      <xdr:col>20</xdr:col>
      <xdr:colOff>566737</xdr:colOff>
      <xdr:row>25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A326C8-C71F-66EF-4D67-1D1C9179A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519112</xdr:colOff>
      <xdr:row>26</xdr:row>
      <xdr:rowOff>71437</xdr:rowOff>
    </xdr:from>
    <xdr:to>
      <xdr:col>20</xdr:col>
      <xdr:colOff>576262</xdr:colOff>
      <xdr:row>40</xdr:row>
      <xdr:rowOff>147637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7CE4AD-07AB-AB7E-6A75-F3BF2D077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104775</xdr:colOff>
      <xdr:row>43</xdr:row>
      <xdr:rowOff>52387</xdr:rowOff>
    </xdr:from>
    <xdr:to>
      <xdr:col>9</xdr:col>
      <xdr:colOff>342900</xdr:colOff>
      <xdr:row>57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525C7E-915D-DEFF-26AC-DCE4B5CA3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376237</xdr:colOff>
      <xdr:row>61</xdr:row>
      <xdr:rowOff>176212</xdr:rowOff>
    </xdr:from>
    <xdr:to>
      <xdr:col>11</xdr:col>
      <xdr:colOff>338137</xdr:colOff>
      <xdr:row>76</xdr:row>
      <xdr:rowOff>61912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4AC2B4-07DD-5376-0D0E-63FC3BF93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347662</xdr:colOff>
      <xdr:row>76</xdr:row>
      <xdr:rowOff>185737</xdr:rowOff>
    </xdr:from>
    <xdr:to>
      <xdr:col>11</xdr:col>
      <xdr:colOff>309562</xdr:colOff>
      <xdr:row>91</xdr:row>
      <xdr:rowOff>71437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F38F2AF-75FF-F2AB-F458-6B231A54B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433387</xdr:colOff>
      <xdr:row>92</xdr:row>
      <xdr:rowOff>176212</xdr:rowOff>
    </xdr:from>
    <xdr:to>
      <xdr:col>9</xdr:col>
      <xdr:colOff>33337</xdr:colOff>
      <xdr:row>107</xdr:row>
      <xdr:rowOff>61912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12C0E70-A786-A97E-EC0C-B15DB1F32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8361-9AB7-4AE1-B411-6C268A6A8E57}">
  <dimension ref="B2:K5"/>
  <sheetViews>
    <sheetView workbookViewId="0">
      <selection activeCell="M2" sqref="M2:O20"/>
    </sheetView>
  </sheetViews>
  <sheetFormatPr defaultRowHeight="15" x14ac:dyDescent="0.25"/>
  <cols>
    <col min="13" max="13" width="10.42578125" bestFit="1" customWidth="1"/>
    <col min="14" max="14" width="14.140625" bestFit="1" customWidth="1"/>
    <col min="15" max="15" width="9.5703125" bestFit="1" customWidth="1"/>
  </cols>
  <sheetData>
    <row r="2" spans="2:11" x14ac:dyDescent="0.25">
      <c r="C2" s="3" t="s">
        <v>1</v>
      </c>
      <c r="D2" s="3"/>
      <c r="E2" s="3"/>
      <c r="F2" s="3"/>
      <c r="G2" s="3"/>
      <c r="H2" s="3"/>
      <c r="I2" s="3"/>
      <c r="J2" s="3"/>
      <c r="K2" s="3"/>
    </row>
    <row r="3" spans="2:11" x14ac:dyDescent="0.25">
      <c r="B3" s="7" t="s">
        <v>0</v>
      </c>
      <c r="C3" s="10">
        <v>1</v>
      </c>
      <c r="D3" s="11"/>
      <c r="E3" s="11"/>
      <c r="F3" s="10">
        <v>2</v>
      </c>
      <c r="G3" s="11"/>
      <c r="H3" s="11"/>
      <c r="I3" s="10">
        <v>3</v>
      </c>
      <c r="J3" s="11"/>
      <c r="K3" s="19"/>
    </row>
    <row r="4" spans="2:11" x14ac:dyDescent="0.25">
      <c r="B4" s="8">
        <v>1</v>
      </c>
      <c r="C4" s="6">
        <v>280</v>
      </c>
      <c r="D4" s="4">
        <v>290</v>
      </c>
      <c r="E4" s="4">
        <v>285</v>
      </c>
      <c r="F4" s="6">
        <v>300</v>
      </c>
      <c r="G4" s="4">
        <v>310</v>
      </c>
      <c r="H4" s="4">
        <v>295</v>
      </c>
      <c r="I4" s="6">
        <v>290</v>
      </c>
      <c r="J4" s="4">
        <v>285</v>
      </c>
      <c r="K4" s="8">
        <v>290</v>
      </c>
    </row>
    <row r="5" spans="2:11" x14ac:dyDescent="0.25">
      <c r="B5" s="8">
        <v>2</v>
      </c>
      <c r="C5" s="17">
        <v>230</v>
      </c>
      <c r="D5" s="18">
        <v>235</v>
      </c>
      <c r="E5" s="18">
        <v>240</v>
      </c>
      <c r="F5" s="17">
        <v>260</v>
      </c>
      <c r="G5" s="18">
        <v>240</v>
      </c>
      <c r="H5" s="18">
        <v>235</v>
      </c>
      <c r="I5" s="17">
        <v>220</v>
      </c>
      <c r="J5" s="18">
        <v>225</v>
      </c>
      <c r="K5" s="20">
        <v>230</v>
      </c>
    </row>
  </sheetData>
  <mergeCells count="4">
    <mergeCell ref="C2:K2"/>
    <mergeCell ref="C3:E3"/>
    <mergeCell ref="F3:H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F211-04ED-4982-8CF2-A90975F46745}">
  <dimension ref="A2:S40"/>
  <sheetViews>
    <sheetView topLeftCell="F1" workbookViewId="0">
      <selection activeCell="Q34" sqref="Q34"/>
    </sheetView>
  </sheetViews>
  <sheetFormatPr defaultRowHeight="15" x14ac:dyDescent="0.25"/>
  <cols>
    <col min="2" max="2" width="10.42578125" bestFit="1" customWidth="1"/>
  </cols>
  <sheetData>
    <row r="2" spans="1:19" x14ac:dyDescent="0.25"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R2" s="27" t="s">
        <v>44</v>
      </c>
      <c r="S2" s="28"/>
    </row>
    <row r="3" spans="1:19" x14ac:dyDescent="0.25">
      <c r="B3" s="7" t="s">
        <v>0</v>
      </c>
      <c r="C3" s="10">
        <v>1</v>
      </c>
      <c r="D3" s="11"/>
      <c r="E3" s="11"/>
      <c r="F3" s="15" t="s">
        <v>6</v>
      </c>
      <c r="G3" s="10">
        <v>2</v>
      </c>
      <c r="H3" s="11"/>
      <c r="I3" s="11"/>
      <c r="J3" s="15" t="s">
        <v>7</v>
      </c>
      <c r="K3" s="10">
        <v>3</v>
      </c>
      <c r="L3" s="11"/>
      <c r="M3" s="11"/>
      <c r="N3" s="15" t="s">
        <v>8</v>
      </c>
      <c r="O3" s="13" t="s">
        <v>3</v>
      </c>
      <c r="P3" s="13" t="s">
        <v>2</v>
      </c>
      <c r="R3" s="21" t="s">
        <v>10</v>
      </c>
      <c r="S3" s="22">
        <f>COUNT(B4:B5)</f>
        <v>2</v>
      </c>
    </row>
    <row r="4" spans="1:19" x14ac:dyDescent="0.25">
      <c r="B4" s="8">
        <v>1</v>
      </c>
      <c r="C4" s="4">
        <v>280</v>
      </c>
      <c r="D4" s="4">
        <v>290</v>
      </c>
      <c r="E4" s="4">
        <v>285</v>
      </c>
      <c r="F4" s="16">
        <f>SUM(C4:E4)</f>
        <v>855</v>
      </c>
      <c r="G4" s="6">
        <v>300</v>
      </c>
      <c r="H4" s="4">
        <v>310</v>
      </c>
      <c r="I4" s="4">
        <v>295</v>
      </c>
      <c r="J4" s="16">
        <f>SUM(G4:I4)</f>
        <v>905</v>
      </c>
      <c r="K4" s="6">
        <v>290</v>
      </c>
      <c r="L4" s="4">
        <v>285</v>
      </c>
      <c r="M4" s="4">
        <v>290</v>
      </c>
      <c r="N4" s="16">
        <f>SUM(K4:M4)</f>
        <v>865</v>
      </c>
      <c r="O4">
        <f>SUM(F4,J4,N4)</f>
        <v>2625</v>
      </c>
      <c r="P4">
        <f>O4/COUNT(C4:E4,G4:I4,K4:M4)</f>
        <v>291.66666666666669</v>
      </c>
      <c r="R4" s="23" t="s">
        <v>11</v>
      </c>
      <c r="S4" s="5">
        <f>COUNT(C3,G3,K3)</f>
        <v>3</v>
      </c>
    </row>
    <row r="5" spans="1:19" x14ac:dyDescent="0.25">
      <c r="B5" s="8">
        <v>2</v>
      </c>
      <c r="C5" s="4">
        <v>230</v>
      </c>
      <c r="D5" s="4">
        <v>235</v>
      </c>
      <c r="E5" s="4">
        <v>240</v>
      </c>
      <c r="F5" s="16">
        <f>SUM(C5:E5)</f>
        <v>705</v>
      </c>
      <c r="G5" s="6">
        <v>260</v>
      </c>
      <c r="H5" s="4">
        <v>240</v>
      </c>
      <c r="I5" s="4">
        <v>235</v>
      </c>
      <c r="J5" s="16">
        <f>SUM(G5:I5)</f>
        <v>735</v>
      </c>
      <c r="K5" s="6">
        <v>220</v>
      </c>
      <c r="L5" s="4">
        <v>225</v>
      </c>
      <c r="M5" s="4">
        <v>230</v>
      </c>
      <c r="N5" s="16">
        <f>SUM(K5:M5)</f>
        <v>675</v>
      </c>
      <c r="O5">
        <f>SUM(F5,J5,N5)</f>
        <v>2115</v>
      </c>
      <c r="P5">
        <f>O5/COUNT(C5:E5,G5:I5,K5:M5)</f>
        <v>235</v>
      </c>
      <c r="R5" s="24" t="s">
        <v>12</v>
      </c>
      <c r="S5" s="25">
        <v>3</v>
      </c>
    </row>
    <row r="6" spans="1:19" x14ac:dyDescent="0.25">
      <c r="B6" s="12" t="s">
        <v>4</v>
      </c>
      <c r="C6" s="9">
        <f>SUM(F4:F5)</f>
        <v>1560</v>
      </c>
      <c r="D6" s="9"/>
      <c r="E6" s="9"/>
      <c r="F6" s="9"/>
      <c r="G6" s="9">
        <f>SUM(J4:J5)</f>
        <v>1640</v>
      </c>
      <c r="H6" s="9"/>
      <c r="I6" s="9"/>
      <c r="J6" s="9"/>
      <c r="K6" s="9">
        <f>SUM(N4:N5)</f>
        <v>1540</v>
      </c>
      <c r="L6" s="9"/>
      <c r="M6" s="9"/>
      <c r="N6" s="9"/>
      <c r="O6">
        <f>SUM(C6:N6)</f>
        <v>4740</v>
      </c>
      <c r="P6" s="14" t="s">
        <v>9</v>
      </c>
    </row>
    <row r="7" spans="1:19" x14ac:dyDescent="0.25">
      <c r="B7" s="12" t="s">
        <v>5</v>
      </c>
      <c r="C7" s="2">
        <f>C6/COUNT(C4:E5)</f>
        <v>260</v>
      </c>
      <c r="D7" s="2"/>
      <c r="E7" s="2"/>
      <c r="F7" s="2"/>
      <c r="G7" s="2">
        <f t="shared" ref="G7" si="0">G6/COUNT(G4:I5)</f>
        <v>273.33333333333331</v>
      </c>
      <c r="H7" s="2"/>
      <c r="I7" s="2"/>
      <c r="J7" s="2"/>
      <c r="K7" s="2">
        <f t="shared" ref="K7" si="1">K6/COUNT(K4:M5)</f>
        <v>256.66666666666669</v>
      </c>
      <c r="L7" s="2"/>
      <c r="M7" s="2"/>
      <c r="N7" s="2"/>
      <c r="O7">
        <f>O6/COUNT(C4:E5,G4:I5,K4:M5)</f>
        <v>263.33333333333331</v>
      </c>
      <c r="P7" s="14" t="s">
        <v>19</v>
      </c>
      <c r="R7" s="27" t="s">
        <v>43</v>
      </c>
      <c r="S7" s="28"/>
    </row>
    <row r="8" spans="1:19" x14ac:dyDescent="0.25">
      <c r="R8" s="29">
        <v>11</v>
      </c>
      <c r="S8" s="5">
        <f>F4/3</f>
        <v>285</v>
      </c>
    </row>
    <row r="9" spans="1:19" x14ac:dyDescent="0.25">
      <c r="B9" t="s">
        <v>13</v>
      </c>
      <c r="C9" t="s">
        <v>14</v>
      </c>
      <c r="R9" s="29">
        <v>12</v>
      </c>
      <c r="S9" s="5">
        <f>J4/3</f>
        <v>301.66666666666669</v>
      </c>
    </row>
    <row r="10" spans="1:19" x14ac:dyDescent="0.25">
      <c r="C10">
        <f>(P4-$O$7)^2</f>
        <v>802.77777777777987</v>
      </c>
      <c r="R10" s="29">
        <v>13</v>
      </c>
      <c r="S10" s="5">
        <f>N4/3</f>
        <v>288.33333333333331</v>
      </c>
    </row>
    <row r="11" spans="1:19" x14ac:dyDescent="0.25">
      <c r="A11" t="s">
        <v>15</v>
      </c>
      <c r="C11">
        <f>(P5-$O$7)^2</f>
        <v>802.77777777777669</v>
      </c>
      <c r="R11" s="29">
        <v>21</v>
      </c>
      <c r="S11" s="5">
        <f>F5/3</f>
        <v>235</v>
      </c>
    </row>
    <row r="12" spans="1:19" x14ac:dyDescent="0.25">
      <c r="B12" t="s">
        <v>25</v>
      </c>
      <c r="C12">
        <f>S4*S5*SUM(C10:C11)</f>
        <v>14450.000000000009</v>
      </c>
      <c r="R12" s="29">
        <v>22</v>
      </c>
      <c r="S12" s="5">
        <f>J5/3</f>
        <v>245</v>
      </c>
    </row>
    <row r="13" spans="1:19" x14ac:dyDescent="0.25">
      <c r="R13" s="30">
        <v>23</v>
      </c>
      <c r="S13" s="25">
        <f>N5/3</f>
        <v>225</v>
      </c>
    </row>
    <row r="14" spans="1:19" x14ac:dyDescent="0.25">
      <c r="B14" t="s">
        <v>16</v>
      </c>
      <c r="C14" t="s">
        <v>17</v>
      </c>
    </row>
    <row r="15" spans="1:19" x14ac:dyDescent="0.25">
      <c r="C15">
        <f>(C7-$O$7)^2</f>
        <v>11.111111111110985</v>
      </c>
      <c r="D15">
        <f>(G7-$O$7)^2</f>
        <v>100</v>
      </c>
      <c r="E15">
        <f>(K7-$O$7)^2</f>
        <v>44.444444444443938</v>
      </c>
      <c r="M15" s="1"/>
    </row>
    <row r="16" spans="1:19" x14ac:dyDescent="0.25">
      <c r="D16" s="1"/>
      <c r="E16" s="1"/>
      <c r="F16" s="1"/>
      <c r="G16" s="1"/>
      <c r="H16" s="1"/>
      <c r="I16" s="1"/>
      <c r="J16" s="1"/>
      <c r="K16" s="1"/>
      <c r="M16" s="1"/>
    </row>
    <row r="17" spans="2:16" x14ac:dyDescent="0.25">
      <c r="B17" t="s">
        <v>25</v>
      </c>
      <c r="C17">
        <f>S3*S5*SUM(C15:E15)</f>
        <v>933.33333333332951</v>
      </c>
      <c r="D17" s="1"/>
      <c r="E17" s="1"/>
      <c r="F17" s="1"/>
      <c r="G17" s="1"/>
      <c r="H17" s="1"/>
      <c r="I17" s="1"/>
      <c r="J17" s="1"/>
      <c r="K17" s="1"/>
    </row>
    <row r="19" spans="2:16" x14ac:dyDescent="0.25">
      <c r="B19" t="s">
        <v>20</v>
      </c>
      <c r="C19" t="s">
        <v>21</v>
      </c>
    </row>
    <row r="20" spans="2:16" x14ac:dyDescent="0.25">
      <c r="C20">
        <f>(S8-$P$4-C7+$O$7)^2</f>
        <v>11.111111111111363</v>
      </c>
      <c r="D20">
        <f>(S9-$P$4-G7+$O$7)^2</f>
        <v>0</v>
      </c>
      <c r="E20">
        <f>(S10-$P$4-K7+$O$7)^2</f>
        <v>11.111111111110606</v>
      </c>
    </row>
    <row r="21" spans="2:16" x14ac:dyDescent="0.25">
      <c r="C21">
        <f>(S11-$P$5-C7+$O$7)^2</f>
        <v>11.111111111110985</v>
      </c>
      <c r="D21">
        <f>(S12-$P$5-G7+$O$7)^2</f>
        <v>0</v>
      </c>
      <c r="E21">
        <f>(S13-$P$5-K7+$O$7)^2</f>
        <v>11.111111111111363</v>
      </c>
    </row>
    <row r="22" spans="2:16" x14ac:dyDescent="0.25">
      <c r="B22" t="s">
        <v>25</v>
      </c>
      <c r="C22">
        <f>S5*SUM(C20:E21)</f>
        <v>133.33333333333294</v>
      </c>
    </row>
    <row r="24" spans="2:16" x14ac:dyDescent="0.25">
      <c r="B24" t="s">
        <v>18</v>
      </c>
      <c r="C24" t="s">
        <v>22</v>
      </c>
    </row>
    <row r="25" spans="2:16" x14ac:dyDescent="0.25">
      <c r="C25">
        <f>($C$4-$S$8)^2</f>
        <v>25</v>
      </c>
      <c r="D25">
        <f>($D$4-$S$8)^2</f>
        <v>25</v>
      </c>
      <c r="E25">
        <f>($E$4-$S$8)^2</f>
        <v>0</v>
      </c>
      <c r="F25">
        <f>($G$4-$S$9)^2</f>
        <v>2.7777777777778407</v>
      </c>
      <c r="G25">
        <f>($H$4-$S$9)^2</f>
        <v>69.44444444444413</v>
      </c>
      <c r="H25">
        <f>($I$4-$S$9)^2</f>
        <v>44.444444444444699</v>
      </c>
      <c r="I25">
        <f>($K$4-$S$10)^2</f>
        <v>2.7777777777778407</v>
      </c>
      <c r="J25">
        <f>($L$4-$S$10)^2</f>
        <v>11.111111111110985</v>
      </c>
      <c r="K25">
        <f>($M$4-$S$10)^2</f>
        <v>2.7777777777778407</v>
      </c>
    </row>
    <row r="26" spans="2:16" x14ac:dyDescent="0.25">
      <c r="C26">
        <f>($C$5-$S$11)^2</f>
        <v>25</v>
      </c>
      <c r="D26">
        <f>($D$5-$S$11)^2</f>
        <v>0</v>
      </c>
      <c r="E26">
        <f>($E$5-$S$11)^2</f>
        <v>25</v>
      </c>
      <c r="F26">
        <f>($G$5-$S$12)^2</f>
        <v>225</v>
      </c>
      <c r="G26">
        <f>($H$5-$S$12)^2</f>
        <v>25</v>
      </c>
      <c r="H26">
        <f>($I$5-$S$12)^2</f>
        <v>100</v>
      </c>
      <c r="I26">
        <f>($K$5-$S$13)^2</f>
        <v>25</v>
      </c>
      <c r="J26">
        <f>($L$5-$S$13)^2</f>
        <v>0</v>
      </c>
      <c r="K26">
        <f>($M$5-$S$13)^2</f>
        <v>25</v>
      </c>
    </row>
    <row r="27" spans="2:16" x14ac:dyDescent="0.25">
      <c r="B27" t="s">
        <v>25</v>
      </c>
      <c r="C27">
        <f>SUM(C25:K26)</f>
        <v>633.33333333333326</v>
      </c>
    </row>
    <row r="29" spans="2:16" x14ac:dyDescent="0.25">
      <c r="B29" t="s">
        <v>23</v>
      </c>
      <c r="C29" t="s">
        <v>24</v>
      </c>
    </row>
    <row r="30" spans="2:16" x14ac:dyDescent="0.25">
      <c r="B30" t="s">
        <v>25</v>
      </c>
      <c r="C30">
        <f>C12+C17+C22+C27</f>
        <v>16150.000000000005</v>
      </c>
    </row>
    <row r="32" spans="2:16" x14ac:dyDescent="0.25">
      <c r="B32" t="s">
        <v>26</v>
      </c>
      <c r="C32">
        <f>S3-1</f>
        <v>1</v>
      </c>
      <c r="E32" t="s">
        <v>31</v>
      </c>
      <c r="F32">
        <f>C12/C32</f>
        <v>14450.000000000009</v>
      </c>
      <c r="H32" t="s">
        <v>35</v>
      </c>
      <c r="I32">
        <f>F32/$F$35</f>
        <v>273.78947368421075</v>
      </c>
      <c r="K32" s="26" t="s">
        <v>38</v>
      </c>
      <c r="L32" s="26"/>
      <c r="M32">
        <v>4.75</v>
      </c>
      <c r="O32" t="s">
        <v>40</v>
      </c>
      <c r="P32" t="str">
        <f>IF(I32&gt;M32, TEXT("yes", 1), TEXT("no", 1))</f>
        <v>yes</v>
      </c>
    </row>
    <row r="33" spans="2:16" x14ac:dyDescent="0.25">
      <c r="B33" t="s">
        <v>27</v>
      </c>
      <c r="C33">
        <f>S4-1</f>
        <v>2</v>
      </c>
      <c r="E33" t="s">
        <v>32</v>
      </c>
      <c r="F33">
        <f>C17/C33</f>
        <v>466.66666666666475</v>
      </c>
      <c r="H33" t="s">
        <v>36</v>
      </c>
      <c r="I33">
        <f>F33/$F$35</f>
        <v>8.8421052631578601</v>
      </c>
      <c r="K33" s="26" t="s">
        <v>39</v>
      </c>
      <c r="L33" s="26"/>
      <c r="M33">
        <v>3.89</v>
      </c>
      <c r="O33" t="s">
        <v>41</v>
      </c>
      <c r="P33" t="str">
        <f t="shared" ref="P33:P34" si="2">IF(I33&gt;M33, TEXT("yes", 1), TEXT("no", 1))</f>
        <v>yes</v>
      </c>
    </row>
    <row r="34" spans="2:16" x14ac:dyDescent="0.25">
      <c r="B34" t="s">
        <v>28</v>
      </c>
      <c r="C34">
        <f>(S3-1)*(S4-1)</f>
        <v>2</v>
      </c>
      <c r="E34" t="s">
        <v>33</v>
      </c>
      <c r="F34">
        <f>C22/C34</f>
        <v>66.666666666666472</v>
      </c>
      <c r="H34" t="s">
        <v>37</v>
      </c>
      <c r="I34">
        <f t="shared" ref="I34" si="3">F34/$F$35</f>
        <v>1.2631578947368385</v>
      </c>
      <c r="K34" s="26" t="s">
        <v>39</v>
      </c>
      <c r="L34" s="26"/>
      <c r="M34">
        <f>M33</f>
        <v>3.89</v>
      </c>
      <c r="O34" t="s">
        <v>42</v>
      </c>
      <c r="P34" t="str">
        <f t="shared" si="2"/>
        <v>no</v>
      </c>
    </row>
    <row r="35" spans="2:16" x14ac:dyDescent="0.25">
      <c r="B35" t="s">
        <v>29</v>
      </c>
      <c r="C35">
        <f>S3*S4*(S5-1)</f>
        <v>12</v>
      </c>
      <c r="E35" t="s">
        <v>34</v>
      </c>
      <c r="F35">
        <f>C27/C35</f>
        <v>52.777777777777771</v>
      </c>
    </row>
    <row r="36" spans="2:16" x14ac:dyDescent="0.25">
      <c r="B36" t="s">
        <v>30</v>
      </c>
      <c r="C36">
        <f>S3*S4*S5-1</f>
        <v>17</v>
      </c>
    </row>
    <row r="38" spans="2:16" x14ac:dyDescent="0.25">
      <c r="B38" t="s">
        <v>54</v>
      </c>
      <c r="C38" t="s">
        <v>55</v>
      </c>
    </row>
    <row r="39" spans="2:16" x14ac:dyDescent="0.25">
      <c r="C39">
        <f>($C$4-$S$8)</f>
        <v>-5</v>
      </c>
      <c r="D39">
        <f>($D$4-$S$8)</f>
        <v>5</v>
      </c>
      <c r="E39">
        <f>($E$4-$S$8)</f>
        <v>0</v>
      </c>
      <c r="F39">
        <f>($G$4-$S$9)</f>
        <v>-1.6666666666666856</v>
      </c>
      <c r="G39">
        <f>($H$4-$S$9)</f>
        <v>8.3333333333333144</v>
      </c>
      <c r="H39">
        <f>($I$4-$S$9)</f>
        <v>-6.6666666666666856</v>
      </c>
      <c r="I39">
        <f>($K$4-$S$10)</f>
        <v>1.6666666666666856</v>
      </c>
      <c r="J39">
        <f>($L$4-$S$10)</f>
        <v>-3.3333333333333144</v>
      </c>
      <c r="K39">
        <f>($M$4-$S$10)</f>
        <v>1.6666666666666856</v>
      </c>
    </row>
    <row r="40" spans="2:16" x14ac:dyDescent="0.25">
      <c r="C40">
        <f>($C$5-$S$11)</f>
        <v>-5</v>
      </c>
      <c r="D40">
        <f>($D$5-$S$11)</f>
        <v>0</v>
      </c>
      <c r="E40">
        <f>($E$5-$S$11)</f>
        <v>5</v>
      </c>
      <c r="F40">
        <f>($G$5-$S$12)</f>
        <v>15</v>
      </c>
      <c r="G40">
        <f>($H$5-$S$12)</f>
        <v>-5</v>
      </c>
      <c r="H40">
        <f>($I$5-$S$12)</f>
        <v>-10</v>
      </c>
      <c r="I40">
        <f>($K$5-$S$13)</f>
        <v>-5</v>
      </c>
      <c r="J40">
        <f>($L$5-$S$13)</f>
        <v>0</v>
      </c>
      <c r="K40">
        <f>($M$5-$S$13)</f>
        <v>5</v>
      </c>
    </row>
  </sheetData>
  <mergeCells count="15">
    <mergeCell ref="K32:L32"/>
    <mergeCell ref="K33:L33"/>
    <mergeCell ref="K34:L34"/>
    <mergeCell ref="R7:S7"/>
    <mergeCell ref="R2:S2"/>
    <mergeCell ref="C6:F6"/>
    <mergeCell ref="G6:J6"/>
    <mergeCell ref="K6:N6"/>
    <mergeCell ref="C7:F7"/>
    <mergeCell ref="G7:J7"/>
    <mergeCell ref="K7:N7"/>
    <mergeCell ref="C3:E3"/>
    <mergeCell ref="G3:I3"/>
    <mergeCell ref="K3:M3"/>
    <mergeCell ref="C2:N2"/>
  </mergeCells>
  <pageMargins left="0.7" right="0.7" top="0.75" bottom="0.75" header="0.3" footer="0.3"/>
  <ignoredErrors>
    <ignoredError sqref="F4:F5 P4:P5" formulaRange="1"/>
    <ignoredError sqref="D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99BC-BF33-4225-AFF3-B26142E91925}">
  <dimension ref="A1:Q122"/>
  <sheetViews>
    <sheetView tabSelected="1" topLeftCell="A61" workbookViewId="0">
      <selection activeCell="B84" sqref="B84:C102"/>
    </sheetView>
  </sheetViews>
  <sheetFormatPr defaultRowHeight="15" x14ac:dyDescent="0.25"/>
  <cols>
    <col min="1" max="1" width="10.140625" bestFit="1" customWidth="1"/>
    <col min="2" max="3" width="14.140625" bestFit="1" customWidth="1"/>
    <col min="4" max="4" width="9.5703125" bestFit="1" customWidth="1"/>
    <col min="5" max="5" width="14.140625" bestFit="1" customWidth="1"/>
    <col min="6" max="6" width="17" bestFit="1" customWidth="1"/>
    <col min="8" max="8" width="15.5703125" bestFit="1" customWidth="1"/>
    <col min="16" max="16" width="14.140625" bestFit="1" customWidth="1"/>
    <col min="17" max="17" width="17" bestFit="1" customWidth="1"/>
  </cols>
  <sheetData>
    <row r="1" spans="1:17" x14ac:dyDescent="0.25">
      <c r="A1" t="s">
        <v>46</v>
      </c>
      <c r="B1" t="s">
        <v>47</v>
      </c>
      <c r="C1" t="s">
        <v>45</v>
      </c>
    </row>
    <row r="2" spans="1:17" x14ac:dyDescent="0.25">
      <c r="A2" s="31">
        <v>1</v>
      </c>
      <c r="B2" s="31">
        <v>1</v>
      </c>
      <c r="C2" s="31">
        <v>280</v>
      </c>
      <c r="E2" t="s">
        <v>1</v>
      </c>
      <c r="F2" t="s">
        <v>48</v>
      </c>
      <c r="J2" s="2" t="s">
        <v>1</v>
      </c>
      <c r="K2" s="2"/>
      <c r="L2" s="2"/>
    </row>
    <row r="3" spans="1:17" x14ac:dyDescent="0.25">
      <c r="A3" s="31">
        <v>1</v>
      </c>
      <c r="B3" s="31">
        <v>1</v>
      </c>
      <c r="C3" s="31">
        <v>290</v>
      </c>
      <c r="E3">
        <v>1</v>
      </c>
      <c r="F3">
        <f>AVERAGEIFS(C2:C19, B2:B19, 1)</f>
        <v>260</v>
      </c>
      <c r="J3">
        <v>1</v>
      </c>
      <c r="K3">
        <v>2</v>
      </c>
      <c r="L3">
        <v>3</v>
      </c>
      <c r="P3" t="s">
        <v>1</v>
      </c>
      <c r="Q3" t="s">
        <v>48</v>
      </c>
    </row>
    <row r="4" spans="1:17" x14ac:dyDescent="0.25">
      <c r="A4" s="31">
        <v>1</v>
      </c>
      <c r="B4" s="31">
        <v>1</v>
      </c>
      <c r="C4" s="31">
        <v>285</v>
      </c>
      <c r="E4">
        <v>2</v>
      </c>
      <c r="F4">
        <f>AVERAGEIFS(C2:C19, B2:B19, 2)</f>
        <v>273.33333333333331</v>
      </c>
      <c r="H4" s="32" t="s">
        <v>0</v>
      </c>
      <c r="I4">
        <v>1</v>
      </c>
      <c r="J4">
        <f>AVERAGEIFS(C2:C19, A2:A19, 1, B2:B19, 1)</f>
        <v>285</v>
      </c>
      <c r="K4">
        <f>AVERAGEIFS(C2:C19, A2:A19, 1, B2:B19, 2)</f>
        <v>301.66666666666669</v>
      </c>
      <c r="L4">
        <f>AVERAGEIFS(C2:C19, A2:A19, 1, B2:B19, 3)</f>
        <v>288.33333333333331</v>
      </c>
      <c r="P4">
        <v>1</v>
      </c>
      <c r="Q4">
        <f>AVERAGEIFS(C2:C19, B2:B19, 1)</f>
        <v>260</v>
      </c>
    </row>
    <row r="5" spans="1:17" x14ac:dyDescent="0.25">
      <c r="A5" s="31">
        <v>1</v>
      </c>
      <c r="B5" s="31">
        <v>2</v>
      </c>
      <c r="C5" s="31">
        <v>300</v>
      </c>
      <c r="E5">
        <v>3</v>
      </c>
      <c r="F5">
        <f>AVERAGEIFS(C2:C19, B2:B19, 3)</f>
        <v>256.66666666666669</v>
      </c>
      <c r="H5" s="32"/>
      <c r="I5">
        <v>2</v>
      </c>
      <c r="J5">
        <f>AVERAGEIFS(C2:C19, A2:A19, 2, B2:B19, 1)</f>
        <v>235</v>
      </c>
      <c r="K5">
        <f>AVERAGEIFS(C2:C19, A2:A19, 2, B2:B19, 2)</f>
        <v>245</v>
      </c>
      <c r="L5">
        <f>AVERAGEIFS(C2:C19, A2:A19, 2, B2:B19, 3)</f>
        <v>225</v>
      </c>
      <c r="P5">
        <v>2</v>
      </c>
      <c r="Q5">
        <f>AVERAGEIFS(C2:C19, B2:B19, 2)</f>
        <v>273.33333333333331</v>
      </c>
    </row>
    <row r="6" spans="1:17" x14ac:dyDescent="0.25">
      <c r="A6" s="31">
        <v>1</v>
      </c>
      <c r="B6" s="31">
        <v>2</v>
      </c>
      <c r="C6" s="31">
        <v>310</v>
      </c>
      <c r="P6">
        <v>3</v>
      </c>
      <c r="Q6">
        <f>AVERAGEIFS(C2:C19, B2:B19, 3)</f>
        <v>256.66666666666669</v>
      </c>
    </row>
    <row r="7" spans="1:17" x14ac:dyDescent="0.25">
      <c r="A7" s="31">
        <v>1</v>
      </c>
      <c r="B7" s="31">
        <v>2</v>
      </c>
      <c r="C7" s="31">
        <v>295</v>
      </c>
      <c r="E7" t="s">
        <v>0</v>
      </c>
      <c r="F7" t="s">
        <v>48</v>
      </c>
      <c r="I7" s="2" t="s">
        <v>1</v>
      </c>
      <c r="J7" s="2"/>
      <c r="K7" s="2"/>
    </row>
    <row r="8" spans="1:17" x14ac:dyDescent="0.25">
      <c r="A8" s="31">
        <v>1</v>
      </c>
      <c r="B8" s="31">
        <v>3</v>
      </c>
      <c r="C8" s="31">
        <v>290</v>
      </c>
      <c r="E8">
        <v>1</v>
      </c>
      <c r="F8">
        <f>AVERAGEIFS(C2:C19, A2:A19, 1)</f>
        <v>291.66666666666669</v>
      </c>
      <c r="H8" s="33" t="s">
        <v>49</v>
      </c>
      <c r="I8">
        <v>285</v>
      </c>
      <c r="J8">
        <v>301.66666666666669</v>
      </c>
      <c r="K8">
        <v>288.33333333333331</v>
      </c>
      <c r="P8" t="s">
        <v>0</v>
      </c>
      <c r="Q8" t="s">
        <v>48</v>
      </c>
    </row>
    <row r="9" spans="1:17" x14ac:dyDescent="0.25">
      <c r="A9" s="31">
        <v>1</v>
      </c>
      <c r="B9" s="31">
        <v>3</v>
      </c>
      <c r="C9" s="31">
        <v>285</v>
      </c>
      <c r="E9">
        <v>2</v>
      </c>
      <c r="F9">
        <f>AVERAGEIFS(C2:C19, A2:A19, 2)</f>
        <v>235</v>
      </c>
      <c r="H9" s="33" t="s">
        <v>50</v>
      </c>
      <c r="I9">
        <v>235</v>
      </c>
      <c r="J9">
        <v>245</v>
      </c>
      <c r="K9">
        <v>225</v>
      </c>
      <c r="P9">
        <v>1</v>
      </c>
      <c r="Q9">
        <f>AVERAGEIFS(C2:C19, A2:A19, 1)</f>
        <v>291.66666666666669</v>
      </c>
    </row>
    <row r="10" spans="1:17" x14ac:dyDescent="0.25">
      <c r="A10" s="31">
        <v>1</v>
      </c>
      <c r="B10" s="31">
        <v>3</v>
      </c>
      <c r="C10" s="31">
        <v>290</v>
      </c>
      <c r="P10">
        <v>2</v>
      </c>
      <c r="Q10">
        <f>AVERAGEIFS(C2:C19, A2:A19, 2)</f>
        <v>235</v>
      </c>
    </row>
    <row r="11" spans="1:17" x14ac:dyDescent="0.25">
      <c r="A11" s="31">
        <v>2</v>
      </c>
      <c r="B11" s="31">
        <v>1</v>
      </c>
      <c r="C11" s="31">
        <v>230</v>
      </c>
      <c r="I11" s="2" t="s">
        <v>0</v>
      </c>
      <c r="J11" s="2"/>
    </row>
    <row r="12" spans="1:17" x14ac:dyDescent="0.25">
      <c r="A12" s="31">
        <v>2</v>
      </c>
      <c r="B12" s="31">
        <v>1</v>
      </c>
      <c r="C12" s="31">
        <v>235</v>
      </c>
      <c r="H12" t="s">
        <v>51</v>
      </c>
      <c r="I12" cm="1">
        <f t="array" ref="I12:J14">TRANSPOSE(I8:K9)</f>
        <v>285</v>
      </c>
      <c r="J12">
        <v>235</v>
      </c>
    </row>
    <row r="13" spans="1:17" x14ac:dyDescent="0.25">
      <c r="A13" s="31">
        <v>2</v>
      </c>
      <c r="B13" s="31">
        <v>1</v>
      </c>
      <c r="C13" s="31">
        <v>240</v>
      </c>
      <c r="H13" t="s">
        <v>52</v>
      </c>
      <c r="I13">
        <v>301.66666666666669</v>
      </c>
      <c r="J13">
        <v>245</v>
      </c>
    </row>
    <row r="14" spans="1:17" x14ac:dyDescent="0.25">
      <c r="A14" s="31">
        <v>2</v>
      </c>
      <c r="B14" s="31">
        <v>2</v>
      </c>
      <c r="C14" s="31">
        <v>260</v>
      </c>
      <c r="H14" t="s">
        <v>53</v>
      </c>
      <c r="I14">
        <v>288.33333333333331</v>
      </c>
      <c r="J14">
        <v>225</v>
      </c>
    </row>
    <row r="15" spans="1:17" x14ac:dyDescent="0.25">
      <c r="A15" s="31">
        <v>2</v>
      </c>
      <c r="B15" s="31">
        <v>2</v>
      </c>
      <c r="C15" s="31">
        <v>240</v>
      </c>
    </row>
    <row r="16" spans="1:17" x14ac:dyDescent="0.25">
      <c r="A16" s="31">
        <v>2</v>
      </c>
      <c r="B16" s="31">
        <v>2</v>
      </c>
      <c r="C16" s="31">
        <v>235</v>
      </c>
    </row>
    <row r="17" spans="1:3" x14ac:dyDescent="0.25">
      <c r="A17" s="31">
        <v>2</v>
      </c>
      <c r="B17" s="31">
        <v>3</v>
      </c>
      <c r="C17" s="31">
        <v>220</v>
      </c>
    </row>
    <row r="18" spans="1:3" x14ac:dyDescent="0.25">
      <c r="A18" s="31">
        <v>2</v>
      </c>
      <c r="B18" s="31">
        <v>3</v>
      </c>
      <c r="C18" s="31">
        <v>225</v>
      </c>
    </row>
    <row r="19" spans="1:3" x14ac:dyDescent="0.25">
      <c r="A19" s="31">
        <v>2</v>
      </c>
      <c r="B19" s="31">
        <v>3</v>
      </c>
      <c r="C19" s="31">
        <v>230</v>
      </c>
    </row>
    <row r="39" spans="2:10" x14ac:dyDescent="0.25">
      <c r="B39" t="s">
        <v>54</v>
      </c>
    </row>
    <row r="40" spans="2:10" x14ac:dyDescent="0.25">
      <c r="B40">
        <v>-5</v>
      </c>
      <c r="C40">
        <v>5</v>
      </c>
      <c r="D40">
        <v>0</v>
      </c>
      <c r="E40">
        <v>-1.6666666666666856</v>
      </c>
      <c r="F40">
        <v>8.3333333333333144</v>
      </c>
      <c r="G40">
        <v>-6.6666666666666856</v>
      </c>
      <c r="H40">
        <v>1.6666666666666856</v>
      </c>
      <c r="I40">
        <v>-3.3333333333333144</v>
      </c>
      <c r="J40">
        <v>1.6666666666666856</v>
      </c>
    </row>
    <row r="41" spans="2:10" x14ac:dyDescent="0.25">
      <c r="B41">
        <v>-5</v>
      </c>
      <c r="C41">
        <v>0</v>
      </c>
      <c r="D41">
        <v>5</v>
      </c>
      <c r="E41">
        <v>15</v>
      </c>
      <c r="F41">
        <v>-5</v>
      </c>
      <c r="G41">
        <v>-10</v>
      </c>
      <c r="H41">
        <v>-5</v>
      </c>
      <c r="I41">
        <v>0</v>
      </c>
      <c r="J41">
        <v>5</v>
      </c>
    </row>
    <row r="43" spans="2:10" x14ac:dyDescent="0.25">
      <c r="B43" t="s">
        <v>56</v>
      </c>
      <c r="C43" t="s">
        <v>54</v>
      </c>
    </row>
    <row r="44" spans="2:10" x14ac:dyDescent="0.25">
      <c r="B44">
        <v>1</v>
      </c>
      <c r="C44" cm="1">
        <f t="array" ref="C44:C52">TRANSPOSE(B40:J40)</f>
        <v>-5</v>
      </c>
    </row>
    <row r="45" spans="2:10" x14ac:dyDescent="0.25">
      <c r="B45">
        <v>2</v>
      </c>
      <c r="C45">
        <v>5</v>
      </c>
    </row>
    <row r="46" spans="2:10" x14ac:dyDescent="0.25">
      <c r="B46">
        <v>3</v>
      </c>
      <c r="C46">
        <v>0</v>
      </c>
    </row>
    <row r="47" spans="2:10" x14ac:dyDescent="0.25">
      <c r="B47">
        <v>4</v>
      </c>
      <c r="C47">
        <v>-1.6666666666666856</v>
      </c>
    </row>
    <row r="48" spans="2:10" x14ac:dyDescent="0.25">
      <c r="B48">
        <v>5</v>
      </c>
      <c r="C48">
        <v>8.3333333333333144</v>
      </c>
    </row>
    <row r="49" spans="2:5" x14ac:dyDescent="0.25">
      <c r="B49">
        <v>6</v>
      </c>
      <c r="C49">
        <v>-6.6666666666666856</v>
      </c>
    </row>
    <row r="50" spans="2:5" x14ac:dyDescent="0.25">
      <c r="B50">
        <v>7</v>
      </c>
      <c r="C50">
        <v>1.6666666666666856</v>
      </c>
    </row>
    <row r="51" spans="2:5" x14ac:dyDescent="0.25">
      <c r="B51">
        <v>8</v>
      </c>
      <c r="C51">
        <v>-3.3333333333333144</v>
      </c>
    </row>
    <row r="52" spans="2:5" x14ac:dyDescent="0.25">
      <c r="B52">
        <v>9</v>
      </c>
      <c r="C52">
        <v>1.6666666666666856</v>
      </c>
    </row>
    <row r="53" spans="2:5" x14ac:dyDescent="0.25">
      <c r="B53">
        <v>10</v>
      </c>
      <c r="C53" cm="1">
        <f t="array" ref="C53:C61">TRANSPOSE(B41:J41)</f>
        <v>-5</v>
      </c>
    </row>
    <row r="54" spans="2:5" x14ac:dyDescent="0.25">
      <c r="B54">
        <v>11</v>
      </c>
      <c r="C54">
        <v>0</v>
      </c>
    </row>
    <row r="55" spans="2:5" x14ac:dyDescent="0.25">
      <c r="B55">
        <v>12</v>
      </c>
      <c r="C55">
        <v>5</v>
      </c>
    </row>
    <row r="56" spans="2:5" x14ac:dyDescent="0.25">
      <c r="B56">
        <v>13</v>
      </c>
      <c r="C56">
        <v>15</v>
      </c>
    </row>
    <row r="57" spans="2:5" x14ac:dyDescent="0.25">
      <c r="B57">
        <v>14</v>
      </c>
      <c r="C57">
        <v>-5</v>
      </c>
    </row>
    <row r="58" spans="2:5" x14ac:dyDescent="0.25">
      <c r="B58">
        <v>15</v>
      </c>
      <c r="C58">
        <v>-10</v>
      </c>
    </row>
    <row r="59" spans="2:5" x14ac:dyDescent="0.25">
      <c r="B59">
        <v>16</v>
      </c>
      <c r="C59">
        <v>-5</v>
      </c>
    </row>
    <row r="60" spans="2:5" x14ac:dyDescent="0.25">
      <c r="B60">
        <v>17</v>
      </c>
      <c r="C60">
        <v>0</v>
      </c>
    </row>
    <row r="61" spans="2:5" x14ac:dyDescent="0.25">
      <c r="B61">
        <v>18</v>
      </c>
      <c r="C61">
        <v>5</v>
      </c>
    </row>
    <row r="63" spans="2:5" x14ac:dyDescent="0.25">
      <c r="B63" t="s">
        <v>57</v>
      </c>
    </row>
    <row r="64" spans="2:5" x14ac:dyDescent="0.25">
      <c r="B64" s="2" t="s">
        <v>58</v>
      </c>
      <c r="C64" s="2"/>
      <c r="D64" s="2" t="s">
        <v>59</v>
      </c>
      <c r="E64" s="2"/>
    </row>
    <row r="65" spans="2:5" x14ac:dyDescent="0.25">
      <c r="B65" s="31">
        <v>1</v>
      </c>
      <c r="C65" s="31" cm="1">
        <f t="array" ref="C65:C82">C44:C61</f>
        <v>-5</v>
      </c>
      <c r="D65" s="31">
        <v>1</v>
      </c>
      <c r="E65" cm="1">
        <f t="array" ref="E65:E82">C44:C61</f>
        <v>-5</v>
      </c>
    </row>
    <row r="66" spans="2:5" x14ac:dyDescent="0.25">
      <c r="B66" s="31">
        <v>1</v>
      </c>
      <c r="C66" s="31">
        <v>5</v>
      </c>
      <c r="D66" s="31">
        <v>1</v>
      </c>
      <c r="E66">
        <v>5</v>
      </c>
    </row>
    <row r="67" spans="2:5" x14ac:dyDescent="0.25">
      <c r="B67" s="31">
        <v>1</v>
      </c>
      <c r="C67" s="31">
        <v>0</v>
      </c>
      <c r="D67" s="31">
        <v>1</v>
      </c>
      <c r="E67">
        <v>0</v>
      </c>
    </row>
    <row r="68" spans="2:5" x14ac:dyDescent="0.25">
      <c r="B68" s="31">
        <v>1</v>
      </c>
      <c r="C68" s="31">
        <v>-1.6666666666666856</v>
      </c>
      <c r="D68" s="31">
        <v>2</v>
      </c>
      <c r="E68">
        <v>-1.6666666666666856</v>
      </c>
    </row>
    <row r="69" spans="2:5" x14ac:dyDescent="0.25">
      <c r="B69" s="31">
        <v>1</v>
      </c>
      <c r="C69" s="31">
        <v>8.3333333333333144</v>
      </c>
      <c r="D69" s="31">
        <v>2</v>
      </c>
      <c r="E69">
        <v>8.3333333333333144</v>
      </c>
    </row>
    <row r="70" spans="2:5" x14ac:dyDescent="0.25">
      <c r="B70" s="31">
        <v>1</v>
      </c>
      <c r="C70" s="31">
        <v>-6.6666666666666856</v>
      </c>
      <c r="D70" s="31">
        <v>2</v>
      </c>
      <c r="E70">
        <v>-6.6666666666666856</v>
      </c>
    </row>
    <row r="71" spans="2:5" x14ac:dyDescent="0.25">
      <c r="B71" s="31">
        <v>1</v>
      </c>
      <c r="C71" s="31">
        <v>1.6666666666666856</v>
      </c>
      <c r="D71" s="31">
        <v>3</v>
      </c>
      <c r="E71">
        <v>1.6666666666666856</v>
      </c>
    </row>
    <row r="72" spans="2:5" x14ac:dyDescent="0.25">
      <c r="B72" s="31">
        <v>1</v>
      </c>
      <c r="C72" s="31">
        <v>-3.3333333333333144</v>
      </c>
      <c r="D72" s="31">
        <v>3</v>
      </c>
      <c r="E72">
        <v>-3.3333333333333144</v>
      </c>
    </row>
    <row r="73" spans="2:5" x14ac:dyDescent="0.25">
      <c r="B73" s="31">
        <v>1</v>
      </c>
      <c r="C73" s="31">
        <v>1.6666666666666856</v>
      </c>
      <c r="D73" s="31">
        <v>3</v>
      </c>
      <c r="E73">
        <v>1.6666666666666856</v>
      </c>
    </row>
    <row r="74" spans="2:5" x14ac:dyDescent="0.25">
      <c r="B74" s="31">
        <v>2</v>
      </c>
      <c r="C74" s="31">
        <v>-5</v>
      </c>
      <c r="D74" s="31">
        <v>1</v>
      </c>
      <c r="E74">
        <v>-5</v>
      </c>
    </row>
    <row r="75" spans="2:5" x14ac:dyDescent="0.25">
      <c r="B75" s="31">
        <v>2</v>
      </c>
      <c r="C75" s="31">
        <v>0</v>
      </c>
      <c r="D75" s="31">
        <v>1</v>
      </c>
      <c r="E75">
        <v>0</v>
      </c>
    </row>
    <row r="76" spans="2:5" x14ac:dyDescent="0.25">
      <c r="B76" s="31">
        <v>2</v>
      </c>
      <c r="C76" s="31">
        <v>5</v>
      </c>
      <c r="D76" s="31">
        <v>1</v>
      </c>
      <c r="E76">
        <v>5</v>
      </c>
    </row>
    <row r="77" spans="2:5" x14ac:dyDescent="0.25">
      <c r="B77" s="31">
        <v>2</v>
      </c>
      <c r="C77" s="31">
        <v>15</v>
      </c>
      <c r="D77" s="31">
        <v>2</v>
      </c>
      <c r="E77">
        <v>15</v>
      </c>
    </row>
    <row r="78" spans="2:5" x14ac:dyDescent="0.25">
      <c r="B78" s="31">
        <v>2</v>
      </c>
      <c r="C78" s="31">
        <v>-5</v>
      </c>
      <c r="D78" s="31">
        <v>2</v>
      </c>
      <c r="E78">
        <v>-5</v>
      </c>
    </row>
    <row r="79" spans="2:5" x14ac:dyDescent="0.25">
      <c r="B79" s="31">
        <v>2</v>
      </c>
      <c r="C79" s="31">
        <v>-10</v>
      </c>
      <c r="D79" s="31">
        <v>2</v>
      </c>
      <c r="E79">
        <v>-10</v>
      </c>
    </row>
    <row r="80" spans="2:5" x14ac:dyDescent="0.25">
      <c r="B80" s="31">
        <v>2</v>
      </c>
      <c r="C80" s="31">
        <v>-5</v>
      </c>
      <c r="D80" s="31">
        <v>3</v>
      </c>
      <c r="E80">
        <v>-5</v>
      </c>
    </row>
    <row r="81" spans="2:5" x14ac:dyDescent="0.25">
      <c r="B81" s="31">
        <v>2</v>
      </c>
      <c r="C81" s="31">
        <v>0</v>
      </c>
      <c r="D81" s="31">
        <v>3</v>
      </c>
      <c r="E81">
        <v>0</v>
      </c>
    </row>
    <row r="82" spans="2:5" x14ac:dyDescent="0.25">
      <c r="B82" s="31">
        <v>2</v>
      </c>
      <c r="C82" s="31">
        <v>5</v>
      </c>
      <c r="D82" s="31">
        <v>3</v>
      </c>
      <c r="E82">
        <v>5</v>
      </c>
    </row>
    <row r="84" spans="2:5" x14ac:dyDescent="0.25">
      <c r="B84" t="s">
        <v>60</v>
      </c>
      <c r="C84" t="s">
        <v>54</v>
      </c>
    </row>
    <row r="85" spans="2:5" x14ac:dyDescent="0.25">
      <c r="B85">
        <v>285</v>
      </c>
      <c r="C85" cm="1">
        <f t="array" ref="C85:C102">_xlfn.ANCHORARRAY(C65)</f>
        <v>-5</v>
      </c>
    </row>
    <row r="86" spans="2:5" x14ac:dyDescent="0.25">
      <c r="B86">
        <v>285</v>
      </c>
      <c r="C86">
        <v>5</v>
      </c>
    </row>
    <row r="87" spans="2:5" x14ac:dyDescent="0.25">
      <c r="B87">
        <v>285</v>
      </c>
      <c r="C87">
        <v>0</v>
      </c>
    </row>
    <row r="88" spans="2:5" x14ac:dyDescent="0.25">
      <c r="B88">
        <v>301.66666666666669</v>
      </c>
      <c r="C88">
        <v>-1.6666666666666856</v>
      </c>
    </row>
    <row r="89" spans="2:5" x14ac:dyDescent="0.25">
      <c r="B89">
        <v>301.66666666666669</v>
      </c>
      <c r="C89">
        <v>8.3333333333333144</v>
      </c>
    </row>
    <row r="90" spans="2:5" x14ac:dyDescent="0.25">
      <c r="B90">
        <v>301.66666666666669</v>
      </c>
      <c r="C90">
        <v>-6.6666666666666856</v>
      </c>
    </row>
    <row r="91" spans="2:5" x14ac:dyDescent="0.25">
      <c r="B91">
        <v>288.33333333333331</v>
      </c>
      <c r="C91">
        <v>1.6666666666666856</v>
      </c>
    </row>
    <row r="92" spans="2:5" x14ac:dyDescent="0.25">
      <c r="B92">
        <v>288.33333333333331</v>
      </c>
      <c r="C92">
        <v>-3.3333333333333144</v>
      </c>
    </row>
    <row r="93" spans="2:5" x14ac:dyDescent="0.25">
      <c r="B93">
        <v>288.33333333333331</v>
      </c>
      <c r="C93">
        <v>1.6666666666666856</v>
      </c>
    </row>
    <row r="94" spans="2:5" x14ac:dyDescent="0.25">
      <c r="B94">
        <v>235</v>
      </c>
      <c r="C94">
        <v>-5</v>
      </c>
    </row>
    <row r="95" spans="2:5" x14ac:dyDescent="0.25">
      <c r="B95">
        <v>235</v>
      </c>
      <c r="C95">
        <v>0</v>
      </c>
    </row>
    <row r="96" spans="2:5" x14ac:dyDescent="0.25">
      <c r="B96">
        <v>235</v>
      </c>
      <c r="C96">
        <v>5</v>
      </c>
    </row>
    <row r="97" spans="2:6" x14ac:dyDescent="0.25">
      <c r="B97">
        <v>245</v>
      </c>
      <c r="C97">
        <v>15</v>
      </c>
    </row>
    <row r="98" spans="2:6" x14ac:dyDescent="0.25">
      <c r="B98">
        <v>245</v>
      </c>
      <c r="C98">
        <v>-5</v>
      </c>
    </row>
    <row r="99" spans="2:6" x14ac:dyDescent="0.25">
      <c r="B99">
        <v>245</v>
      </c>
      <c r="C99">
        <v>-10</v>
      </c>
    </row>
    <row r="100" spans="2:6" x14ac:dyDescent="0.25">
      <c r="B100">
        <v>225</v>
      </c>
      <c r="C100">
        <v>-5</v>
      </c>
    </row>
    <row r="101" spans="2:6" x14ac:dyDescent="0.25">
      <c r="B101">
        <v>225</v>
      </c>
      <c r="C101">
        <v>0</v>
      </c>
    </row>
    <row r="102" spans="2:6" x14ac:dyDescent="0.25">
      <c r="B102">
        <v>225</v>
      </c>
      <c r="C102">
        <v>5</v>
      </c>
    </row>
    <row r="105" spans="2:6" x14ac:dyDescent="0.25">
      <c r="F105" s="31"/>
    </row>
    <row r="106" spans="2:6" x14ac:dyDescent="0.25">
      <c r="F106" s="31"/>
    </row>
    <row r="107" spans="2:6" x14ac:dyDescent="0.25">
      <c r="F107" s="31"/>
    </row>
    <row r="108" spans="2:6" x14ac:dyDescent="0.25">
      <c r="F108" s="31"/>
    </row>
    <row r="109" spans="2:6" x14ac:dyDescent="0.25">
      <c r="F109" s="31"/>
    </row>
    <row r="110" spans="2:6" x14ac:dyDescent="0.25">
      <c r="F110" s="31"/>
    </row>
    <row r="111" spans="2:6" x14ac:dyDescent="0.25">
      <c r="F111" s="31"/>
    </row>
    <row r="112" spans="2:6" x14ac:dyDescent="0.25">
      <c r="F112" s="31"/>
    </row>
    <row r="113" spans="6:6" x14ac:dyDescent="0.25">
      <c r="F113" s="31"/>
    </row>
    <row r="114" spans="6:6" x14ac:dyDescent="0.25">
      <c r="F114" s="31"/>
    </row>
    <row r="115" spans="6:6" x14ac:dyDescent="0.25">
      <c r="F115" s="31"/>
    </row>
    <row r="116" spans="6:6" x14ac:dyDescent="0.25">
      <c r="F116" s="31"/>
    </row>
    <row r="117" spans="6:6" x14ac:dyDescent="0.25">
      <c r="F117" s="31"/>
    </row>
    <row r="118" spans="6:6" x14ac:dyDescent="0.25">
      <c r="F118" s="31"/>
    </row>
    <row r="119" spans="6:6" x14ac:dyDescent="0.25">
      <c r="F119" s="31"/>
    </row>
    <row r="120" spans="6:6" x14ac:dyDescent="0.25">
      <c r="F120" s="31"/>
    </row>
    <row r="121" spans="6:6" x14ac:dyDescent="0.25">
      <c r="F121" s="31"/>
    </row>
    <row r="122" spans="6:6" x14ac:dyDescent="0.25">
      <c r="F122" s="31"/>
    </row>
  </sheetData>
  <mergeCells count="6">
    <mergeCell ref="I11:J11"/>
    <mergeCell ref="B64:C64"/>
    <mergeCell ref="D64:E64"/>
    <mergeCell ref="H4:H5"/>
    <mergeCell ref="J2:L2"/>
    <mergeCell ref="I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Calculations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Swan</dc:creator>
  <cp:lastModifiedBy>Trevor Swan</cp:lastModifiedBy>
  <dcterms:created xsi:type="dcterms:W3CDTF">2025-04-20T19:00:29Z</dcterms:created>
  <dcterms:modified xsi:type="dcterms:W3CDTF">2025-04-21T00:04:42Z</dcterms:modified>
</cp:coreProperties>
</file>