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lready Exist" sheetId="1" r:id="rId4"/>
    <sheet state="hidden" name="Deisng" sheetId="2" r:id="rId5"/>
    <sheet state="visible" name="New design assume " sheetId="3" r:id="rId6"/>
    <sheet state="visible" name="Webster Method" sheetId="4" r:id="rId7"/>
    <sheet state="visible" name="on existing design" sheetId="5" r:id="rId8"/>
    <sheet state="visible" name="30% New design assume " sheetId="6" r:id="rId9"/>
    <sheet state="hidden" name="Exist design" sheetId="7" r:id="rId10"/>
    <sheet state="visible" name="30% Webster Method" sheetId="8" r:id="rId11"/>
    <sheet state="visible" name="Result" sheetId="9" r:id="rId12"/>
  </sheets>
  <definedNames/>
  <calcPr/>
</workbook>
</file>

<file path=xl/sharedStrings.xml><?xml version="1.0" encoding="utf-8"?>
<sst xmlns="http://schemas.openxmlformats.org/spreadsheetml/2006/main" count="620" uniqueCount="136">
  <si>
    <t>Link Name</t>
  </si>
  <si>
    <t>N709-1</t>
  </si>
  <si>
    <t>N709-3</t>
  </si>
  <si>
    <t>R760-1</t>
  </si>
  <si>
    <t>R760-3</t>
  </si>
  <si>
    <t>Vehicle Type</t>
  </si>
  <si>
    <t>PCU Factor</t>
  </si>
  <si>
    <t>Count</t>
  </si>
  <si>
    <t>Converted PCU</t>
  </si>
  <si>
    <t>Heavy</t>
  </si>
  <si>
    <t>Truck</t>
  </si>
  <si>
    <t>Medium</t>
  </si>
  <si>
    <t>Small</t>
  </si>
  <si>
    <t>Bus</t>
  </si>
  <si>
    <t>Utility</t>
  </si>
  <si>
    <t>Car</t>
  </si>
  <si>
    <t>Auto-rikshaw</t>
  </si>
  <si>
    <t>Motorcycle</t>
  </si>
  <si>
    <t>Bicycle</t>
  </si>
  <si>
    <t>Cycle-Rikshaw</t>
  </si>
  <si>
    <t>Cart</t>
  </si>
  <si>
    <t>Total AADT : PCU/day</t>
  </si>
  <si>
    <t>PCU/HOUR</t>
  </si>
  <si>
    <t>w</t>
  </si>
  <si>
    <t>up</t>
  </si>
  <si>
    <t xml:space="preserve"> down</t>
  </si>
  <si>
    <t>left</t>
  </si>
  <si>
    <t>right</t>
  </si>
  <si>
    <t>Qe (pcu/hr)</t>
  </si>
  <si>
    <t>v (m) =  approach half-width</t>
  </si>
  <si>
    <t>e (m) =  Average entry width (e)</t>
  </si>
  <si>
    <t>l (m) = the effective length of flare</t>
  </si>
  <si>
    <t>D (m) =  inscribed circle diameter</t>
  </si>
  <si>
    <t>F°= angle of entry</t>
  </si>
  <si>
    <t>r (m) = radius of entry</t>
  </si>
  <si>
    <t xml:space="preserve">Proportion of weaving traffic (Let) </t>
  </si>
  <si>
    <t>Proportion of Heavy and medium 
traffic (For Simplicity Average)</t>
  </si>
  <si>
    <t>Avarage weaving width</t>
  </si>
  <si>
    <t>S=(e-v)/l</t>
  </si>
  <si>
    <t>x2=v+((e-v)/(1+2S))</t>
  </si>
  <si>
    <t>k=1-0.00347(F-30)-0.978(1/r0.05)</t>
  </si>
  <si>
    <t>fc = 0.21k(1+0.2x2)(1+0.5/(1+e((D60)/10)))</t>
  </si>
  <si>
    <t>F=303kx2</t>
  </si>
  <si>
    <t>Qc (pcu/hr)</t>
  </si>
  <si>
    <t xml:space="preserve">Qmax = </t>
  </si>
  <si>
    <t>Demand</t>
  </si>
  <si>
    <t>Total Vehicle</t>
  </si>
  <si>
    <t>Vehicle/hour</t>
  </si>
  <si>
    <t>Proportion of weaving traffic (Let) (p)</t>
  </si>
  <si>
    <t>Proportion of Heavy and medium 
traffic (For Simplicity Average) (h)</t>
  </si>
  <si>
    <t>Avarage weaving width (w)</t>
  </si>
  <si>
    <t>Queing Delay in term of rounabout capacity</t>
  </si>
  <si>
    <t>Zc</t>
  </si>
  <si>
    <t>Row</t>
  </si>
  <si>
    <t>Q</t>
  </si>
  <si>
    <t>D</t>
  </si>
  <si>
    <t>demand</t>
  </si>
  <si>
    <t>qc (Assuming 2/3 is circular flow)</t>
  </si>
  <si>
    <t>ta =</t>
  </si>
  <si>
    <t xml:space="preserve">tf = </t>
  </si>
  <si>
    <t xml:space="preserve">tau = </t>
  </si>
  <si>
    <t xml:space="preserve">max flow = </t>
  </si>
  <si>
    <t>Alpha</t>
  </si>
  <si>
    <t xml:space="preserve">T = </t>
  </si>
  <si>
    <t>lamda</t>
  </si>
  <si>
    <t>C =</t>
  </si>
  <si>
    <t>Degree of saturation x =</t>
  </si>
  <si>
    <t>Dm (sec)</t>
  </si>
  <si>
    <t>D (veh/sec)</t>
  </si>
  <si>
    <t>LOS</t>
  </si>
  <si>
    <t>F</t>
  </si>
  <si>
    <t xml:space="preserve">Qe (vph)  </t>
  </si>
  <si>
    <t>Qe (vph) = Considering Peak Hour Factor</t>
  </si>
  <si>
    <t>Proportion of Heavy and medium 
traffic  (h)</t>
  </si>
  <si>
    <t xml:space="preserve">Avarage weaving width(m) ,w </t>
  </si>
  <si>
    <t xml:space="preserve">Avarage weaving width(ft) ,w </t>
  </si>
  <si>
    <t>Qmax  (pcu/h) , Wardrop</t>
  </si>
  <si>
    <t xml:space="preserve">Qmax (vph) </t>
  </si>
  <si>
    <t>Qmax  (vph), Freeman</t>
  </si>
  <si>
    <t>Demand (vph)</t>
  </si>
  <si>
    <t>Queing Delay in term of roundabout capacity</t>
  </si>
  <si>
    <t>Q (Vph)</t>
  </si>
  <si>
    <t>D (sec/veh)</t>
  </si>
  <si>
    <t>A</t>
  </si>
  <si>
    <t>Dm (veh/sec)</t>
  </si>
  <si>
    <t>B</t>
  </si>
  <si>
    <t>demand (pcu/hr)</t>
  </si>
  <si>
    <t>Demand * PF</t>
  </si>
  <si>
    <t>Capacity</t>
  </si>
  <si>
    <t>Y</t>
  </si>
  <si>
    <t>Sum(y) =</t>
  </si>
  <si>
    <t>Amber (s)</t>
  </si>
  <si>
    <t>NS/up-down</t>
  </si>
  <si>
    <t>EW/left-right</t>
  </si>
  <si>
    <t>Red-amber(s)</t>
  </si>
  <si>
    <t>Intergreen (i) in sec</t>
  </si>
  <si>
    <t>Lost time (I) in sec</t>
  </si>
  <si>
    <t xml:space="preserve">L = </t>
  </si>
  <si>
    <t>Optimum Cycle Length C0</t>
  </si>
  <si>
    <t>Cycle Length ---&gt;</t>
  </si>
  <si>
    <t>Total effective green time, Gte (C-L)=</t>
  </si>
  <si>
    <t>Yellow Time (s)</t>
  </si>
  <si>
    <t>Effective green for g</t>
  </si>
  <si>
    <t xml:space="preserve">Green + Amber period </t>
  </si>
  <si>
    <t>Now,</t>
  </si>
  <si>
    <t xml:space="preserve">GNS = </t>
  </si>
  <si>
    <t>intergreen NS =</t>
  </si>
  <si>
    <t>GEW=</t>
  </si>
  <si>
    <t xml:space="preserve">intergreen EW = </t>
  </si>
  <si>
    <t>Total=</t>
  </si>
  <si>
    <t>up-down/ NS</t>
  </si>
  <si>
    <t>left-right / EW</t>
  </si>
  <si>
    <t>C</t>
  </si>
  <si>
    <t xml:space="preserve">g </t>
  </si>
  <si>
    <t>S</t>
  </si>
  <si>
    <t>q</t>
  </si>
  <si>
    <t>x</t>
  </si>
  <si>
    <t>D (s/veh)</t>
  </si>
  <si>
    <t xml:space="preserve">Qe (vph) = Considering Peak Factor </t>
  </si>
  <si>
    <t xml:space="preserve">Qmax </t>
  </si>
  <si>
    <t>Qe (vph)  After Increasing 30%</t>
  </si>
  <si>
    <t>Qe (vph) = Considering Peak Factor</t>
  </si>
  <si>
    <t>Qmax (vph)</t>
  </si>
  <si>
    <t>E</t>
  </si>
  <si>
    <t>Roundabout</t>
  </si>
  <si>
    <t>Signal</t>
  </si>
  <si>
    <t>My design Roundabout</t>
  </si>
  <si>
    <t>My design Roundabout with 30% Increase of demand</t>
  </si>
  <si>
    <t xml:space="preserve">Already Existing Roundabout </t>
  </si>
  <si>
    <t>With Current Demand</t>
  </si>
  <si>
    <t>With 30% Increase of demand</t>
  </si>
  <si>
    <t>Direction</t>
  </si>
  <si>
    <t>NS</t>
  </si>
  <si>
    <t>EW</t>
  </si>
  <si>
    <t>Delay (Considering the dominating)
s/veh</t>
  </si>
  <si>
    <t>Cycle Time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</si>
</sst>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7.0"/>
      <color theme="1"/>
      <name val="Arial"/>
      <scheme val="minor"/>
    </font>
    <font>
      <sz val="9.0"/>
      <color rgb="FF11A9CC"/>
      <name val="Arial"/>
      <scheme val="minor"/>
    </font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horizontal="center"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4" numFmtId="0" xfId="0" applyFont="1"/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12" Type="http://schemas.openxmlformats.org/officeDocument/2006/relationships/worksheet" Target="worksheets/sheet9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11" Type="http://schemas.openxmlformats.org/officeDocument/2006/relationships/worksheet" Target="worksheets/sheet8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3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</cols>
  <sheetData>
    <row r="4">
      <c r="D4" s="1"/>
      <c r="E4" s="1"/>
      <c r="F4" s="1"/>
      <c r="G4" s="1"/>
      <c r="J4" s="1"/>
      <c r="K4" s="1"/>
      <c r="L4" s="1"/>
    </row>
    <row r="5">
      <c r="B5" s="1" t="s">
        <v>0</v>
      </c>
      <c r="E5" s="2" t="s">
        <v>1</v>
      </c>
      <c r="G5" s="1" t="s">
        <v>2</v>
      </c>
      <c r="I5" s="1" t="s">
        <v>3</v>
      </c>
      <c r="K5" s="1" t="s">
        <v>4</v>
      </c>
    </row>
    <row r="6">
      <c r="B6" s="2" t="s">
        <v>5</v>
      </c>
      <c r="D6" s="2" t="s">
        <v>6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</row>
    <row r="7">
      <c r="C7" s="2" t="s">
        <v>9</v>
      </c>
      <c r="D7" s="2">
        <v>3.0</v>
      </c>
      <c r="E7" s="2">
        <v>280.0</v>
      </c>
      <c r="F7" s="3">
        <f t="shared" ref="F7:F19" si="1"> E7 * $D7</f>
        <v>840</v>
      </c>
      <c r="G7" s="2">
        <v>504.0</v>
      </c>
      <c r="H7" s="3">
        <f t="shared" ref="H7:H19" si="2"> G7 * $D7</f>
        <v>1512</v>
      </c>
      <c r="I7" s="2">
        <v>190.0</v>
      </c>
      <c r="J7" s="3">
        <f t="shared" ref="J7:J19" si="3"> I7 * $D7</f>
        <v>570</v>
      </c>
      <c r="K7" s="2">
        <v>41.0</v>
      </c>
      <c r="L7" s="3">
        <f t="shared" ref="L7:L19" si="4"> K7 * $D7</f>
        <v>123</v>
      </c>
    </row>
    <row r="8">
      <c r="B8" s="2" t="s">
        <v>10</v>
      </c>
      <c r="C8" s="2" t="s">
        <v>11</v>
      </c>
      <c r="D8" s="2">
        <v>1.5</v>
      </c>
      <c r="E8" s="2">
        <v>1123.0</v>
      </c>
      <c r="F8" s="3">
        <f t="shared" si="1"/>
        <v>1684.5</v>
      </c>
      <c r="G8" s="2">
        <v>1682.0</v>
      </c>
      <c r="H8" s="3">
        <f t="shared" si="2"/>
        <v>2523</v>
      </c>
      <c r="I8" s="2">
        <v>1374.0</v>
      </c>
      <c r="J8" s="3">
        <f t="shared" si="3"/>
        <v>2061</v>
      </c>
      <c r="K8" s="2">
        <v>679.0</v>
      </c>
      <c r="L8" s="3">
        <f t="shared" si="4"/>
        <v>1018.5</v>
      </c>
    </row>
    <row r="9">
      <c r="C9" s="2" t="s">
        <v>12</v>
      </c>
      <c r="D9" s="2">
        <v>1.5</v>
      </c>
      <c r="E9" s="2">
        <v>418.0</v>
      </c>
      <c r="F9" s="3">
        <f t="shared" si="1"/>
        <v>627</v>
      </c>
      <c r="G9" s="2">
        <v>656.0</v>
      </c>
      <c r="H9" s="3">
        <f t="shared" si="2"/>
        <v>984</v>
      </c>
      <c r="I9" s="2">
        <v>333.0</v>
      </c>
      <c r="J9" s="3">
        <f t="shared" si="3"/>
        <v>499.5</v>
      </c>
      <c r="K9" s="2">
        <v>399.0</v>
      </c>
      <c r="L9" s="3">
        <f t="shared" si="4"/>
        <v>598.5</v>
      </c>
    </row>
    <row r="10">
      <c r="C10" s="2" t="s">
        <v>9</v>
      </c>
      <c r="D10" s="2">
        <v>3.0</v>
      </c>
      <c r="E10" s="2">
        <v>49.0</v>
      </c>
      <c r="F10" s="3">
        <f t="shared" si="1"/>
        <v>147</v>
      </c>
      <c r="G10" s="2">
        <v>273.0</v>
      </c>
      <c r="H10" s="3">
        <f t="shared" si="2"/>
        <v>819</v>
      </c>
      <c r="I10" s="2">
        <v>142.0</v>
      </c>
      <c r="J10" s="3">
        <f t="shared" si="3"/>
        <v>426</v>
      </c>
      <c r="K10" s="2">
        <v>83.0</v>
      </c>
      <c r="L10" s="3">
        <f t="shared" si="4"/>
        <v>249</v>
      </c>
    </row>
    <row r="11">
      <c r="B11" s="2" t="s">
        <v>13</v>
      </c>
      <c r="C11" s="2" t="s">
        <v>11</v>
      </c>
      <c r="D11" s="2">
        <v>1.5</v>
      </c>
      <c r="E11" s="2">
        <v>5.0</v>
      </c>
      <c r="F11" s="3">
        <f t="shared" si="1"/>
        <v>7.5</v>
      </c>
      <c r="G11" s="2">
        <v>353.0</v>
      </c>
      <c r="H11" s="3">
        <f t="shared" si="2"/>
        <v>529.5</v>
      </c>
      <c r="I11" s="2">
        <v>180.0</v>
      </c>
      <c r="J11" s="3">
        <f t="shared" si="3"/>
        <v>270</v>
      </c>
      <c r="K11" s="2">
        <v>151.0</v>
      </c>
      <c r="L11" s="3">
        <f t="shared" si="4"/>
        <v>226.5</v>
      </c>
    </row>
    <row r="12">
      <c r="C12" s="2" t="s">
        <v>12</v>
      </c>
      <c r="D12" s="2">
        <v>1.5</v>
      </c>
      <c r="E12" s="2">
        <v>192.0</v>
      </c>
      <c r="F12" s="3">
        <f t="shared" si="1"/>
        <v>288</v>
      </c>
      <c r="G12" s="2">
        <v>426.0</v>
      </c>
      <c r="H12" s="3">
        <f t="shared" si="2"/>
        <v>639</v>
      </c>
      <c r="I12" s="2">
        <v>180.0</v>
      </c>
      <c r="J12" s="3">
        <f t="shared" si="3"/>
        <v>270</v>
      </c>
      <c r="K12" s="2">
        <v>126.0</v>
      </c>
      <c r="L12" s="3">
        <f t="shared" si="4"/>
        <v>189</v>
      </c>
    </row>
    <row r="13">
      <c r="C13" s="2" t="s">
        <v>14</v>
      </c>
      <c r="D13" s="2">
        <v>1.5</v>
      </c>
      <c r="E13" s="2">
        <v>85.0</v>
      </c>
      <c r="F13" s="3">
        <f t="shared" si="1"/>
        <v>127.5</v>
      </c>
      <c r="G13" s="2">
        <v>292.0</v>
      </c>
      <c r="H13" s="3">
        <f t="shared" si="2"/>
        <v>438</v>
      </c>
      <c r="I13" s="2">
        <v>62.0</v>
      </c>
      <c r="J13" s="3">
        <f t="shared" si="3"/>
        <v>93</v>
      </c>
      <c r="K13" s="2">
        <v>88.0</v>
      </c>
      <c r="L13" s="3">
        <f t="shared" si="4"/>
        <v>132</v>
      </c>
    </row>
    <row r="14">
      <c r="C14" s="2" t="s">
        <v>15</v>
      </c>
      <c r="D14" s="2">
        <v>1.0</v>
      </c>
      <c r="E14" s="2">
        <v>206.0</v>
      </c>
      <c r="F14" s="3">
        <f t="shared" si="1"/>
        <v>206</v>
      </c>
      <c r="G14" s="2">
        <v>643.0</v>
      </c>
      <c r="H14" s="3">
        <f t="shared" si="2"/>
        <v>643</v>
      </c>
      <c r="I14" s="2">
        <v>279.0</v>
      </c>
      <c r="J14" s="3">
        <f t="shared" si="3"/>
        <v>279</v>
      </c>
      <c r="K14" s="2">
        <v>264.0</v>
      </c>
      <c r="L14" s="3">
        <f t="shared" si="4"/>
        <v>264</v>
      </c>
    </row>
    <row r="15">
      <c r="C15" s="2" t="s">
        <v>16</v>
      </c>
      <c r="D15" s="2">
        <v>1.5</v>
      </c>
      <c r="E15" s="2">
        <v>856.0</v>
      </c>
      <c r="F15" s="3">
        <f t="shared" si="1"/>
        <v>1284</v>
      </c>
      <c r="G15" s="2">
        <v>1943.0</v>
      </c>
      <c r="H15" s="3">
        <f t="shared" si="2"/>
        <v>2914.5</v>
      </c>
      <c r="I15" s="2">
        <v>2283.0</v>
      </c>
      <c r="J15" s="3">
        <f t="shared" si="3"/>
        <v>3424.5</v>
      </c>
      <c r="K15" s="2">
        <v>4612.0</v>
      </c>
      <c r="L15" s="3">
        <f t="shared" si="4"/>
        <v>6918</v>
      </c>
    </row>
    <row r="16">
      <c r="C16" s="2" t="s">
        <v>17</v>
      </c>
      <c r="D16" s="2">
        <v>0.75</v>
      </c>
      <c r="E16" s="2">
        <v>881.0</v>
      </c>
      <c r="F16" s="3">
        <f t="shared" si="1"/>
        <v>660.75</v>
      </c>
      <c r="G16" s="2">
        <v>793.0</v>
      </c>
      <c r="H16" s="3">
        <f t="shared" si="2"/>
        <v>594.75</v>
      </c>
      <c r="I16" s="2">
        <v>1709.0</v>
      </c>
      <c r="J16" s="3">
        <f t="shared" si="3"/>
        <v>1281.75</v>
      </c>
      <c r="K16" s="2">
        <v>3748.0</v>
      </c>
      <c r="L16" s="3">
        <f t="shared" si="4"/>
        <v>2811</v>
      </c>
    </row>
    <row r="17">
      <c r="C17" s="2" t="s">
        <v>18</v>
      </c>
      <c r="D17" s="2">
        <v>1.0</v>
      </c>
      <c r="E17" s="2">
        <v>295.0</v>
      </c>
      <c r="F17" s="3">
        <f t="shared" si="1"/>
        <v>295</v>
      </c>
      <c r="G17" s="2">
        <v>399.0</v>
      </c>
      <c r="H17" s="3">
        <f t="shared" si="2"/>
        <v>399</v>
      </c>
      <c r="I17" s="2">
        <v>218.0</v>
      </c>
      <c r="J17" s="3">
        <f t="shared" si="3"/>
        <v>218</v>
      </c>
      <c r="K17" s="2">
        <v>2257.0</v>
      </c>
      <c r="L17" s="3">
        <f t="shared" si="4"/>
        <v>2257</v>
      </c>
    </row>
    <row r="18">
      <c r="C18" s="2" t="s">
        <v>19</v>
      </c>
      <c r="D18" s="2">
        <v>2.0</v>
      </c>
      <c r="E18" s="2">
        <v>22.0</v>
      </c>
      <c r="F18" s="3">
        <f t="shared" si="1"/>
        <v>44</v>
      </c>
      <c r="G18" s="2">
        <v>350.0</v>
      </c>
      <c r="H18" s="3">
        <f t="shared" si="2"/>
        <v>700</v>
      </c>
      <c r="I18" s="2">
        <v>47.0</v>
      </c>
      <c r="J18" s="3">
        <f t="shared" si="3"/>
        <v>94</v>
      </c>
      <c r="K18" s="2">
        <v>47.0</v>
      </c>
      <c r="L18" s="3">
        <f t="shared" si="4"/>
        <v>94</v>
      </c>
    </row>
    <row r="19">
      <c r="C19" s="2" t="s">
        <v>20</v>
      </c>
      <c r="D19" s="2">
        <v>1.0</v>
      </c>
      <c r="E19" s="2">
        <v>1.0</v>
      </c>
      <c r="F19" s="3">
        <f t="shared" si="1"/>
        <v>1</v>
      </c>
      <c r="G19" s="2">
        <v>0.0</v>
      </c>
      <c r="H19" s="3">
        <f t="shared" si="2"/>
        <v>0</v>
      </c>
      <c r="I19" s="2">
        <v>0.0</v>
      </c>
      <c r="J19" s="3">
        <f t="shared" si="3"/>
        <v>0</v>
      </c>
      <c r="K19" s="2">
        <v>0.0</v>
      </c>
      <c r="L19" s="3">
        <f t="shared" si="4"/>
        <v>0</v>
      </c>
    </row>
    <row r="21">
      <c r="C21" s="2" t="s">
        <v>21</v>
      </c>
      <c r="F21" s="3">
        <f>SUM(F7:F19)</f>
        <v>6212.25</v>
      </c>
      <c r="H21" s="3">
        <f>SUM(H7:H19)</f>
        <v>12695.75</v>
      </c>
      <c r="J21" s="3">
        <f>SUM(J7:J19)</f>
        <v>9486.75</v>
      </c>
      <c r="L21" s="3">
        <f>SUM(L7:L19)</f>
        <v>14880.5</v>
      </c>
    </row>
    <row r="22">
      <c r="C22" s="2" t="s">
        <v>22</v>
      </c>
      <c r="F22" s="3">
        <f>ROUND(F21/24,0)</f>
        <v>259</v>
      </c>
      <c r="H22" s="3">
        <f>ROUND(H21/24,0)</f>
        <v>529</v>
      </c>
      <c r="J22" s="3">
        <f>ROUND(J21/24,0)</f>
        <v>395</v>
      </c>
      <c r="L22" s="3">
        <f>ROUND(L21/24,0)</f>
        <v>620</v>
      </c>
    </row>
    <row r="26">
      <c r="C26" s="2" t="s">
        <v>23</v>
      </c>
      <c r="D26" s="2">
        <v>21.78</v>
      </c>
    </row>
    <row r="28">
      <c r="C28" s="4"/>
      <c r="D28" s="4" t="s">
        <v>24</v>
      </c>
      <c r="E28" s="4" t="s">
        <v>25</v>
      </c>
      <c r="F28" s="4" t="s">
        <v>26</v>
      </c>
      <c r="G28" s="4" t="s">
        <v>27</v>
      </c>
    </row>
    <row r="29">
      <c r="D29" s="3" t="str">
        <f>E5</f>
        <v>N709-1</v>
      </c>
      <c r="E29" s="3" t="str">
        <f>G5</f>
        <v>N709-3</v>
      </c>
      <c r="F29" s="3" t="str">
        <f>I5</f>
        <v>R760-1</v>
      </c>
      <c r="G29" s="3" t="str">
        <f>K5</f>
        <v>R760-3</v>
      </c>
    </row>
    <row r="30">
      <c r="C30" s="2" t="s">
        <v>28</v>
      </c>
      <c r="D30" s="3">
        <f>F22</f>
        <v>259</v>
      </c>
      <c r="E30" s="3">
        <f>H22</f>
        <v>529</v>
      </c>
      <c r="F30" s="3">
        <f>J22</f>
        <v>395</v>
      </c>
      <c r="G30" s="3">
        <f>L22</f>
        <v>620</v>
      </c>
    </row>
    <row r="31">
      <c r="C31" s="2" t="s">
        <v>29</v>
      </c>
      <c r="D31" s="2">
        <v>5.87</v>
      </c>
      <c r="E31" s="2">
        <v>9.45</v>
      </c>
      <c r="F31" s="2">
        <v>5.07</v>
      </c>
      <c r="G31" s="2">
        <v>11.2</v>
      </c>
    </row>
    <row r="32">
      <c r="C32" s="2" t="s">
        <v>30</v>
      </c>
      <c r="D32" s="2">
        <v>18.36</v>
      </c>
      <c r="E32" s="2">
        <v>18.36</v>
      </c>
      <c r="F32" s="2">
        <v>18.36</v>
      </c>
      <c r="G32" s="2">
        <v>18.36</v>
      </c>
    </row>
    <row r="33">
      <c r="C33" s="2" t="s">
        <v>31</v>
      </c>
      <c r="D33" s="2">
        <v>234.0</v>
      </c>
      <c r="E33" s="2">
        <v>77.74</v>
      </c>
      <c r="F33" s="2">
        <v>157.0</v>
      </c>
      <c r="G33" s="2">
        <v>77.74</v>
      </c>
    </row>
    <row r="34">
      <c r="C34" s="2" t="s">
        <v>32</v>
      </c>
      <c r="D34" s="2">
        <v>69.57</v>
      </c>
      <c r="E34" s="2">
        <v>69.57</v>
      </c>
      <c r="F34" s="2">
        <v>69.57</v>
      </c>
      <c r="G34" s="2">
        <v>69.57</v>
      </c>
    </row>
    <row r="35">
      <c r="C35" s="2" t="s">
        <v>33</v>
      </c>
      <c r="D35" s="2">
        <v>90.0</v>
      </c>
      <c r="E35" s="2">
        <v>90.0</v>
      </c>
      <c r="F35" s="2">
        <v>90.0</v>
      </c>
      <c r="G35" s="2">
        <v>90.0</v>
      </c>
    </row>
    <row r="36">
      <c r="C36" s="2" t="s">
        <v>34</v>
      </c>
      <c r="D36" s="2">
        <v>45.0</v>
      </c>
      <c r="E36" s="2">
        <v>60.0</v>
      </c>
      <c r="F36" s="2">
        <v>50.0</v>
      </c>
      <c r="G36" s="2">
        <v>35.77</v>
      </c>
    </row>
    <row r="37">
      <c r="C37" s="2" t="s">
        <v>35</v>
      </c>
      <c r="D37" s="2">
        <v>0.7</v>
      </c>
      <c r="E37" s="2">
        <v>0.7</v>
      </c>
      <c r="F37" s="2">
        <v>0.7</v>
      </c>
      <c r="G37" s="2">
        <v>0.7</v>
      </c>
    </row>
    <row r="38">
      <c r="C38" s="2" t="s">
        <v>36</v>
      </c>
      <c r="D38" s="2">
        <v>0.16</v>
      </c>
      <c r="E38" s="2">
        <v>0.16</v>
      </c>
      <c r="F38" s="2">
        <v>0.16</v>
      </c>
      <c r="G38" s="2">
        <v>0.16</v>
      </c>
    </row>
    <row r="39">
      <c r="C39" s="2" t="s">
        <v>37</v>
      </c>
      <c r="D39" s="2">
        <v>21.78</v>
      </c>
      <c r="E39" s="2">
        <v>21.78</v>
      </c>
      <c r="F39" s="2">
        <v>21.78</v>
      </c>
      <c r="G39" s="2">
        <v>21.78</v>
      </c>
    </row>
    <row r="40">
      <c r="C40" s="2"/>
      <c r="D40" s="2"/>
      <c r="E40" s="2"/>
      <c r="F40" s="2"/>
      <c r="G40" s="2"/>
    </row>
    <row r="41">
      <c r="C41" s="2" t="s">
        <v>38</v>
      </c>
      <c r="D41" s="3">
        <f t="shared" ref="D41:G41" si="5"> (D32-D31)/D33</f>
        <v>0.05337606838</v>
      </c>
      <c r="E41" s="3">
        <f t="shared" si="5"/>
        <v>0.1146128119</v>
      </c>
      <c r="F41" s="3">
        <f t="shared" si="5"/>
        <v>0.08464968153</v>
      </c>
      <c r="G41" s="3">
        <f t="shared" si="5"/>
        <v>0.09210187806</v>
      </c>
    </row>
    <row r="42">
      <c r="C42" s="2" t="s">
        <v>39</v>
      </c>
    </row>
    <row r="43">
      <c r="C43" s="2" t="s">
        <v>40</v>
      </c>
    </row>
    <row r="44">
      <c r="C44" s="2" t="s">
        <v>41</v>
      </c>
    </row>
    <row r="45">
      <c r="C45" s="2" t="s">
        <v>42</v>
      </c>
    </row>
    <row r="46">
      <c r="C46" s="2" t="s">
        <v>43</v>
      </c>
    </row>
    <row r="48">
      <c r="C48" s="2" t="s">
        <v>44</v>
      </c>
      <c r="D48" s="3">
        <f t="shared" ref="D48:G48" si="6"> 150 * D39 * ( 1 + D32/D39) * (1-3*D39/(4*D33)) * ( 1 - D37/3) / (1+1.8*D38)</f>
        <v>3333.742788</v>
      </c>
      <c r="E48" s="3">
        <f t="shared" si="6"/>
        <v>2830.860997</v>
      </c>
      <c r="F48" s="3">
        <f t="shared" si="6"/>
        <v>3211.040207</v>
      </c>
      <c r="G48" s="3">
        <f t="shared" si="6"/>
        <v>2830.860997</v>
      </c>
    </row>
    <row r="49">
      <c r="C49" s="2" t="s">
        <v>45</v>
      </c>
      <c r="D49" s="3">
        <f t="shared" ref="D49:G49" si="7">D30</f>
        <v>259</v>
      </c>
      <c r="E49" s="3">
        <f t="shared" si="7"/>
        <v>529</v>
      </c>
      <c r="F49" s="3">
        <f t="shared" si="7"/>
        <v>395</v>
      </c>
      <c r="G49" s="3">
        <f t="shared" si="7"/>
        <v>620</v>
      </c>
    </row>
  </sheetData>
  <mergeCells count="5">
    <mergeCell ref="G4:I4"/>
    <mergeCell ref="E5:F5"/>
    <mergeCell ref="G5:H5"/>
    <mergeCell ref="I5:J5"/>
    <mergeCell ref="K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</cols>
  <sheetData>
    <row r="4">
      <c r="D4" s="1"/>
      <c r="E4" s="1"/>
      <c r="F4" s="1"/>
      <c r="G4" s="1"/>
      <c r="J4" s="1"/>
      <c r="K4" s="1"/>
      <c r="L4" s="1"/>
    </row>
    <row r="5">
      <c r="B5" s="1" t="s">
        <v>0</v>
      </c>
      <c r="E5" s="2" t="s">
        <v>1</v>
      </c>
      <c r="G5" s="1" t="s">
        <v>2</v>
      </c>
      <c r="I5" s="1" t="s">
        <v>3</v>
      </c>
      <c r="K5" s="1" t="s">
        <v>4</v>
      </c>
    </row>
    <row r="6">
      <c r="B6" s="2" t="s">
        <v>5</v>
      </c>
      <c r="D6" s="2" t="s">
        <v>6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</row>
    <row r="7">
      <c r="C7" s="2" t="s">
        <v>9</v>
      </c>
      <c r="D7" s="2">
        <v>3.0</v>
      </c>
      <c r="E7" s="2">
        <v>280.0</v>
      </c>
      <c r="F7" s="3">
        <f t="shared" ref="F7:F19" si="1"> E7 * $D7</f>
        <v>840</v>
      </c>
      <c r="G7" s="2">
        <v>504.0</v>
      </c>
      <c r="H7" s="3">
        <f t="shared" ref="H7:H19" si="2"> G7 * $D7</f>
        <v>1512</v>
      </c>
      <c r="I7" s="2">
        <v>190.0</v>
      </c>
      <c r="J7" s="3">
        <f t="shared" ref="J7:J19" si="3"> I7 * $D7</f>
        <v>570</v>
      </c>
      <c r="K7" s="2">
        <v>41.0</v>
      </c>
      <c r="L7" s="3">
        <f t="shared" ref="L7:L19" si="4"> K7 * $D7</f>
        <v>123</v>
      </c>
    </row>
    <row r="8">
      <c r="B8" s="2" t="s">
        <v>10</v>
      </c>
      <c r="C8" s="2" t="s">
        <v>11</v>
      </c>
      <c r="D8" s="2">
        <v>1.5</v>
      </c>
      <c r="E8" s="2">
        <v>1123.0</v>
      </c>
      <c r="F8" s="3">
        <f t="shared" si="1"/>
        <v>1684.5</v>
      </c>
      <c r="G8" s="2">
        <v>1682.0</v>
      </c>
      <c r="H8" s="3">
        <f t="shared" si="2"/>
        <v>2523</v>
      </c>
      <c r="I8" s="2">
        <v>1374.0</v>
      </c>
      <c r="J8" s="3">
        <f t="shared" si="3"/>
        <v>2061</v>
      </c>
      <c r="K8" s="2">
        <v>679.0</v>
      </c>
      <c r="L8" s="3">
        <f t="shared" si="4"/>
        <v>1018.5</v>
      </c>
    </row>
    <row r="9">
      <c r="C9" s="2" t="s">
        <v>12</v>
      </c>
      <c r="D9" s="2">
        <v>1.5</v>
      </c>
      <c r="E9" s="2">
        <v>418.0</v>
      </c>
      <c r="F9" s="3">
        <f t="shared" si="1"/>
        <v>627</v>
      </c>
      <c r="G9" s="2">
        <v>656.0</v>
      </c>
      <c r="H9" s="3">
        <f t="shared" si="2"/>
        <v>984</v>
      </c>
      <c r="I9" s="2">
        <v>333.0</v>
      </c>
      <c r="J9" s="3">
        <f t="shared" si="3"/>
        <v>499.5</v>
      </c>
      <c r="K9" s="2">
        <v>399.0</v>
      </c>
      <c r="L9" s="3">
        <f t="shared" si="4"/>
        <v>598.5</v>
      </c>
    </row>
    <row r="10">
      <c r="C10" s="2" t="s">
        <v>9</v>
      </c>
      <c r="D10" s="2">
        <v>3.0</v>
      </c>
      <c r="E10" s="2">
        <v>49.0</v>
      </c>
      <c r="F10" s="3">
        <f t="shared" si="1"/>
        <v>147</v>
      </c>
      <c r="G10" s="2">
        <v>273.0</v>
      </c>
      <c r="H10" s="3">
        <f t="shared" si="2"/>
        <v>819</v>
      </c>
      <c r="I10" s="2">
        <v>142.0</v>
      </c>
      <c r="J10" s="3">
        <f t="shared" si="3"/>
        <v>426</v>
      </c>
      <c r="K10" s="2">
        <v>83.0</v>
      </c>
      <c r="L10" s="3">
        <f t="shared" si="4"/>
        <v>249</v>
      </c>
    </row>
    <row r="11">
      <c r="B11" s="2" t="s">
        <v>13</v>
      </c>
      <c r="C11" s="2" t="s">
        <v>11</v>
      </c>
      <c r="D11" s="2">
        <v>1.5</v>
      </c>
      <c r="E11" s="2">
        <v>5.0</v>
      </c>
      <c r="F11" s="3">
        <f t="shared" si="1"/>
        <v>7.5</v>
      </c>
      <c r="G11" s="2">
        <v>353.0</v>
      </c>
      <c r="H11" s="3">
        <f t="shared" si="2"/>
        <v>529.5</v>
      </c>
      <c r="I11" s="2">
        <v>180.0</v>
      </c>
      <c r="J11" s="3">
        <f t="shared" si="3"/>
        <v>270</v>
      </c>
      <c r="K11" s="2">
        <v>151.0</v>
      </c>
      <c r="L11" s="3">
        <f t="shared" si="4"/>
        <v>226.5</v>
      </c>
    </row>
    <row r="12">
      <c r="C12" s="2" t="s">
        <v>12</v>
      </c>
      <c r="D12" s="2">
        <v>1.5</v>
      </c>
      <c r="E12" s="2">
        <v>192.0</v>
      </c>
      <c r="F12" s="3">
        <f t="shared" si="1"/>
        <v>288</v>
      </c>
      <c r="G12" s="2">
        <v>426.0</v>
      </c>
      <c r="H12" s="3">
        <f t="shared" si="2"/>
        <v>639</v>
      </c>
      <c r="I12" s="2">
        <v>180.0</v>
      </c>
      <c r="J12" s="3">
        <f t="shared" si="3"/>
        <v>270</v>
      </c>
      <c r="K12" s="2">
        <v>126.0</v>
      </c>
      <c r="L12" s="3">
        <f t="shared" si="4"/>
        <v>189</v>
      </c>
    </row>
    <row r="13">
      <c r="C13" s="2" t="s">
        <v>14</v>
      </c>
      <c r="D13" s="2">
        <v>1.5</v>
      </c>
      <c r="E13" s="2">
        <v>85.0</v>
      </c>
      <c r="F13" s="3">
        <f t="shared" si="1"/>
        <v>127.5</v>
      </c>
      <c r="G13" s="2">
        <v>292.0</v>
      </c>
      <c r="H13" s="3">
        <f t="shared" si="2"/>
        <v>438</v>
      </c>
      <c r="I13" s="2">
        <v>62.0</v>
      </c>
      <c r="J13" s="3">
        <f t="shared" si="3"/>
        <v>93</v>
      </c>
      <c r="K13" s="2">
        <v>88.0</v>
      </c>
      <c r="L13" s="3">
        <f t="shared" si="4"/>
        <v>132</v>
      </c>
    </row>
    <row r="14">
      <c r="C14" s="2" t="s">
        <v>15</v>
      </c>
      <c r="D14" s="2">
        <v>1.0</v>
      </c>
      <c r="E14" s="2">
        <v>206.0</v>
      </c>
      <c r="F14" s="3">
        <f t="shared" si="1"/>
        <v>206</v>
      </c>
      <c r="G14" s="2">
        <v>643.0</v>
      </c>
      <c r="H14" s="3">
        <f t="shared" si="2"/>
        <v>643</v>
      </c>
      <c r="I14" s="2">
        <v>279.0</v>
      </c>
      <c r="J14" s="3">
        <f t="shared" si="3"/>
        <v>279</v>
      </c>
      <c r="K14" s="2">
        <v>264.0</v>
      </c>
      <c r="L14" s="3">
        <f t="shared" si="4"/>
        <v>264</v>
      </c>
    </row>
    <row r="15">
      <c r="C15" s="2" t="s">
        <v>16</v>
      </c>
      <c r="D15" s="2">
        <v>1.5</v>
      </c>
      <c r="E15" s="2">
        <v>856.0</v>
      </c>
      <c r="F15" s="3">
        <f t="shared" si="1"/>
        <v>1284</v>
      </c>
      <c r="G15" s="2">
        <v>1943.0</v>
      </c>
      <c r="H15" s="3">
        <f t="shared" si="2"/>
        <v>2914.5</v>
      </c>
      <c r="I15" s="2">
        <v>2283.0</v>
      </c>
      <c r="J15" s="3">
        <f t="shared" si="3"/>
        <v>3424.5</v>
      </c>
      <c r="K15" s="2">
        <v>4612.0</v>
      </c>
      <c r="L15" s="3">
        <f t="shared" si="4"/>
        <v>6918</v>
      </c>
    </row>
    <row r="16">
      <c r="C16" s="2" t="s">
        <v>17</v>
      </c>
      <c r="D16" s="2">
        <v>0.75</v>
      </c>
      <c r="E16" s="2">
        <v>881.0</v>
      </c>
      <c r="F16" s="3">
        <f t="shared" si="1"/>
        <v>660.75</v>
      </c>
      <c r="G16" s="2">
        <v>793.0</v>
      </c>
      <c r="H16" s="3">
        <f t="shared" si="2"/>
        <v>594.75</v>
      </c>
      <c r="I16" s="2">
        <v>1709.0</v>
      </c>
      <c r="J16" s="3">
        <f t="shared" si="3"/>
        <v>1281.75</v>
      </c>
      <c r="K16" s="2">
        <v>3748.0</v>
      </c>
      <c r="L16" s="3">
        <f t="shared" si="4"/>
        <v>2811</v>
      </c>
    </row>
    <row r="17">
      <c r="C17" s="2" t="s">
        <v>18</v>
      </c>
      <c r="D17" s="2">
        <v>1.0</v>
      </c>
      <c r="E17" s="2">
        <v>295.0</v>
      </c>
      <c r="F17" s="3">
        <f t="shared" si="1"/>
        <v>295</v>
      </c>
      <c r="G17" s="2">
        <v>399.0</v>
      </c>
      <c r="H17" s="3">
        <f t="shared" si="2"/>
        <v>399</v>
      </c>
      <c r="I17" s="2">
        <v>218.0</v>
      </c>
      <c r="J17" s="3">
        <f t="shared" si="3"/>
        <v>218</v>
      </c>
      <c r="K17" s="2">
        <v>2257.0</v>
      </c>
      <c r="L17" s="3">
        <f t="shared" si="4"/>
        <v>2257</v>
      </c>
    </row>
    <row r="18">
      <c r="C18" s="2" t="s">
        <v>19</v>
      </c>
      <c r="D18" s="2">
        <v>2.0</v>
      </c>
      <c r="E18" s="2">
        <v>22.0</v>
      </c>
      <c r="F18" s="3">
        <f t="shared" si="1"/>
        <v>44</v>
      </c>
      <c r="G18" s="2">
        <v>350.0</v>
      </c>
      <c r="H18" s="3">
        <f t="shared" si="2"/>
        <v>700</v>
      </c>
      <c r="I18" s="2">
        <v>47.0</v>
      </c>
      <c r="J18" s="3">
        <f t="shared" si="3"/>
        <v>94</v>
      </c>
      <c r="K18" s="2">
        <v>47.0</v>
      </c>
      <c r="L18" s="3">
        <f t="shared" si="4"/>
        <v>94</v>
      </c>
    </row>
    <row r="19">
      <c r="C19" s="2" t="s">
        <v>20</v>
      </c>
      <c r="D19" s="2">
        <v>1.0</v>
      </c>
      <c r="E19" s="2">
        <v>1.0</v>
      </c>
      <c r="F19" s="3">
        <f t="shared" si="1"/>
        <v>1</v>
      </c>
      <c r="G19" s="2">
        <v>0.0</v>
      </c>
      <c r="H19" s="3">
        <f t="shared" si="2"/>
        <v>0</v>
      </c>
      <c r="I19" s="2">
        <v>0.0</v>
      </c>
      <c r="J19" s="3">
        <f t="shared" si="3"/>
        <v>0</v>
      </c>
      <c r="K19" s="2">
        <v>0.0</v>
      </c>
      <c r="L19" s="3">
        <f t="shared" si="4"/>
        <v>0</v>
      </c>
    </row>
    <row r="21">
      <c r="C21" s="2" t="s">
        <v>46</v>
      </c>
      <c r="E21" s="3">
        <f>SUM(E7:E19)</f>
        <v>4413</v>
      </c>
      <c r="G21" s="3">
        <f>SUM(G7:G19)</f>
        <v>8314</v>
      </c>
      <c r="I21" s="3">
        <f>SUM(I7:I19)</f>
        <v>6997</v>
      </c>
      <c r="K21" s="3">
        <f>SUM(K7:K19)</f>
        <v>12495</v>
      </c>
    </row>
    <row r="22">
      <c r="C22" s="2" t="s">
        <v>21</v>
      </c>
      <c r="F22" s="3">
        <f>SUM(F7:F19)</f>
        <v>6212.25</v>
      </c>
      <c r="H22" s="3">
        <f>SUM(H7:H19)</f>
        <v>12695.75</v>
      </c>
      <c r="J22" s="3">
        <f>SUM(J7:J19)</f>
        <v>9486.75</v>
      </c>
      <c r="L22" s="3">
        <f>SUM(L7:L19)</f>
        <v>14880.5</v>
      </c>
    </row>
    <row r="23">
      <c r="C23" s="2" t="s">
        <v>22</v>
      </c>
      <c r="F23" s="3">
        <f>ROUND(F22/24,0)</f>
        <v>259</v>
      </c>
      <c r="H23" s="3">
        <f>ROUND(H22/24,0)</f>
        <v>529</v>
      </c>
      <c r="J23" s="3">
        <f>ROUND(J22/24,0)</f>
        <v>395</v>
      </c>
      <c r="L23" s="3">
        <f>ROUND(L22/24,0)</f>
        <v>620</v>
      </c>
    </row>
    <row r="24">
      <c r="C24" s="2" t="s">
        <v>47</v>
      </c>
      <c r="E24" s="3">
        <f>E21/24</f>
        <v>183.875</v>
      </c>
      <c r="G24" s="3">
        <f>G21/24</f>
        <v>346.4166667</v>
      </c>
      <c r="I24" s="3">
        <f>I21/24</f>
        <v>291.5416667</v>
      </c>
      <c r="K24" s="3">
        <f>K21/24</f>
        <v>520.625</v>
      </c>
    </row>
    <row r="27">
      <c r="C27" s="2" t="s">
        <v>23</v>
      </c>
      <c r="D27" s="2">
        <v>21.78</v>
      </c>
    </row>
    <row r="29">
      <c r="C29" s="4"/>
      <c r="D29" s="4" t="s">
        <v>24</v>
      </c>
      <c r="E29" s="4" t="s">
        <v>25</v>
      </c>
      <c r="F29" s="4" t="s">
        <v>26</v>
      </c>
      <c r="G29" s="4" t="s">
        <v>27</v>
      </c>
      <c r="J29" s="4" t="s">
        <v>24</v>
      </c>
      <c r="K29" s="4" t="s">
        <v>25</v>
      </c>
      <c r="L29" s="4" t="s">
        <v>26</v>
      </c>
      <c r="M29" s="4" t="s">
        <v>27</v>
      </c>
    </row>
    <row r="30">
      <c r="D30" s="3" t="str">
        <f>E5</f>
        <v>N709-1</v>
      </c>
      <c r="E30" s="3" t="str">
        <f>G5</f>
        <v>N709-3</v>
      </c>
      <c r="F30" s="3" t="str">
        <f>I5</f>
        <v>R760-1</v>
      </c>
      <c r="G30" s="3" t="str">
        <f>K5</f>
        <v>R760-3</v>
      </c>
      <c r="J30" s="5" t="str">
        <f t="shared" ref="J30:M30" si="5">D30</f>
        <v>N709-1</v>
      </c>
      <c r="K30" s="5" t="str">
        <f t="shared" si="5"/>
        <v>N709-3</v>
      </c>
      <c r="L30" s="5" t="str">
        <f t="shared" si="5"/>
        <v>R760-1</v>
      </c>
      <c r="M30" s="5" t="str">
        <f t="shared" si="5"/>
        <v>R760-3</v>
      </c>
    </row>
    <row r="31">
      <c r="C31" s="2" t="s">
        <v>28</v>
      </c>
      <c r="D31" s="3">
        <f>F23</f>
        <v>259</v>
      </c>
      <c r="E31" s="3">
        <f>H23</f>
        <v>529</v>
      </c>
      <c r="F31" s="3">
        <f>J23</f>
        <v>395</v>
      </c>
      <c r="G31" s="3">
        <f>L23</f>
        <v>620</v>
      </c>
      <c r="J31" s="2"/>
    </row>
    <row r="32">
      <c r="C32" s="2" t="s">
        <v>29</v>
      </c>
      <c r="D32" s="2">
        <v>5.87</v>
      </c>
      <c r="E32" s="2">
        <v>9.45</v>
      </c>
      <c r="F32" s="2">
        <v>5.07</v>
      </c>
      <c r="G32" s="2">
        <v>9.45</v>
      </c>
    </row>
    <row r="33">
      <c r="C33" s="2" t="s">
        <v>30</v>
      </c>
      <c r="D33" s="2">
        <v>18.0</v>
      </c>
      <c r="E33" s="2">
        <v>18.0</v>
      </c>
      <c r="F33" s="2">
        <v>18.0</v>
      </c>
      <c r="G33" s="2">
        <v>18.0</v>
      </c>
    </row>
    <row r="34">
      <c r="C34" s="2" t="s">
        <v>31</v>
      </c>
      <c r="D34" s="2">
        <v>50.0</v>
      </c>
      <c r="E34" s="2">
        <v>50.0</v>
      </c>
      <c r="F34" s="2">
        <v>50.0</v>
      </c>
      <c r="G34" s="2">
        <v>50.0</v>
      </c>
    </row>
    <row r="35">
      <c r="C35" s="2" t="s">
        <v>32</v>
      </c>
      <c r="D35" s="2">
        <v>70.0</v>
      </c>
      <c r="E35" s="2">
        <v>70.0</v>
      </c>
      <c r="F35" s="2">
        <v>70.0</v>
      </c>
      <c r="G35" s="2">
        <v>70.0</v>
      </c>
    </row>
    <row r="36" hidden="1">
      <c r="C36" s="2" t="s">
        <v>33</v>
      </c>
      <c r="D36" s="2">
        <v>90.0</v>
      </c>
      <c r="E36" s="2">
        <v>90.0</v>
      </c>
      <c r="F36" s="2">
        <v>90.0</v>
      </c>
      <c r="G36" s="2">
        <v>90.0</v>
      </c>
    </row>
    <row r="37">
      <c r="C37" s="2" t="s">
        <v>34</v>
      </c>
      <c r="D37" s="2">
        <v>50.0</v>
      </c>
      <c r="E37" s="2">
        <v>50.0</v>
      </c>
      <c r="F37" s="2">
        <v>50.0</v>
      </c>
      <c r="G37" s="2">
        <v>50.0</v>
      </c>
    </row>
    <row r="38">
      <c r="C38" s="2" t="s">
        <v>48</v>
      </c>
      <c r="D38" s="2">
        <v>0.7</v>
      </c>
      <c r="E38" s="2">
        <v>0.7</v>
      </c>
      <c r="F38" s="2">
        <v>0.7</v>
      </c>
      <c r="G38" s="2">
        <v>0.7</v>
      </c>
    </row>
    <row r="39">
      <c r="C39" s="2" t="s">
        <v>49</v>
      </c>
      <c r="D39" s="2">
        <v>0.16</v>
      </c>
      <c r="E39" s="2">
        <v>0.16</v>
      </c>
      <c r="F39" s="2">
        <v>0.16</v>
      </c>
      <c r="G39" s="2">
        <v>0.16</v>
      </c>
    </row>
    <row r="40">
      <c r="C40" s="2" t="s">
        <v>50</v>
      </c>
      <c r="D40" s="2">
        <v>40.0</v>
      </c>
      <c r="E40" s="2">
        <v>40.0</v>
      </c>
      <c r="F40" s="2">
        <v>40.0</v>
      </c>
      <c r="G40" s="2">
        <v>40.0</v>
      </c>
    </row>
    <row r="41">
      <c r="C41" s="2"/>
      <c r="D41" s="2"/>
      <c r="E41" s="2"/>
      <c r="F41" s="2"/>
      <c r="G41" s="2"/>
    </row>
    <row r="42" hidden="1">
      <c r="C42" s="2" t="s">
        <v>38</v>
      </c>
      <c r="D42" s="3">
        <f t="shared" ref="D42:G42" si="6"> (D33-D32)/D34</f>
        <v>0.2426</v>
      </c>
      <c r="E42" s="3">
        <f t="shared" si="6"/>
        <v>0.171</v>
      </c>
      <c r="F42" s="3">
        <f t="shared" si="6"/>
        <v>0.2586</v>
      </c>
      <c r="G42" s="3">
        <f t="shared" si="6"/>
        <v>0.171</v>
      </c>
    </row>
    <row r="43" hidden="1">
      <c r="C43" s="2" t="s">
        <v>39</v>
      </c>
    </row>
    <row r="44" hidden="1">
      <c r="C44" s="2" t="s">
        <v>40</v>
      </c>
    </row>
    <row r="45" hidden="1">
      <c r="C45" s="2" t="s">
        <v>41</v>
      </c>
    </row>
    <row r="46" hidden="1">
      <c r="C46" s="2" t="s">
        <v>42</v>
      </c>
    </row>
    <row r="47" hidden="1">
      <c r="C47" s="2" t="s">
        <v>43</v>
      </c>
    </row>
    <row r="49">
      <c r="C49" s="2" t="s">
        <v>44</v>
      </c>
      <c r="D49" s="3">
        <f t="shared" ref="D49:G49" si="7"> 150 * D40 * ( 1 + D33/D40) * (1-3*D40/(4*D34)) * ( 1 - D38/3) / (1+1.8*D39)</f>
        <v>2071.428571</v>
      </c>
      <c r="E49" s="3">
        <f t="shared" si="7"/>
        <v>2071.428571</v>
      </c>
      <c r="F49" s="3">
        <f t="shared" si="7"/>
        <v>2071.428571</v>
      </c>
      <c r="G49" s="3">
        <f t="shared" si="7"/>
        <v>2071.428571</v>
      </c>
    </row>
    <row r="50">
      <c r="C50" s="2" t="s">
        <v>45</v>
      </c>
      <c r="D50" s="3">
        <f t="shared" ref="D50:G50" si="8">D31</f>
        <v>259</v>
      </c>
      <c r="E50" s="3">
        <f t="shared" si="8"/>
        <v>529</v>
      </c>
      <c r="F50" s="3">
        <f t="shared" si="8"/>
        <v>395</v>
      </c>
      <c r="G50" s="3">
        <f t="shared" si="8"/>
        <v>620</v>
      </c>
    </row>
    <row r="52">
      <c r="C52" s="2" t="s">
        <v>51</v>
      </c>
    </row>
    <row r="53">
      <c r="C53" s="2" t="s">
        <v>52</v>
      </c>
      <c r="D53" s="2">
        <v>13700.0</v>
      </c>
      <c r="E53" s="2">
        <v>13700.0</v>
      </c>
      <c r="F53" s="2">
        <v>13700.0</v>
      </c>
      <c r="G53" s="2">
        <v>13700.0</v>
      </c>
    </row>
    <row r="54">
      <c r="C54" s="2" t="s">
        <v>53</v>
      </c>
      <c r="D54" s="3">
        <f t="shared" ref="D54:G54" si="9">D50/D49</f>
        <v>0.1250344828</v>
      </c>
      <c r="E54" s="3">
        <f t="shared" si="9"/>
        <v>0.2553793103</v>
      </c>
      <c r="F54" s="3">
        <f t="shared" si="9"/>
        <v>0.1906896552</v>
      </c>
      <c r="G54" s="3">
        <f t="shared" si="9"/>
        <v>0.2993103448</v>
      </c>
    </row>
    <row r="55">
      <c r="C55" s="2" t="s">
        <v>54</v>
      </c>
      <c r="D55" s="3">
        <f t="shared" ref="D55:G55" si="10">D49</f>
        <v>2071.428571</v>
      </c>
      <c r="E55" s="3">
        <f t="shared" si="10"/>
        <v>2071.428571</v>
      </c>
      <c r="F55" s="3">
        <f t="shared" si="10"/>
        <v>2071.428571</v>
      </c>
      <c r="G55" s="3">
        <f t="shared" si="10"/>
        <v>2071.428571</v>
      </c>
    </row>
    <row r="56">
      <c r="C56" s="2" t="s">
        <v>55</v>
      </c>
      <c r="D56" s="3">
        <f t="shared" ref="D56:G56" si="11">D53 * D54/ (1.05*D55*(1.05-D54))</f>
        <v>0.8514625777</v>
      </c>
      <c r="E56" s="3">
        <f t="shared" si="11"/>
        <v>2.024357202</v>
      </c>
      <c r="F56" s="3">
        <f t="shared" si="11"/>
        <v>1.397778639</v>
      </c>
      <c r="G56" s="3">
        <f t="shared" si="11"/>
        <v>2.511438814</v>
      </c>
    </row>
    <row r="66">
      <c r="D66" s="3" t="str">
        <f t="shared" ref="D66:G66" si="12">D29</f>
        <v>up</v>
      </c>
      <c r="E66" s="3" t="str">
        <f t="shared" si="12"/>
        <v> down</v>
      </c>
      <c r="F66" s="3" t="str">
        <f t="shared" si="12"/>
        <v>left</v>
      </c>
      <c r="G66" s="3" t="str">
        <f t="shared" si="12"/>
        <v>right</v>
      </c>
    </row>
    <row r="67">
      <c r="C67" s="6"/>
      <c r="D67" s="3" t="str">
        <f t="shared" ref="D67:G67" si="13">D30</f>
        <v>N709-1</v>
      </c>
      <c r="E67" s="3" t="str">
        <f t="shared" si="13"/>
        <v>N709-3</v>
      </c>
      <c r="F67" s="3" t="str">
        <f t="shared" si="13"/>
        <v>R760-1</v>
      </c>
      <c r="G67" s="3" t="str">
        <f t="shared" si="13"/>
        <v>R760-3</v>
      </c>
    </row>
    <row r="68">
      <c r="C68" s="7" t="s">
        <v>56</v>
      </c>
      <c r="D68" s="3">
        <f t="shared" ref="D68:G68" si="14">D31</f>
        <v>259</v>
      </c>
      <c r="E68" s="3">
        <f t="shared" si="14"/>
        <v>529</v>
      </c>
      <c r="F68" s="3">
        <f t="shared" si="14"/>
        <v>395</v>
      </c>
      <c r="G68" s="3">
        <f t="shared" si="14"/>
        <v>620</v>
      </c>
    </row>
    <row r="69">
      <c r="C69" s="7" t="s">
        <v>57</v>
      </c>
      <c r="D69" s="3">
        <f>D68* 2 / 3 </f>
        <v>172.6666667</v>
      </c>
      <c r="E69" s="3">
        <f t="shared" ref="E69:G69" si="15"> E31 * 2 / 3 </f>
        <v>352.6666667</v>
      </c>
      <c r="F69" s="3">
        <f t="shared" si="15"/>
        <v>263.3333333</v>
      </c>
      <c r="G69" s="3">
        <f t="shared" si="15"/>
        <v>413.3333333</v>
      </c>
    </row>
    <row r="70">
      <c r="C70" s="7" t="s">
        <v>58</v>
      </c>
      <c r="D70" s="2">
        <v>4.6</v>
      </c>
      <c r="E70" s="2">
        <v>4.6</v>
      </c>
      <c r="F70" s="2">
        <v>4.6</v>
      </c>
      <c r="G70" s="2">
        <v>4.6</v>
      </c>
    </row>
    <row r="71">
      <c r="C71" s="7" t="s">
        <v>59</v>
      </c>
      <c r="D71" s="2">
        <v>2.1</v>
      </c>
      <c r="E71" s="2">
        <v>2.1</v>
      </c>
      <c r="F71" s="2">
        <v>2.1</v>
      </c>
      <c r="G71" s="2">
        <v>2.1</v>
      </c>
    </row>
    <row r="72">
      <c r="C72" s="7" t="s">
        <v>60</v>
      </c>
      <c r="D72" s="2">
        <v>5.0</v>
      </c>
      <c r="E72" s="2">
        <v>5.0</v>
      </c>
      <c r="F72" s="2">
        <v>5.0</v>
      </c>
      <c r="G72" s="2">
        <v>5.0</v>
      </c>
    </row>
    <row r="73">
      <c r="C73" s="7" t="s">
        <v>61</v>
      </c>
      <c r="D73" s="3">
        <f t="shared" ref="D73:G73" si="16">D49</f>
        <v>2071.428571</v>
      </c>
      <c r="E73" s="3">
        <f t="shared" si="16"/>
        <v>2071.428571</v>
      </c>
      <c r="F73" s="3">
        <f t="shared" si="16"/>
        <v>2071.428571</v>
      </c>
      <c r="G73" s="3">
        <f t="shared" si="16"/>
        <v>2071.428571</v>
      </c>
    </row>
    <row r="74">
      <c r="C74" s="7" t="s">
        <v>62</v>
      </c>
      <c r="D74" s="3">
        <f t="shared" ref="D74:G74" si="17">D69/D73</f>
        <v>0.08335632184</v>
      </c>
      <c r="E74" s="3">
        <f t="shared" si="17"/>
        <v>0.1702528736</v>
      </c>
      <c r="F74" s="3">
        <f t="shared" si="17"/>
        <v>0.1271264368</v>
      </c>
      <c r="G74" s="3">
        <f t="shared" si="17"/>
        <v>0.1995402299</v>
      </c>
    </row>
    <row r="75">
      <c r="C75" s="7" t="s">
        <v>63</v>
      </c>
      <c r="D75" s="2">
        <v>1.0</v>
      </c>
      <c r="E75" s="2">
        <v>1.0</v>
      </c>
      <c r="F75" s="2">
        <v>1.0</v>
      </c>
      <c r="G75" s="2">
        <v>1.0</v>
      </c>
    </row>
    <row r="76">
      <c r="C76" s="7" t="s">
        <v>64</v>
      </c>
      <c r="D76" s="3">
        <f t="shared" ref="D76:G76" si="18"> D74 * D69 / (1- D72 * D69)</f>
        <v>-0.01669059711</v>
      </c>
      <c r="E76" s="3">
        <f t="shared" si="18"/>
        <v>-0.03406989601</v>
      </c>
      <c r="F76" s="3">
        <f t="shared" si="18"/>
        <v>-0.02544461238</v>
      </c>
      <c r="G76" s="3">
        <f t="shared" si="18"/>
        <v>-0.03992736567</v>
      </c>
    </row>
    <row r="77">
      <c r="C77" s="7" t="s">
        <v>65</v>
      </c>
      <c r="D77" s="3">
        <f t="shared" ref="D77:G77" si="19">D74 * D69 * 2.71^(-D76*(D70-D72)) / (1- 2.71^(D76*D71))</f>
        <v>416.3496812</v>
      </c>
      <c r="E77" s="3">
        <f t="shared" si="19"/>
        <v>860.3837674</v>
      </c>
      <c r="F77" s="3">
        <f t="shared" si="19"/>
        <v>638.7976685</v>
      </c>
      <c r="G77" s="3">
        <f t="shared" si="19"/>
        <v>1012.228328</v>
      </c>
    </row>
    <row r="78">
      <c r="C78" s="7" t="s">
        <v>66</v>
      </c>
      <c r="D78" s="3">
        <f t="shared" ref="D78:G78" si="20">D68/D77</f>
        <v>0.6220732516</v>
      </c>
      <c r="E78" s="3">
        <f t="shared" si="20"/>
        <v>0.6148419113</v>
      </c>
      <c r="F78" s="3">
        <f t="shared" si="20"/>
        <v>0.6183491573</v>
      </c>
      <c r="G78" s="3">
        <f t="shared" si="20"/>
        <v>0.6125100268</v>
      </c>
    </row>
    <row r="79" hidden="1">
      <c r="C79" s="7" t="s">
        <v>67</v>
      </c>
    </row>
    <row r="80">
      <c r="C80" s="7" t="s">
        <v>68</v>
      </c>
      <c r="D80" s="2">
        <v>74.3</v>
      </c>
      <c r="E80" s="2">
        <v>74.3</v>
      </c>
      <c r="F80" s="2">
        <v>74.3</v>
      </c>
      <c r="G80" s="2">
        <v>74.3</v>
      </c>
    </row>
    <row r="81">
      <c r="C81" s="7" t="s">
        <v>69</v>
      </c>
      <c r="D81" s="7" t="s">
        <v>70</v>
      </c>
      <c r="E81" s="7" t="s">
        <v>70</v>
      </c>
      <c r="F81" s="7" t="s">
        <v>70</v>
      </c>
      <c r="G81" s="7" t="s">
        <v>70</v>
      </c>
    </row>
    <row r="82">
      <c r="C82" s="6"/>
    </row>
    <row r="84">
      <c r="D84" s="3">
        <f t="shared" ref="D84:G84" si="21"> 2.71^(D76*(D70-D72))/ (D76*D69)</f>
        <v>-0.3493093636</v>
      </c>
      <c r="E84" s="3">
        <f t="shared" si="21"/>
        <v>-0.08436557415</v>
      </c>
      <c r="F84" s="3">
        <f t="shared" si="21"/>
        <v>-0.1507665575</v>
      </c>
      <c r="G84" s="3">
        <f t="shared" si="21"/>
        <v>-0.06156641162</v>
      </c>
    </row>
    <row r="85">
      <c r="D85" s="3">
        <f>-1/D70 - 1/D76</f>
        <v>59.69658263</v>
      </c>
      <c r="E85" s="3">
        <f t="shared" ref="E85:G85" si="22">-E70 - 1/E76</f>
        <v>24.75142507</v>
      </c>
      <c r="F85" s="3">
        <f t="shared" si="22"/>
        <v>34.70105066</v>
      </c>
      <c r="G85" s="3">
        <f t="shared" si="22"/>
        <v>20.44547904</v>
      </c>
    </row>
    <row r="86">
      <c r="D86" s="3">
        <f t="shared" ref="D86:G86" si="23"> (D76 *D72^2 - 2*D72*(1-D74))/ (2 * (D76*D72+D74))</f>
        <v>49572.3975</v>
      </c>
      <c r="E86" s="3">
        <f t="shared" si="23"/>
        <v>47353.01287</v>
      </c>
      <c r="F86" s="3">
        <f t="shared" si="23"/>
        <v>48459.7167</v>
      </c>
      <c r="G86" s="3">
        <f t="shared" si="23"/>
        <v>46598.99002</v>
      </c>
    </row>
  </sheetData>
  <mergeCells count="5">
    <mergeCell ref="G4:I4"/>
    <mergeCell ref="E5:F5"/>
    <mergeCell ref="G5:H5"/>
    <mergeCell ref="I5:J5"/>
    <mergeCell ref="K5:L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</cols>
  <sheetData>
    <row r="4">
      <c r="D4" s="1"/>
      <c r="E4" s="1"/>
      <c r="F4" s="1"/>
      <c r="G4" s="1"/>
      <c r="J4" s="1"/>
      <c r="K4" s="1"/>
      <c r="L4" s="1"/>
    </row>
    <row r="5">
      <c r="B5" s="1" t="s">
        <v>0</v>
      </c>
      <c r="E5" s="2" t="s">
        <v>1</v>
      </c>
      <c r="G5" s="1" t="s">
        <v>2</v>
      </c>
      <c r="I5" s="1" t="s">
        <v>3</v>
      </c>
      <c r="K5" s="1" t="s">
        <v>4</v>
      </c>
    </row>
    <row r="6">
      <c r="B6" s="2" t="s">
        <v>5</v>
      </c>
      <c r="D6" s="2" t="s">
        <v>6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</row>
    <row r="7">
      <c r="C7" s="2" t="s">
        <v>9</v>
      </c>
      <c r="D7" s="2">
        <v>3.0</v>
      </c>
      <c r="E7" s="2">
        <v>280.0</v>
      </c>
      <c r="F7" s="3">
        <f t="shared" ref="F7:F19" si="1"> E7 * $D7</f>
        <v>840</v>
      </c>
      <c r="G7" s="2">
        <v>504.0</v>
      </c>
      <c r="H7" s="3">
        <f t="shared" ref="H7:H19" si="2"> G7 * $D7</f>
        <v>1512</v>
      </c>
      <c r="I7" s="2">
        <v>190.0</v>
      </c>
      <c r="J7" s="3">
        <f t="shared" ref="J7:J19" si="3"> I7 * $D7</f>
        <v>570</v>
      </c>
      <c r="K7" s="2">
        <v>41.0</v>
      </c>
      <c r="L7" s="3">
        <f t="shared" ref="L7:L19" si="4"> K7 * $D7</f>
        <v>123</v>
      </c>
    </row>
    <row r="8">
      <c r="B8" s="2" t="s">
        <v>10</v>
      </c>
      <c r="C8" s="2" t="s">
        <v>11</v>
      </c>
      <c r="D8" s="2">
        <v>1.5</v>
      </c>
      <c r="E8" s="2">
        <v>1123.0</v>
      </c>
      <c r="F8" s="3">
        <f t="shared" si="1"/>
        <v>1684.5</v>
      </c>
      <c r="G8" s="2">
        <v>1682.0</v>
      </c>
      <c r="H8" s="3">
        <f t="shared" si="2"/>
        <v>2523</v>
      </c>
      <c r="I8" s="2">
        <v>1374.0</v>
      </c>
      <c r="J8" s="3">
        <f t="shared" si="3"/>
        <v>2061</v>
      </c>
      <c r="K8" s="2">
        <v>679.0</v>
      </c>
      <c r="L8" s="3">
        <f t="shared" si="4"/>
        <v>1018.5</v>
      </c>
    </row>
    <row r="9">
      <c r="C9" s="2" t="s">
        <v>12</v>
      </c>
      <c r="D9" s="2">
        <v>1.5</v>
      </c>
      <c r="E9" s="2">
        <v>418.0</v>
      </c>
      <c r="F9" s="3">
        <f t="shared" si="1"/>
        <v>627</v>
      </c>
      <c r="G9" s="2">
        <v>656.0</v>
      </c>
      <c r="H9" s="3">
        <f t="shared" si="2"/>
        <v>984</v>
      </c>
      <c r="I9" s="2">
        <v>333.0</v>
      </c>
      <c r="J9" s="3">
        <f t="shared" si="3"/>
        <v>499.5</v>
      </c>
      <c r="K9" s="2">
        <v>399.0</v>
      </c>
      <c r="L9" s="3">
        <f t="shared" si="4"/>
        <v>598.5</v>
      </c>
    </row>
    <row r="10">
      <c r="C10" s="2" t="s">
        <v>9</v>
      </c>
      <c r="D10" s="2">
        <v>3.0</v>
      </c>
      <c r="E10" s="2">
        <v>49.0</v>
      </c>
      <c r="F10" s="3">
        <f t="shared" si="1"/>
        <v>147</v>
      </c>
      <c r="G10" s="2">
        <v>273.0</v>
      </c>
      <c r="H10" s="3">
        <f t="shared" si="2"/>
        <v>819</v>
      </c>
      <c r="I10" s="2">
        <v>142.0</v>
      </c>
      <c r="J10" s="3">
        <f t="shared" si="3"/>
        <v>426</v>
      </c>
      <c r="K10" s="2">
        <v>83.0</v>
      </c>
      <c r="L10" s="3">
        <f t="shared" si="4"/>
        <v>249</v>
      </c>
    </row>
    <row r="11">
      <c r="B11" s="2" t="s">
        <v>13</v>
      </c>
      <c r="C11" s="2" t="s">
        <v>11</v>
      </c>
      <c r="D11" s="2">
        <v>1.5</v>
      </c>
      <c r="E11" s="2">
        <v>5.0</v>
      </c>
      <c r="F11" s="3">
        <f t="shared" si="1"/>
        <v>7.5</v>
      </c>
      <c r="G11" s="2">
        <v>353.0</v>
      </c>
      <c r="H11" s="3">
        <f t="shared" si="2"/>
        <v>529.5</v>
      </c>
      <c r="I11" s="2">
        <v>180.0</v>
      </c>
      <c r="J11" s="3">
        <f t="shared" si="3"/>
        <v>270</v>
      </c>
      <c r="K11" s="2">
        <v>151.0</v>
      </c>
      <c r="L11" s="3">
        <f t="shared" si="4"/>
        <v>226.5</v>
      </c>
    </row>
    <row r="12">
      <c r="C12" s="2" t="s">
        <v>12</v>
      </c>
      <c r="D12" s="2">
        <v>1.5</v>
      </c>
      <c r="E12" s="2">
        <v>192.0</v>
      </c>
      <c r="F12" s="3">
        <f t="shared" si="1"/>
        <v>288</v>
      </c>
      <c r="G12" s="2">
        <v>426.0</v>
      </c>
      <c r="H12" s="3">
        <f t="shared" si="2"/>
        <v>639</v>
      </c>
      <c r="I12" s="2">
        <v>180.0</v>
      </c>
      <c r="J12" s="3">
        <f t="shared" si="3"/>
        <v>270</v>
      </c>
      <c r="K12" s="2">
        <v>126.0</v>
      </c>
      <c r="L12" s="3">
        <f t="shared" si="4"/>
        <v>189</v>
      </c>
    </row>
    <row r="13">
      <c r="C13" s="2" t="s">
        <v>14</v>
      </c>
      <c r="D13" s="2">
        <v>1.5</v>
      </c>
      <c r="E13" s="2">
        <v>85.0</v>
      </c>
      <c r="F13" s="3">
        <f t="shared" si="1"/>
        <v>127.5</v>
      </c>
      <c r="G13" s="2">
        <v>292.0</v>
      </c>
      <c r="H13" s="3">
        <f t="shared" si="2"/>
        <v>438</v>
      </c>
      <c r="I13" s="2">
        <v>62.0</v>
      </c>
      <c r="J13" s="3">
        <f t="shared" si="3"/>
        <v>93</v>
      </c>
      <c r="K13" s="2">
        <v>88.0</v>
      </c>
      <c r="L13" s="3">
        <f t="shared" si="4"/>
        <v>132</v>
      </c>
    </row>
    <row r="14">
      <c r="C14" s="2" t="s">
        <v>15</v>
      </c>
      <c r="D14" s="2">
        <v>1.0</v>
      </c>
      <c r="E14" s="2">
        <v>206.0</v>
      </c>
      <c r="F14" s="3">
        <f t="shared" si="1"/>
        <v>206</v>
      </c>
      <c r="G14" s="2">
        <v>643.0</v>
      </c>
      <c r="H14" s="3">
        <f t="shared" si="2"/>
        <v>643</v>
      </c>
      <c r="I14" s="2">
        <v>279.0</v>
      </c>
      <c r="J14" s="3">
        <f t="shared" si="3"/>
        <v>279</v>
      </c>
      <c r="K14" s="2">
        <v>264.0</v>
      </c>
      <c r="L14" s="3">
        <f t="shared" si="4"/>
        <v>264</v>
      </c>
    </row>
    <row r="15">
      <c r="C15" s="2" t="s">
        <v>16</v>
      </c>
      <c r="D15" s="2">
        <v>1.5</v>
      </c>
      <c r="E15" s="2">
        <v>856.0</v>
      </c>
      <c r="F15" s="3">
        <f t="shared" si="1"/>
        <v>1284</v>
      </c>
      <c r="G15" s="2">
        <v>1943.0</v>
      </c>
      <c r="H15" s="3">
        <f t="shared" si="2"/>
        <v>2914.5</v>
      </c>
      <c r="I15" s="2">
        <v>2283.0</v>
      </c>
      <c r="J15" s="3">
        <f t="shared" si="3"/>
        <v>3424.5</v>
      </c>
      <c r="K15" s="2">
        <v>4612.0</v>
      </c>
      <c r="L15" s="3">
        <f t="shared" si="4"/>
        <v>6918</v>
      </c>
    </row>
    <row r="16">
      <c r="C16" s="2" t="s">
        <v>17</v>
      </c>
      <c r="D16" s="2">
        <v>0.75</v>
      </c>
      <c r="E16" s="2">
        <v>881.0</v>
      </c>
      <c r="F16" s="3">
        <f t="shared" si="1"/>
        <v>660.75</v>
      </c>
      <c r="G16" s="2">
        <v>793.0</v>
      </c>
      <c r="H16" s="3">
        <f t="shared" si="2"/>
        <v>594.75</v>
      </c>
      <c r="I16" s="2">
        <v>1709.0</v>
      </c>
      <c r="J16" s="3">
        <f t="shared" si="3"/>
        <v>1281.75</v>
      </c>
      <c r="K16" s="2">
        <v>3748.0</v>
      </c>
      <c r="L16" s="3">
        <f t="shared" si="4"/>
        <v>2811</v>
      </c>
    </row>
    <row r="17">
      <c r="C17" s="2" t="s">
        <v>18</v>
      </c>
      <c r="D17" s="2">
        <v>1.0</v>
      </c>
      <c r="E17" s="2">
        <v>295.0</v>
      </c>
      <c r="F17" s="3">
        <f t="shared" si="1"/>
        <v>295</v>
      </c>
      <c r="G17" s="2">
        <v>399.0</v>
      </c>
      <c r="H17" s="3">
        <f t="shared" si="2"/>
        <v>399</v>
      </c>
      <c r="I17" s="2">
        <v>218.0</v>
      </c>
      <c r="J17" s="3">
        <f t="shared" si="3"/>
        <v>218</v>
      </c>
      <c r="K17" s="2">
        <v>2257.0</v>
      </c>
      <c r="L17" s="3">
        <f t="shared" si="4"/>
        <v>2257</v>
      </c>
    </row>
    <row r="18">
      <c r="C18" s="2" t="s">
        <v>19</v>
      </c>
      <c r="D18" s="2">
        <v>2.0</v>
      </c>
      <c r="E18" s="2">
        <v>22.0</v>
      </c>
      <c r="F18" s="3">
        <f t="shared" si="1"/>
        <v>44</v>
      </c>
      <c r="G18" s="2">
        <v>350.0</v>
      </c>
      <c r="H18" s="3">
        <f t="shared" si="2"/>
        <v>700</v>
      </c>
      <c r="I18" s="2">
        <v>47.0</v>
      </c>
      <c r="J18" s="3">
        <f t="shared" si="3"/>
        <v>94</v>
      </c>
      <c r="K18" s="2">
        <v>47.0</v>
      </c>
      <c r="L18" s="3">
        <f t="shared" si="4"/>
        <v>94</v>
      </c>
    </row>
    <row r="19">
      <c r="C19" s="2" t="s">
        <v>20</v>
      </c>
      <c r="D19" s="2">
        <v>1.0</v>
      </c>
      <c r="E19" s="2">
        <v>1.0</v>
      </c>
      <c r="F19" s="3">
        <f t="shared" si="1"/>
        <v>1</v>
      </c>
      <c r="G19" s="2">
        <v>0.0</v>
      </c>
      <c r="H19" s="3">
        <f t="shared" si="2"/>
        <v>0</v>
      </c>
      <c r="I19" s="2">
        <v>0.0</v>
      </c>
      <c r="J19" s="3">
        <f t="shared" si="3"/>
        <v>0</v>
      </c>
      <c r="K19" s="2">
        <v>0.0</v>
      </c>
      <c r="L19" s="3">
        <f t="shared" si="4"/>
        <v>0</v>
      </c>
    </row>
    <row r="21">
      <c r="C21" s="2" t="s">
        <v>46</v>
      </c>
      <c r="E21" s="3">
        <f>SUM(E7:E19)</f>
        <v>4413</v>
      </c>
      <c r="G21" s="3">
        <f>SUM(G7:G19)</f>
        <v>8314</v>
      </c>
      <c r="I21" s="3">
        <f>SUM(I7:I19)</f>
        <v>6997</v>
      </c>
      <c r="K21" s="3">
        <f>SUM(K7:K19)</f>
        <v>12495</v>
      </c>
    </row>
    <row r="22">
      <c r="C22" s="2" t="s">
        <v>21</v>
      </c>
      <c r="F22" s="3">
        <f>SUM(F7:F19)</f>
        <v>6212.25</v>
      </c>
      <c r="H22" s="3">
        <f>SUM(H7:H19)</f>
        <v>12695.75</v>
      </c>
      <c r="J22" s="3">
        <f>SUM(J7:J19)</f>
        <v>9486.75</v>
      </c>
      <c r="L22" s="3">
        <f>SUM(L7:L19)</f>
        <v>14880.5</v>
      </c>
    </row>
    <row r="23">
      <c r="C23" s="2" t="s">
        <v>22</v>
      </c>
      <c r="F23" s="3">
        <f>ROUND(F22/24,0)</f>
        <v>259</v>
      </c>
      <c r="H23" s="3">
        <f>ROUND(H22/24,0)</f>
        <v>529</v>
      </c>
      <c r="J23" s="3">
        <f>ROUND(J22/24,0)</f>
        <v>395</v>
      </c>
      <c r="L23" s="3">
        <f>ROUND(L22/24,0)</f>
        <v>620</v>
      </c>
    </row>
    <row r="24">
      <c r="C24" s="2" t="s">
        <v>47</v>
      </c>
      <c r="E24" s="3">
        <f>E21/24</f>
        <v>183.875</v>
      </c>
      <c r="G24" s="3">
        <f>G21/24</f>
        <v>346.4166667</v>
      </c>
      <c r="I24" s="3">
        <f>I21/24</f>
        <v>291.5416667</v>
      </c>
      <c r="K24" s="3">
        <f>K21/24</f>
        <v>520.625</v>
      </c>
    </row>
    <row r="27">
      <c r="C27" s="2" t="s">
        <v>23</v>
      </c>
      <c r="D27" s="2">
        <v>21.78</v>
      </c>
    </row>
    <row r="29">
      <c r="C29" s="4"/>
      <c r="D29" s="4" t="s">
        <v>24</v>
      </c>
      <c r="E29" s="4" t="s">
        <v>25</v>
      </c>
      <c r="F29" s="4" t="s">
        <v>26</v>
      </c>
      <c r="G29" s="4" t="s">
        <v>27</v>
      </c>
      <c r="J29" s="4" t="s">
        <v>24</v>
      </c>
      <c r="K29" s="4" t="s">
        <v>25</v>
      </c>
      <c r="L29" s="4" t="s">
        <v>26</v>
      </c>
      <c r="M29" s="4" t="s">
        <v>27</v>
      </c>
    </row>
    <row r="30">
      <c r="D30" s="3" t="str">
        <f>E5</f>
        <v>N709-1</v>
      </c>
      <c r="E30" s="3" t="str">
        <f>G5</f>
        <v>N709-3</v>
      </c>
      <c r="F30" s="3" t="str">
        <f>I5</f>
        <v>R760-1</v>
      </c>
      <c r="G30" s="3" t="str">
        <f>K5</f>
        <v>R760-3</v>
      </c>
      <c r="J30" s="5" t="str">
        <f t="shared" ref="J30:M30" si="5">D30</f>
        <v>N709-1</v>
      </c>
      <c r="K30" s="5" t="str">
        <f t="shared" si="5"/>
        <v>N709-3</v>
      </c>
      <c r="L30" s="5" t="str">
        <f t="shared" si="5"/>
        <v>R760-1</v>
      </c>
      <c r="M30" s="5" t="str">
        <f t="shared" si="5"/>
        <v>R760-3</v>
      </c>
    </row>
    <row r="31">
      <c r="C31" s="2" t="s">
        <v>71</v>
      </c>
      <c r="D31" s="3">
        <f>E24</f>
        <v>183.875</v>
      </c>
      <c r="E31" s="3">
        <f>G24</f>
        <v>346.4166667</v>
      </c>
      <c r="F31" s="3">
        <f>I24</f>
        <v>291.5416667</v>
      </c>
      <c r="G31" s="3">
        <f>K24</f>
        <v>520.625</v>
      </c>
      <c r="J31" s="5"/>
      <c r="K31" s="5"/>
      <c r="L31" s="5"/>
      <c r="M31" s="5"/>
    </row>
    <row r="32">
      <c r="C32" s="2" t="s">
        <v>72</v>
      </c>
      <c r="D32" s="3">
        <f t="shared" ref="D32:G32" si="6">D31 * 1.08</f>
        <v>198.585</v>
      </c>
      <c r="E32" s="3">
        <f t="shared" si="6"/>
        <v>374.13</v>
      </c>
      <c r="F32" s="3">
        <f t="shared" si="6"/>
        <v>314.865</v>
      </c>
      <c r="G32" s="3">
        <f t="shared" si="6"/>
        <v>562.275</v>
      </c>
      <c r="J32" s="2"/>
    </row>
    <row r="33">
      <c r="C33" s="2" t="s">
        <v>28</v>
      </c>
      <c r="D33" s="3">
        <f>F23</f>
        <v>259</v>
      </c>
      <c r="E33" s="3">
        <f>H23</f>
        <v>529</v>
      </c>
      <c r="F33" s="3">
        <f>J23</f>
        <v>395</v>
      </c>
      <c r="G33" s="3">
        <f>L23</f>
        <v>620</v>
      </c>
      <c r="J33" s="2"/>
    </row>
    <row r="34">
      <c r="C34" s="2" t="s">
        <v>29</v>
      </c>
      <c r="D34" s="2">
        <v>14.8</v>
      </c>
      <c r="E34" s="2">
        <v>14.8</v>
      </c>
      <c r="F34" s="2">
        <v>3.7</v>
      </c>
      <c r="G34" s="2">
        <v>7.4</v>
      </c>
    </row>
    <row r="35">
      <c r="C35" s="2" t="s">
        <v>30</v>
      </c>
      <c r="D35" s="2">
        <v>18.0</v>
      </c>
      <c r="E35" s="2">
        <v>18.0</v>
      </c>
      <c r="F35" s="2">
        <v>18.0</v>
      </c>
      <c r="G35" s="2">
        <v>18.0</v>
      </c>
    </row>
    <row r="36">
      <c r="C36" s="2" t="s">
        <v>31</v>
      </c>
      <c r="D36" s="2">
        <v>20.0</v>
      </c>
      <c r="E36" s="2">
        <v>20.0</v>
      </c>
      <c r="F36" s="2">
        <v>20.0</v>
      </c>
      <c r="G36" s="2">
        <v>20.0</v>
      </c>
    </row>
    <row r="37" hidden="1">
      <c r="C37" s="2" t="s">
        <v>32</v>
      </c>
      <c r="D37" s="2">
        <v>70.0</v>
      </c>
      <c r="E37" s="2">
        <v>70.0</v>
      </c>
      <c r="F37" s="2">
        <v>70.0</v>
      </c>
      <c r="G37" s="2">
        <v>70.0</v>
      </c>
    </row>
    <row r="38" hidden="1">
      <c r="C38" s="2" t="s">
        <v>33</v>
      </c>
      <c r="D38" s="2">
        <v>90.0</v>
      </c>
      <c r="E38" s="2">
        <v>90.0</v>
      </c>
      <c r="F38" s="2">
        <v>90.0</v>
      </c>
      <c r="G38" s="2">
        <v>90.0</v>
      </c>
    </row>
    <row r="39">
      <c r="C39" s="2" t="s">
        <v>34</v>
      </c>
      <c r="D39" s="2">
        <v>10.0</v>
      </c>
      <c r="E39" s="2">
        <v>10.0</v>
      </c>
      <c r="F39" s="2">
        <v>10.0</v>
      </c>
      <c r="G39" s="2">
        <v>10.0</v>
      </c>
    </row>
    <row r="40">
      <c r="C40" s="2" t="s">
        <v>48</v>
      </c>
      <c r="D40" s="2">
        <v>0.7</v>
      </c>
      <c r="E40" s="2">
        <v>0.7</v>
      </c>
      <c r="F40" s="2">
        <v>0.7</v>
      </c>
      <c r="G40" s="2">
        <v>0.7</v>
      </c>
    </row>
    <row r="41">
      <c r="C41" s="2" t="s">
        <v>73</v>
      </c>
      <c r="D41" s="2">
        <v>0.22</v>
      </c>
      <c r="E41" s="2">
        <v>0.22</v>
      </c>
      <c r="F41" s="2">
        <v>0.08</v>
      </c>
      <c r="G41" s="2">
        <v>0.16</v>
      </c>
    </row>
    <row r="42">
      <c r="C42" s="2" t="s">
        <v>74</v>
      </c>
      <c r="D42" s="2">
        <v>20.0</v>
      </c>
      <c r="E42" s="2">
        <v>20.0</v>
      </c>
      <c r="F42" s="2">
        <v>20.0</v>
      </c>
      <c r="G42" s="2">
        <v>20.0</v>
      </c>
    </row>
    <row r="43">
      <c r="C43" s="2" t="s">
        <v>75</v>
      </c>
      <c r="D43" s="2">
        <f t="shared" ref="D43:G43" si="7">3.28*D42</f>
        <v>65.6</v>
      </c>
      <c r="E43" s="2">
        <f t="shared" si="7"/>
        <v>65.6</v>
      </c>
      <c r="F43" s="2">
        <f t="shared" si="7"/>
        <v>65.6</v>
      </c>
      <c r="G43" s="2">
        <f t="shared" si="7"/>
        <v>65.6</v>
      </c>
    </row>
    <row r="44">
      <c r="C44" s="2"/>
      <c r="D44" s="2"/>
      <c r="E44" s="2"/>
      <c r="F44" s="2"/>
      <c r="G44" s="2"/>
    </row>
    <row r="45">
      <c r="C45" s="2" t="s">
        <v>38</v>
      </c>
      <c r="D45" s="3">
        <f t="shared" ref="D45:G45" si="8"> (D35-D34)/D36</f>
        <v>0.16</v>
      </c>
      <c r="E45" s="3">
        <f t="shared" si="8"/>
        <v>0.16</v>
      </c>
      <c r="F45" s="3">
        <f t="shared" si="8"/>
        <v>0.715</v>
      </c>
      <c r="G45" s="3">
        <f t="shared" si="8"/>
        <v>0.53</v>
      </c>
    </row>
    <row r="46">
      <c r="C46" s="2" t="s">
        <v>39</v>
      </c>
    </row>
    <row r="47">
      <c r="C47" s="2" t="s">
        <v>40</v>
      </c>
    </row>
    <row r="48">
      <c r="C48" s="2" t="s">
        <v>41</v>
      </c>
    </row>
    <row r="49">
      <c r="C49" s="2" t="s">
        <v>42</v>
      </c>
    </row>
    <row r="50">
      <c r="C50" s="2" t="s">
        <v>43</v>
      </c>
    </row>
    <row r="52" hidden="1">
      <c r="C52" s="8" t="s">
        <v>76</v>
      </c>
      <c r="D52" s="3">
        <f t="shared" ref="D52:G52" si="9"> 150 * D42 * ( 1 + D35/D42) * (1-3*D42/(4*D36)) * ( 1 - D40/3) / (1+1.8*D41)</f>
        <v>782.5931232</v>
      </c>
      <c r="E52" s="3">
        <f t="shared" si="9"/>
        <v>782.5931232</v>
      </c>
      <c r="F52" s="3">
        <f t="shared" si="9"/>
        <v>954.9825175</v>
      </c>
      <c r="G52" s="3">
        <f t="shared" si="9"/>
        <v>848.2142857</v>
      </c>
    </row>
    <row r="53">
      <c r="C53" s="8" t="s">
        <v>77</v>
      </c>
      <c r="D53" s="3">
        <f t="shared" ref="D53:G53" si="10"> 105 * D43 * ((1+D35/D42) * ( 1 - 3/4 * D42/D36) * (1-D40/3) ) / (1+ 1.8*D41) </f>
        <v>1796.833811</v>
      </c>
      <c r="E53" s="3">
        <f t="shared" si="10"/>
        <v>1796.833811</v>
      </c>
      <c r="F53" s="3">
        <f t="shared" si="10"/>
        <v>2192.63986</v>
      </c>
      <c r="G53" s="3">
        <f t="shared" si="10"/>
        <v>1947.5</v>
      </c>
    </row>
    <row r="54" hidden="1">
      <c r="C54" s="8" t="s">
        <v>78</v>
      </c>
      <c r="D54" s="3">
        <f t="shared" ref="D54:G54" si="11">169 * ( 1 + (D35/D42) ) * (1 + (D42/D36))</f>
        <v>642.2</v>
      </c>
      <c r="E54" s="3">
        <f t="shared" si="11"/>
        <v>642.2</v>
      </c>
      <c r="F54" s="3">
        <f t="shared" si="11"/>
        <v>642.2</v>
      </c>
      <c r="G54" s="3">
        <f t="shared" si="11"/>
        <v>642.2</v>
      </c>
    </row>
    <row r="55">
      <c r="C55" s="8" t="s">
        <v>79</v>
      </c>
      <c r="D55" s="3">
        <f t="shared" ref="D55:G55" si="12">D32</f>
        <v>198.585</v>
      </c>
      <c r="E55" s="3">
        <f t="shared" si="12"/>
        <v>374.13</v>
      </c>
      <c r="F55" s="3">
        <f t="shared" si="12"/>
        <v>314.865</v>
      </c>
      <c r="G55" s="3">
        <f t="shared" si="12"/>
        <v>562.275</v>
      </c>
    </row>
    <row r="57">
      <c r="C57" s="8" t="s">
        <v>80</v>
      </c>
    </row>
    <row r="58">
      <c r="C58" s="9" t="s">
        <v>52</v>
      </c>
      <c r="D58" s="9">
        <v>13700.0</v>
      </c>
      <c r="E58" s="9">
        <v>13700.0</v>
      </c>
      <c r="F58" s="9">
        <v>13700.0</v>
      </c>
      <c r="G58" s="9">
        <v>13700.0</v>
      </c>
    </row>
    <row r="59">
      <c r="C59" s="9" t="s">
        <v>53</v>
      </c>
      <c r="D59" s="10">
        <f t="shared" ref="D59:G59" si="13">D55/D53</f>
        <v>0.110519403</v>
      </c>
      <c r="E59" s="10">
        <f t="shared" si="13"/>
        <v>0.2082162511</v>
      </c>
      <c r="F59" s="10">
        <f t="shared" si="13"/>
        <v>0.1436008739</v>
      </c>
      <c r="G59" s="10">
        <f t="shared" si="13"/>
        <v>0.288716303</v>
      </c>
    </row>
    <row r="60">
      <c r="C60" s="9" t="s">
        <v>81</v>
      </c>
      <c r="D60" s="10">
        <f t="shared" ref="D60:G60" si="14">D53</f>
        <v>1796.833811</v>
      </c>
      <c r="E60" s="10">
        <f t="shared" si="14"/>
        <v>1796.833811</v>
      </c>
      <c r="F60" s="10">
        <f t="shared" si="14"/>
        <v>2192.63986</v>
      </c>
      <c r="G60" s="10">
        <f t="shared" si="14"/>
        <v>1947.5</v>
      </c>
    </row>
    <row r="61">
      <c r="C61" s="9" t="s">
        <v>82</v>
      </c>
      <c r="D61" s="10">
        <f t="shared" ref="D61:G61" si="15">D58 * D59/ (1.05*D60*(1.05-D59))</f>
        <v>0.8542285298</v>
      </c>
      <c r="E61" s="10">
        <f t="shared" si="15"/>
        <v>1.79612866</v>
      </c>
      <c r="F61" s="10">
        <f t="shared" si="15"/>
        <v>0.9427609119</v>
      </c>
      <c r="G61" s="10">
        <f t="shared" si="15"/>
        <v>2.540847386</v>
      </c>
    </row>
    <row r="62">
      <c r="C62" s="9" t="s">
        <v>69</v>
      </c>
      <c r="D62" s="11" t="s">
        <v>83</v>
      </c>
      <c r="E62" s="11" t="s">
        <v>83</v>
      </c>
      <c r="F62" s="11" t="s">
        <v>83</v>
      </c>
      <c r="G62" s="11" t="s">
        <v>83</v>
      </c>
    </row>
    <row r="73">
      <c r="D73" s="3" t="str">
        <f t="shared" ref="D73:G73" si="16">D29</f>
        <v>up</v>
      </c>
      <c r="E73" s="3" t="str">
        <f t="shared" si="16"/>
        <v> down</v>
      </c>
      <c r="F73" s="3" t="str">
        <f t="shared" si="16"/>
        <v>left</v>
      </c>
      <c r="G73" s="3" t="str">
        <f t="shared" si="16"/>
        <v>right</v>
      </c>
    </row>
    <row r="74">
      <c r="C74" s="6"/>
      <c r="D74" s="3" t="str">
        <f t="shared" ref="D74:G74" si="17">D30</f>
        <v>N709-1</v>
      </c>
      <c r="E74" s="3" t="str">
        <f t="shared" si="17"/>
        <v>N709-3</v>
      </c>
      <c r="F74" s="3" t="str">
        <f t="shared" si="17"/>
        <v>R760-1</v>
      </c>
      <c r="G74" s="3" t="str">
        <f t="shared" si="17"/>
        <v>R760-3</v>
      </c>
    </row>
    <row r="75">
      <c r="C75" s="7" t="s">
        <v>56</v>
      </c>
      <c r="D75" s="3">
        <f t="shared" ref="D75:G75" si="18">D32</f>
        <v>198.585</v>
      </c>
      <c r="E75" s="3">
        <f t="shared" si="18"/>
        <v>374.13</v>
      </c>
      <c r="F75" s="3">
        <f t="shared" si="18"/>
        <v>314.865</v>
      </c>
      <c r="G75" s="3">
        <f t="shared" si="18"/>
        <v>562.275</v>
      </c>
    </row>
    <row r="76">
      <c r="C76" s="7" t="s">
        <v>57</v>
      </c>
      <c r="D76" s="3">
        <f>D75* 2 / 3 </f>
        <v>132.39</v>
      </c>
      <c r="E76" s="3">
        <f t="shared" ref="E76:G76" si="19"> E32 * 2 / 3 </f>
        <v>249.42</v>
      </c>
      <c r="F76" s="3">
        <f t="shared" si="19"/>
        <v>209.91</v>
      </c>
      <c r="G76" s="3">
        <f t="shared" si="19"/>
        <v>374.85</v>
      </c>
    </row>
    <row r="77">
      <c r="C77" s="7" t="s">
        <v>58</v>
      </c>
      <c r="D77" s="2">
        <v>4.6</v>
      </c>
      <c r="E77" s="2">
        <v>4.6</v>
      </c>
      <c r="F77" s="2">
        <v>4.6</v>
      </c>
      <c r="G77" s="2">
        <v>4.6</v>
      </c>
    </row>
    <row r="78">
      <c r="C78" s="7" t="s">
        <v>59</v>
      </c>
      <c r="D78" s="2">
        <v>2.1</v>
      </c>
      <c r="E78" s="2">
        <v>2.1</v>
      </c>
      <c r="F78" s="2">
        <v>2.1</v>
      </c>
      <c r="G78" s="2">
        <v>2.1</v>
      </c>
    </row>
    <row r="79">
      <c r="C79" s="7" t="s">
        <v>60</v>
      </c>
      <c r="D79" s="2">
        <v>5.0</v>
      </c>
      <c r="E79" s="2">
        <v>5.0</v>
      </c>
      <c r="F79" s="2">
        <v>5.0</v>
      </c>
      <c r="G79" s="2">
        <v>5.0</v>
      </c>
    </row>
    <row r="80">
      <c r="C80" s="7" t="s">
        <v>61</v>
      </c>
      <c r="D80" s="3">
        <f t="shared" ref="D80:G80" si="20">D52</f>
        <v>782.5931232</v>
      </c>
      <c r="E80" s="3">
        <f t="shared" si="20"/>
        <v>782.5931232</v>
      </c>
      <c r="F80" s="3">
        <f t="shared" si="20"/>
        <v>954.9825175</v>
      </c>
      <c r="G80" s="3">
        <f t="shared" si="20"/>
        <v>848.2142857</v>
      </c>
    </row>
    <row r="81">
      <c r="C81" s="7" t="s">
        <v>62</v>
      </c>
      <c r="D81" s="3">
        <f t="shared" ref="D81:G81" si="21">ROUND(D76/D80,4+6)</f>
        <v>0.1691683661</v>
      </c>
      <c r="E81" s="3">
        <f t="shared" si="21"/>
        <v>0.3187096751</v>
      </c>
      <c r="F81" s="3">
        <f t="shared" si="21"/>
        <v>0.2198050709</v>
      </c>
      <c r="G81" s="3">
        <f t="shared" si="21"/>
        <v>0.4419284211</v>
      </c>
    </row>
    <row r="82">
      <c r="C82" s="7" t="s">
        <v>63</v>
      </c>
      <c r="D82" s="2">
        <v>0.25</v>
      </c>
      <c r="E82" s="2">
        <v>0.25</v>
      </c>
      <c r="F82" s="2">
        <v>0.25</v>
      </c>
      <c r="G82" s="2">
        <v>0.25</v>
      </c>
    </row>
    <row r="83">
      <c r="C83" s="7" t="s">
        <v>64</v>
      </c>
      <c r="D83" s="3">
        <f t="shared" ref="D83:G83" si="22"> ROUND(D81 * D76 / (1- D79 * D76), 2)</f>
        <v>-0.03</v>
      </c>
      <c r="E83" s="3">
        <f t="shared" si="22"/>
        <v>-0.06</v>
      </c>
      <c r="F83" s="3">
        <f t="shared" si="22"/>
        <v>-0.04</v>
      </c>
      <c r="G83" s="3">
        <f t="shared" si="22"/>
        <v>-0.09</v>
      </c>
    </row>
    <row r="84">
      <c r="C84" s="7" t="s">
        <v>65</v>
      </c>
      <c r="D84" s="3">
        <f t="shared" ref="D84:G84" si="23">D81 * D76 * (2.71^(-D83*(D77-D79))) / (1- 2.71^(D83*D78))</f>
        <v>363.5235276</v>
      </c>
      <c r="E84" s="3">
        <f t="shared" si="23"/>
        <v>657.481442</v>
      </c>
      <c r="F84" s="3">
        <f t="shared" si="23"/>
        <v>565.2610636</v>
      </c>
      <c r="G84" s="3">
        <f t="shared" si="23"/>
        <v>930.5962535</v>
      </c>
    </row>
    <row r="85">
      <c r="C85" s="7" t="s">
        <v>66</v>
      </c>
      <c r="D85" s="3">
        <f t="shared" ref="D85:G85" si="24">D75/D84</f>
        <v>0.5462782596</v>
      </c>
      <c r="E85" s="3">
        <f t="shared" si="24"/>
        <v>0.5690350725</v>
      </c>
      <c r="F85" s="3">
        <f t="shared" si="24"/>
        <v>0.5570258068</v>
      </c>
      <c r="G85" s="3">
        <f t="shared" si="24"/>
        <v>0.6042093957</v>
      </c>
    </row>
    <row r="86">
      <c r="C86" s="7" t="s">
        <v>84</v>
      </c>
      <c r="D86" s="3">
        <f> ROUND(D91+D92+D93,2)</f>
        <v>17.59</v>
      </c>
      <c r="E86" s="2">
        <v>14.56</v>
      </c>
      <c r="F86" s="3">
        <f t="shared" ref="F86:G86" si="25"> ROUND(F91+F92+F93,2)</f>
        <v>10.37</v>
      </c>
      <c r="G86" s="3">
        <f t="shared" si="25"/>
        <v>24.11</v>
      </c>
    </row>
    <row r="87">
      <c r="C87" s="7" t="s">
        <v>68</v>
      </c>
      <c r="D87" s="2">
        <f t="shared" ref="D87:G87" si="26">ROUND(D86/(1-D85),2)</f>
        <v>38.77</v>
      </c>
      <c r="E87" s="2">
        <f t="shared" si="26"/>
        <v>33.78</v>
      </c>
      <c r="F87" s="2">
        <f t="shared" si="26"/>
        <v>23.41</v>
      </c>
      <c r="G87" s="2">
        <f t="shared" si="26"/>
        <v>60.92</v>
      </c>
    </row>
    <row r="88">
      <c r="C88" s="7" t="s">
        <v>69</v>
      </c>
      <c r="D88" s="7" t="s">
        <v>55</v>
      </c>
      <c r="E88" s="7" t="s">
        <v>55</v>
      </c>
      <c r="F88" s="7" t="s">
        <v>85</v>
      </c>
      <c r="G88" s="7" t="s">
        <v>55</v>
      </c>
      <c r="H88" s="7"/>
    </row>
    <row r="89">
      <c r="C89" s="6"/>
      <c r="G89" s="3" t="str">
        <f>G46</f>
        <v/>
      </c>
    </row>
    <row r="91">
      <c r="D91" s="3">
        <f t="shared" ref="D91:G91" si="27"> 2.71^(D83*(D77-D79))/ (D83*D76)</f>
        <v>-0.2548115998</v>
      </c>
      <c r="E91" s="3">
        <f t="shared" si="27"/>
        <v>-0.06843980094</v>
      </c>
      <c r="F91" s="3">
        <f t="shared" si="27"/>
        <v>-0.1210136579</v>
      </c>
      <c r="G91" s="3">
        <f t="shared" si="27"/>
        <v>-0.03072464473</v>
      </c>
    </row>
    <row r="92">
      <c r="D92" s="3">
        <f t="shared" ref="D92:G92" si="28">-D77 - 1/D83</f>
        <v>28.73333333</v>
      </c>
      <c r="E92" s="3">
        <f t="shared" si="28"/>
        <v>12.06666667</v>
      </c>
      <c r="F92" s="3">
        <f t="shared" si="28"/>
        <v>20.4</v>
      </c>
      <c r="G92" s="3">
        <f t="shared" si="28"/>
        <v>6.511111111</v>
      </c>
    </row>
    <row r="93">
      <c r="D93" s="3">
        <f t="shared" ref="D93:G93" si="29"> (D83 * D82^2 - 2*D82*(1-D81))/ (2 * (D83*D79+D81))</f>
        <v>-10.88488228</v>
      </c>
      <c r="E93" s="3">
        <f t="shared" si="29"/>
        <v>-9.203664965</v>
      </c>
      <c r="F93" s="3">
        <f t="shared" si="29"/>
        <v>-9.911538982</v>
      </c>
      <c r="G93" s="3">
        <f t="shared" si="29"/>
        <v>17.63352579</v>
      </c>
    </row>
  </sheetData>
  <mergeCells count="5">
    <mergeCell ref="G4:I4"/>
    <mergeCell ref="E5:F5"/>
    <mergeCell ref="G5:H5"/>
    <mergeCell ref="I5:J5"/>
    <mergeCell ref="K5:L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25"/>
    <col customWidth="1" min="4" max="4" width="23.25"/>
    <col customWidth="1" min="6" max="6" width="14.25"/>
  </cols>
  <sheetData>
    <row r="4">
      <c r="D4" s="6"/>
      <c r="E4" s="3" t="s">
        <v>24</v>
      </c>
      <c r="F4" s="3" t="s">
        <v>25</v>
      </c>
      <c r="G4" s="3" t="s">
        <v>26</v>
      </c>
      <c r="H4" s="3" t="s">
        <v>27</v>
      </c>
    </row>
    <row r="5">
      <c r="D5" s="6"/>
      <c r="E5" s="3" t="s">
        <v>1</v>
      </c>
      <c r="F5" s="3" t="s">
        <v>2</v>
      </c>
      <c r="G5" s="3" t="s">
        <v>3</v>
      </c>
      <c r="H5" s="3" t="s">
        <v>4</v>
      </c>
    </row>
    <row r="6">
      <c r="D6" s="7" t="s">
        <v>86</v>
      </c>
      <c r="E6" s="3">
        <v>259.0</v>
      </c>
      <c r="F6" s="3">
        <v>529.0</v>
      </c>
      <c r="G6" s="3">
        <v>395.0</v>
      </c>
      <c r="H6" s="3">
        <v>620.0</v>
      </c>
    </row>
    <row r="7">
      <c r="D7" s="7" t="s">
        <v>87</v>
      </c>
      <c r="E7" s="3">
        <f t="shared" ref="E7:H7" si="1"> E6 * 1.08</f>
        <v>279.72</v>
      </c>
      <c r="F7" s="3">
        <f t="shared" si="1"/>
        <v>571.32</v>
      </c>
      <c r="G7" s="3">
        <f t="shared" si="1"/>
        <v>426.6</v>
      </c>
      <c r="H7" s="3">
        <f t="shared" si="1"/>
        <v>669.6</v>
      </c>
    </row>
    <row r="8">
      <c r="D8" s="7" t="s">
        <v>88</v>
      </c>
      <c r="E8" s="2">
        <v>2100.0</v>
      </c>
      <c r="F8" s="2">
        <v>2100.0</v>
      </c>
      <c r="G8" s="2">
        <v>1000.0</v>
      </c>
      <c r="H8" s="2">
        <v>1800.0</v>
      </c>
    </row>
    <row r="9">
      <c r="D9" s="7" t="s">
        <v>89</v>
      </c>
      <c r="E9" s="3">
        <f t="shared" ref="E9:H9" si="2">E7/E8</f>
        <v>0.1332</v>
      </c>
      <c r="F9" s="3">
        <f t="shared" si="2"/>
        <v>0.2720571429</v>
      </c>
      <c r="G9" s="3">
        <f t="shared" si="2"/>
        <v>0.4266</v>
      </c>
      <c r="H9" s="3">
        <f t="shared" si="2"/>
        <v>0.372</v>
      </c>
    </row>
    <row r="10">
      <c r="D10" s="7" t="s">
        <v>89</v>
      </c>
      <c r="F10" s="3">
        <f t="shared" ref="F10:G10" si="3">F9</f>
        <v>0.2720571429</v>
      </c>
      <c r="G10" s="3">
        <f t="shared" si="3"/>
        <v>0.4266</v>
      </c>
    </row>
    <row r="11">
      <c r="D11" s="7" t="s">
        <v>90</v>
      </c>
      <c r="E11" s="3">
        <f>SUM(E10:H10)</f>
        <v>0.6986571429</v>
      </c>
    </row>
    <row r="12">
      <c r="D12" s="7" t="s">
        <v>91</v>
      </c>
      <c r="E12" s="7">
        <v>3.0</v>
      </c>
      <c r="G12" s="2" t="s">
        <v>92</v>
      </c>
      <c r="H12" s="2" t="s">
        <v>93</v>
      </c>
    </row>
    <row r="13">
      <c r="D13" s="7" t="s">
        <v>94</v>
      </c>
      <c r="E13" s="7">
        <v>2.0</v>
      </c>
      <c r="F13" s="2" t="s">
        <v>95</v>
      </c>
      <c r="G13" s="2">
        <v>6.0</v>
      </c>
      <c r="H13" s="2">
        <v>6.0</v>
      </c>
    </row>
    <row r="14">
      <c r="D14" s="7"/>
      <c r="F14" s="2" t="s">
        <v>96</v>
      </c>
      <c r="G14" s="2">
        <v>3.0</v>
      </c>
      <c r="H14" s="2">
        <v>3.0</v>
      </c>
    </row>
    <row r="15">
      <c r="D15" s="7" t="s">
        <v>97</v>
      </c>
      <c r="E15" s="3">
        <f>(G13-E12) + (H13-E12) + G14 +H14</f>
        <v>12</v>
      </c>
    </row>
    <row r="16">
      <c r="D16" s="6"/>
    </row>
    <row r="17">
      <c r="D17" s="7" t="s">
        <v>98</v>
      </c>
      <c r="E17" s="3">
        <f>(1.5*$E$15+5)/ (1- $E$11)</f>
        <v>76.32502133</v>
      </c>
    </row>
    <row r="18">
      <c r="D18" s="7" t="s">
        <v>99</v>
      </c>
      <c r="E18" s="2">
        <f> ROUND(E17,0) +1</f>
        <v>77</v>
      </c>
    </row>
    <row r="19">
      <c r="D19" s="12" t="s">
        <v>100</v>
      </c>
      <c r="E19" s="3">
        <f>E18-E15</f>
        <v>65</v>
      </c>
    </row>
    <row r="20">
      <c r="D20" s="7" t="s">
        <v>101</v>
      </c>
      <c r="E20" s="2">
        <v>3.0</v>
      </c>
    </row>
    <row r="22">
      <c r="E22" s="2" t="s">
        <v>92</v>
      </c>
      <c r="F22" s="2" t="s">
        <v>93</v>
      </c>
    </row>
    <row r="23">
      <c r="D23" s="2" t="s">
        <v>102</v>
      </c>
      <c r="E23" s="3">
        <f> ROUND(E19 * F10/E11,0)</f>
        <v>25</v>
      </c>
      <c r="F23" s="3">
        <f>ROUND( E19 * G10 / E11,0)</f>
        <v>40</v>
      </c>
    </row>
    <row r="24">
      <c r="D24" s="7" t="s">
        <v>103</v>
      </c>
      <c r="E24" s="3">
        <f> E23+G14</f>
        <v>28</v>
      </c>
      <c r="F24" s="3">
        <f>F23+H14</f>
        <v>43</v>
      </c>
    </row>
    <row r="25">
      <c r="D25" s="7"/>
    </row>
    <row r="26">
      <c r="D26" s="2" t="s">
        <v>104</v>
      </c>
      <c r="E26" s="2" t="s">
        <v>105</v>
      </c>
      <c r="F26" s="3">
        <f>E23</f>
        <v>25</v>
      </c>
    </row>
    <row r="27">
      <c r="E27" s="2" t="s">
        <v>106</v>
      </c>
      <c r="F27" s="3">
        <f>G13</f>
        <v>6</v>
      </c>
    </row>
    <row r="28">
      <c r="E28" s="2" t="s">
        <v>107</v>
      </c>
      <c r="F28" s="3">
        <f>F23</f>
        <v>40</v>
      </c>
    </row>
    <row r="29">
      <c r="E29" s="2" t="s">
        <v>108</v>
      </c>
      <c r="F29" s="3">
        <f>H13</f>
        <v>6</v>
      </c>
    </row>
    <row r="30">
      <c r="E30" s="8" t="s">
        <v>109</v>
      </c>
      <c r="F30" s="13">
        <f>SUM(F26:F29)</f>
        <v>77</v>
      </c>
    </row>
    <row r="36">
      <c r="E36" s="2" t="s">
        <v>110</v>
      </c>
      <c r="F36" s="2" t="s">
        <v>111</v>
      </c>
    </row>
    <row r="37">
      <c r="D37" s="2" t="s">
        <v>112</v>
      </c>
      <c r="E37" s="3">
        <f>F30</f>
        <v>77</v>
      </c>
      <c r="F37" s="3">
        <f>F30</f>
        <v>77</v>
      </c>
    </row>
    <row r="38">
      <c r="D38" s="2" t="s">
        <v>113</v>
      </c>
      <c r="E38" s="3">
        <f t="shared" ref="E38:F38" si="4">E23</f>
        <v>25</v>
      </c>
      <c r="F38" s="3">
        <f t="shared" si="4"/>
        <v>40</v>
      </c>
    </row>
    <row r="39">
      <c r="D39" s="2" t="s">
        <v>114</v>
      </c>
      <c r="E39" s="3">
        <f>E8</f>
        <v>2100</v>
      </c>
      <c r="F39" s="2">
        <f>G8</f>
        <v>1000</v>
      </c>
    </row>
    <row r="40">
      <c r="D40" s="2" t="s">
        <v>115</v>
      </c>
      <c r="E40" s="3">
        <f>F7</f>
        <v>571.32</v>
      </c>
      <c r="F40" s="3">
        <f>H7</f>
        <v>669.6</v>
      </c>
    </row>
    <row r="41">
      <c r="D41" s="2" t="s">
        <v>64</v>
      </c>
      <c r="E41" s="3">
        <f t="shared" ref="E41:F41" si="5">E38/E37</f>
        <v>0.3246753247</v>
      </c>
      <c r="F41" s="3">
        <f t="shared" si="5"/>
        <v>0.5194805195</v>
      </c>
    </row>
    <row r="42">
      <c r="D42" s="2" t="s">
        <v>116</v>
      </c>
      <c r="E42" s="3">
        <f t="shared" ref="E42:F42" si="6"> E40/E39</f>
        <v>0.2720571429</v>
      </c>
      <c r="F42" s="3">
        <f t="shared" si="6"/>
        <v>0.6696</v>
      </c>
    </row>
    <row r="43">
      <c r="D43" s="2" t="s">
        <v>117</v>
      </c>
      <c r="E43" s="3">
        <f t="shared" ref="E43:F43" si="7"> E37 * (1 - E41)^2 / (2* (1-E41*E42))</f>
        <v>19.25965119</v>
      </c>
      <c r="F43" s="3">
        <f t="shared" si="7"/>
        <v>13.63111359</v>
      </c>
    </row>
    <row r="44">
      <c r="D44" s="2" t="s">
        <v>69</v>
      </c>
      <c r="E44" s="2" t="s">
        <v>112</v>
      </c>
      <c r="F44" s="2" t="s">
        <v>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</cols>
  <sheetData>
    <row r="4">
      <c r="D4" s="1"/>
      <c r="E4" s="1"/>
      <c r="F4" s="1"/>
      <c r="G4" s="1"/>
      <c r="J4" s="1"/>
      <c r="K4" s="1"/>
      <c r="L4" s="1"/>
    </row>
    <row r="5">
      <c r="B5" s="1" t="s">
        <v>0</v>
      </c>
      <c r="E5" s="2" t="s">
        <v>1</v>
      </c>
      <c r="G5" s="1" t="s">
        <v>2</v>
      </c>
      <c r="I5" s="1" t="s">
        <v>3</v>
      </c>
      <c r="K5" s="1" t="s">
        <v>4</v>
      </c>
    </row>
    <row r="6">
      <c r="B6" s="2" t="s">
        <v>5</v>
      </c>
      <c r="D6" s="2" t="s">
        <v>6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</row>
    <row r="7">
      <c r="C7" s="2" t="s">
        <v>9</v>
      </c>
      <c r="D7" s="2">
        <v>3.0</v>
      </c>
      <c r="E7" s="2">
        <v>280.0</v>
      </c>
      <c r="F7" s="3">
        <f t="shared" ref="F7:F19" si="1"> E7 * $D7</f>
        <v>840</v>
      </c>
      <c r="G7" s="2">
        <v>504.0</v>
      </c>
      <c r="H7" s="3">
        <f t="shared" ref="H7:H19" si="2"> G7 * $D7</f>
        <v>1512</v>
      </c>
      <c r="I7" s="2">
        <v>190.0</v>
      </c>
      <c r="J7" s="3">
        <f t="shared" ref="J7:J19" si="3"> I7 * $D7</f>
        <v>570</v>
      </c>
      <c r="K7" s="2">
        <v>41.0</v>
      </c>
      <c r="L7" s="3">
        <f t="shared" ref="L7:L19" si="4"> K7 * $D7</f>
        <v>123</v>
      </c>
    </row>
    <row r="8">
      <c r="B8" s="2" t="s">
        <v>10</v>
      </c>
      <c r="C8" s="2" t="s">
        <v>11</v>
      </c>
      <c r="D8" s="2">
        <v>1.5</v>
      </c>
      <c r="E8" s="2">
        <v>1123.0</v>
      </c>
      <c r="F8" s="3">
        <f t="shared" si="1"/>
        <v>1684.5</v>
      </c>
      <c r="G8" s="2">
        <v>1682.0</v>
      </c>
      <c r="H8" s="3">
        <f t="shared" si="2"/>
        <v>2523</v>
      </c>
      <c r="I8" s="2">
        <v>1374.0</v>
      </c>
      <c r="J8" s="3">
        <f t="shared" si="3"/>
        <v>2061</v>
      </c>
      <c r="K8" s="2">
        <v>679.0</v>
      </c>
      <c r="L8" s="3">
        <f t="shared" si="4"/>
        <v>1018.5</v>
      </c>
    </row>
    <row r="9">
      <c r="C9" s="2" t="s">
        <v>12</v>
      </c>
      <c r="D9" s="2">
        <v>1.5</v>
      </c>
      <c r="E9" s="2">
        <v>418.0</v>
      </c>
      <c r="F9" s="3">
        <f t="shared" si="1"/>
        <v>627</v>
      </c>
      <c r="G9" s="2">
        <v>656.0</v>
      </c>
      <c r="H9" s="3">
        <f t="shared" si="2"/>
        <v>984</v>
      </c>
      <c r="I9" s="2">
        <v>333.0</v>
      </c>
      <c r="J9" s="3">
        <f t="shared" si="3"/>
        <v>499.5</v>
      </c>
      <c r="K9" s="2">
        <v>399.0</v>
      </c>
      <c r="L9" s="3">
        <f t="shared" si="4"/>
        <v>598.5</v>
      </c>
    </row>
    <row r="10">
      <c r="C10" s="2" t="s">
        <v>9</v>
      </c>
      <c r="D10" s="2">
        <v>3.0</v>
      </c>
      <c r="E10" s="2">
        <v>49.0</v>
      </c>
      <c r="F10" s="3">
        <f t="shared" si="1"/>
        <v>147</v>
      </c>
      <c r="G10" s="2">
        <v>273.0</v>
      </c>
      <c r="H10" s="3">
        <f t="shared" si="2"/>
        <v>819</v>
      </c>
      <c r="I10" s="2">
        <v>142.0</v>
      </c>
      <c r="J10" s="3">
        <f t="shared" si="3"/>
        <v>426</v>
      </c>
      <c r="K10" s="2">
        <v>83.0</v>
      </c>
      <c r="L10" s="3">
        <f t="shared" si="4"/>
        <v>249</v>
      </c>
    </row>
    <row r="11">
      <c r="B11" s="2" t="s">
        <v>13</v>
      </c>
      <c r="C11" s="2" t="s">
        <v>11</v>
      </c>
      <c r="D11" s="2">
        <v>1.5</v>
      </c>
      <c r="E11" s="2">
        <v>5.0</v>
      </c>
      <c r="F11" s="3">
        <f t="shared" si="1"/>
        <v>7.5</v>
      </c>
      <c r="G11" s="2">
        <v>353.0</v>
      </c>
      <c r="H11" s="3">
        <f t="shared" si="2"/>
        <v>529.5</v>
      </c>
      <c r="I11" s="2">
        <v>180.0</v>
      </c>
      <c r="J11" s="3">
        <f t="shared" si="3"/>
        <v>270</v>
      </c>
      <c r="K11" s="2">
        <v>151.0</v>
      </c>
      <c r="L11" s="3">
        <f t="shared" si="4"/>
        <v>226.5</v>
      </c>
    </row>
    <row r="12">
      <c r="C12" s="2" t="s">
        <v>12</v>
      </c>
      <c r="D12" s="2">
        <v>1.5</v>
      </c>
      <c r="E12" s="2">
        <v>192.0</v>
      </c>
      <c r="F12" s="3">
        <f t="shared" si="1"/>
        <v>288</v>
      </c>
      <c r="G12" s="2">
        <v>426.0</v>
      </c>
      <c r="H12" s="3">
        <f t="shared" si="2"/>
        <v>639</v>
      </c>
      <c r="I12" s="2">
        <v>180.0</v>
      </c>
      <c r="J12" s="3">
        <f t="shared" si="3"/>
        <v>270</v>
      </c>
      <c r="K12" s="2">
        <v>126.0</v>
      </c>
      <c r="L12" s="3">
        <f t="shared" si="4"/>
        <v>189</v>
      </c>
    </row>
    <row r="13">
      <c r="C13" s="2" t="s">
        <v>14</v>
      </c>
      <c r="D13" s="2">
        <v>1.5</v>
      </c>
      <c r="E13" s="2">
        <v>85.0</v>
      </c>
      <c r="F13" s="3">
        <f t="shared" si="1"/>
        <v>127.5</v>
      </c>
      <c r="G13" s="2">
        <v>292.0</v>
      </c>
      <c r="H13" s="3">
        <f t="shared" si="2"/>
        <v>438</v>
      </c>
      <c r="I13" s="2">
        <v>62.0</v>
      </c>
      <c r="J13" s="3">
        <f t="shared" si="3"/>
        <v>93</v>
      </c>
      <c r="K13" s="2">
        <v>88.0</v>
      </c>
      <c r="L13" s="3">
        <f t="shared" si="4"/>
        <v>132</v>
      </c>
    </row>
    <row r="14">
      <c r="C14" s="2" t="s">
        <v>15</v>
      </c>
      <c r="D14" s="2">
        <v>1.0</v>
      </c>
      <c r="E14" s="2">
        <v>206.0</v>
      </c>
      <c r="F14" s="3">
        <f t="shared" si="1"/>
        <v>206</v>
      </c>
      <c r="G14" s="2">
        <v>643.0</v>
      </c>
      <c r="H14" s="3">
        <f t="shared" si="2"/>
        <v>643</v>
      </c>
      <c r="I14" s="2">
        <v>279.0</v>
      </c>
      <c r="J14" s="3">
        <f t="shared" si="3"/>
        <v>279</v>
      </c>
      <c r="K14" s="2">
        <v>264.0</v>
      </c>
      <c r="L14" s="3">
        <f t="shared" si="4"/>
        <v>264</v>
      </c>
    </row>
    <row r="15">
      <c r="C15" s="2" t="s">
        <v>16</v>
      </c>
      <c r="D15" s="2">
        <v>1.5</v>
      </c>
      <c r="E15" s="2">
        <v>856.0</v>
      </c>
      <c r="F15" s="3">
        <f t="shared" si="1"/>
        <v>1284</v>
      </c>
      <c r="G15" s="2">
        <v>1943.0</v>
      </c>
      <c r="H15" s="3">
        <f t="shared" si="2"/>
        <v>2914.5</v>
      </c>
      <c r="I15" s="2">
        <v>2283.0</v>
      </c>
      <c r="J15" s="3">
        <f t="shared" si="3"/>
        <v>3424.5</v>
      </c>
      <c r="K15" s="2">
        <v>4612.0</v>
      </c>
      <c r="L15" s="3">
        <f t="shared" si="4"/>
        <v>6918</v>
      </c>
    </row>
    <row r="16">
      <c r="C16" s="2" t="s">
        <v>17</v>
      </c>
      <c r="D16" s="2">
        <v>0.75</v>
      </c>
      <c r="E16" s="2">
        <v>881.0</v>
      </c>
      <c r="F16" s="3">
        <f t="shared" si="1"/>
        <v>660.75</v>
      </c>
      <c r="G16" s="2">
        <v>793.0</v>
      </c>
      <c r="H16" s="3">
        <f t="shared" si="2"/>
        <v>594.75</v>
      </c>
      <c r="I16" s="2">
        <v>1709.0</v>
      </c>
      <c r="J16" s="3">
        <f t="shared" si="3"/>
        <v>1281.75</v>
      </c>
      <c r="K16" s="2">
        <v>3748.0</v>
      </c>
      <c r="L16" s="3">
        <f t="shared" si="4"/>
        <v>2811</v>
      </c>
    </row>
    <row r="17">
      <c r="C17" s="2" t="s">
        <v>18</v>
      </c>
      <c r="D17" s="2">
        <v>1.0</v>
      </c>
      <c r="E17" s="2">
        <v>295.0</v>
      </c>
      <c r="F17" s="3">
        <f t="shared" si="1"/>
        <v>295</v>
      </c>
      <c r="G17" s="2">
        <v>399.0</v>
      </c>
      <c r="H17" s="3">
        <f t="shared" si="2"/>
        <v>399</v>
      </c>
      <c r="I17" s="2">
        <v>218.0</v>
      </c>
      <c r="J17" s="3">
        <f t="shared" si="3"/>
        <v>218</v>
      </c>
      <c r="K17" s="2">
        <v>2257.0</v>
      </c>
      <c r="L17" s="3">
        <f t="shared" si="4"/>
        <v>2257</v>
      </c>
    </row>
    <row r="18">
      <c r="C18" s="2" t="s">
        <v>19</v>
      </c>
      <c r="D18" s="2">
        <v>2.0</v>
      </c>
      <c r="E18" s="2">
        <v>22.0</v>
      </c>
      <c r="F18" s="3">
        <f t="shared" si="1"/>
        <v>44</v>
      </c>
      <c r="G18" s="2">
        <v>350.0</v>
      </c>
      <c r="H18" s="3">
        <f t="shared" si="2"/>
        <v>700</v>
      </c>
      <c r="I18" s="2">
        <v>47.0</v>
      </c>
      <c r="J18" s="3">
        <f t="shared" si="3"/>
        <v>94</v>
      </c>
      <c r="K18" s="2">
        <v>47.0</v>
      </c>
      <c r="L18" s="3">
        <f t="shared" si="4"/>
        <v>94</v>
      </c>
    </row>
    <row r="19">
      <c r="C19" s="2" t="s">
        <v>20</v>
      </c>
      <c r="D19" s="2">
        <v>1.0</v>
      </c>
      <c r="E19" s="2">
        <v>1.0</v>
      </c>
      <c r="F19" s="3">
        <f t="shared" si="1"/>
        <v>1</v>
      </c>
      <c r="G19" s="2">
        <v>0.0</v>
      </c>
      <c r="H19" s="3">
        <f t="shared" si="2"/>
        <v>0</v>
      </c>
      <c r="I19" s="2">
        <v>0.0</v>
      </c>
      <c r="J19" s="3">
        <f t="shared" si="3"/>
        <v>0</v>
      </c>
      <c r="K19" s="2">
        <v>0.0</v>
      </c>
      <c r="L19" s="3">
        <f t="shared" si="4"/>
        <v>0</v>
      </c>
    </row>
    <row r="21">
      <c r="C21" s="2" t="s">
        <v>46</v>
      </c>
      <c r="E21" s="3">
        <f>SUM(E7:E19)</f>
        <v>4413</v>
      </c>
      <c r="G21" s="3">
        <f>SUM(G7:G19)</f>
        <v>8314</v>
      </c>
      <c r="I21" s="3">
        <f>SUM(I7:I19)</f>
        <v>6997</v>
      </c>
      <c r="K21" s="3">
        <f>SUM(K7:K19)</f>
        <v>12495</v>
      </c>
    </row>
    <row r="22">
      <c r="C22" s="2" t="s">
        <v>21</v>
      </c>
      <c r="F22" s="3">
        <f>SUM(F7:F19)</f>
        <v>6212.25</v>
      </c>
      <c r="H22" s="3">
        <f>SUM(H7:H19)</f>
        <v>12695.75</v>
      </c>
      <c r="J22" s="3">
        <f>SUM(J7:J19)</f>
        <v>9486.75</v>
      </c>
      <c r="L22" s="3">
        <f>SUM(L7:L19)</f>
        <v>14880.5</v>
      </c>
    </row>
    <row r="23">
      <c r="C23" s="2" t="s">
        <v>22</v>
      </c>
      <c r="F23" s="3">
        <f>ROUND(F22/24,0)</f>
        <v>259</v>
      </c>
      <c r="H23" s="3">
        <f>ROUND(H22/24,0)</f>
        <v>529</v>
      </c>
      <c r="J23" s="3">
        <f>ROUND(J22/24,0)</f>
        <v>395</v>
      </c>
      <c r="L23" s="3">
        <f>ROUND(L22/24,0)</f>
        <v>620</v>
      </c>
    </row>
    <row r="24">
      <c r="C24" s="2" t="s">
        <v>47</v>
      </c>
      <c r="E24" s="3">
        <f>E21/24</f>
        <v>183.875</v>
      </c>
      <c r="G24" s="3">
        <f>G21/24</f>
        <v>346.4166667</v>
      </c>
      <c r="I24" s="3">
        <f>I21/24</f>
        <v>291.5416667</v>
      </c>
      <c r="K24" s="3">
        <f>K21/24</f>
        <v>520.625</v>
      </c>
    </row>
    <row r="27">
      <c r="C27" s="2" t="s">
        <v>23</v>
      </c>
      <c r="D27" s="2">
        <v>21.78</v>
      </c>
    </row>
    <row r="29">
      <c r="C29" s="4"/>
      <c r="D29" s="4" t="s">
        <v>24</v>
      </c>
      <c r="E29" s="4" t="s">
        <v>25</v>
      </c>
      <c r="F29" s="4" t="s">
        <v>26</v>
      </c>
      <c r="G29" s="4" t="s">
        <v>27</v>
      </c>
      <c r="J29" s="4" t="s">
        <v>24</v>
      </c>
      <c r="K29" s="4" t="s">
        <v>25</v>
      </c>
      <c r="L29" s="4" t="s">
        <v>26</v>
      </c>
      <c r="M29" s="4" t="s">
        <v>27</v>
      </c>
    </row>
    <row r="30">
      <c r="D30" s="3" t="str">
        <f>E5</f>
        <v>N709-1</v>
      </c>
      <c r="E30" s="3" t="str">
        <f>G5</f>
        <v>N709-3</v>
      </c>
      <c r="F30" s="3" t="str">
        <f>I5</f>
        <v>R760-1</v>
      </c>
      <c r="G30" s="3" t="str">
        <f>K5</f>
        <v>R760-3</v>
      </c>
      <c r="J30" s="5" t="str">
        <f t="shared" ref="J30:M30" si="5">D30</f>
        <v>N709-1</v>
      </c>
      <c r="K30" s="5" t="str">
        <f t="shared" si="5"/>
        <v>N709-3</v>
      </c>
      <c r="L30" s="5" t="str">
        <f t="shared" si="5"/>
        <v>R760-1</v>
      </c>
      <c r="M30" s="5" t="str">
        <f t="shared" si="5"/>
        <v>R760-3</v>
      </c>
    </row>
    <row r="31">
      <c r="C31" s="2" t="s">
        <v>71</v>
      </c>
      <c r="D31" s="3">
        <f>E24</f>
        <v>183.875</v>
      </c>
      <c r="E31" s="3">
        <f>G24</f>
        <v>346.4166667</v>
      </c>
      <c r="F31" s="3">
        <f>I24</f>
        <v>291.5416667</v>
      </c>
      <c r="G31" s="3">
        <f>K24</f>
        <v>520.625</v>
      </c>
      <c r="J31" s="5"/>
      <c r="K31" s="5"/>
      <c r="L31" s="5"/>
      <c r="M31" s="5"/>
    </row>
    <row r="32">
      <c r="C32" s="2" t="s">
        <v>118</v>
      </c>
      <c r="D32" s="3">
        <f t="shared" ref="D32:G32" si="6">D31 * 1.08</f>
        <v>198.585</v>
      </c>
      <c r="E32" s="3">
        <f t="shared" si="6"/>
        <v>374.13</v>
      </c>
      <c r="F32" s="3">
        <f t="shared" si="6"/>
        <v>314.865</v>
      </c>
      <c r="G32" s="3">
        <f t="shared" si="6"/>
        <v>562.275</v>
      </c>
      <c r="J32" s="2"/>
    </row>
    <row r="33">
      <c r="C33" s="2" t="s">
        <v>28</v>
      </c>
      <c r="D33" s="3">
        <f>F23</f>
        <v>259</v>
      </c>
      <c r="E33" s="3">
        <f>H23</f>
        <v>529</v>
      </c>
      <c r="F33" s="3">
        <f>J23</f>
        <v>395</v>
      </c>
      <c r="G33" s="3">
        <f>L23</f>
        <v>620</v>
      </c>
      <c r="J33" s="2"/>
    </row>
    <row r="34">
      <c r="C34" s="2" t="s">
        <v>29</v>
      </c>
      <c r="D34" s="2">
        <v>5.87</v>
      </c>
      <c r="E34" s="2">
        <v>9.45</v>
      </c>
      <c r="F34" s="2">
        <v>5.07</v>
      </c>
      <c r="G34" s="2">
        <v>11.2</v>
      </c>
    </row>
    <row r="35">
      <c r="C35" s="2" t="s">
        <v>30</v>
      </c>
      <c r="D35" s="2">
        <v>18.36</v>
      </c>
      <c r="E35" s="2">
        <v>18.36</v>
      </c>
      <c r="F35" s="2">
        <v>18.36</v>
      </c>
      <c r="G35" s="2">
        <v>18.36</v>
      </c>
    </row>
    <row r="36">
      <c r="C36" s="2" t="s">
        <v>31</v>
      </c>
      <c r="D36" s="2">
        <v>234.0</v>
      </c>
      <c r="E36" s="2">
        <v>77.74</v>
      </c>
      <c r="F36" s="2">
        <v>157.0</v>
      </c>
      <c r="G36" s="2">
        <v>77.74</v>
      </c>
    </row>
    <row r="37" hidden="1">
      <c r="C37" s="2" t="s">
        <v>32</v>
      </c>
      <c r="D37" s="2">
        <v>69.57</v>
      </c>
      <c r="E37" s="2">
        <v>69.57</v>
      </c>
      <c r="F37" s="2">
        <v>69.57</v>
      </c>
      <c r="G37" s="2">
        <v>69.57</v>
      </c>
    </row>
    <row r="38" hidden="1">
      <c r="C38" s="2" t="s">
        <v>33</v>
      </c>
      <c r="D38" s="2">
        <v>90.0</v>
      </c>
      <c r="E38" s="2">
        <v>90.0</v>
      </c>
      <c r="F38" s="2">
        <v>90.0</v>
      </c>
      <c r="G38" s="2">
        <v>90.0</v>
      </c>
    </row>
    <row r="39">
      <c r="C39" s="2" t="s">
        <v>34</v>
      </c>
      <c r="D39" s="2">
        <v>45.0</v>
      </c>
      <c r="E39" s="2">
        <v>60.0</v>
      </c>
      <c r="F39" s="2">
        <v>50.0</v>
      </c>
      <c r="G39" s="2">
        <v>35.77</v>
      </c>
    </row>
    <row r="40">
      <c r="C40" s="2" t="s">
        <v>48</v>
      </c>
      <c r="D40" s="2">
        <v>0.7</v>
      </c>
      <c r="E40" s="2">
        <v>0.7</v>
      </c>
      <c r="F40" s="2">
        <v>0.7</v>
      </c>
      <c r="G40" s="2">
        <v>0.7</v>
      </c>
    </row>
    <row r="41">
      <c r="C41" s="2" t="s">
        <v>73</v>
      </c>
      <c r="D41" s="2">
        <v>0.16</v>
      </c>
      <c r="E41" s="2">
        <v>0.16</v>
      </c>
      <c r="F41" s="2">
        <v>0.16</v>
      </c>
      <c r="G41" s="2">
        <v>0.16</v>
      </c>
    </row>
    <row r="42">
      <c r="C42" s="2" t="s">
        <v>74</v>
      </c>
      <c r="D42" s="2">
        <v>21.78</v>
      </c>
      <c r="E42" s="2">
        <v>21.78</v>
      </c>
      <c r="F42" s="2">
        <v>21.78</v>
      </c>
      <c r="G42" s="2">
        <v>21.78</v>
      </c>
    </row>
    <row r="43">
      <c r="C43" s="2" t="s">
        <v>75</v>
      </c>
      <c r="D43" s="2">
        <f t="shared" ref="D43:G43" si="7">3.28*D42</f>
        <v>71.4384</v>
      </c>
      <c r="E43" s="2">
        <f t="shared" si="7"/>
        <v>71.4384</v>
      </c>
      <c r="F43" s="2">
        <f t="shared" si="7"/>
        <v>71.4384</v>
      </c>
      <c r="G43" s="2">
        <f t="shared" si="7"/>
        <v>71.4384</v>
      </c>
    </row>
    <row r="44" hidden="1">
      <c r="C44" s="2"/>
      <c r="D44" s="2"/>
      <c r="E44" s="2"/>
      <c r="F44" s="2"/>
      <c r="G44" s="2"/>
    </row>
    <row r="45" hidden="1">
      <c r="C45" s="2" t="s">
        <v>38</v>
      </c>
      <c r="D45" s="3">
        <f t="shared" ref="D45:G45" si="8"> (D35-D34)/D36</f>
        <v>0.05337606838</v>
      </c>
      <c r="E45" s="3">
        <f t="shared" si="8"/>
        <v>0.1146128119</v>
      </c>
      <c r="F45" s="3">
        <f t="shared" si="8"/>
        <v>0.08464968153</v>
      </c>
      <c r="G45" s="3">
        <f t="shared" si="8"/>
        <v>0.09210187806</v>
      </c>
    </row>
    <row r="46" hidden="1">
      <c r="C46" s="2" t="s">
        <v>39</v>
      </c>
    </row>
    <row r="47" hidden="1">
      <c r="C47" s="2" t="s">
        <v>40</v>
      </c>
    </row>
    <row r="48" hidden="1">
      <c r="C48" s="2" t="s">
        <v>41</v>
      </c>
    </row>
    <row r="49" hidden="1">
      <c r="C49" s="2" t="s">
        <v>42</v>
      </c>
    </row>
    <row r="50" hidden="1">
      <c r="C50" s="2" t="s">
        <v>43</v>
      </c>
    </row>
    <row r="51" hidden="1"/>
    <row r="52" hidden="1">
      <c r="C52" s="8" t="s">
        <v>76</v>
      </c>
      <c r="D52" s="3">
        <f t="shared" ref="D52:G52" si="9"> 150 * D42 * ( 1 + D35/D42) * (1-3*D42/(4*D36)) * ( 1 - D40/3) / (1+1.8*D41)</f>
        <v>3333.742788</v>
      </c>
      <c r="E52" s="3">
        <f t="shared" si="9"/>
        <v>2830.860997</v>
      </c>
      <c r="F52" s="3">
        <f t="shared" si="9"/>
        <v>3211.040207</v>
      </c>
      <c r="G52" s="3">
        <f t="shared" si="9"/>
        <v>2830.860997</v>
      </c>
    </row>
    <row r="53">
      <c r="C53" s="8" t="s">
        <v>119</v>
      </c>
      <c r="D53" s="3">
        <f t="shared" ref="D53:G53" si="10"> 105 * D43 * ((1+D35/D42) * ( 1 - 3/4 * D42/D36) * (1-D40/3) ) / (1+ 1.8*D41) </f>
        <v>7654.273442</v>
      </c>
      <c r="E53" s="3">
        <f t="shared" si="10"/>
        <v>6499.65685</v>
      </c>
      <c r="F53" s="3">
        <f t="shared" si="10"/>
        <v>7372.548315</v>
      </c>
      <c r="G53" s="3">
        <f t="shared" si="10"/>
        <v>6499.65685</v>
      </c>
    </row>
    <row r="54" hidden="1">
      <c r="C54" s="8" t="s">
        <v>78</v>
      </c>
      <c r="D54" s="3">
        <f t="shared" ref="D54:G54" si="11">169 * ( 1 + (D35/D42) ) * (1 + (D42/D36))</f>
        <v>340.4528099</v>
      </c>
      <c r="E54" s="3">
        <f t="shared" si="11"/>
        <v>398.7236795</v>
      </c>
      <c r="F54" s="3">
        <f t="shared" si="11"/>
        <v>354.6708354</v>
      </c>
      <c r="G54" s="3">
        <f t="shared" si="11"/>
        <v>398.7236795</v>
      </c>
    </row>
    <row r="55">
      <c r="C55" s="8" t="s">
        <v>79</v>
      </c>
      <c r="D55" s="3">
        <f t="shared" ref="D55:G55" si="12">D32</f>
        <v>198.585</v>
      </c>
      <c r="E55" s="3">
        <f t="shared" si="12"/>
        <v>374.13</v>
      </c>
      <c r="F55" s="3">
        <f t="shared" si="12"/>
        <v>314.865</v>
      </c>
      <c r="G55" s="3">
        <f t="shared" si="12"/>
        <v>562.275</v>
      </c>
    </row>
    <row r="57">
      <c r="C57" s="8" t="s">
        <v>80</v>
      </c>
    </row>
    <row r="58">
      <c r="C58" s="14" t="s">
        <v>52</v>
      </c>
      <c r="D58" s="14">
        <v>13700.0</v>
      </c>
      <c r="E58" s="14">
        <v>13700.0</v>
      </c>
      <c r="F58" s="14">
        <v>13700.0</v>
      </c>
      <c r="G58" s="14">
        <v>13700.0</v>
      </c>
    </row>
    <row r="59">
      <c r="C59" s="14" t="s">
        <v>53</v>
      </c>
      <c r="D59" s="15">
        <f t="shared" ref="D59:G59" si="13">D55/D53</f>
        <v>0.02594433051</v>
      </c>
      <c r="E59" s="15">
        <f t="shared" si="13"/>
        <v>0.05756150035</v>
      </c>
      <c r="F59" s="15">
        <f t="shared" si="13"/>
        <v>0.04270775674</v>
      </c>
      <c r="G59" s="15">
        <f t="shared" si="13"/>
        <v>0.08650841314</v>
      </c>
    </row>
    <row r="60">
      <c r="C60" s="14" t="s">
        <v>81</v>
      </c>
      <c r="D60" s="15">
        <f t="shared" ref="D60:G60" si="14">D53</f>
        <v>7654.273442</v>
      </c>
      <c r="E60" s="15">
        <f t="shared" si="14"/>
        <v>6499.65685</v>
      </c>
      <c r="F60" s="15">
        <f t="shared" si="14"/>
        <v>7372.548315</v>
      </c>
      <c r="G60" s="15">
        <f t="shared" si="14"/>
        <v>6499.65685</v>
      </c>
    </row>
    <row r="61">
      <c r="C61" s="14" t="s">
        <v>82</v>
      </c>
      <c r="D61" s="15">
        <f t="shared" ref="D61:G61" si="15">D58 * D59/ (1.05*D60*(1.05-D59))</f>
        <v>0.04318631986</v>
      </c>
      <c r="E61" s="15">
        <f t="shared" si="15"/>
        <v>0.1164311914</v>
      </c>
      <c r="F61" s="15">
        <f t="shared" si="15"/>
        <v>0.07503517702</v>
      </c>
      <c r="G61" s="15">
        <f t="shared" si="15"/>
        <v>0.180240033</v>
      </c>
    </row>
    <row r="62">
      <c r="C62" s="14" t="s">
        <v>69</v>
      </c>
      <c r="D62" s="14" t="s">
        <v>83</v>
      </c>
      <c r="E62" s="14" t="s">
        <v>83</v>
      </c>
      <c r="F62" s="14" t="s">
        <v>83</v>
      </c>
      <c r="G62" s="14" t="s">
        <v>83</v>
      </c>
    </row>
    <row r="73">
      <c r="D73" s="3" t="str">
        <f t="shared" ref="D73:G73" si="16">D29</f>
        <v>up</v>
      </c>
      <c r="E73" s="3" t="str">
        <f t="shared" si="16"/>
        <v> down</v>
      </c>
      <c r="F73" s="3" t="str">
        <f t="shared" si="16"/>
        <v>left</v>
      </c>
      <c r="G73" s="3" t="str">
        <f t="shared" si="16"/>
        <v>right</v>
      </c>
    </row>
    <row r="74">
      <c r="C74" s="6"/>
      <c r="D74" s="3" t="str">
        <f t="shared" ref="D74:G74" si="17">D30</f>
        <v>N709-1</v>
      </c>
      <c r="E74" s="3" t="str">
        <f t="shared" si="17"/>
        <v>N709-3</v>
      </c>
      <c r="F74" s="3" t="str">
        <f t="shared" si="17"/>
        <v>R760-1</v>
      </c>
      <c r="G74" s="3" t="str">
        <f t="shared" si="17"/>
        <v>R760-3</v>
      </c>
    </row>
    <row r="75">
      <c r="C75" s="7" t="s">
        <v>56</v>
      </c>
      <c r="D75" s="3">
        <f t="shared" ref="D75:G75" si="18">D32</f>
        <v>198.585</v>
      </c>
      <c r="E75" s="3">
        <f t="shared" si="18"/>
        <v>374.13</v>
      </c>
      <c r="F75" s="3">
        <f t="shared" si="18"/>
        <v>314.865</v>
      </c>
      <c r="G75" s="3">
        <f t="shared" si="18"/>
        <v>562.275</v>
      </c>
    </row>
    <row r="76">
      <c r="C76" s="7" t="s">
        <v>57</v>
      </c>
      <c r="D76" s="3">
        <f>D75* 2 / 3 </f>
        <v>132.39</v>
      </c>
      <c r="E76" s="3">
        <f t="shared" ref="E76:G76" si="19"> E32 * 2 / 3 </f>
        <v>249.42</v>
      </c>
      <c r="F76" s="3">
        <f t="shared" si="19"/>
        <v>209.91</v>
      </c>
      <c r="G76" s="3">
        <f t="shared" si="19"/>
        <v>374.85</v>
      </c>
    </row>
    <row r="77">
      <c r="C77" s="7" t="s">
        <v>58</v>
      </c>
      <c r="D77" s="2">
        <v>4.6</v>
      </c>
      <c r="E77" s="2">
        <v>4.6</v>
      </c>
      <c r="F77" s="2">
        <v>4.6</v>
      </c>
      <c r="G77" s="2">
        <v>4.6</v>
      </c>
    </row>
    <row r="78">
      <c r="C78" s="7" t="s">
        <v>59</v>
      </c>
      <c r="D78" s="2">
        <v>2.1</v>
      </c>
      <c r="E78" s="2">
        <v>2.1</v>
      </c>
      <c r="F78" s="2">
        <v>2.1</v>
      </c>
      <c r="G78" s="2">
        <v>2.1</v>
      </c>
    </row>
    <row r="79">
      <c r="C79" s="7" t="s">
        <v>60</v>
      </c>
      <c r="D79" s="2">
        <v>5.0</v>
      </c>
      <c r="E79" s="2">
        <v>5.0</v>
      </c>
      <c r="F79" s="2">
        <v>5.0</v>
      </c>
      <c r="G79" s="2">
        <v>5.0</v>
      </c>
    </row>
    <row r="80">
      <c r="C80" s="7" t="s">
        <v>61</v>
      </c>
      <c r="D80" s="3">
        <f t="shared" ref="D80:G80" si="20">D52</f>
        <v>3333.742788</v>
      </c>
      <c r="E80" s="3">
        <f t="shared" si="20"/>
        <v>2830.860997</v>
      </c>
      <c r="F80" s="3">
        <f t="shared" si="20"/>
        <v>3211.040207</v>
      </c>
      <c r="G80" s="3">
        <f t="shared" si="20"/>
        <v>2830.860997</v>
      </c>
    </row>
    <row r="81">
      <c r="C81" s="7" t="s">
        <v>62</v>
      </c>
      <c r="D81" s="3">
        <f t="shared" ref="D81:G81" si="21">ROUND(D76/D80,4+6)</f>
        <v>0.0397121219</v>
      </c>
      <c r="E81" s="3">
        <f t="shared" si="21"/>
        <v>0.0881074699</v>
      </c>
      <c r="F81" s="3">
        <f t="shared" si="21"/>
        <v>0.0653713396</v>
      </c>
      <c r="G81" s="3">
        <f t="shared" si="21"/>
        <v>0.1324155444</v>
      </c>
    </row>
    <row r="82">
      <c r="C82" s="7" t="s">
        <v>63</v>
      </c>
      <c r="D82" s="2">
        <v>0.25</v>
      </c>
      <c r="E82" s="2">
        <v>0.25</v>
      </c>
      <c r="F82" s="2">
        <v>0.25</v>
      </c>
      <c r="G82" s="2">
        <v>0.25</v>
      </c>
    </row>
    <row r="83">
      <c r="C83" s="7" t="s">
        <v>64</v>
      </c>
      <c r="D83" s="3">
        <f t="shared" ref="D83:G83" si="22"> ROUND(D81 * D76 / (1- D79 * D76), 2)</f>
        <v>-0.01</v>
      </c>
      <c r="E83" s="3">
        <f t="shared" si="22"/>
        <v>-0.02</v>
      </c>
      <c r="F83" s="3">
        <f t="shared" si="22"/>
        <v>-0.01</v>
      </c>
      <c r="G83" s="3">
        <f t="shared" si="22"/>
        <v>-0.03</v>
      </c>
    </row>
    <row r="84">
      <c r="C84" s="7" t="s">
        <v>65</v>
      </c>
      <c r="D84" s="3">
        <f t="shared" ref="D84:G84" si="23">D81 * D76 * (2.71^(-D83*(D77-D79))) / (1- 2.71^(D83*D78))</f>
        <v>252.7508159</v>
      </c>
      <c r="E84" s="3">
        <f t="shared" si="23"/>
        <v>531.6414169</v>
      </c>
      <c r="F84" s="3">
        <f t="shared" si="23"/>
        <v>659.6822587</v>
      </c>
      <c r="G84" s="3">
        <f t="shared" si="23"/>
        <v>805.6653256</v>
      </c>
    </row>
    <row r="85">
      <c r="C85" s="7" t="s">
        <v>66</v>
      </c>
      <c r="D85" s="3">
        <f t="shared" ref="D85:G85" si="24">D75/D84</f>
        <v>0.7856947931</v>
      </c>
      <c r="E85" s="3">
        <f t="shared" si="24"/>
        <v>0.7037262112</v>
      </c>
      <c r="F85" s="3">
        <f t="shared" si="24"/>
        <v>0.4772979656</v>
      </c>
      <c r="G85" s="3">
        <f t="shared" si="24"/>
        <v>0.6979014513</v>
      </c>
    </row>
    <row r="86">
      <c r="C86" s="7" t="s">
        <v>84</v>
      </c>
      <c r="D86" s="3">
        <f> ROUND(D91+D92+D93,2)</f>
        <v>118.01</v>
      </c>
      <c r="E86" s="2">
        <v>14.56</v>
      </c>
      <c r="F86" s="3">
        <f t="shared" ref="F86:G86" si="25"> ROUND(F91+F92+F93,2)</f>
        <v>79.7</v>
      </c>
      <c r="G86" s="3">
        <f t="shared" si="25"/>
        <v>41.03</v>
      </c>
    </row>
    <row r="87">
      <c r="C87" s="7" t="s">
        <v>68</v>
      </c>
      <c r="D87" s="2">
        <f t="shared" ref="D87:G87" si="26">ROUND(D86/(1-D85),2)</f>
        <v>550.66</v>
      </c>
      <c r="E87" s="2">
        <f t="shared" si="26"/>
        <v>49.14</v>
      </c>
      <c r="F87" s="2">
        <f t="shared" si="26"/>
        <v>152.48</v>
      </c>
      <c r="G87" s="2">
        <f t="shared" si="26"/>
        <v>135.82</v>
      </c>
    </row>
    <row r="88">
      <c r="C88" s="7" t="s">
        <v>69</v>
      </c>
      <c r="D88" s="7" t="s">
        <v>55</v>
      </c>
      <c r="E88" s="7" t="s">
        <v>55</v>
      </c>
      <c r="F88" s="7" t="s">
        <v>85</v>
      </c>
      <c r="G88" s="7" t="s">
        <v>55</v>
      </c>
      <c r="H88" s="7"/>
    </row>
    <row r="89">
      <c r="C89" s="6"/>
      <c r="G89" s="3" t="str">
        <f>G46</f>
        <v/>
      </c>
    </row>
    <row r="91">
      <c r="D91" s="3">
        <f t="shared" ref="D91:G91" si="27"> 2.71^(D83*(D77-D79))/ (D83*D76)</f>
        <v>-0.7583622301</v>
      </c>
      <c r="E91" s="3">
        <f t="shared" si="27"/>
        <v>-0.2020702989</v>
      </c>
      <c r="F91" s="3">
        <f t="shared" si="27"/>
        <v>-0.4782982023</v>
      </c>
      <c r="G91" s="3">
        <f t="shared" si="27"/>
        <v>-0.08999468508</v>
      </c>
    </row>
    <row r="92">
      <c r="D92" s="3">
        <f t="shared" ref="D92:G92" si="28">-D77 - 1/D83</f>
        <v>95.4</v>
      </c>
      <c r="E92" s="3">
        <f t="shared" si="28"/>
        <v>45.4</v>
      </c>
      <c r="F92" s="3">
        <f t="shared" si="28"/>
        <v>95.4</v>
      </c>
      <c r="G92" s="3">
        <f t="shared" si="28"/>
        <v>28.73333333</v>
      </c>
    </row>
    <row r="93">
      <c r="D93" s="3">
        <f t="shared" ref="D93:G93" si="29"> (D83 * D82^2 - 2*D82*(1-D81))/ (2 * (D83*D79+D81))</f>
        <v>23.36579683</v>
      </c>
      <c r="E93" s="3">
        <f t="shared" si="29"/>
        <v>19.22199318</v>
      </c>
      <c r="F93" s="3">
        <f t="shared" si="29"/>
        <v>-15.22116297</v>
      </c>
      <c r="G93" s="3">
        <f t="shared" si="29"/>
        <v>12.38785089</v>
      </c>
    </row>
  </sheetData>
  <mergeCells count="5">
    <mergeCell ref="G4:I4"/>
    <mergeCell ref="E5:F5"/>
    <mergeCell ref="G5:H5"/>
    <mergeCell ref="I5:J5"/>
    <mergeCell ref="K5:L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</cols>
  <sheetData>
    <row r="4">
      <c r="D4" s="1"/>
      <c r="E4" s="1"/>
      <c r="F4" s="1"/>
      <c r="G4" s="1"/>
      <c r="J4" s="1"/>
      <c r="K4" s="1"/>
      <c r="L4" s="1"/>
    </row>
    <row r="5">
      <c r="B5" s="1" t="s">
        <v>0</v>
      </c>
      <c r="E5" s="2" t="s">
        <v>1</v>
      </c>
      <c r="G5" s="1" t="s">
        <v>2</v>
      </c>
      <c r="I5" s="1" t="s">
        <v>3</v>
      </c>
      <c r="K5" s="1" t="s">
        <v>4</v>
      </c>
    </row>
    <row r="6">
      <c r="B6" s="2" t="s">
        <v>5</v>
      </c>
      <c r="D6" s="2" t="s">
        <v>6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</row>
    <row r="7">
      <c r="C7" s="2" t="s">
        <v>9</v>
      </c>
      <c r="D7" s="2">
        <v>3.0</v>
      </c>
      <c r="E7" s="2">
        <v>280.0</v>
      </c>
      <c r="F7" s="3">
        <f t="shared" ref="F7:F19" si="1"> E7 * $D7</f>
        <v>840</v>
      </c>
      <c r="G7" s="2">
        <v>504.0</v>
      </c>
      <c r="H7" s="3">
        <f t="shared" ref="H7:H19" si="2"> G7 * $D7</f>
        <v>1512</v>
      </c>
      <c r="I7" s="2">
        <v>190.0</v>
      </c>
      <c r="J7" s="3">
        <f t="shared" ref="J7:J19" si="3"> I7 * $D7</f>
        <v>570</v>
      </c>
      <c r="K7" s="2">
        <v>41.0</v>
      </c>
      <c r="L7" s="3">
        <f t="shared" ref="L7:L19" si="4"> K7 * $D7</f>
        <v>123</v>
      </c>
    </row>
    <row r="8">
      <c r="B8" s="2" t="s">
        <v>10</v>
      </c>
      <c r="C8" s="2" t="s">
        <v>11</v>
      </c>
      <c r="D8" s="2">
        <v>1.5</v>
      </c>
      <c r="E8" s="2">
        <v>1123.0</v>
      </c>
      <c r="F8" s="3">
        <f t="shared" si="1"/>
        <v>1684.5</v>
      </c>
      <c r="G8" s="2">
        <v>1682.0</v>
      </c>
      <c r="H8" s="3">
        <f t="shared" si="2"/>
        <v>2523</v>
      </c>
      <c r="I8" s="2">
        <v>1374.0</v>
      </c>
      <c r="J8" s="3">
        <f t="shared" si="3"/>
        <v>2061</v>
      </c>
      <c r="K8" s="2">
        <v>679.0</v>
      </c>
      <c r="L8" s="3">
        <f t="shared" si="4"/>
        <v>1018.5</v>
      </c>
    </row>
    <row r="9">
      <c r="C9" s="2" t="s">
        <v>12</v>
      </c>
      <c r="D9" s="2">
        <v>1.5</v>
      </c>
      <c r="E9" s="2">
        <v>418.0</v>
      </c>
      <c r="F9" s="3">
        <f t="shared" si="1"/>
        <v>627</v>
      </c>
      <c r="G9" s="2">
        <v>656.0</v>
      </c>
      <c r="H9" s="3">
        <f t="shared" si="2"/>
        <v>984</v>
      </c>
      <c r="I9" s="2">
        <v>333.0</v>
      </c>
      <c r="J9" s="3">
        <f t="shared" si="3"/>
        <v>499.5</v>
      </c>
      <c r="K9" s="2">
        <v>399.0</v>
      </c>
      <c r="L9" s="3">
        <f t="shared" si="4"/>
        <v>598.5</v>
      </c>
    </row>
    <row r="10">
      <c r="C10" s="2" t="s">
        <v>9</v>
      </c>
      <c r="D10" s="2">
        <v>3.0</v>
      </c>
      <c r="E10" s="2">
        <v>49.0</v>
      </c>
      <c r="F10" s="3">
        <f t="shared" si="1"/>
        <v>147</v>
      </c>
      <c r="G10" s="2">
        <v>273.0</v>
      </c>
      <c r="H10" s="3">
        <f t="shared" si="2"/>
        <v>819</v>
      </c>
      <c r="I10" s="2">
        <v>142.0</v>
      </c>
      <c r="J10" s="3">
        <f t="shared" si="3"/>
        <v>426</v>
      </c>
      <c r="K10" s="2">
        <v>83.0</v>
      </c>
      <c r="L10" s="3">
        <f t="shared" si="4"/>
        <v>249</v>
      </c>
    </row>
    <row r="11">
      <c r="B11" s="2" t="s">
        <v>13</v>
      </c>
      <c r="C11" s="2" t="s">
        <v>11</v>
      </c>
      <c r="D11" s="2">
        <v>1.5</v>
      </c>
      <c r="E11" s="2">
        <v>5.0</v>
      </c>
      <c r="F11" s="3">
        <f t="shared" si="1"/>
        <v>7.5</v>
      </c>
      <c r="G11" s="2">
        <v>353.0</v>
      </c>
      <c r="H11" s="3">
        <f t="shared" si="2"/>
        <v>529.5</v>
      </c>
      <c r="I11" s="2">
        <v>180.0</v>
      </c>
      <c r="J11" s="3">
        <f t="shared" si="3"/>
        <v>270</v>
      </c>
      <c r="K11" s="2">
        <v>151.0</v>
      </c>
      <c r="L11" s="3">
        <f t="shared" si="4"/>
        <v>226.5</v>
      </c>
    </row>
    <row r="12">
      <c r="C12" s="2" t="s">
        <v>12</v>
      </c>
      <c r="D12" s="2">
        <v>1.5</v>
      </c>
      <c r="E12" s="2">
        <v>192.0</v>
      </c>
      <c r="F12" s="3">
        <f t="shared" si="1"/>
        <v>288</v>
      </c>
      <c r="G12" s="2">
        <v>426.0</v>
      </c>
      <c r="H12" s="3">
        <f t="shared" si="2"/>
        <v>639</v>
      </c>
      <c r="I12" s="2">
        <v>180.0</v>
      </c>
      <c r="J12" s="3">
        <f t="shared" si="3"/>
        <v>270</v>
      </c>
      <c r="K12" s="2">
        <v>126.0</v>
      </c>
      <c r="L12" s="3">
        <f t="shared" si="4"/>
        <v>189</v>
      </c>
    </row>
    <row r="13">
      <c r="C13" s="2" t="s">
        <v>14</v>
      </c>
      <c r="D13" s="2">
        <v>1.5</v>
      </c>
      <c r="E13" s="2">
        <v>85.0</v>
      </c>
      <c r="F13" s="3">
        <f t="shared" si="1"/>
        <v>127.5</v>
      </c>
      <c r="G13" s="2">
        <v>292.0</v>
      </c>
      <c r="H13" s="3">
        <f t="shared" si="2"/>
        <v>438</v>
      </c>
      <c r="I13" s="2">
        <v>62.0</v>
      </c>
      <c r="J13" s="3">
        <f t="shared" si="3"/>
        <v>93</v>
      </c>
      <c r="K13" s="2">
        <v>88.0</v>
      </c>
      <c r="L13" s="3">
        <f t="shared" si="4"/>
        <v>132</v>
      </c>
    </row>
    <row r="14">
      <c r="C14" s="2" t="s">
        <v>15</v>
      </c>
      <c r="D14" s="2">
        <v>1.0</v>
      </c>
      <c r="E14" s="2">
        <v>206.0</v>
      </c>
      <c r="F14" s="3">
        <f t="shared" si="1"/>
        <v>206</v>
      </c>
      <c r="G14" s="2">
        <v>643.0</v>
      </c>
      <c r="H14" s="3">
        <f t="shared" si="2"/>
        <v>643</v>
      </c>
      <c r="I14" s="2">
        <v>279.0</v>
      </c>
      <c r="J14" s="3">
        <f t="shared" si="3"/>
        <v>279</v>
      </c>
      <c r="K14" s="2">
        <v>264.0</v>
      </c>
      <c r="L14" s="3">
        <f t="shared" si="4"/>
        <v>264</v>
      </c>
    </row>
    <row r="15">
      <c r="C15" s="2" t="s">
        <v>16</v>
      </c>
      <c r="D15" s="2">
        <v>1.5</v>
      </c>
      <c r="E15" s="2">
        <v>856.0</v>
      </c>
      <c r="F15" s="3">
        <f t="shared" si="1"/>
        <v>1284</v>
      </c>
      <c r="G15" s="2">
        <v>1943.0</v>
      </c>
      <c r="H15" s="3">
        <f t="shared" si="2"/>
        <v>2914.5</v>
      </c>
      <c r="I15" s="2">
        <v>2283.0</v>
      </c>
      <c r="J15" s="3">
        <f t="shared" si="3"/>
        <v>3424.5</v>
      </c>
      <c r="K15" s="2">
        <v>4612.0</v>
      </c>
      <c r="L15" s="3">
        <f t="shared" si="4"/>
        <v>6918</v>
      </c>
    </row>
    <row r="16">
      <c r="C16" s="2" t="s">
        <v>17</v>
      </c>
      <c r="D16" s="2">
        <v>0.75</v>
      </c>
      <c r="E16" s="2">
        <v>881.0</v>
      </c>
      <c r="F16" s="3">
        <f t="shared" si="1"/>
        <v>660.75</v>
      </c>
      <c r="G16" s="2">
        <v>793.0</v>
      </c>
      <c r="H16" s="3">
        <f t="shared" si="2"/>
        <v>594.75</v>
      </c>
      <c r="I16" s="2">
        <v>1709.0</v>
      </c>
      <c r="J16" s="3">
        <f t="shared" si="3"/>
        <v>1281.75</v>
      </c>
      <c r="K16" s="2">
        <v>3748.0</v>
      </c>
      <c r="L16" s="3">
        <f t="shared" si="4"/>
        <v>2811</v>
      </c>
    </row>
    <row r="17">
      <c r="C17" s="2" t="s">
        <v>18</v>
      </c>
      <c r="D17" s="2">
        <v>1.0</v>
      </c>
      <c r="E17" s="2">
        <v>295.0</v>
      </c>
      <c r="F17" s="3">
        <f t="shared" si="1"/>
        <v>295</v>
      </c>
      <c r="G17" s="2">
        <v>399.0</v>
      </c>
      <c r="H17" s="3">
        <f t="shared" si="2"/>
        <v>399</v>
      </c>
      <c r="I17" s="2">
        <v>218.0</v>
      </c>
      <c r="J17" s="3">
        <f t="shared" si="3"/>
        <v>218</v>
      </c>
      <c r="K17" s="2">
        <v>2257.0</v>
      </c>
      <c r="L17" s="3">
        <f t="shared" si="4"/>
        <v>2257</v>
      </c>
    </row>
    <row r="18">
      <c r="C18" s="2" t="s">
        <v>19</v>
      </c>
      <c r="D18" s="2">
        <v>2.0</v>
      </c>
      <c r="E18" s="2">
        <v>22.0</v>
      </c>
      <c r="F18" s="3">
        <f t="shared" si="1"/>
        <v>44</v>
      </c>
      <c r="G18" s="2">
        <v>350.0</v>
      </c>
      <c r="H18" s="3">
        <f t="shared" si="2"/>
        <v>700</v>
      </c>
      <c r="I18" s="2">
        <v>47.0</v>
      </c>
      <c r="J18" s="3">
        <f t="shared" si="3"/>
        <v>94</v>
      </c>
      <c r="K18" s="2">
        <v>47.0</v>
      </c>
      <c r="L18" s="3">
        <f t="shared" si="4"/>
        <v>94</v>
      </c>
    </row>
    <row r="19">
      <c r="C19" s="2" t="s">
        <v>20</v>
      </c>
      <c r="D19" s="2">
        <v>1.0</v>
      </c>
      <c r="E19" s="2">
        <v>1.0</v>
      </c>
      <c r="F19" s="3">
        <f t="shared" si="1"/>
        <v>1</v>
      </c>
      <c r="G19" s="2">
        <v>0.0</v>
      </c>
      <c r="H19" s="3">
        <f t="shared" si="2"/>
        <v>0</v>
      </c>
      <c r="I19" s="2">
        <v>0.0</v>
      </c>
      <c r="J19" s="3">
        <f t="shared" si="3"/>
        <v>0</v>
      </c>
      <c r="K19" s="2">
        <v>0.0</v>
      </c>
      <c r="L19" s="3">
        <f t="shared" si="4"/>
        <v>0</v>
      </c>
    </row>
    <row r="21">
      <c r="C21" s="2" t="s">
        <v>46</v>
      </c>
      <c r="E21" s="3">
        <f>SUM(E7:E19)</f>
        <v>4413</v>
      </c>
      <c r="G21" s="3">
        <f>SUM(G7:G19)</f>
        <v>8314</v>
      </c>
      <c r="I21" s="3">
        <f>SUM(I7:I19)</f>
        <v>6997</v>
      </c>
      <c r="K21" s="3">
        <f>SUM(K7:K19)</f>
        <v>12495</v>
      </c>
    </row>
    <row r="22">
      <c r="C22" s="2" t="s">
        <v>21</v>
      </c>
      <c r="F22" s="3">
        <f>SUM(F7:F19)</f>
        <v>6212.25</v>
      </c>
      <c r="H22" s="3">
        <f>SUM(H7:H19)</f>
        <v>12695.75</v>
      </c>
      <c r="J22" s="3">
        <f>SUM(J7:J19)</f>
        <v>9486.75</v>
      </c>
      <c r="L22" s="3">
        <f>SUM(L7:L19)</f>
        <v>14880.5</v>
      </c>
    </row>
    <row r="23">
      <c r="C23" s="2" t="s">
        <v>22</v>
      </c>
      <c r="F23" s="3">
        <f>ROUND(F22/24,0)</f>
        <v>259</v>
      </c>
      <c r="H23" s="3">
        <f>ROUND(H22/24,0)</f>
        <v>529</v>
      </c>
      <c r="J23" s="3">
        <f>ROUND(J22/24,0)</f>
        <v>395</v>
      </c>
      <c r="L23" s="3">
        <f>ROUND(L22/24,0)</f>
        <v>620</v>
      </c>
    </row>
    <row r="24">
      <c r="C24" s="2" t="s">
        <v>47</v>
      </c>
      <c r="E24" s="3">
        <f>E21/24</f>
        <v>183.875</v>
      </c>
      <c r="G24" s="3">
        <f>G21/24</f>
        <v>346.4166667</v>
      </c>
      <c r="I24" s="3">
        <f>I21/24</f>
        <v>291.5416667</v>
      </c>
      <c r="K24" s="3">
        <f>K21/24</f>
        <v>520.625</v>
      </c>
    </row>
    <row r="27">
      <c r="C27" s="2" t="s">
        <v>23</v>
      </c>
      <c r="D27" s="2">
        <v>21.78</v>
      </c>
    </row>
    <row r="29">
      <c r="C29" s="4"/>
      <c r="D29" s="4" t="s">
        <v>24</v>
      </c>
      <c r="E29" s="4" t="s">
        <v>25</v>
      </c>
      <c r="F29" s="4" t="s">
        <v>26</v>
      </c>
      <c r="G29" s="4" t="s">
        <v>27</v>
      </c>
      <c r="J29" s="4" t="s">
        <v>24</v>
      </c>
      <c r="K29" s="4" t="s">
        <v>25</v>
      </c>
      <c r="L29" s="4" t="s">
        <v>26</v>
      </c>
      <c r="M29" s="4" t="s">
        <v>27</v>
      </c>
    </row>
    <row r="30">
      <c r="D30" s="3" t="str">
        <f>E5</f>
        <v>N709-1</v>
      </c>
      <c r="E30" s="3" t="str">
        <f>G5</f>
        <v>N709-3</v>
      </c>
      <c r="F30" s="3" t="str">
        <f>I5</f>
        <v>R760-1</v>
      </c>
      <c r="G30" s="3" t="str">
        <f>K5</f>
        <v>R760-3</v>
      </c>
      <c r="J30" s="5" t="str">
        <f t="shared" ref="J30:M30" si="5">D30</f>
        <v>N709-1</v>
      </c>
      <c r="K30" s="5" t="str">
        <f t="shared" si="5"/>
        <v>N709-3</v>
      </c>
      <c r="L30" s="5" t="str">
        <f t="shared" si="5"/>
        <v>R760-1</v>
      </c>
      <c r="M30" s="5" t="str">
        <f t="shared" si="5"/>
        <v>R760-3</v>
      </c>
    </row>
    <row r="31">
      <c r="C31" s="2" t="s">
        <v>120</v>
      </c>
      <c r="D31" s="3">
        <f>E24 * 1.3</f>
        <v>239.0375</v>
      </c>
      <c r="E31" s="3">
        <f>G24 * 1.3</f>
        <v>450.3416667</v>
      </c>
      <c r="F31" s="3">
        <f>I24 * 1.3</f>
        <v>379.0041667</v>
      </c>
      <c r="G31" s="3">
        <f>K24 * 1.3</f>
        <v>676.8125</v>
      </c>
      <c r="J31" s="5"/>
      <c r="K31" s="5"/>
      <c r="L31" s="5"/>
      <c r="M31" s="5"/>
    </row>
    <row r="32">
      <c r="C32" s="2" t="s">
        <v>121</v>
      </c>
      <c r="D32" s="3">
        <f t="shared" ref="D32:G32" si="6">D31 * 1.08</f>
        <v>258.1605</v>
      </c>
      <c r="E32" s="3">
        <f t="shared" si="6"/>
        <v>486.369</v>
      </c>
      <c r="F32" s="3">
        <f t="shared" si="6"/>
        <v>409.3245</v>
      </c>
      <c r="G32" s="3">
        <f t="shared" si="6"/>
        <v>730.9575</v>
      </c>
      <c r="J32" s="2"/>
    </row>
    <row r="33">
      <c r="C33" s="2" t="s">
        <v>28</v>
      </c>
      <c r="D33" s="3">
        <f>F23</f>
        <v>259</v>
      </c>
      <c r="E33" s="3">
        <f>H23</f>
        <v>529</v>
      </c>
      <c r="F33" s="3">
        <f>J23</f>
        <v>395</v>
      </c>
      <c r="G33" s="3">
        <f>L23</f>
        <v>620</v>
      </c>
      <c r="J33" s="2"/>
    </row>
    <row r="34">
      <c r="C34" s="2" t="s">
        <v>29</v>
      </c>
      <c r="D34" s="2">
        <v>14.8</v>
      </c>
      <c r="E34" s="2">
        <v>14.8</v>
      </c>
      <c r="F34" s="2">
        <v>3.7</v>
      </c>
      <c r="G34" s="2">
        <v>7.4</v>
      </c>
    </row>
    <row r="35">
      <c r="C35" s="2" t="s">
        <v>30</v>
      </c>
      <c r="D35" s="2">
        <v>18.0</v>
      </c>
      <c r="E35" s="2">
        <v>18.0</v>
      </c>
      <c r="F35" s="2">
        <v>18.0</v>
      </c>
      <c r="G35" s="2">
        <v>18.0</v>
      </c>
    </row>
    <row r="36">
      <c r="C36" s="2" t="s">
        <v>31</v>
      </c>
      <c r="D36" s="2">
        <v>20.0</v>
      </c>
      <c r="E36" s="2">
        <v>20.0</v>
      </c>
      <c r="F36" s="2">
        <v>20.0</v>
      </c>
      <c r="G36" s="2">
        <v>20.0</v>
      </c>
    </row>
    <row r="37" hidden="1">
      <c r="C37" s="2" t="s">
        <v>32</v>
      </c>
      <c r="D37" s="2">
        <v>70.0</v>
      </c>
      <c r="E37" s="2">
        <v>70.0</v>
      </c>
      <c r="F37" s="2">
        <v>70.0</v>
      </c>
      <c r="G37" s="2">
        <v>70.0</v>
      </c>
    </row>
    <row r="38" hidden="1">
      <c r="C38" s="2" t="s">
        <v>33</v>
      </c>
      <c r="D38" s="2">
        <v>90.0</v>
      </c>
      <c r="E38" s="2">
        <v>90.0</v>
      </c>
      <c r="F38" s="2">
        <v>90.0</v>
      </c>
      <c r="G38" s="2">
        <v>90.0</v>
      </c>
    </row>
    <row r="39">
      <c r="C39" s="2" t="s">
        <v>34</v>
      </c>
      <c r="D39" s="2">
        <v>10.0</v>
      </c>
      <c r="E39" s="2">
        <v>10.0</v>
      </c>
      <c r="F39" s="2">
        <v>10.0</v>
      </c>
      <c r="G39" s="2">
        <v>10.0</v>
      </c>
    </row>
    <row r="40">
      <c r="C40" s="2" t="s">
        <v>48</v>
      </c>
      <c r="D40" s="2">
        <v>0.7</v>
      </c>
      <c r="E40" s="2">
        <v>0.7</v>
      </c>
      <c r="F40" s="2">
        <v>0.7</v>
      </c>
      <c r="G40" s="2">
        <v>0.7</v>
      </c>
    </row>
    <row r="41">
      <c r="C41" s="2" t="s">
        <v>73</v>
      </c>
      <c r="D41" s="2">
        <v>0.22</v>
      </c>
      <c r="E41" s="2">
        <v>0.22</v>
      </c>
      <c r="F41" s="2">
        <v>0.08</v>
      </c>
      <c r="G41" s="2">
        <v>0.16</v>
      </c>
    </row>
    <row r="42">
      <c r="C42" s="2" t="s">
        <v>74</v>
      </c>
      <c r="D42" s="2">
        <v>20.0</v>
      </c>
      <c r="E42" s="2">
        <v>20.0</v>
      </c>
      <c r="F42" s="2">
        <v>20.0</v>
      </c>
      <c r="G42" s="2">
        <v>20.0</v>
      </c>
    </row>
    <row r="43">
      <c r="C43" s="2" t="s">
        <v>75</v>
      </c>
      <c r="D43" s="2">
        <f t="shared" ref="D43:G43" si="7">3.28*D42</f>
        <v>65.6</v>
      </c>
      <c r="E43" s="2">
        <f t="shared" si="7"/>
        <v>65.6</v>
      </c>
      <c r="F43" s="2">
        <f t="shared" si="7"/>
        <v>65.6</v>
      </c>
      <c r="G43" s="2">
        <f t="shared" si="7"/>
        <v>65.6</v>
      </c>
    </row>
    <row r="44" hidden="1">
      <c r="C44" s="2"/>
      <c r="D44" s="2"/>
      <c r="E44" s="2"/>
      <c r="F44" s="2"/>
      <c r="G44" s="2"/>
    </row>
    <row r="45" hidden="1">
      <c r="C45" s="2" t="s">
        <v>38</v>
      </c>
      <c r="D45" s="3">
        <f t="shared" ref="D45:G45" si="8"> (D35-D34)/D36</f>
        <v>0.16</v>
      </c>
      <c r="E45" s="3">
        <f t="shared" si="8"/>
        <v>0.16</v>
      </c>
      <c r="F45" s="3">
        <f t="shared" si="8"/>
        <v>0.715</v>
      </c>
      <c r="G45" s="3">
        <f t="shared" si="8"/>
        <v>0.53</v>
      </c>
    </row>
    <row r="46" hidden="1">
      <c r="C46" s="2" t="s">
        <v>39</v>
      </c>
    </row>
    <row r="47" hidden="1">
      <c r="C47" s="2" t="s">
        <v>40</v>
      </c>
    </row>
    <row r="48" hidden="1">
      <c r="C48" s="2" t="s">
        <v>41</v>
      </c>
    </row>
    <row r="49" hidden="1">
      <c r="C49" s="2" t="s">
        <v>42</v>
      </c>
    </row>
    <row r="50" hidden="1">
      <c r="C50" s="2" t="s">
        <v>43</v>
      </c>
    </row>
    <row r="51" hidden="1"/>
    <row r="52" hidden="1">
      <c r="C52" s="8" t="s">
        <v>76</v>
      </c>
      <c r="D52" s="3">
        <f t="shared" ref="D52:G52" si="9"> 150 * D42 * ( 1 + D35/D42) * (1-3*D42/(4*D36)) * ( 1 - D40/3) / (1+1.8*D41)</f>
        <v>782.5931232</v>
      </c>
      <c r="E52" s="3">
        <f t="shared" si="9"/>
        <v>782.5931232</v>
      </c>
      <c r="F52" s="3">
        <f t="shared" si="9"/>
        <v>954.9825175</v>
      </c>
      <c r="G52" s="3">
        <f t="shared" si="9"/>
        <v>848.2142857</v>
      </c>
    </row>
    <row r="53">
      <c r="C53" s="8" t="s">
        <v>122</v>
      </c>
      <c r="D53" s="3">
        <f t="shared" ref="D53:G53" si="10"> 105 * D43 * ((1+D35/D42) * ( 1 - 3/4 * D42/D36) * (1-D40/3) ) / (1+ 1.8*D41) </f>
        <v>1796.833811</v>
      </c>
      <c r="E53" s="3">
        <f t="shared" si="10"/>
        <v>1796.833811</v>
      </c>
      <c r="F53" s="3">
        <f t="shared" si="10"/>
        <v>2192.63986</v>
      </c>
      <c r="G53" s="3">
        <f t="shared" si="10"/>
        <v>1947.5</v>
      </c>
    </row>
    <row r="54" hidden="1">
      <c r="C54" s="8" t="s">
        <v>78</v>
      </c>
      <c r="D54" s="3">
        <f t="shared" ref="D54:G54" si="11">169 * ( 1 + (D35/D42) ) * (1 + (D42/D36))</f>
        <v>642.2</v>
      </c>
      <c r="E54" s="3">
        <f t="shared" si="11"/>
        <v>642.2</v>
      </c>
      <c r="F54" s="3">
        <f t="shared" si="11"/>
        <v>642.2</v>
      </c>
      <c r="G54" s="3">
        <f t="shared" si="11"/>
        <v>642.2</v>
      </c>
    </row>
    <row r="55">
      <c r="C55" s="8" t="s">
        <v>79</v>
      </c>
      <c r="D55" s="3">
        <f t="shared" ref="D55:G55" si="12">D32</f>
        <v>258.1605</v>
      </c>
      <c r="E55" s="3">
        <f t="shared" si="12"/>
        <v>486.369</v>
      </c>
      <c r="F55" s="3">
        <f t="shared" si="12"/>
        <v>409.3245</v>
      </c>
      <c r="G55" s="3">
        <f t="shared" si="12"/>
        <v>730.9575</v>
      </c>
    </row>
    <row r="57">
      <c r="C57" s="8" t="s">
        <v>51</v>
      </c>
    </row>
    <row r="58">
      <c r="C58" s="2" t="s">
        <v>52</v>
      </c>
      <c r="D58" s="2">
        <v>13700.0</v>
      </c>
      <c r="E58" s="2">
        <v>13700.0</v>
      </c>
      <c r="F58" s="2">
        <v>13700.0</v>
      </c>
      <c r="G58" s="2">
        <v>13700.0</v>
      </c>
    </row>
    <row r="59">
      <c r="C59" s="2" t="s">
        <v>53</v>
      </c>
      <c r="D59" s="3">
        <f t="shared" ref="D59:G59" si="13">D55/D53</f>
        <v>0.1436752238</v>
      </c>
      <c r="E59" s="3">
        <f t="shared" si="13"/>
        <v>0.2706811265</v>
      </c>
      <c r="F59" s="3">
        <f t="shared" si="13"/>
        <v>0.186681136</v>
      </c>
      <c r="G59" s="3">
        <f t="shared" si="13"/>
        <v>0.3753311938</v>
      </c>
    </row>
    <row r="60">
      <c r="C60" s="2" t="s">
        <v>81</v>
      </c>
      <c r="D60" s="3">
        <f t="shared" ref="D60:G60" si="14">D53</f>
        <v>1796.833811</v>
      </c>
      <c r="E60" s="3">
        <f t="shared" si="14"/>
        <v>1796.833811</v>
      </c>
      <c r="F60" s="3">
        <f t="shared" si="14"/>
        <v>2192.63986</v>
      </c>
      <c r="G60" s="3">
        <f t="shared" si="14"/>
        <v>1947.5</v>
      </c>
    </row>
    <row r="61">
      <c r="C61" s="2" t="s">
        <v>117</v>
      </c>
      <c r="D61" s="3">
        <f t="shared" ref="D61:G61" si="15">D58 * D59/ (1.05*D60*(1.05-D59))</f>
        <v>1.151122087</v>
      </c>
      <c r="E61" s="3">
        <f t="shared" si="15"/>
        <v>2.522122277</v>
      </c>
      <c r="F61" s="3">
        <f t="shared" si="15"/>
        <v>1.28674701</v>
      </c>
      <c r="G61" s="3">
        <f t="shared" si="15"/>
        <v>3.727158238</v>
      </c>
    </row>
    <row r="62">
      <c r="C62" s="2" t="s">
        <v>69</v>
      </c>
      <c r="D62" s="2" t="s">
        <v>83</v>
      </c>
      <c r="E62" s="2" t="s">
        <v>83</v>
      </c>
      <c r="F62" s="2" t="s">
        <v>83</v>
      </c>
      <c r="G62" s="2" t="s">
        <v>83</v>
      </c>
    </row>
    <row r="73">
      <c r="D73" s="3" t="str">
        <f t="shared" ref="D73:G73" si="16">D29</f>
        <v>up</v>
      </c>
      <c r="E73" s="3" t="str">
        <f t="shared" si="16"/>
        <v> down</v>
      </c>
      <c r="F73" s="3" t="str">
        <f t="shared" si="16"/>
        <v>left</v>
      </c>
      <c r="G73" s="3" t="str">
        <f t="shared" si="16"/>
        <v>right</v>
      </c>
    </row>
    <row r="74">
      <c r="C74" s="6"/>
      <c r="D74" s="3" t="str">
        <f t="shared" ref="D74:G74" si="17">D30</f>
        <v>N709-1</v>
      </c>
      <c r="E74" s="3" t="str">
        <f t="shared" si="17"/>
        <v>N709-3</v>
      </c>
      <c r="F74" s="3" t="str">
        <f t="shared" si="17"/>
        <v>R760-1</v>
      </c>
      <c r="G74" s="3" t="str">
        <f t="shared" si="17"/>
        <v>R760-3</v>
      </c>
    </row>
    <row r="75">
      <c r="C75" s="7" t="s">
        <v>56</v>
      </c>
      <c r="D75" s="3">
        <f t="shared" ref="D75:G75" si="18">D32</f>
        <v>258.1605</v>
      </c>
      <c r="E75" s="3">
        <f t="shared" si="18"/>
        <v>486.369</v>
      </c>
      <c r="F75" s="3">
        <f t="shared" si="18"/>
        <v>409.3245</v>
      </c>
      <c r="G75" s="3">
        <f t="shared" si="18"/>
        <v>730.9575</v>
      </c>
    </row>
    <row r="76">
      <c r="C76" s="7" t="s">
        <v>57</v>
      </c>
      <c r="D76" s="3">
        <f>D75* 2 / 3 </f>
        <v>172.107</v>
      </c>
      <c r="E76" s="3">
        <f t="shared" ref="E76:G76" si="19"> E32 * 2 / 3 </f>
        <v>324.246</v>
      </c>
      <c r="F76" s="3">
        <f t="shared" si="19"/>
        <v>272.883</v>
      </c>
      <c r="G76" s="3">
        <f t="shared" si="19"/>
        <v>487.305</v>
      </c>
    </row>
    <row r="77">
      <c r="C77" s="7" t="s">
        <v>58</v>
      </c>
      <c r="D77" s="2">
        <v>4.6</v>
      </c>
      <c r="E77" s="2">
        <v>4.6</v>
      </c>
      <c r="F77" s="2">
        <v>4.6</v>
      </c>
      <c r="G77" s="2">
        <v>4.6</v>
      </c>
    </row>
    <row r="78">
      <c r="C78" s="7" t="s">
        <v>59</v>
      </c>
      <c r="D78" s="2">
        <v>2.1</v>
      </c>
      <c r="E78" s="2">
        <v>2.1</v>
      </c>
      <c r="F78" s="2">
        <v>2.1</v>
      </c>
      <c r="G78" s="2">
        <v>2.1</v>
      </c>
    </row>
    <row r="79">
      <c r="C79" s="7" t="s">
        <v>60</v>
      </c>
      <c r="D79" s="2">
        <v>5.0</v>
      </c>
      <c r="E79" s="2">
        <v>5.0</v>
      </c>
      <c r="F79" s="2">
        <v>5.0</v>
      </c>
      <c r="G79" s="2">
        <v>5.0</v>
      </c>
    </row>
    <row r="80">
      <c r="C80" s="7" t="s">
        <v>61</v>
      </c>
      <c r="D80" s="3">
        <f t="shared" ref="D80:G80" si="20">D52</f>
        <v>782.5931232</v>
      </c>
      <c r="E80" s="3">
        <f t="shared" si="20"/>
        <v>782.5931232</v>
      </c>
      <c r="F80" s="3">
        <f t="shared" si="20"/>
        <v>954.9825175</v>
      </c>
      <c r="G80" s="3">
        <f t="shared" si="20"/>
        <v>848.2142857</v>
      </c>
    </row>
    <row r="81">
      <c r="C81" s="7" t="s">
        <v>62</v>
      </c>
      <c r="D81" s="3">
        <f t="shared" ref="D81:G81" si="21">ROUND(D76/D80,4+6)</f>
        <v>0.219918876</v>
      </c>
      <c r="E81" s="3">
        <f t="shared" si="21"/>
        <v>0.4143225776</v>
      </c>
      <c r="F81" s="3">
        <f t="shared" si="21"/>
        <v>0.2857465922</v>
      </c>
      <c r="G81" s="3">
        <f t="shared" si="21"/>
        <v>0.5745069474</v>
      </c>
    </row>
    <row r="82">
      <c r="C82" s="7" t="s">
        <v>63</v>
      </c>
      <c r="D82" s="2">
        <v>0.25</v>
      </c>
      <c r="E82" s="2">
        <v>0.25</v>
      </c>
      <c r="F82" s="2">
        <v>0.25</v>
      </c>
      <c r="G82" s="2">
        <v>0.25</v>
      </c>
    </row>
    <row r="83">
      <c r="C83" s="7" t="s">
        <v>64</v>
      </c>
      <c r="D83" s="3">
        <f t="shared" ref="D83:G83" si="22"> ROUND(D81 * D76 / (1- D79 * D76), 2)</f>
        <v>-0.04</v>
      </c>
      <c r="E83" s="3">
        <f t="shared" si="22"/>
        <v>-0.08</v>
      </c>
      <c r="F83" s="3">
        <f t="shared" si="22"/>
        <v>-0.06</v>
      </c>
      <c r="G83" s="3">
        <f t="shared" si="22"/>
        <v>-0.11</v>
      </c>
    </row>
    <row r="84">
      <c r="C84" s="7" t="s">
        <v>65</v>
      </c>
      <c r="D84" s="3">
        <f t="shared" ref="D84:G84" si="23">D81 * D76 * (2.71^(-D83*(D77-D79))) / (1- 2.71^(D83*D78))</f>
        <v>463.7023288</v>
      </c>
      <c r="E84" s="3">
        <f t="shared" si="23"/>
        <v>843.7971726</v>
      </c>
      <c r="F84" s="3">
        <f t="shared" si="23"/>
        <v>644.9328777</v>
      </c>
      <c r="G84" s="3">
        <f t="shared" si="23"/>
        <v>1302.594985</v>
      </c>
    </row>
    <row r="85">
      <c r="C85" s="7" t="s">
        <v>66</v>
      </c>
      <c r="D85" s="3">
        <f t="shared" ref="D85:G85" si="24">D75/D84</f>
        <v>0.5567375533</v>
      </c>
      <c r="E85" s="3">
        <f t="shared" si="24"/>
        <v>0.5764051075</v>
      </c>
      <c r="F85" s="3">
        <f t="shared" si="24"/>
        <v>0.634677676</v>
      </c>
      <c r="G85" s="3">
        <f t="shared" si="24"/>
        <v>0.561154855</v>
      </c>
    </row>
    <row r="86">
      <c r="C86" s="7" t="s">
        <v>84</v>
      </c>
      <c r="D86" s="3">
        <f> ROUND(D91+D92+D93,2)</f>
        <v>10.4</v>
      </c>
      <c r="E86" s="2">
        <v>14.56</v>
      </c>
      <c r="F86" s="3">
        <f t="shared" ref="F86:G86" si="25"> ROUND(F91+F92+F93,2)</f>
        <v>24.66</v>
      </c>
      <c r="G86" s="3">
        <f t="shared" si="25"/>
        <v>-0.01</v>
      </c>
    </row>
    <row r="87">
      <c r="C87" s="7" t="s">
        <v>68</v>
      </c>
      <c r="D87" s="2">
        <f t="shared" ref="D87:G87" si="26">ROUND(D86/(1-D85),2)</f>
        <v>23.46</v>
      </c>
      <c r="E87" s="2">
        <f t="shared" si="26"/>
        <v>34.37</v>
      </c>
      <c r="F87" s="2">
        <f t="shared" si="26"/>
        <v>67.5</v>
      </c>
      <c r="G87" s="2">
        <f t="shared" si="26"/>
        <v>-0.02</v>
      </c>
    </row>
    <row r="88">
      <c r="C88" s="7" t="s">
        <v>69</v>
      </c>
      <c r="D88" s="7" t="s">
        <v>55</v>
      </c>
      <c r="E88" s="7" t="s">
        <v>55</v>
      </c>
      <c r="F88" s="7" t="s">
        <v>85</v>
      </c>
      <c r="G88" s="7" t="s">
        <v>55</v>
      </c>
      <c r="H88" s="7"/>
    </row>
    <row r="89">
      <c r="C89" s="6"/>
      <c r="G89" s="3" t="str">
        <f>G46</f>
        <v/>
      </c>
    </row>
    <row r="91">
      <c r="D91" s="3">
        <f t="shared" ref="D91:G91" si="27"> 2.71^(D83*(D77-D79))/ (D83*D76)</f>
        <v>-0.1475940951</v>
      </c>
      <c r="E91" s="3">
        <f t="shared" si="27"/>
        <v>-0.03980067184</v>
      </c>
      <c r="F91" s="3">
        <f t="shared" si="27"/>
        <v>-0.06255521652</v>
      </c>
      <c r="G91" s="3">
        <f t="shared" si="27"/>
        <v>-0.01949203112</v>
      </c>
    </row>
    <row r="92">
      <c r="D92" s="3">
        <f t="shared" ref="D92:G92" si="28">-D77 - 1/D83</f>
        <v>20.4</v>
      </c>
      <c r="E92" s="3">
        <f t="shared" si="28"/>
        <v>7.9</v>
      </c>
      <c r="F92" s="3">
        <f t="shared" si="28"/>
        <v>12.06666667</v>
      </c>
      <c r="G92" s="3">
        <f t="shared" si="28"/>
        <v>4.490909091</v>
      </c>
    </row>
    <row r="93">
      <c r="D93" s="3">
        <f t="shared" ref="D93:G93" si="29"> (D83 * D82^2 - 2*D82*(1-D81))/ (2 * (D83*D79+D81))</f>
        <v>-9.853481743</v>
      </c>
      <c r="E93" s="3">
        <f t="shared" si="29"/>
        <v>-10.39752479</v>
      </c>
      <c r="F93" s="3">
        <f t="shared" si="29"/>
        <v>12.65931309</v>
      </c>
      <c r="G93" s="3">
        <f t="shared" si="29"/>
        <v>-4.480801356</v>
      </c>
    </row>
  </sheetData>
  <mergeCells count="5">
    <mergeCell ref="G4:I4"/>
    <mergeCell ref="E5:F5"/>
    <mergeCell ref="G5:H5"/>
    <mergeCell ref="I5:J5"/>
    <mergeCell ref="K5:L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38"/>
  </cols>
  <sheetData>
    <row r="4">
      <c r="D4" s="1"/>
      <c r="E4" s="1"/>
      <c r="F4" s="1"/>
      <c r="G4" s="1"/>
      <c r="J4" s="1"/>
      <c r="K4" s="1"/>
      <c r="L4" s="1"/>
    </row>
    <row r="5">
      <c r="B5" s="1" t="s">
        <v>0</v>
      </c>
      <c r="E5" s="2" t="s">
        <v>1</v>
      </c>
      <c r="G5" s="1" t="s">
        <v>2</v>
      </c>
      <c r="I5" s="1" t="s">
        <v>3</v>
      </c>
      <c r="K5" s="1" t="s">
        <v>4</v>
      </c>
    </row>
    <row r="6">
      <c r="B6" s="2" t="s">
        <v>5</v>
      </c>
      <c r="D6" s="2" t="s">
        <v>6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</row>
    <row r="7">
      <c r="C7" s="2" t="s">
        <v>9</v>
      </c>
      <c r="D7" s="2">
        <v>3.0</v>
      </c>
      <c r="E7" s="2">
        <v>280.0</v>
      </c>
      <c r="F7" s="3">
        <f t="shared" ref="F7:F19" si="1"> E7 * $D7</f>
        <v>840</v>
      </c>
      <c r="G7" s="2">
        <v>504.0</v>
      </c>
      <c r="H7" s="3">
        <f t="shared" ref="H7:H19" si="2"> G7 * $D7</f>
        <v>1512</v>
      </c>
      <c r="I7" s="2">
        <v>190.0</v>
      </c>
      <c r="J7" s="3">
        <f t="shared" ref="J7:J19" si="3"> I7 * $D7</f>
        <v>570</v>
      </c>
      <c r="K7" s="2">
        <v>41.0</v>
      </c>
      <c r="L7" s="3">
        <f t="shared" ref="L7:L19" si="4"> K7 * $D7</f>
        <v>123</v>
      </c>
    </row>
    <row r="8">
      <c r="B8" s="2" t="s">
        <v>10</v>
      </c>
      <c r="C8" s="2" t="s">
        <v>11</v>
      </c>
      <c r="D8" s="2">
        <v>1.5</v>
      </c>
      <c r="E8" s="2">
        <v>1123.0</v>
      </c>
      <c r="F8" s="3">
        <f t="shared" si="1"/>
        <v>1684.5</v>
      </c>
      <c r="G8" s="2">
        <v>1682.0</v>
      </c>
      <c r="H8" s="3">
        <f t="shared" si="2"/>
        <v>2523</v>
      </c>
      <c r="I8" s="2">
        <v>1374.0</v>
      </c>
      <c r="J8" s="3">
        <f t="shared" si="3"/>
        <v>2061</v>
      </c>
      <c r="K8" s="2">
        <v>679.0</v>
      </c>
      <c r="L8" s="3">
        <f t="shared" si="4"/>
        <v>1018.5</v>
      </c>
    </row>
    <row r="9">
      <c r="C9" s="2" t="s">
        <v>12</v>
      </c>
      <c r="D9" s="2">
        <v>1.5</v>
      </c>
      <c r="E9" s="2">
        <v>418.0</v>
      </c>
      <c r="F9" s="3">
        <f t="shared" si="1"/>
        <v>627</v>
      </c>
      <c r="G9" s="2">
        <v>656.0</v>
      </c>
      <c r="H9" s="3">
        <f t="shared" si="2"/>
        <v>984</v>
      </c>
      <c r="I9" s="2">
        <v>333.0</v>
      </c>
      <c r="J9" s="3">
        <f t="shared" si="3"/>
        <v>499.5</v>
      </c>
      <c r="K9" s="2">
        <v>399.0</v>
      </c>
      <c r="L9" s="3">
        <f t="shared" si="4"/>
        <v>598.5</v>
      </c>
    </row>
    <row r="10">
      <c r="C10" s="2" t="s">
        <v>9</v>
      </c>
      <c r="D10" s="2">
        <v>3.0</v>
      </c>
      <c r="E10" s="2">
        <v>49.0</v>
      </c>
      <c r="F10" s="3">
        <f t="shared" si="1"/>
        <v>147</v>
      </c>
      <c r="G10" s="2">
        <v>273.0</v>
      </c>
      <c r="H10" s="3">
        <f t="shared" si="2"/>
        <v>819</v>
      </c>
      <c r="I10" s="2">
        <v>142.0</v>
      </c>
      <c r="J10" s="3">
        <f t="shared" si="3"/>
        <v>426</v>
      </c>
      <c r="K10" s="2">
        <v>83.0</v>
      </c>
      <c r="L10" s="3">
        <f t="shared" si="4"/>
        <v>249</v>
      </c>
    </row>
    <row r="11">
      <c r="B11" s="2" t="s">
        <v>13</v>
      </c>
      <c r="C11" s="2" t="s">
        <v>11</v>
      </c>
      <c r="D11" s="2">
        <v>1.5</v>
      </c>
      <c r="E11" s="2">
        <v>5.0</v>
      </c>
      <c r="F11" s="3">
        <f t="shared" si="1"/>
        <v>7.5</v>
      </c>
      <c r="G11" s="2">
        <v>353.0</v>
      </c>
      <c r="H11" s="3">
        <f t="shared" si="2"/>
        <v>529.5</v>
      </c>
      <c r="I11" s="2">
        <v>180.0</v>
      </c>
      <c r="J11" s="3">
        <f t="shared" si="3"/>
        <v>270</v>
      </c>
      <c r="K11" s="2">
        <v>151.0</v>
      </c>
      <c r="L11" s="3">
        <f t="shared" si="4"/>
        <v>226.5</v>
      </c>
    </row>
    <row r="12">
      <c r="C12" s="2" t="s">
        <v>12</v>
      </c>
      <c r="D12" s="2">
        <v>1.5</v>
      </c>
      <c r="E12" s="2">
        <v>192.0</v>
      </c>
      <c r="F12" s="3">
        <f t="shared" si="1"/>
        <v>288</v>
      </c>
      <c r="G12" s="2">
        <v>426.0</v>
      </c>
      <c r="H12" s="3">
        <f t="shared" si="2"/>
        <v>639</v>
      </c>
      <c r="I12" s="2">
        <v>180.0</v>
      </c>
      <c r="J12" s="3">
        <f t="shared" si="3"/>
        <v>270</v>
      </c>
      <c r="K12" s="2">
        <v>126.0</v>
      </c>
      <c r="L12" s="3">
        <f t="shared" si="4"/>
        <v>189</v>
      </c>
    </row>
    <row r="13">
      <c r="C13" s="2" t="s">
        <v>14</v>
      </c>
      <c r="D13" s="2">
        <v>1.5</v>
      </c>
      <c r="E13" s="2">
        <v>85.0</v>
      </c>
      <c r="F13" s="3">
        <f t="shared" si="1"/>
        <v>127.5</v>
      </c>
      <c r="G13" s="2">
        <v>292.0</v>
      </c>
      <c r="H13" s="3">
        <f t="shared" si="2"/>
        <v>438</v>
      </c>
      <c r="I13" s="2">
        <v>62.0</v>
      </c>
      <c r="J13" s="3">
        <f t="shared" si="3"/>
        <v>93</v>
      </c>
      <c r="K13" s="2">
        <v>88.0</v>
      </c>
      <c r="L13" s="3">
        <f t="shared" si="4"/>
        <v>132</v>
      </c>
    </row>
    <row r="14">
      <c r="C14" s="2" t="s">
        <v>15</v>
      </c>
      <c r="D14" s="2">
        <v>1.0</v>
      </c>
      <c r="E14" s="2">
        <v>206.0</v>
      </c>
      <c r="F14" s="3">
        <f t="shared" si="1"/>
        <v>206</v>
      </c>
      <c r="G14" s="2">
        <v>643.0</v>
      </c>
      <c r="H14" s="3">
        <f t="shared" si="2"/>
        <v>643</v>
      </c>
      <c r="I14" s="2">
        <v>279.0</v>
      </c>
      <c r="J14" s="3">
        <f t="shared" si="3"/>
        <v>279</v>
      </c>
      <c r="K14" s="2">
        <v>264.0</v>
      </c>
      <c r="L14" s="3">
        <f t="shared" si="4"/>
        <v>264</v>
      </c>
    </row>
    <row r="15">
      <c r="C15" s="2" t="s">
        <v>16</v>
      </c>
      <c r="D15" s="2">
        <v>1.5</v>
      </c>
      <c r="E15" s="2">
        <v>856.0</v>
      </c>
      <c r="F15" s="3">
        <f t="shared" si="1"/>
        <v>1284</v>
      </c>
      <c r="G15" s="2">
        <v>1943.0</v>
      </c>
      <c r="H15" s="3">
        <f t="shared" si="2"/>
        <v>2914.5</v>
      </c>
      <c r="I15" s="2">
        <v>2283.0</v>
      </c>
      <c r="J15" s="3">
        <f t="shared" si="3"/>
        <v>3424.5</v>
      </c>
      <c r="K15" s="2">
        <v>4612.0</v>
      </c>
      <c r="L15" s="3">
        <f t="shared" si="4"/>
        <v>6918</v>
      </c>
    </row>
    <row r="16">
      <c r="C16" s="2" t="s">
        <v>17</v>
      </c>
      <c r="D16" s="2">
        <v>0.75</v>
      </c>
      <c r="E16" s="2">
        <v>881.0</v>
      </c>
      <c r="F16" s="3">
        <f t="shared" si="1"/>
        <v>660.75</v>
      </c>
      <c r="G16" s="2">
        <v>793.0</v>
      </c>
      <c r="H16" s="3">
        <f t="shared" si="2"/>
        <v>594.75</v>
      </c>
      <c r="I16" s="2">
        <v>1709.0</v>
      </c>
      <c r="J16" s="3">
        <f t="shared" si="3"/>
        <v>1281.75</v>
      </c>
      <c r="K16" s="2">
        <v>3748.0</v>
      </c>
      <c r="L16" s="3">
        <f t="shared" si="4"/>
        <v>2811</v>
      </c>
    </row>
    <row r="17">
      <c r="C17" s="2" t="s">
        <v>18</v>
      </c>
      <c r="D17" s="2">
        <v>1.0</v>
      </c>
      <c r="E17" s="2">
        <v>295.0</v>
      </c>
      <c r="F17" s="3">
        <f t="shared" si="1"/>
        <v>295</v>
      </c>
      <c r="G17" s="2">
        <v>399.0</v>
      </c>
      <c r="H17" s="3">
        <f t="shared" si="2"/>
        <v>399</v>
      </c>
      <c r="I17" s="2">
        <v>218.0</v>
      </c>
      <c r="J17" s="3">
        <f t="shared" si="3"/>
        <v>218</v>
      </c>
      <c r="K17" s="2">
        <v>2257.0</v>
      </c>
      <c r="L17" s="3">
        <f t="shared" si="4"/>
        <v>2257</v>
      </c>
    </row>
    <row r="18">
      <c r="C18" s="2" t="s">
        <v>19</v>
      </c>
      <c r="D18" s="2">
        <v>2.0</v>
      </c>
      <c r="E18" s="2">
        <v>22.0</v>
      </c>
      <c r="F18" s="3">
        <f t="shared" si="1"/>
        <v>44</v>
      </c>
      <c r="G18" s="2">
        <v>350.0</v>
      </c>
      <c r="H18" s="3">
        <f t="shared" si="2"/>
        <v>700</v>
      </c>
      <c r="I18" s="2">
        <v>47.0</v>
      </c>
      <c r="J18" s="3">
        <f t="shared" si="3"/>
        <v>94</v>
      </c>
      <c r="K18" s="2">
        <v>47.0</v>
      </c>
      <c r="L18" s="3">
        <f t="shared" si="4"/>
        <v>94</v>
      </c>
    </row>
    <row r="19">
      <c r="C19" s="2" t="s">
        <v>20</v>
      </c>
      <c r="D19" s="2">
        <v>1.0</v>
      </c>
      <c r="E19" s="2">
        <v>1.0</v>
      </c>
      <c r="F19" s="3">
        <f t="shared" si="1"/>
        <v>1</v>
      </c>
      <c r="G19" s="2">
        <v>0.0</v>
      </c>
      <c r="H19" s="3">
        <f t="shared" si="2"/>
        <v>0</v>
      </c>
      <c r="I19" s="2">
        <v>0.0</v>
      </c>
      <c r="J19" s="3">
        <f t="shared" si="3"/>
        <v>0</v>
      </c>
      <c r="K19" s="2">
        <v>0.0</v>
      </c>
      <c r="L19" s="3">
        <f t="shared" si="4"/>
        <v>0</v>
      </c>
    </row>
    <row r="21">
      <c r="C21" s="2" t="s">
        <v>46</v>
      </c>
      <c r="E21" s="3">
        <f>SUM(E7:E19)</f>
        <v>4413</v>
      </c>
      <c r="G21" s="3">
        <f>SUM(G7:G19)</f>
        <v>8314</v>
      </c>
      <c r="I21" s="3">
        <f>SUM(I7:I19)</f>
        <v>6997</v>
      </c>
      <c r="K21" s="3">
        <f>SUM(K7:K19)</f>
        <v>12495</v>
      </c>
    </row>
    <row r="22">
      <c r="C22" s="2" t="s">
        <v>21</v>
      </c>
      <c r="F22" s="3">
        <f>SUM(F7:F19)</f>
        <v>6212.25</v>
      </c>
      <c r="H22" s="3">
        <f>SUM(H7:H19)</f>
        <v>12695.75</v>
      </c>
      <c r="J22" s="3">
        <f>SUM(J7:J19)</f>
        <v>9486.75</v>
      </c>
      <c r="L22" s="3">
        <f>SUM(L7:L19)</f>
        <v>14880.5</v>
      </c>
    </row>
    <row r="23">
      <c r="C23" s="2" t="s">
        <v>22</v>
      </c>
      <c r="F23" s="3">
        <f>ROUND(F22/24,0)</f>
        <v>259</v>
      </c>
      <c r="H23" s="3">
        <f>ROUND(H22/24,0)</f>
        <v>529</v>
      </c>
      <c r="J23" s="3">
        <f>ROUND(J22/24,0)</f>
        <v>395</v>
      </c>
      <c r="L23" s="3">
        <f>ROUND(L22/24,0)</f>
        <v>620</v>
      </c>
    </row>
    <row r="24">
      <c r="C24" s="2" t="s">
        <v>47</v>
      </c>
      <c r="E24" s="3">
        <f>E21/24</f>
        <v>183.875</v>
      </c>
      <c r="G24" s="3">
        <f>G21/24</f>
        <v>346.4166667</v>
      </c>
      <c r="I24" s="3">
        <f>I21/24</f>
        <v>291.5416667</v>
      </c>
      <c r="K24" s="3">
        <f>K21/24</f>
        <v>520.625</v>
      </c>
    </row>
    <row r="27">
      <c r="C27" s="2" t="s">
        <v>23</v>
      </c>
      <c r="D27" s="2">
        <v>21.78</v>
      </c>
    </row>
    <row r="29">
      <c r="C29" s="4"/>
      <c r="D29" s="4" t="s">
        <v>24</v>
      </c>
      <c r="E29" s="4" t="s">
        <v>25</v>
      </c>
      <c r="F29" s="4" t="s">
        <v>26</v>
      </c>
      <c r="G29" s="4" t="s">
        <v>27</v>
      </c>
      <c r="J29" s="4" t="s">
        <v>24</v>
      </c>
      <c r="K29" s="4" t="s">
        <v>25</v>
      </c>
      <c r="L29" s="4" t="s">
        <v>26</v>
      </c>
      <c r="M29" s="4" t="s">
        <v>27</v>
      </c>
    </row>
    <row r="30">
      <c r="D30" s="3" t="str">
        <f>E5</f>
        <v>N709-1</v>
      </c>
      <c r="E30" s="3" t="str">
        <f>G5</f>
        <v>N709-3</v>
      </c>
      <c r="F30" s="3" t="str">
        <f>I5</f>
        <v>R760-1</v>
      </c>
      <c r="G30" s="3" t="str">
        <f>K5</f>
        <v>R760-3</v>
      </c>
      <c r="J30" s="5" t="str">
        <f t="shared" ref="J30:M30" si="5">D30</f>
        <v>N709-1</v>
      </c>
      <c r="K30" s="5" t="str">
        <f t="shared" si="5"/>
        <v>N709-3</v>
      </c>
      <c r="L30" s="5" t="str">
        <f t="shared" si="5"/>
        <v>R760-1</v>
      </c>
      <c r="M30" s="5" t="str">
        <f t="shared" si="5"/>
        <v>R760-3</v>
      </c>
    </row>
    <row r="31">
      <c r="C31" s="2" t="s">
        <v>28</v>
      </c>
      <c r="D31" s="3">
        <f>F23</f>
        <v>259</v>
      </c>
      <c r="E31" s="3">
        <f>H23</f>
        <v>529</v>
      </c>
      <c r="F31" s="3">
        <f>J23</f>
        <v>395</v>
      </c>
      <c r="G31" s="3">
        <f>L23</f>
        <v>620</v>
      </c>
      <c r="J31" s="2"/>
    </row>
    <row r="32">
      <c r="C32" s="2" t="s">
        <v>29</v>
      </c>
      <c r="D32" s="2">
        <v>5.87</v>
      </c>
      <c r="E32" s="2">
        <v>9.45</v>
      </c>
      <c r="F32" s="2">
        <v>5.07</v>
      </c>
      <c r="G32" s="2">
        <v>11.2</v>
      </c>
    </row>
    <row r="33">
      <c r="C33" s="2" t="s">
        <v>30</v>
      </c>
      <c r="D33" s="2">
        <v>18.36</v>
      </c>
      <c r="E33" s="2">
        <v>18.36</v>
      </c>
      <c r="F33" s="2">
        <v>18.36</v>
      </c>
      <c r="G33" s="2">
        <v>18.36</v>
      </c>
    </row>
    <row r="34">
      <c r="C34" s="2" t="s">
        <v>31</v>
      </c>
      <c r="D34" s="2">
        <v>234.0</v>
      </c>
      <c r="E34" s="2">
        <v>77.74</v>
      </c>
      <c r="F34" s="2">
        <v>157.0</v>
      </c>
      <c r="G34" s="2">
        <v>77.74</v>
      </c>
    </row>
    <row r="35">
      <c r="C35" s="2" t="s">
        <v>32</v>
      </c>
      <c r="D35" s="2">
        <v>69.57</v>
      </c>
      <c r="E35" s="2">
        <v>69.57</v>
      </c>
      <c r="F35" s="2">
        <v>69.57</v>
      </c>
      <c r="G35" s="2">
        <v>69.57</v>
      </c>
    </row>
    <row r="36" hidden="1">
      <c r="C36" s="2" t="s">
        <v>33</v>
      </c>
      <c r="D36" s="2">
        <v>90.0</v>
      </c>
      <c r="E36" s="2">
        <v>90.0</v>
      </c>
      <c r="F36" s="2">
        <v>90.0</v>
      </c>
      <c r="G36" s="2">
        <v>90.0</v>
      </c>
    </row>
    <row r="37">
      <c r="C37" s="2" t="s">
        <v>34</v>
      </c>
      <c r="D37" s="2">
        <v>45.0</v>
      </c>
      <c r="E37" s="2">
        <v>60.0</v>
      </c>
      <c r="F37" s="2">
        <v>50.0</v>
      </c>
      <c r="G37" s="2">
        <v>35.77</v>
      </c>
    </row>
    <row r="38">
      <c r="C38" s="2" t="s">
        <v>48</v>
      </c>
      <c r="D38" s="2">
        <v>0.7</v>
      </c>
      <c r="E38" s="2">
        <v>0.7</v>
      </c>
      <c r="F38" s="2">
        <v>0.7</v>
      </c>
      <c r="G38" s="2">
        <v>0.7</v>
      </c>
    </row>
    <row r="39">
      <c r="C39" s="2" t="s">
        <v>49</v>
      </c>
      <c r="D39" s="2">
        <v>0.16</v>
      </c>
      <c r="E39" s="2">
        <v>0.16</v>
      </c>
      <c r="F39" s="2">
        <v>0.16</v>
      </c>
      <c r="G39" s="2">
        <v>0.16</v>
      </c>
    </row>
    <row r="40">
      <c r="C40" s="2" t="s">
        <v>50</v>
      </c>
      <c r="D40" s="2">
        <v>21.78</v>
      </c>
      <c r="E40" s="2">
        <v>21.78</v>
      </c>
      <c r="F40" s="2">
        <v>21.78</v>
      </c>
      <c r="G40" s="2">
        <v>21.78</v>
      </c>
    </row>
    <row r="41">
      <c r="C41" s="2"/>
      <c r="D41" s="2"/>
      <c r="E41" s="2"/>
      <c r="F41" s="2"/>
      <c r="G41" s="2"/>
    </row>
    <row r="42" hidden="1">
      <c r="C42" s="2" t="s">
        <v>38</v>
      </c>
      <c r="D42" s="3">
        <f t="shared" ref="D42:G42" si="6"> (D33-D32)/D34</f>
        <v>0.05337606838</v>
      </c>
      <c r="E42" s="3">
        <f t="shared" si="6"/>
        <v>0.1146128119</v>
      </c>
      <c r="F42" s="3">
        <f t="shared" si="6"/>
        <v>0.08464968153</v>
      </c>
      <c r="G42" s="3">
        <f t="shared" si="6"/>
        <v>0.09210187806</v>
      </c>
    </row>
    <row r="43" hidden="1">
      <c r="C43" s="2" t="s">
        <v>39</v>
      </c>
    </row>
    <row r="44" hidden="1">
      <c r="C44" s="2" t="s">
        <v>40</v>
      </c>
    </row>
    <row r="45" hidden="1">
      <c r="C45" s="2" t="s">
        <v>41</v>
      </c>
    </row>
    <row r="46" hidden="1">
      <c r="C46" s="2" t="s">
        <v>42</v>
      </c>
    </row>
    <row r="47" hidden="1">
      <c r="C47" s="2" t="s">
        <v>43</v>
      </c>
    </row>
    <row r="49">
      <c r="C49" s="2" t="s">
        <v>44</v>
      </c>
      <c r="D49" s="3">
        <f t="shared" ref="D49:G49" si="7"> 150 * D40 * ( 1 + D33/D40) * (1-3*D40/(4*D34)) * ( 1 - D38/3) / (1+1.8*D39)</f>
        <v>3333.742788</v>
      </c>
      <c r="E49" s="3">
        <f t="shared" si="7"/>
        <v>2830.860997</v>
      </c>
      <c r="F49" s="3">
        <f t="shared" si="7"/>
        <v>3211.040207</v>
      </c>
      <c r="G49" s="3">
        <f t="shared" si="7"/>
        <v>2830.860997</v>
      </c>
    </row>
    <row r="50">
      <c r="C50" s="2" t="s">
        <v>45</v>
      </c>
      <c r="D50" s="3">
        <f t="shared" ref="D50:G50" si="8">D31</f>
        <v>259</v>
      </c>
      <c r="E50" s="3">
        <f t="shared" si="8"/>
        <v>529</v>
      </c>
      <c r="F50" s="3">
        <f t="shared" si="8"/>
        <v>395</v>
      </c>
      <c r="G50" s="3">
        <f t="shared" si="8"/>
        <v>620</v>
      </c>
    </row>
    <row r="52">
      <c r="C52" s="2" t="s">
        <v>51</v>
      </c>
    </row>
    <row r="53">
      <c r="C53" s="2" t="s">
        <v>52</v>
      </c>
      <c r="D53" s="2">
        <v>13700.0</v>
      </c>
      <c r="E53" s="2">
        <v>13700.0</v>
      </c>
      <c r="F53" s="2">
        <v>13700.0</v>
      </c>
      <c r="G53" s="2">
        <v>13700.0</v>
      </c>
    </row>
    <row r="54">
      <c r="C54" s="2" t="s">
        <v>53</v>
      </c>
      <c r="D54" s="3">
        <f t="shared" ref="D54:G54" si="9">D50/D49</f>
        <v>0.07769045677</v>
      </c>
      <c r="E54" s="3">
        <f t="shared" si="9"/>
        <v>0.1868689422</v>
      </c>
      <c r="F54" s="3">
        <f t="shared" si="9"/>
        <v>0.1230130969</v>
      </c>
      <c r="G54" s="3">
        <f t="shared" si="9"/>
        <v>0.2190146392</v>
      </c>
    </row>
    <row r="55">
      <c r="C55" s="2" t="s">
        <v>54</v>
      </c>
      <c r="D55" s="3">
        <f t="shared" ref="D55:G55" si="10">D49</f>
        <v>3333.742788</v>
      </c>
      <c r="E55" s="3">
        <f t="shared" si="10"/>
        <v>2830.860997</v>
      </c>
      <c r="F55" s="3">
        <f t="shared" si="10"/>
        <v>3211.040207</v>
      </c>
      <c r="G55" s="3">
        <f t="shared" si="10"/>
        <v>2830.860997</v>
      </c>
    </row>
    <row r="56">
      <c r="C56" s="2" t="s">
        <v>55</v>
      </c>
      <c r="D56" s="3">
        <f t="shared" ref="D56:G56" si="11">D53 * D54/ (1.05*D55*(1.05-D54))</f>
        <v>0.312724787</v>
      </c>
      <c r="E56" s="3">
        <f t="shared" si="11"/>
        <v>0.9978680244</v>
      </c>
      <c r="F56" s="3">
        <f t="shared" si="11"/>
        <v>0.5392166305</v>
      </c>
      <c r="G56" s="3">
        <f t="shared" si="11"/>
        <v>1.214765627</v>
      </c>
    </row>
    <row r="66">
      <c r="D66" s="3" t="str">
        <f t="shared" ref="D66:G66" si="12">D29</f>
        <v>up</v>
      </c>
      <c r="E66" s="3" t="str">
        <f t="shared" si="12"/>
        <v> down</v>
      </c>
      <c r="F66" s="3" t="str">
        <f t="shared" si="12"/>
        <v>left</v>
      </c>
      <c r="G66" s="3" t="str">
        <f t="shared" si="12"/>
        <v>right</v>
      </c>
    </row>
    <row r="67">
      <c r="C67" s="6"/>
      <c r="D67" s="3" t="str">
        <f t="shared" ref="D67:G67" si="13">D30</f>
        <v>N709-1</v>
      </c>
      <c r="E67" s="3" t="str">
        <f t="shared" si="13"/>
        <v>N709-3</v>
      </c>
      <c r="F67" s="3" t="str">
        <f t="shared" si="13"/>
        <v>R760-1</v>
      </c>
      <c r="G67" s="3" t="str">
        <f t="shared" si="13"/>
        <v>R760-3</v>
      </c>
    </row>
    <row r="68">
      <c r="C68" s="7" t="s">
        <v>56</v>
      </c>
      <c r="D68" s="3">
        <f t="shared" ref="D68:G68" si="14">D31</f>
        <v>259</v>
      </c>
      <c r="E68" s="3">
        <f t="shared" si="14"/>
        <v>529</v>
      </c>
      <c r="F68" s="3">
        <f t="shared" si="14"/>
        <v>395</v>
      </c>
      <c r="G68" s="3">
        <f t="shared" si="14"/>
        <v>620</v>
      </c>
    </row>
    <row r="69">
      <c r="C69" s="7" t="s">
        <v>57</v>
      </c>
      <c r="D69" s="3">
        <f>D68* 2 / 3 </f>
        <v>172.6666667</v>
      </c>
      <c r="E69" s="3">
        <f t="shared" ref="E69:G69" si="15"> E31 * 2 / 3 </f>
        <v>352.6666667</v>
      </c>
      <c r="F69" s="3">
        <f t="shared" si="15"/>
        <v>263.3333333</v>
      </c>
      <c r="G69" s="3">
        <f t="shared" si="15"/>
        <v>413.3333333</v>
      </c>
    </row>
    <row r="70">
      <c r="C70" s="7" t="s">
        <v>58</v>
      </c>
      <c r="D70" s="2">
        <v>4.6</v>
      </c>
      <c r="E70" s="2">
        <v>4.6</v>
      </c>
      <c r="F70" s="2">
        <v>4.6</v>
      </c>
      <c r="G70" s="2">
        <v>4.6</v>
      </c>
    </row>
    <row r="71">
      <c r="C71" s="7" t="s">
        <v>59</v>
      </c>
      <c r="D71" s="2">
        <v>2.1</v>
      </c>
      <c r="E71" s="2">
        <v>2.1</v>
      </c>
      <c r="F71" s="2">
        <v>2.1</v>
      </c>
      <c r="G71" s="2">
        <v>2.1</v>
      </c>
    </row>
    <row r="72">
      <c r="C72" s="7" t="s">
        <v>60</v>
      </c>
      <c r="D72" s="2">
        <v>5.0</v>
      </c>
      <c r="E72" s="2">
        <v>5.0</v>
      </c>
      <c r="F72" s="2">
        <v>5.0</v>
      </c>
      <c r="G72" s="2">
        <v>5.0</v>
      </c>
    </row>
    <row r="73">
      <c r="C73" s="7" t="s">
        <v>61</v>
      </c>
      <c r="D73" s="3">
        <f t="shared" ref="D73:G73" si="16">D49</f>
        <v>3333.742788</v>
      </c>
      <c r="E73" s="3">
        <f t="shared" si="16"/>
        <v>2830.860997</v>
      </c>
      <c r="F73" s="3">
        <f t="shared" si="16"/>
        <v>3211.040207</v>
      </c>
      <c r="G73" s="3">
        <f t="shared" si="16"/>
        <v>2830.860997</v>
      </c>
    </row>
    <row r="74">
      <c r="C74" s="7" t="s">
        <v>62</v>
      </c>
      <c r="D74" s="3">
        <f t="shared" ref="D74:G74" si="17">D69/D73</f>
        <v>0.05179363785</v>
      </c>
      <c r="E74" s="3">
        <f t="shared" si="17"/>
        <v>0.1245792948</v>
      </c>
      <c r="F74" s="3">
        <f t="shared" si="17"/>
        <v>0.08200873124</v>
      </c>
      <c r="G74" s="3">
        <f t="shared" si="17"/>
        <v>0.1460097595</v>
      </c>
    </row>
    <row r="75">
      <c r="C75" s="7" t="s">
        <v>63</v>
      </c>
      <c r="D75" s="2">
        <v>1.0</v>
      </c>
      <c r="E75" s="2">
        <v>1.0</v>
      </c>
      <c r="F75" s="2">
        <v>1.0</v>
      </c>
      <c r="G75" s="2">
        <v>1.0</v>
      </c>
    </row>
    <row r="76">
      <c r="C76" s="7" t="s">
        <v>64</v>
      </c>
      <c r="D76" s="3">
        <f t="shared" ref="D76:G76" si="18"> D74 * D69 / (1- D72 * D69)</f>
        <v>-0.01037074001</v>
      </c>
      <c r="E76" s="3">
        <f t="shared" si="18"/>
        <v>-0.02492999695</v>
      </c>
      <c r="F76" s="3">
        <f t="shared" si="18"/>
        <v>-0.01641421274</v>
      </c>
      <c r="G76" s="3">
        <f t="shared" si="18"/>
        <v>-0.02921608871</v>
      </c>
    </row>
    <row r="77">
      <c r="C77" s="7" t="s">
        <v>65</v>
      </c>
      <c r="D77" s="3">
        <f t="shared" ref="D77:G77" si="19">D74 * D69 * 2.71^(-D76*(D70-D72)) / (1- 2.71^(D76*D71))</f>
        <v>414.6610122</v>
      </c>
      <c r="E77" s="3">
        <f t="shared" si="19"/>
        <v>855.3871744</v>
      </c>
      <c r="F77" s="3">
        <f t="shared" si="19"/>
        <v>635.1142792</v>
      </c>
      <c r="G77" s="3">
        <f t="shared" si="19"/>
        <v>1005.362655</v>
      </c>
    </row>
    <row r="78">
      <c r="C78" s="7" t="s">
        <v>66</v>
      </c>
      <c r="D78" s="3">
        <f t="shared" ref="D78:G78" si="20">D68/D77</f>
        <v>0.624606588</v>
      </c>
      <c r="E78" s="3">
        <f t="shared" si="20"/>
        <v>0.6184334017</v>
      </c>
      <c r="F78" s="3">
        <f t="shared" si="20"/>
        <v>0.6219353162</v>
      </c>
      <c r="G78" s="3">
        <f t="shared" si="20"/>
        <v>0.6166928891</v>
      </c>
    </row>
    <row r="79" hidden="1">
      <c r="C79" s="7" t="s">
        <v>67</v>
      </c>
    </row>
    <row r="80">
      <c r="C80" s="7" t="s">
        <v>68</v>
      </c>
      <c r="D80" s="2">
        <v>72.1</v>
      </c>
      <c r="E80" s="2">
        <v>78.3</v>
      </c>
      <c r="F80" s="2">
        <v>77.5</v>
      </c>
      <c r="G80" s="2">
        <v>82.5</v>
      </c>
    </row>
    <row r="81">
      <c r="C81" s="7" t="s">
        <v>69</v>
      </c>
      <c r="D81" s="7" t="s">
        <v>70</v>
      </c>
      <c r="E81" s="7" t="s">
        <v>70</v>
      </c>
      <c r="F81" s="7" t="s">
        <v>70</v>
      </c>
      <c r="G81" s="7" t="s">
        <v>70</v>
      </c>
    </row>
    <row r="82">
      <c r="C82" s="6"/>
    </row>
    <row r="84">
      <c r="D84" s="3">
        <f t="shared" ref="D84:G84" si="21"> 2.71^(D76*(D70-D72))/ (D76*D69)</f>
        <v>-0.5607610405</v>
      </c>
      <c r="E84" s="3">
        <f t="shared" si="21"/>
        <v>-0.1148764301</v>
      </c>
      <c r="F84" s="3">
        <f t="shared" si="21"/>
        <v>-0.2328717708</v>
      </c>
      <c r="G84" s="3">
        <f t="shared" si="21"/>
        <v>-0.08377942255</v>
      </c>
    </row>
    <row r="85">
      <c r="D85" s="3">
        <f>-1/D70 - 1/D76</f>
        <v>96.20774316</v>
      </c>
      <c r="E85" s="3">
        <f t="shared" ref="E85:G85" si="22">-E70 - 1/E76</f>
        <v>35.51231939</v>
      </c>
      <c r="F85" s="3">
        <f t="shared" si="22"/>
        <v>56.3228122</v>
      </c>
      <c r="G85" s="3">
        <f t="shared" si="22"/>
        <v>29.62771644</v>
      </c>
    </row>
    <row r="86">
      <c r="D86" s="3">
        <f t="shared" ref="D86:G86" si="23"> (D76 *D72^2 - 2*D72*(1-D74))/ (2 * (D76*D72+D74))</f>
        <v>81093.69942</v>
      </c>
      <c r="E86" s="3">
        <f t="shared" si="23"/>
        <v>66328.05652</v>
      </c>
      <c r="F86" s="3">
        <f t="shared" si="23"/>
        <v>76928.36939</v>
      </c>
      <c r="G86" s="3">
        <f t="shared" si="23"/>
        <v>65575.61398</v>
      </c>
    </row>
  </sheetData>
  <mergeCells count="5">
    <mergeCell ref="G4:I4"/>
    <mergeCell ref="E5:F5"/>
    <mergeCell ref="G5:H5"/>
    <mergeCell ref="I5:J5"/>
    <mergeCell ref="K5:L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25"/>
    <col customWidth="1" min="4" max="4" width="23.25"/>
    <col customWidth="1" min="6" max="6" width="14.25"/>
  </cols>
  <sheetData>
    <row r="4">
      <c r="D4" s="6"/>
      <c r="E4" s="3" t="s">
        <v>24</v>
      </c>
      <c r="F4" s="3" t="s">
        <v>25</v>
      </c>
      <c r="G4" s="3" t="s">
        <v>26</v>
      </c>
      <c r="H4" s="3" t="s">
        <v>27</v>
      </c>
    </row>
    <row r="5">
      <c r="D5" s="6"/>
      <c r="E5" s="3" t="s">
        <v>1</v>
      </c>
      <c r="F5" s="3" t="s">
        <v>2</v>
      </c>
      <c r="G5" s="3" t="s">
        <v>3</v>
      </c>
      <c r="H5" s="3" t="s">
        <v>4</v>
      </c>
    </row>
    <row r="6">
      <c r="D6" s="7" t="s">
        <v>86</v>
      </c>
      <c r="E6" s="2">
        <f>259 *1.3</f>
        <v>336.7</v>
      </c>
      <c r="F6" s="3">
        <f>1.3*529</f>
        <v>687.7</v>
      </c>
      <c r="G6" s="3">
        <f>1.3*395</f>
        <v>513.5</v>
      </c>
      <c r="H6" s="3">
        <f>1.3*620</f>
        <v>806</v>
      </c>
    </row>
    <row r="7">
      <c r="D7" s="7" t="s">
        <v>87</v>
      </c>
      <c r="E7" s="3">
        <f t="shared" ref="E7:H7" si="1"> E6 * 1.08</f>
        <v>363.636</v>
      </c>
      <c r="F7" s="3">
        <f t="shared" si="1"/>
        <v>742.716</v>
      </c>
      <c r="G7" s="3">
        <f t="shared" si="1"/>
        <v>554.58</v>
      </c>
      <c r="H7" s="3">
        <f t="shared" si="1"/>
        <v>870.48</v>
      </c>
    </row>
    <row r="8">
      <c r="D8" s="7" t="s">
        <v>88</v>
      </c>
      <c r="E8" s="2">
        <v>2100.0</v>
      </c>
      <c r="F8" s="2">
        <v>2100.0</v>
      </c>
      <c r="G8" s="2">
        <v>1000.0</v>
      </c>
      <c r="H8" s="2">
        <v>1800.0</v>
      </c>
    </row>
    <row r="9">
      <c r="D9" s="7" t="s">
        <v>89</v>
      </c>
      <c r="E9" s="3">
        <f t="shared" ref="E9:H9" si="2">E7/E8</f>
        <v>0.17316</v>
      </c>
      <c r="F9" s="3">
        <f t="shared" si="2"/>
        <v>0.3536742857</v>
      </c>
      <c r="G9" s="3">
        <f t="shared" si="2"/>
        <v>0.55458</v>
      </c>
      <c r="H9" s="3">
        <f t="shared" si="2"/>
        <v>0.4836</v>
      </c>
    </row>
    <row r="10">
      <c r="D10" s="7" t="s">
        <v>89</v>
      </c>
      <c r="F10" s="3">
        <f t="shared" ref="F10:G10" si="3">F9</f>
        <v>0.3536742857</v>
      </c>
      <c r="G10" s="3">
        <f t="shared" si="3"/>
        <v>0.55458</v>
      </c>
    </row>
    <row r="11">
      <c r="D11" s="7" t="s">
        <v>90</v>
      </c>
      <c r="E11" s="3">
        <f>SUM(E10:H10)</f>
        <v>0.9082542857</v>
      </c>
    </row>
    <row r="12">
      <c r="D12" s="7" t="s">
        <v>91</v>
      </c>
      <c r="E12" s="7">
        <v>3.0</v>
      </c>
      <c r="G12" s="2" t="s">
        <v>92</v>
      </c>
      <c r="H12" s="2" t="s">
        <v>93</v>
      </c>
    </row>
    <row r="13">
      <c r="D13" s="7" t="s">
        <v>94</v>
      </c>
      <c r="E13" s="7">
        <v>2.0</v>
      </c>
      <c r="F13" s="2" t="s">
        <v>95</v>
      </c>
      <c r="G13" s="2">
        <v>6.0</v>
      </c>
      <c r="H13" s="2">
        <v>6.0</v>
      </c>
    </row>
    <row r="14">
      <c r="D14" s="7"/>
      <c r="F14" s="2" t="s">
        <v>96</v>
      </c>
      <c r="G14" s="2">
        <v>3.0</v>
      </c>
      <c r="H14" s="2">
        <v>3.0</v>
      </c>
    </row>
    <row r="15">
      <c r="D15" s="7" t="s">
        <v>97</v>
      </c>
      <c r="E15" s="3">
        <f>(G13-E12) + (H13-E12) + G14 +H14</f>
        <v>12</v>
      </c>
    </row>
    <row r="16">
      <c r="D16" s="6"/>
    </row>
    <row r="17">
      <c r="D17" s="7" t="s">
        <v>98</v>
      </c>
      <c r="E17" s="3">
        <f>(1.5*$E$15+5)/ (1- $E$11)</f>
        <v>250.692909</v>
      </c>
    </row>
    <row r="18">
      <c r="D18" s="7" t="s">
        <v>99</v>
      </c>
      <c r="E18" s="2">
        <f> ROUND(E17,0) +1</f>
        <v>252</v>
      </c>
    </row>
    <row r="19">
      <c r="D19" s="12" t="s">
        <v>100</v>
      </c>
      <c r="E19" s="3">
        <f>E18-E15</f>
        <v>240</v>
      </c>
    </row>
    <row r="20">
      <c r="D20" s="7" t="s">
        <v>101</v>
      </c>
      <c r="E20" s="2">
        <v>3.0</v>
      </c>
    </row>
    <row r="22">
      <c r="E22" s="2" t="s">
        <v>92</v>
      </c>
      <c r="F22" s="2" t="s">
        <v>93</v>
      </c>
    </row>
    <row r="23">
      <c r="D23" s="2" t="s">
        <v>102</v>
      </c>
      <c r="E23" s="3">
        <f> ROUND(E19 * F10/E11,0)</f>
        <v>93</v>
      </c>
      <c r="F23" s="3">
        <f>ROUND( E19 * G10 / E11,0)</f>
        <v>147</v>
      </c>
    </row>
    <row r="24">
      <c r="D24" s="7" t="s">
        <v>103</v>
      </c>
      <c r="E24" s="3">
        <f> E23+G14</f>
        <v>96</v>
      </c>
      <c r="F24" s="3">
        <f>F23+H14</f>
        <v>150</v>
      </c>
    </row>
    <row r="25">
      <c r="D25" s="7"/>
    </row>
    <row r="26">
      <c r="D26" s="2" t="s">
        <v>104</v>
      </c>
      <c r="E26" s="2" t="s">
        <v>105</v>
      </c>
      <c r="F26" s="3">
        <f>E23</f>
        <v>93</v>
      </c>
    </row>
    <row r="27">
      <c r="E27" s="2" t="s">
        <v>106</v>
      </c>
      <c r="F27" s="3">
        <f>G13</f>
        <v>6</v>
      </c>
    </row>
    <row r="28">
      <c r="E28" s="2" t="s">
        <v>107</v>
      </c>
      <c r="F28" s="3">
        <f>F23</f>
        <v>147</v>
      </c>
    </row>
    <row r="29">
      <c r="E29" s="2" t="s">
        <v>108</v>
      </c>
      <c r="F29" s="3">
        <f>H13</f>
        <v>6</v>
      </c>
    </row>
    <row r="30">
      <c r="E30" s="8" t="s">
        <v>109</v>
      </c>
      <c r="F30" s="13">
        <f>SUM(F26:F29)</f>
        <v>252</v>
      </c>
    </row>
    <row r="36">
      <c r="E36" s="2" t="s">
        <v>110</v>
      </c>
      <c r="F36" s="2" t="s">
        <v>111</v>
      </c>
    </row>
    <row r="37">
      <c r="D37" s="2" t="s">
        <v>112</v>
      </c>
      <c r="E37" s="3">
        <f>F30</f>
        <v>252</v>
      </c>
      <c r="F37" s="3">
        <f>F30</f>
        <v>252</v>
      </c>
    </row>
    <row r="38">
      <c r="D38" s="2" t="s">
        <v>113</v>
      </c>
      <c r="E38" s="3">
        <f t="shared" ref="E38:F38" si="4">E23</f>
        <v>93</v>
      </c>
      <c r="F38" s="3">
        <f t="shared" si="4"/>
        <v>147</v>
      </c>
    </row>
    <row r="39">
      <c r="D39" s="2" t="s">
        <v>114</v>
      </c>
      <c r="E39" s="3">
        <f>E8</f>
        <v>2100</v>
      </c>
      <c r="F39" s="2">
        <f>G8</f>
        <v>1000</v>
      </c>
    </row>
    <row r="40">
      <c r="D40" s="2" t="s">
        <v>115</v>
      </c>
      <c r="E40" s="3">
        <f>F7</f>
        <v>742.716</v>
      </c>
      <c r="F40" s="3">
        <f>H7</f>
        <v>870.48</v>
      </c>
    </row>
    <row r="41">
      <c r="D41" s="2" t="s">
        <v>64</v>
      </c>
      <c r="E41" s="3">
        <f t="shared" ref="E41:F41" si="5"> E38/E37</f>
        <v>0.369047619</v>
      </c>
      <c r="F41" s="3">
        <f t="shared" si="5"/>
        <v>0.5833333333</v>
      </c>
    </row>
    <row r="42">
      <c r="D42" s="2" t="s">
        <v>116</v>
      </c>
      <c r="E42" s="3">
        <f t="shared" ref="E42:F42" si="6"> E40/E39</f>
        <v>0.3536742857</v>
      </c>
      <c r="F42" s="3">
        <f t="shared" si="6"/>
        <v>0.87048</v>
      </c>
    </row>
    <row r="43">
      <c r="D43" s="2" t="s">
        <v>117</v>
      </c>
      <c r="E43" s="3">
        <f t="shared" ref="E43:F43" si="7"> E37 * (1 - E41)^2 / (2* (1-E41*E42))</f>
        <v>57.69065113</v>
      </c>
      <c r="F43" s="3">
        <f t="shared" si="7"/>
        <v>44.44150989</v>
      </c>
      <c r="I43" s="16">
        <f> E37 * (1 - E41)^2 / (2* (1-E41*E42))</f>
        <v>57.69065113</v>
      </c>
    </row>
    <row r="44">
      <c r="D44" s="2" t="s">
        <v>69</v>
      </c>
      <c r="E44" s="2" t="s">
        <v>70</v>
      </c>
      <c r="F44" s="2" t="s">
        <v>123</v>
      </c>
      <c r="I44" s="3">
        <f>E42^2 / (2*E40*(1-E42))</f>
        <v>0.0001302875027</v>
      </c>
    </row>
    <row r="45">
      <c r="I45" s="2">
        <f>-0.65   * (E37/E40^2)^(1/3) * E42^(2+5*E41)</f>
        <v>-0.0009199649369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D6" s="1" t="s">
        <v>124</v>
      </c>
      <c r="J6" s="1" t="s">
        <v>125</v>
      </c>
    </row>
    <row r="7">
      <c r="A7" s="17"/>
      <c r="B7" s="17"/>
      <c r="C7" s="17"/>
      <c r="D7" s="18" t="s">
        <v>126</v>
      </c>
      <c r="F7" s="18" t="s">
        <v>127</v>
      </c>
      <c r="H7" s="18" t="s">
        <v>128</v>
      </c>
      <c r="J7" s="19" t="s">
        <v>129</v>
      </c>
      <c r="L7" s="20" t="s">
        <v>130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>
      <c r="C8" s="2" t="s">
        <v>131</v>
      </c>
      <c r="D8" s="2" t="s">
        <v>132</v>
      </c>
      <c r="E8" s="2" t="s">
        <v>133</v>
      </c>
      <c r="F8" s="2" t="s">
        <v>132</v>
      </c>
      <c r="G8" s="2" t="s">
        <v>133</v>
      </c>
      <c r="H8" s="2" t="s">
        <v>132</v>
      </c>
      <c r="I8" s="2" t="s">
        <v>133</v>
      </c>
      <c r="J8" s="2" t="s">
        <v>132</v>
      </c>
      <c r="K8" s="2" t="s">
        <v>133</v>
      </c>
      <c r="L8" s="2" t="s">
        <v>132</v>
      </c>
      <c r="M8" s="2" t="s">
        <v>133</v>
      </c>
    </row>
    <row r="9">
      <c r="C9" s="21" t="s">
        <v>134</v>
      </c>
      <c r="D9" s="22">
        <f>'New design assume '!E61</f>
        <v>1.79612866</v>
      </c>
      <c r="E9" s="22">
        <f>'New design assume '!G61</f>
        <v>2.540847386</v>
      </c>
      <c r="F9" s="22">
        <f>'30% New design assume '!E61</f>
        <v>2.522122277</v>
      </c>
      <c r="G9" s="22">
        <f>'30% New design assume '!G61</f>
        <v>3.727158238</v>
      </c>
      <c r="H9" s="22">
        <f>'on existing design'!D61</f>
        <v>0.04318631986</v>
      </c>
      <c r="I9" s="22">
        <f>'on existing design'!G61</f>
        <v>0.180240033</v>
      </c>
      <c r="J9" s="22">
        <f>'Webster Method'!E43</f>
        <v>19.25965119</v>
      </c>
      <c r="K9" s="22">
        <f>'Webster Method'!F43</f>
        <v>13.63111359</v>
      </c>
      <c r="L9" s="22">
        <f>'30% Webster Method'!E43</f>
        <v>57.69065113</v>
      </c>
      <c r="M9" s="22">
        <f>'30% Webster Method'!F43</f>
        <v>44.44150989</v>
      </c>
    </row>
    <row r="10">
      <c r="C10" s="2" t="s">
        <v>69</v>
      </c>
      <c r="D10" s="10" t="str">
        <f>'New design assume '!E62</f>
        <v>A</v>
      </c>
      <c r="E10" s="10" t="str">
        <f>'New design assume '!G62</f>
        <v>A</v>
      </c>
      <c r="F10" s="3" t="str">
        <f>'30% New design assume '!E62</f>
        <v>A</v>
      </c>
      <c r="G10" s="22" t="str">
        <f>'30% New design assume '!G62</f>
        <v>A</v>
      </c>
      <c r="H10" s="15" t="str">
        <f>'on existing design'!D62</f>
        <v>A</v>
      </c>
      <c r="I10" s="15" t="str">
        <f>'on existing design'!G62</f>
        <v>A</v>
      </c>
      <c r="J10" s="3" t="str">
        <f>'Webster Method'!E44</f>
        <v>C</v>
      </c>
      <c r="K10" s="3" t="str">
        <f>'Webster Method'!F44</f>
        <v>B</v>
      </c>
      <c r="L10" s="3" t="str">
        <f>'30% Webster Method'!E44</f>
        <v>F</v>
      </c>
      <c r="M10" s="3" t="str">
        <f>'30% Webster Method'!F44</f>
        <v>E</v>
      </c>
    </row>
    <row r="11">
      <c r="I11" s="2" t="s">
        <v>135</v>
      </c>
      <c r="J11" s="3">
        <f>'Webster Method'!E37</f>
        <v>77</v>
      </c>
      <c r="L11" s="3">
        <f>'30% Webster Method'!F37</f>
        <v>252</v>
      </c>
    </row>
  </sheetData>
  <mergeCells count="9">
    <mergeCell ref="J11:K11"/>
    <mergeCell ref="L11:M11"/>
    <mergeCell ref="D6:I6"/>
    <mergeCell ref="J6:M6"/>
    <mergeCell ref="D7:E7"/>
    <mergeCell ref="F7:G7"/>
    <mergeCell ref="H7:I7"/>
    <mergeCell ref="J7:K7"/>
    <mergeCell ref="L7:M7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97F09EDF3AC44B4C572C08B70F161" ma:contentTypeVersion="12" ma:contentTypeDescription="Create a new document." ma:contentTypeScope="" ma:versionID="114c65e40c57de973ac7a5e9adb3a1a7">
  <xsd:schema xmlns:xsd="http://www.w3.org/2001/XMLSchema" xmlns:xs="http://www.w3.org/2001/XMLSchema" xmlns:p="http://schemas.microsoft.com/office/2006/metadata/properties" xmlns:ns2="6711f539-aff7-4ad3-9e96-baa66a62c960" xmlns:ns3="c6d119e4-d8c4-4b30-8cb5-926b71ea8e92" targetNamespace="http://schemas.microsoft.com/office/2006/metadata/properties" ma:root="true" ma:fieldsID="79d3684f589505d453f8116a64ad5516" ns2:_="" ns3:_="">
    <xsd:import namespace="6711f539-aff7-4ad3-9e96-baa66a62c960"/>
    <xsd:import namespace="c6d119e4-d8c4-4b30-8cb5-926b71ea8e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1f539-aff7-4ad3-9e96-baa66a62c96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119e4-d8c4-4b30-8cb5-926b71ea8e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598aad6-0a74-4658-8ac9-0cf5f153ab42}" ma:internalName="TaxCatchAll" ma:showField="CatchAllData" ma:web="c6d119e4-d8c4-4b30-8cb5-926b71ea8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711f539-aff7-4ad3-9e96-baa66a62c960" xsi:nil="true"/>
    <lcf76f155ced4ddcb4097134ff3c332f xmlns="6711f539-aff7-4ad3-9e96-baa66a62c960">
      <Terms xmlns="http://schemas.microsoft.com/office/infopath/2007/PartnerControls"/>
    </lcf76f155ced4ddcb4097134ff3c332f>
    <TaxCatchAll xmlns="c6d119e4-d8c4-4b30-8cb5-926b71ea8e92" xsi:nil="true"/>
  </documentManagement>
</p:properties>
</file>

<file path=customXml/itemProps1.xml><?xml version="1.0" encoding="utf-8"?>
<ds:datastoreItem xmlns:ds="http://schemas.openxmlformats.org/officeDocument/2006/customXml" ds:itemID="{B9AFD7F4-BA07-4E20-B098-833F9C47E711}"/>
</file>

<file path=customXml/itemProps2.xml><?xml version="1.0" encoding="utf-8"?>
<ds:datastoreItem xmlns:ds="http://schemas.openxmlformats.org/officeDocument/2006/customXml" ds:itemID="{B31E358B-BED6-4EDA-8493-9B0AC5DDD4A8}"/>
</file>

<file path=customXml/itemProps3.xml><?xml version="1.0" encoding="utf-8"?>
<ds:datastoreItem xmlns:ds="http://schemas.openxmlformats.org/officeDocument/2006/customXml" ds:itemID="{203D11D8-FF0B-4EA2-A889-C27009B296DF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0x01010047397F09EDF3AC44B4C572C08B70F161</vt:lpwstr>
  </property>
</Properties>
</file>