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USTRHIM\AppData\Local\Microsoft\Windows\INetCache\Content.Outlook\8P61LYKX\"/>
    </mc:Choice>
  </mc:AlternateContent>
  <xr:revisionPtr revIDLastSave="0" documentId="13_ncr:1_{D2AAE28A-C3AF-4C41-84CE-D980F807E25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nsile Pass Fail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LY3rU6ZOaDqX7QpkiQrl4/pbvzQ=="/>
    </ext>
  </extLst>
</workbook>
</file>

<file path=xl/calcChain.xml><?xml version="1.0" encoding="utf-8"?>
<calcChain xmlns="http://schemas.openxmlformats.org/spreadsheetml/2006/main">
  <c r="G6" i="1" l="1"/>
  <c r="I293" i="2"/>
  <c r="I292" i="2" s="1"/>
  <c r="I291" i="2" s="1"/>
  <c r="I290" i="2" s="1"/>
  <c r="I289" i="2" s="1"/>
  <c r="I288" i="2" s="1"/>
  <c r="I287" i="2" s="1"/>
  <c r="I286" i="2" s="1"/>
  <c r="I285" i="2" s="1"/>
  <c r="I284" i="2" s="1"/>
  <c r="I283" i="2" s="1"/>
  <c r="I282" i="2" s="1"/>
  <c r="I281" i="2" s="1"/>
  <c r="I280" i="2" s="1"/>
  <c r="I279" i="2" s="1"/>
  <c r="I278" i="2" s="1"/>
  <c r="I277" i="2" s="1"/>
  <c r="I276" i="2" s="1"/>
  <c r="I275" i="2" s="1"/>
  <c r="I274" i="2" s="1"/>
  <c r="I273" i="2" s="1"/>
  <c r="I272" i="2" s="1"/>
  <c r="I271" i="2" s="1"/>
  <c r="I270" i="2" s="1"/>
  <c r="I269" i="2" s="1"/>
  <c r="I268" i="2" s="1"/>
  <c r="I267" i="2" s="1"/>
  <c r="I266" i="2" s="1"/>
  <c r="I265" i="2" s="1"/>
  <c r="I264" i="2" s="1"/>
  <c r="I294" i="2"/>
  <c r="H292" i="2"/>
  <c r="H291" i="2" s="1"/>
  <c r="H290" i="2" s="1"/>
  <c r="H289" i="2" s="1"/>
  <c r="H288" i="2" s="1"/>
  <c r="H287" i="2" s="1"/>
  <c r="H286" i="2" s="1"/>
  <c r="H285" i="2" s="1"/>
  <c r="H284" i="2" s="1"/>
  <c r="H283" i="2" s="1"/>
  <c r="H282" i="2" s="1"/>
  <c r="H281" i="2" s="1"/>
  <c r="H280" i="2" s="1"/>
  <c r="H279" i="2" s="1"/>
  <c r="H278" i="2" s="1"/>
  <c r="H277" i="2" s="1"/>
  <c r="H276" i="2" s="1"/>
  <c r="H275" i="2" s="1"/>
  <c r="H274" i="2" s="1"/>
  <c r="H273" i="2" s="1"/>
  <c r="H272" i="2" s="1"/>
  <c r="H271" i="2" s="1"/>
  <c r="H270" i="2" s="1"/>
  <c r="H269" i="2" s="1"/>
  <c r="H268" i="2" s="1"/>
  <c r="H267" i="2" s="1"/>
  <c r="H266" i="2" s="1"/>
  <c r="H265" i="2" s="1"/>
  <c r="H264" i="2" s="1"/>
  <c r="H293" i="2"/>
  <c r="H294" i="2"/>
  <c r="Q268" i="2"/>
  <c r="R268" i="2" s="1"/>
  <c r="S268" i="2" s="1"/>
  <c r="J260" i="2"/>
  <c r="R260" i="2" s="1"/>
  <c r="I260" i="2"/>
  <c r="AS265" i="2" s="1"/>
  <c r="H260" i="2"/>
  <c r="AP265" i="2" s="1"/>
  <c r="AS227" i="2"/>
  <c r="AP226" i="2"/>
  <c r="I255" i="2"/>
  <c r="I254" i="2" s="1"/>
  <c r="I253" i="2" s="1"/>
  <c r="H254" i="2"/>
  <c r="H253" i="2" s="1"/>
  <c r="H252" i="2" s="1"/>
  <c r="H251" i="2" s="1"/>
  <c r="H250" i="2" s="1"/>
  <c r="H249" i="2" s="1"/>
  <c r="H248" i="2" s="1"/>
  <c r="H247" i="2" s="1"/>
  <c r="H246" i="2" s="1"/>
  <c r="H245" i="2" s="1"/>
  <c r="H244" i="2" s="1"/>
  <c r="H243" i="2" s="1"/>
  <c r="H242" i="2" s="1"/>
  <c r="H241" i="2" s="1"/>
  <c r="H240" i="2" s="1"/>
  <c r="H239" i="2" s="1"/>
  <c r="H238" i="2" s="1"/>
  <c r="H237" i="2" s="1"/>
  <c r="H236" i="2" s="1"/>
  <c r="H235" i="2" s="1"/>
  <c r="H234" i="2" s="1"/>
  <c r="H233" i="2" s="1"/>
  <c r="H232" i="2" s="1"/>
  <c r="H231" i="2" s="1"/>
  <c r="H230" i="2" s="1"/>
  <c r="J222" i="2"/>
  <c r="I222" i="2"/>
  <c r="H222" i="2"/>
  <c r="AO264" i="2" l="1"/>
  <c r="AN264" i="2"/>
  <c r="AP264" i="2"/>
  <c r="AQ264" i="2"/>
  <c r="AR264" i="2"/>
  <c r="AQ265" i="2"/>
  <c r="AR265" i="2"/>
  <c r="AL264" i="2"/>
  <c r="AM264" i="2"/>
  <c r="AK264" i="2"/>
  <c r="AO265" i="2"/>
  <c r="AN265" i="2"/>
  <c r="AI265" i="2"/>
  <c r="AI264" i="2"/>
  <c r="AK265" i="2"/>
  <c r="AL265" i="2"/>
  <c r="AM265" i="2"/>
  <c r="AJ264" i="2"/>
  <c r="AJ265" i="2"/>
  <c r="AG265" i="2"/>
  <c r="AH265" i="2"/>
  <c r="AE265" i="2"/>
  <c r="AF265" i="2"/>
  <c r="AH264" i="2"/>
  <c r="AF264" i="2"/>
  <c r="AG264" i="2"/>
  <c r="AD264" i="2"/>
  <c r="AD265" i="2"/>
  <c r="AE264" i="2"/>
  <c r="AC265" i="2"/>
  <c r="AC264" i="2"/>
  <c r="AB264" i="2"/>
  <c r="AB265" i="2"/>
  <c r="Z265" i="2"/>
  <c r="AA265" i="2"/>
  <c r="Z264" i="2"/>
  <c r="AA264" i="2"/>
  <c r="Y265" i="2"/>
  <c r="X265" i="2"/>
  <c r="X264" i="2"/>
  <c r="Y264" i="2"/>
  <c r="W264" i="2"/>
  <c r="V265" i="2"/>
  <c r="W265" i="2"/>
  <c r="V264" i="2"/>
  <c r="U265" i="2"/>
  <c r="T264" i="2"/>
  <c r="U264" i="2"/>
  <c r="T265" i="2"/>
  <c r="S265" i="2"/>
  <c r="S264" i="2"/>
  <c r="R264" i="2"/>
  <c r="R265" i="2"/>
  <c r="Q265" i="2"/>
  <c r="Q264" i="2"/>
  <c r="P264" i="2"/>
  <c r="P265" i="2"/>
  <c r="O265" i="2"/>
  <c r="N265" i="2"/>
  <c r="O264" i="2"/>
  <c r="N264" i="2"/>
  <c r="M265" i="2"/>
  <c r="M264" i="2"/>
  <c r="L265" i="2"/>
  <c r="L264" i="2"/>
  <c r="AS261" i="2"/>
  <c r="AO260" i="2"/>
  <c r="AP260" i="2"/>
  <c r="AR261" i="2"/>
  <c r="AQ261" i="2"/>
  <c r="AO261" i="2"/>
  <c r="AP261" i="2"/>
  <c r="AR260" i="2"/>
  <c r="AJ260" i="2"/>
  <c r="AQ260" i="2"/>
  <c r="AL260" i="2"/>
  <c r="AM260" i="2"/>
  <c r="AN260" i="2"/>
  <c r="AL261" i="2"/>
  <c r="AM261" i="2"/>
  <c r="AN261" i="2"/>
  <c r="AI261" i="2"/>
  <c r="AJ261" i="2"/>
  <c r="AK261" i="2"/>
  <c r="AH261" i="2"/>
  <c r="AD261" i="2"/>
  <c r="AK260" i="2"/>
  <c r="AE261" i="2"/>
  <c r="AI260" i="2"/>
  <c r="AF261" i="2"/>
  <c r="AG261" i="2"/>
  <c r="AG260" i="2"/>
  <c r="AH260" i="2"/>
  <c r="AF260" i="2"/>
  <c r="AC261" i="2"/>
  <c r="AE260" i="2"/>
  <c r="AD260" i="2"/>
  <c r="AA260" i="2"/>
  <c r="AB260" i="2"/>
  <c r="AC260" i="2"/>
  <c r="AA261" i="2"/>
  <c r="AB261" i="2"/>
  <c r="Y261" i="2"/>
  <c r="Z261" i="2"/>
  <c r="Y260" i="2"/>
  <c r="Z260" i="2"/>
  <c r="X261" i="2"/>
  <c r="W261" i="2"/>
  <c r="W260" i="2"/>
  <c r="X260" i="2"/>
  <c r="V261" i="2"/>
  <c r="U260" i="2"/>
  <c r="V260" i="2"/>
  <c r="U261" i="2"/>
  <c r="T261" i="2"/>
  <c r="T260" i="2"/>
  <c r="S261" i="2"/>
  <c r="S260" i="2"/>
  <c r="R261" i="2"/>
  <c r="Q260" i="2"/>
  <c r="Q261" i="2"/>
  <c r="P261" i="2"/>
  <c r="P260" i="2"/>
  <c r="O261" i="2"/>
  <c r="O260" i="2"/>
  <c r="N261" i="2"/>
  <c r="N260" i="2"/>
  <c r="M261" i="2"/>
  <c r="M260" i="2"/>
  <c r="L260" i="2"/>
  <c r="L261" i="2"/>
  <c r="AO226" i="2"/>
  <c r="T268" i="2"/>
  <c r="AQ226" i="2"/>
  <c r="AR226" i="2"/>
  <c r="AQ227" i="2"/>
  <c r="AO227" i="2"/>
  <c r="AP227" i="2"/>
  <c r="AR227" i="2"/>
  <c r="AN226" i="2"/>
  <c r="AK227" i="2"/>
  <c r="AL227" i="2"/>
  <c r="AN227" i="2"/>
  <c r="AM227" i="2"/>
  <c r="AG227" i="2"/>
  <c r="AJ227" i="2"/>
  <c r="AH227" i="2"/>
  <c r="AI227" i="2"/>
  <c r="AF227" i="2"/>
  <c r="AC227" i="2"/>
  <c r="AD227" i="2"/>
  <c r="AE227" i="2"/>
  <c r="Y227" i="2"/>
  <c r="Z227" i="2"/>
  <c r="AB227" i="2"/>
  <c r="AA227" i="2"/>
  <c r="S227" i="2"/>
  <c r="X227" i="2"/>
  <c r="W227" i="2"/>
  <c r="V227" i="2"/>
  <c r="U227" i="2"/>
  <c r="R227" i="2"/>
  <c r="T227" i="2"/>
  <c r="Q227" i="2"/>
  <c r="P227" i="2"/>
  <c r="O227" i="2"/>
  <c r="L227" i="2"/>
  <c r="M227" i="2"/>
  <c r="N227" i="2"/>
  <c r="AS223" i="2"/>
  <c r="L226" i="2"/>
  <c r="AE223" i="2"/>
  <c r="AO223" i="2"/>
  <c r="AM222" i="2"/>
  <c r="AQ223" i="2"/>
  <c r="AQ222" i="2"/>
  <c r="AR223" i="2"/>
  <c r="AR222" i="2"/>
  <c r="AK222" i="2"/>
  <c r="AP223" i="2"/>
  <c r="AL223" i="2"/>
  <c r="AM223" i="2"/>
  <c r="AD223" i="2"/>
  <c r="AN223" i="2"/>
  <c r="AL222" i="2"/>
  <c r="AN222" i="2"/>
  <c r="AO222" i="2"/>
  <c r="AP222" i="2"/>
  <c r="AH223" i="2"/>
  <c r="AI223" i="2"/>
  <c r="AJ223" i="2"/>
  <c r="AK223" i="2"/>
  <c r="AG222" i="2"/>
  <c r="AH222" i="2"/>
  <c r="AI222" i="2"/>
  <c r="AJ222" i="2"/>
  <c r="AF222" i="2"/>
  <c r="AG223" i="2"/>
  <c r="AB222" i="2"/>
  <c r="AF223" i="2"/>
  <c r="AD222" i="2"/>
  <c r="AE222" i="2"/>
  <c r="AC222" i="2"/>
  <c r="Y222" i="2"/>
  <c r="Z223" i="2"/>
  <c r="AC223" i="2"/>
  <c r="AB223" i="2"/>
  <c r="X222" i="2"/>
  <c r="AA223" i="2"/>
  <c r="Z222" i="2"/>
  <c r="AA222" i="2"/>
  <c r="W223" i="2"/>
  <c r="Y223" i="2"/>
  <c r="X223" i="2"/>
  <c r="S223" i="2"/>
  <c r="V223" i="2"/>
  <c r="U222" i="2"/>
  <c r="W222" i="2"/>
  <c r="V222" i="2"/>
  <c r="R223" i="2"/>
  <c r="T223" i="2"/>
  <c r="U223" i="2"/>
  <c r="S222" i="2"/>
  <c r="T222" i="2"/>
  <c r="R222" i="2"/>
  <c r="Q222" i="2"/>
  <c r="Q223" i="2"/>
  <c r="P223" i="2"/>
  <c r="O223" i="2"/>
  <c r="N223" i="2"/>
  <c r="P222" i="2"/>
  <c r="M222" i="2"/>
  <c r="M223" i="2"/>
  <c r="L223" i="2"/>
  <c r="L222" i="2"/>
  <c r="M226" i="2"/>
  <c r="I252" i="2"/>
  <c r="AM226" i="2" s="1"/>
  <c r="H229" i="2"/>
  <c r="H228" i="2" s="1"/>
  <c r="H227" i="2" s="1"/>
  <c r="O222" i="2" s="1"/>
  <c r="I217" i="2"/>
  <c r="I216" i="2" s="1"/>
  <c r="H217" i="2"/>
  <c r="H216" i="2" s="1"/>
  <c r="H215" i="2" s="1"/>
  <c r="J184" i="2"/>
  <c r="I184" i="2"/>
  <c r="AS189" i="2" s="1"/>
  <c r="H184" i="2"/>
  <c r="I179" i="2"/>
  <c r="I178" i="2" s="1"/>
  <c r="I177" i="2" s="1"/>
  <c r="I176" i="2" s="1"/>
  <c r="I175" i="2" s="1"/>
  <c r="I174" i="2" s="1"/>
  <c r="I173" i="2" s="1"/>
  <c r="I172" i="2" s="1"/>
  <c r="I171" i="2" s="1"/>
  <c r="I170" i="2" s="1"/>
  <c r="I169" i="2" s="1"/>
  <c r="I168" i="2" s="1"/>
  <c r="I167" i="2" s="1"/>
  <c r="I166" i="2" s="1"/>
  <c r="I165" i="2" s="1"/>
  <c r="I164" i="2" s="1"/>
  <c r="I163" i="2" s="1"/>
  <c r="I162" i="2" s="1"/>
  <c r="I161" i="2" s="1"/>
  <c r="I160" i="2" s="1"/>
  <c r="I159" i="2" s="1"/>
  <c r="I158" i="2" s="1"/>
  <c r="I157" i="2" s="1"/>
  <c r="I156" i="2" s="1"/>
  <c r="I155" i="2" s="1"/>
  <c r="I154" i="2" s="1"/>
  <c r="I153" i="2" s="1"/>
  <c r="I152" i="2" s="1"/>
  <c r="I151" i="2" s="1"/>
  <c r="I150" i="2" s="1"/>
  <c r="H178" i="2"/>
  <c r="H177" i="2" s="1"/>
  <c r="J146" i="2"/>
  <c r="AQ146" i="2" s="1"/>
  <c r="I146" i="2"/>
  <c r="AS151" i="2" s="1"/>
  <c r="H146" i="2"/>
  <c r="I141" i="2"/>
  <c r="I140" i="2" s="1"/>
  <c r="I139" i="2" s="1"/>
  <c r="I138" i="2" s="1"/>
  <c r="H139" i="2"/>
  <c r="H138" i="2" s="1"/>
  <c r="H137" i="2" s="1"/>
  <c r="H136" i="2" s="1"/>
  <c r="H135" i="2" s="1"/>
  <c r="H134" i="2" s="1"/>
  <c r="H133" i="2" s="1"/>
  <c r="H132" i="2" s="1"/>
  <c r="H131" i="2" s="1"/>
  <c r="H130" i="2" s="1"/>
  <c r="H129" i="2" s="1"/>
  <c r="H128" i="2" s="1"/>
  <c r="H127" i="2" s="1"/>
  <c r="H126" i="2" s="1"/>
  <c r="H125" i="2" s="1"/>
  <c r="H124" i="2" s="1"/>
  <c r="H123" i="2" s="1"/>
  <c r="H122" i="2" s="1"/>
  <c r="H121" i="2" s="1"/>
  <c r="H120" i="2" s="1"/>
  <c r="H119" i="2" s="1"/>
  <c r="H118" i="2" s="1"/>
  <c r="H117" i="2" s="1"/>
  <c r="H116" i="2" s="1"/>
  <c r="H115" i="2" s="1"/>
  <c r="J108" i="2"/>
  <c r="L108" i="2" s="1"/>
  <c r="I108" i="2"/>
  <c r="H108" i="2"/>
  <c r="H100" i="2"/>
  <c r="H99" i="2" s="1"/>
  <c r="H98" i="2" s="1"/>
  <c r="H97" i="2" s="1"/>
  <c r="H96" i="2" s="1"/>
  <c r="H95" i="2" s="1"/>
  <c r="H94" i="2" s="1"/>
  <c r="H93" i="2" s="1"/>
  <c r="H92" i="2" s="1"/>
  <c r="H91" i="2" s="1"/>
  <c r="H90" i="2" s="1"/>
  <c r="H89" i="2" s="1"/>
  <c r="H88" i="2" s="1"/>
  <c r="H87" i="2" s="1"/>
  <c r="H86" i="2" s="1"/>
  <c r="H85" i="2" s="1"/>
  <c r="H84" i="2" s="1"/>
  <c r="H83" i="2" s="1"/>
  <c r="H82" i="2" s="1"/>
  <c r="H81" i="2" s="1"/>
  <c r="H80" i="2" s="1"/>
  <c r="H68" i="2"/>
  <c r="P92" i="2"/>
  <c r="O92" i="2" s="1"/>
  <c r="N92" i="2" s="1"/>
  <c r="M92" i="2" s="1"/>
  <c r="L92" i="2" s="1"/>
  <c r="R92" i="2"/>
  <c r="S92" i="2" s="1"/>
  <c r="T92" i="2" s="1"/>
  <c r="U92" i="2" s="1"/>
  <c r="V92" i="2" s="1"/>
  <c r="W92" i="2" s="1"/>
  <c r="X92" i="2" s="1"/>
  <c r="Y92" i="2" s="1"/>
  <c r="Z92" i="2" s="1"/>
  <c r="AA92" i="2" s="1"/>
  <c r="AB92" i="2" s="1"/>
  <c r="AC92" i="2" s="1"/>
  <c r="AD92" i="2" s="1"/>
  <c r="AE92" i="2" s="1"/>
  <c r="AF92" i="2" s="1"/>
  <c r="AG92" i="2" s="1"/>
  <c r="AH92" i="2" s="1"/>
  <c r="AI92" i="2" s="1"/>
  <c r="AJ92" i="2" s="1"/>
  <c r="AK92" i="2" s="1"/>
  <c r="AL92" i="2" s="1"/>
  <c r="AM92" i="2" s="1"/>
  <c r="AN92" i="2" s="1"/>
  <c r="AO92" i="2" s="1"/>
  <c r="AP92" i="2" s="1"/>
  <c r="AQ92" i="2" s="1"/>
  <c r="AR92" i="2" s="1"/>
  <c r="AS92" i="2" s="1"/>
  <c r="AT92" i="2" s="1"/>
  <c r="P89" i="2"/>
  <c r="O89" i="2" s="1"/>
  <c r="N89" i="2" s="1"/>
  <c r="M89" i="2" s="1"/>
  <c r="L89" i="2" s="1"/>
  <c r="R89" i="2"/>
  <c r="S89" i="2" s="1"/>
  <c r="T89" i="2" s="1"/>
  <c r="U89" i="2" s="1"/>
  <c r="V89" i="2" s="1"/>
  <c r="W89" i="2" s="1"/>
  <c r="X89" i="2" s="1"/>
  <c r="Y89" i="2" s="1"/>
  <c r="Z89" i="2" s="1"/>
  <c r="AA89" i="2" s="1"/>
  <c r="AB89" i="2" s="1"/>
  <c r="AC89" i="2" s="1"/>
  <c r="AD89" i="2" s="1"/>
  <c r="AE89" i="2" s="1"/>
  <c r="AF89" i="2" s="1"/>
  <c r="AG89" i="2" s="1"/>
  <c r="AH89" i="2" s="1"/>
  <c r="AI89" i="2" s="1"/>
  <c r="AJ89" i="2" s="1"/>
  <c r="AK89" i="2" s="1"/>
  <c r="AL89" i="2" s="1"/>
  <c r="AM89" i="2" s="1"/>
  <c r="AN89" i="2" s="1"/>
  <c r="AO89" i="2" s="1"/>
  <c r="AP89" i="2" s="1"/>
  <c r="AQ89" i="2" s="1"/>
  <c r="AR89" i="2" s="1"/>
  <c r="AS89" i="2" s="1"/>
  <c r="AT89" i="2" s="1"/>
  <c r="G77" i="2"/>
  <c r="P86" i="2"/>
  <c r="O86" i="2" s="1"/>
  <c r="N86" i="2" s="1"/>
  <c r="M86" i="2" s="1"/>
  <c r="L86" i="2" s="1"/>
  <c r="P80" i="2"/>
  <c r="O80" i="2" s="1"/>
  <c r="N80" i="2" s="1"/>
  <c r="M80" i="2" s="1"/>
  <c r="L80" i="2" s="1"/>
  <c r="G87" i="2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AP151" i="2" l="1"/>
  <c r="AS264" i="2"/>
  <c r="AT262" i="2"/>
  <c r="U268" i="2"/>
  <c r="AT224" i="2"/>
  <c r="I251" i="2"/>
  <c r="AL226" i="2" s="1"/>
  <c r="H226" i="2"/>
  <c r="N222" i="2" s="1"/>
  <c r="AR189" i="2"/>
  <c r="AP189" i="2"/>
  <c r="AQ189" i="2"/>
  <c r="AR188" i="2"/>
  <c r="AQ188" i="2"/>
  <c r="AP188" i="2"/>
  <c r="AM189" i="2"/>
  <c r="AO188" i="2"/>
  <c r="AN189" i="2"/>
  <c r="AO189" i="2"/>
  <c r="AL189" i="2"/>
  <c r="AK189" i="2"/>
  <c r="AJ189" i="2"/>
  <c r="AH189" i="2"/>
  <c r="AI189" i="2"/>
  <c r="AG189" i="2"/>
  <c r="AF189" i="2"/>
  <c r="AD189" i="2"/>
  <c r="AE189" i="2"/>
  <c r="AB189" i="2"/>
  <c r="AC189" i="2"/>
  <c r="Z189" i="2"/>
  <c r="AA189" i="2"/>
  <c r="Y189" i="2"/>
  <c r="X189" i="2"/>
  <c r="W189" i="2"/>
  <c r="V189" i="2"/>
  <c r="U189" i="2"/>
  <c r="S189" i="2"/>
  <c r="T189" i="2"/>
  <c r="Q189" i="2"/>
  <c r="R189" i="2"/>
  <c r="O189" i="2"/>
  <c r="P189" i="2"/>
  <c r="N189" i="2"/>
  <c r="M188" i="2"/>
  <c r="L189" i="2"/>
  <c r="M189" i="2"/>
  <c r="AR184" i="2"/>
  <c r="AQ184" i="2"/>
  <c r="AS185" i="2"/>
  <c r="W185" i="2"/>
  <c r="AQ185" i="2"/>
  <c r="AR185" i="2"/>
  <c r="AP184" i="2"/>
  <c r="AP185" i="2"/>
  <c r="AK185" i="2"/>
  <c r="AN185" i="2"/>
  <c r="AO185" i="2"/>
  <c r="AM185" i="2"/>
  <c r="AL185" i="2"/>
  <c r="AN184" i="2"/>
  <c r="AJ185" i="2"/>
  <c r="AO184" i="2"/>
  <c r="AF185" i="2"/>
  <c r="AG185" i="2"/>
  <c r="AI185" i="2"/>
  <c r="AH185" i="2"/>
  <c r="AB185" i="2"/>
  <c r="AE185" i="2"/>
  <c r="AD185" i="2"/>
  <c r="AC185" i="2"/>
  <c r="AA185" i="2"/>
  <c r="Z185" i="2"/>
  <c r="Y185" i="2"/>
  <c r="X185" i="2"/>
  <c r="V185" i="2"/>
  <c r="U185" i="2"/>
  <c r="T185" i="2"/>
  <c r="S185" i="2"/>
  <c r="R185" i="2"/>
  <c r="Q185" i="2"/>
  <c r="P185" i="2"/>
  <c r="O185" i="2"/>
  <c r="M185" i="2"/>
  <c r="N185" i="2"/>
  <c r="M184" i="2"/>
  <c r="L185" i="2"/>
  <c r="L184" i="2"/>
  <c r="L188" i="2"/>
  <c r="I215" i="2"/>
  <c r="AN188" i="2" s="1"/>
  <c r="H214" i="2"/>
  <c r="AM184" i="2" s="1"/>
  <c r="AN151" i="2"/>
  <c r="AQ150" i="2"/>
  <c r="AR150" i="2"/>
  <c r="AS108" i="2"/>
  <c r="AS113" i="2"/>
  <c r="AN150" i="2"/>
  <c r="AQ151" i="2"/>
  <c r="AO150" i="2"/>
  <c r="AR151" i="2"/>
  <c r="AP150" i="2"/>
  <c r="AO151" i="2"/>
  <c r="AL150" i="2"/>
  <c r="AM150" i="2"/>
  <c r="AK150" i="2"/>
  <c r="AK151" i="2"/>
  <c r="AL151" i="2"/>
  <c r="AM151" i="2"/>
  <c r="AJ151" i="2"/>
  <c r="AI151" i="2"/>
  <c r="AH150" i="2"/>
  <c r="AI150" i="2"/>
  <c r="AJ150" i="2"/>
  <c r="AF150" i="2"/>
  <c r="AG151" i="2"/>
  <c r="AG150" i="2"/>
  <c r="AH151" i="2"/>
  <c r="AF151" i="2"/>
  <c r="AD150" i="2"/>
  <c r="AD151" i="2"/>
  <c r="AE151" i="2"/>
  <c r="AB151" i="2"/>
  <c r="AC151" i="2"/>
  <c r="AC150" i="2"/>
  <c r="AA151" i="2"/>
  <c r="AB150" i="2"/>
  <c r="Y151" i="2"/>
  <c r="AA150" i="2"/>
  <c r="Z150" i="2"/>
  <c r="Z151" i="2"/>
  <c r="X150" i="2"/>
  <c r="Y150" i="2"/>
  <c r="W150" i="2"/>
  <c r="W151" i="2"/>
  <c r="X151" i="2"/>
  <c r="V151" i="2"/>
  <c r="U150" i="2"/>
  <c r="V150" i="2"/>
  <c r="T151" i="2"/>
  <c r="U151" i="2"/>
  <c r="S150" i="2"/>
  <c r="T150" i="2"/>
  <c r="R150" i="2"/>
  <c r="R151" i="2"/>
  <c r="S151" i="2"/>
  <c r="Q151" i="2"/>
  <c r="Q150" i="2"/>
  <c r="P151" i="2"/>
  <c r="P150" i="2"/>
  <c r="O150" i="2"/>
  <c r="N150" i="2"/>
  <c r="O151" i="2"/>
  <c r="N151" i="2"/>
  <c r="M151" i="2"/>
  <c r="L151" i="2"/>
  <c r="AR146" i="2"/>
  <c r="AS147" i="2"/>
  <c r="AO146" i="2"/>
  <c r="AP146" i="2"/>
  <c r="AP147" i="2"/>
  <c r="AQ147" i="2"/>
  <c r="AR147" i="2"/>
  <c r="AN146" i="2"/>
  <c r="AN147" i="2"/>
  <c r="AO147" i="2"/>
  <c r="AL147" i="2"/>
  <c r="AM147" i="2"/>
  <c r="AK147" i="2"/>
  <c r="AI147" i="2"/>
  <c r="AJ147" i="2"/>
  <c r="AG147" i="2"/>
  <c r="AH147" i="2"/>
  <c r="AF147" i="2"/>
  <c r="AE147" i="2"/>
  <c r="AD147" i="2"/>
  <c r="AC147" i="2"/>
  <c r="AB147" i="2"/>
  <c r="Z147" i="2"/>
  <c r="AA147" i="2"/>
  <c r="X147" i="2"/>
  <c r="Y147" i="2"/>
  <c r="V147" i="2"/>
  <c r="W147" i="2"/>
  <c r="U147" i="2"/>
  <c r="S147" i="2"/>
  <c r="T147" i="2"/>
  <c r="R147" i="2"/>
  <c r="Q147" i="2"/>
  <c r="P147" i="2"/>
  <c r="O147" i="2"/>
  <c r="N147" i="2"/>
  <c r="L146" i="2"/>
  <c r="M146" i="2"/>
  <c r="L147" i="2"/>
  <c r="M147" i="2"/>
  <c r="L150" i="2"/>
  <c r="M150" i="2"/>
  <c r="AE150" i="2"/>
  <c r="H176" i="2"/>
  <c r="AM146" i="2" s="1"/>
  <c r="AR113" i="2"/>
  <c r="AO113" i="2"/>
  <c r="AP113" i="2"/>
  <c r="AQ113" i="2"/>
  <c r="AN113" i="2"/>
  <c r="AM113" i="2"/>
  <c r="AK113" i="2"/>
  <c r="AL113" i="2"/>
  <c r="AJ113" i="2"/>
  <c r="AI113" i="2"/>
  <c r="AG113" i="2"/>
  <c r="AH113" i="2"/>
  <c r="AF113" i="2"/>
  <c r="AB113" i="2"/>
  <c r="AD113" i="2"/>
  <c r="AE113" i="2"/>
  <c r="AA113" i="2"/>
  <c r="AC113" i="2"/>
  <c r="Z113" i="2"/>
  <c r="Y113" i="2"/>
  <c r="V113" i="2"/>
  <c r="X113" i="2"/>
  <c r="W113" i="2"/>
  <c r="T113" i="2"/>
  <c r="U113" i="2"/>
  <c r="R113" i="2"/>
  <c r="Q113" i="2"/>
  <c r="S113" i="2"/>
  <c r="O113" i="2"/>
  <c r="P113" i="2"/>
  <c r="N113" i="2"/>
  <c r="M113" i="2"/>
  <c r="L113" i="2"/>
  <c r="AM112" i="2"/>
  <c r="AQ112" i="2"/>
  <c r="AR112" i="2"/>
  <c r="AN112" i="2"/>
  <c r="AO112" i="2"/>
  <c r="AP112" i="2"/>
  <c r="M112" i="2"/>
  <c r="L112" i="2"/>
  <c r="AS112" i="2" s="1"/>
  <c r="I137" i="2"/>
  <c r="I136" i="2" s="1"/>
  <c r="AK112" i="2" s="1"/>
  <c r="AN108" i="2"/>
  <c r="AO108" i="2"/>
  <c r="AP108" i="2"/>
  <c r="AJ108" i="2"/>
  <c r="AK108" i="2"/>
  <c r="AL108" i="2"/>
  <c r="AS109" i="2"/>
  <c r="AT111" i="2" s="1"/>
  <c r="AM108" i="2"/>
  <c r="AH108" i="2"/>
  <c r="AI108" i="2"/>
  <c r="AC108" i="2"/>
  <c r="AG108" i="2"/>
  <c r="AD108" i="2"/>
  <c r="AE108" i="2"/>
  <c r="AF108" i="2"/>
  <c r="Z108" i="2"/>
  <c r="X108" i="2"/>
  <c r="AA108" i="2"/>
  <c r="AB108" i="2"/>
  <c r="Y108" i="2"/>
  <c r="V108" i="2"/>
  <c r="W108" i="2"/>
  <c r="U108" i="2"/>
  <c r="Q108" i="2"/>
  <c r="T108" i="2"/>
  <c r="R108" i="2"/>
  <c r="S108" i="2"/>
  <c r="M108" i="2"/>
  <c r="AO109" i="2"/>
  <c r="AM109" i="2"/>
  <c r="AN109" i="2"/>
  <c r="AL109" i="2"/>
  <c r="AJ109" i="2"/>
  <c r="AK109" i="2"/>
  <c r="AI109" i="2"/>
  <c r="AH109" i="2"/>
  <c r="AG109" i="2"/>
  <c r="AD109" i="2"/>
  <c r="AF109" i="2"/>
  <c r="AE109" i="2"/>
  <c r="AB109" i="2"/>
  <c r="AC109" i="2"/>
  <c r="AA109" i="2"/>
  <c r="Y109" i="2"/>
  <c r="Z109" i="2"/>
  <c r="X109" i="2"/>
  <c r="V109" i="2"/>
  <c r="W109" i="2"/>
  <c r="U109" i="2"/>
  <c r="T109" i="2"/>
  <c r="S109" i="2"/>
  <c r="R109" i="2"/>
  <c r="Q109" i="2"/>
  <c r="P109" i="2"/>
  <c r="L109" i="2"/>
  <c r="N109" i="2"/>
  <c r="O109" i="2"/>
  <c r="AR109" i="2"/>
  <c r="AQ109" i="2"/>
  <c r="AQ108" i="2"/>
  <c r="AP109" i="2"/>
  <c r="AR108" i="2"/>
  <c r="M109" i="2"/>
  <c r="H114" i="2"/>
  <c r="H113" i="2" s="1"/>
  <c r="H112" i="2" s="1"/>
  <c r="N108" i="2" s="1"/>
  <c r="I68" i="2"/>
  <c r="J68" i="2"/>
  <c r="J14" i="2"/>
  <c r="V268" i="2" l="1"/>
  <c r="I250" i="2"/>
  <c r="AK226" i="2" s="1"/>
  <c r="AT186" i="2"/>
  <c r="I214" i="2"/>
  <c r="AM188" i="2" s="1"/>
  <c r="H213" i="2"/>
  <c r="AL184" i="2" s="1"/>
  <c r="O108" i="2"/>
  <c r="AL112" i="2"/>
  <c r="P108" i="2"/>
  <c r="AS150" i="2"/>
  <c r="AT148" i="2"/>
  <c r="H175" i="2"/>
  <c r="AL146" i="2" s="1"/>
  <c r="I135" i="2"/>
  <c r="AJ112" i="2" s="1"/>
  <c r="AS69" i="2"/>
  <c r="AT71" i="2" s="1"/>
  <c r="AT110" i="2"/>
  <c r="AS73" i="2"/>
  <c r="AS74" i="2"/>
  <c r="AK74" i="2"/>
  <c r="AP74" i="2"/>
  <c r="AJ74" i="2"/>
  <c r="AI74" i="2"/>
  <c r="AH74" i="2"/>
  <c r="AE74" i="2"/>
  <c r="AF74" i="2"/>
  <c r="AG74" i="2"/>
  <c r="AC74" i="2"/>
  <c r="AD74" i="2"/>
  <c r="AB74" i="2"/>
  <c r="AA74" i="2"/>
  <c r="X74" i="2"/>
  <c r="Z74" i="2"/>
  <c r="Y74" i="2"/>
  <c r="V74" i="2"/>
  <c r="W74" i="2"/>
  <c r="S74" i="2"/>
  <c r="T74" i="2"/>
  <c r="Q74" i="2"/>
  <c r="R74" i="2"/>
  <c r="O74" i="2"/>
  <c r="P74" i="2"/>
  <c r="L74" i="2"/>
  <c r="N74" i="2"/>
  <c r="AR74" i="2"/>
  <c r="M74" i="2"/>
  <c r="AQ74" i="2"/>
  <c r="AN74" i="2"/>
  <c r="AR73" i="2"/>
  <c r="AP73" i="2"/>
  <c r="AO73" i="2"/>
  <c r="AQ73" i="2"/>
  <c r="AN73" i="2"/>
  <c r="AO74" i="2"/>
  <c r="Q73" i="2"/>
  <c r="AM74" i="2"/>
  <c r="AL74" i="2"/>
  <c r="L73" i="2"/>
  <c r="M73" i="2"/>
  <c r="U74" i="2"/>
  <c r="L69" i="2"/>
  <c r="L68" i="2"/>
  <c r="AH73" i="2"/>
  <c r="Z73" i="2"/>
  <c r="R73" i="2"/>
  <c r="AG73" i="2"/>
  <c r="Y73" i="2"/>
  <c r="AL73" i="2"/>
  <c r="AD73" i="2"/>
  <c r="V73" i="2"/>
  <c r="P73" i="2"/>
  <c r="AC73" i="2"/>
  <c r="AB73" i="2"/>
  <c r="S73" i="2"/>
  <c r="AF73" i="2"/>
  <c r="X73" i="2"/>
  <c r="N73" i="2"/>
  <c r="AM73" i="2"/>
  <c r="AE73" i="2"/>
  <c r="W73" i="2"/>
  <c r="O73" i="2"/>
  <c r="AK73" i="2"/>
  <c r="U73" i="2"/>
  <c r="AJ73" i="2"/>
  <c r="T73" i="2"/>
  <c r="AI73" i="2"/>
  <c r="AA73" i="2"/>
  <c r="P69" i="2"/>
  <c r="N69" i="2"/>
  <c r="O69" i="2"/>
  <c r="M69" i="2"/>
  <c r="AG69" i="2"/>
  <c r="M68" i="2"/>
  <c r="O68" i="2"/>
  <c r="N68" i="2"/>
  <c r="P68" i="2"/>
  <c r="AR69" i="2"/>
  <c r="AQ69" i="2"/>
  <c r="AP69" i="2"/>
  <c r="AO69" i="2"/>
  <c r="AM69" i="2"/>
  <c r="AN69" i="2"/>
  <c r="AL69" i="2"/>
  <c r="AJ69" i="2"/>
  <c r="AK69" i="2"/>
  <c r="AI69" i="2"/>
  <c r="AH69" i="2"/>
  <c r="AE69" i="2"/>
  <c r="AF69" i="2"/>
  <c r="AB69" i="2"/>
  <c r="AC69" i="2"/>
  <c r="AD69" i="2"/>
  <c r="AA69" i="2"/>
  <c r="Z69" i="2"/>
  <c r="Y69" i="2"/>
  <c r="X69" i="2"/>
  <c r="V69" i="2"/>
  <c r="W69" i="2"/>
  <c r="U69" i="2"/>
  <c r="T69" i="2"/>
  <c r="S69" i="2"/>
  <c r="Q69" i="2"/>
  <c r="R69" i="2"/>
  <c r="R86" i="2"/>
  <c r="S86" i="2" s="1"/>
  <c r="T86" i="2" s="1"/>
  <c r="U86" i="2" s="1"/>
  <c r="V86" i="2" s="1"/>
  <c r="W86" i="2" s="1"/>
  <c r="X86" i="2" s="1"/>
  <c r="Y86" i="2" s="1"/>
  <c r="Z86" i="2" s="1"/>
  <c r="AA86" i="2" s="1"/>
  <c r="AB86" i="2" s="1"/>
  <c r="AC86" i="2" s="1"/>
  <c r="AD86" i="2" s="1"/>
  <c r="AE86" i="2" s="1"/>
  <c r="AF86" i="2" s="1"/>
  <c r="AG86" i="2" s="1"/>
  <c r="AH86" i="2" s="1"/>
  <c r="AI86" i="2" s="1"/>
  <c r="AJ86" i="2" s="1"/>
  <c r="AK86" i="2" s="1"/>
  <c r="AL86" i="2" s="1"/>
  <c r="AM86" i="2" s="1"/>
  <c r="AN86" i="2" s="1"/>
  <c r="AO86" i="2" s="1"/>
  <c r="AP86" i="2" s="1"/>
  <c r="AQ86" i="2" s="1"/>
  <c r="AR86" i="2" s="1"/>
  <c r="AS86" i="2" s="1"/>
  <c r="AT86" i="2" s="1"/>
  <c r="R80" i="2"/>
  <c r="S80" i="2" s="1"/>
  <c r="T80" i="2" s="1"/>
  <c r="U80" i="2" s="1"/>
  <c r="V80" i="2" s="1"/>
  <c r="W80" i="2" s="1"/>
  <c r="X80" i="2" s="1"/>
  <c r="Y80" i="2" s="1"/>
  <c r="Z80" i="2" s="1"/>
  <c r="AA80" i="2" s="1"/>
  <c r="AB80" i="2" s="1"/>
  <c r="AC80" i="2" s="1"/>
  <c r="AD80" i="2" s="1"/>
  <c r="AE80" i="2" s="1"/>
  <c r="AF80" i="2" s="1"/>
  <c r="AG80" i="2" s="1"/>
  <c r="AH80" i="2" s="1"/>
  <c r="AI80" i="2" s="1"/>
  <c r="AJ80" i="2" s="1"/>
  <c r="AK80" i="2" s="1"/>
  <c r="AL80" i="2" s="1"/>
  <c r="AM80" i="2" s="1"/>
  <c r="AN80" i="2" s="1"/>
  <c r="AO80" i="2" s="1"/>
  <c r="AP80" i="2" s="1"/>
  <c r="AQ80" i="2" s="1"/>
  <c r="AR80" i="2" s="1"/>
  <c r="AS80" i="2" s="1"/>
  <c r="AT80" i="2" s="1"/>
  <c r="J63" i="2"/>
  <c r="J58" i="2"/>
  <c r="H63" i="2"/>
  <c r="H58" i="2"/>
  <c r="J53" i="2"/>
  <c r="H53" i="2"/>
  <c r="J48" i="2"/>
  <c r="H48" i="2"/>
  <c r="J43" i="2"/>
  <c r="J38" i="2"/>
  <c r="H43" i="2"/>
  <c r="H38" i="2"/>
  <c r="H34" i="2"/>
  <c r="J34" i="2"/>
  <c r="M34" i="2" s="1"/>
  <c r="H30" i="2"/>
  <c r="J30" i="2"/>
  <c r="H22" i="2"/>
  <c r="H26" i="2"/>
  <c r="J26" i="2"/>
  <c r="M26" i="2" s="1"/>
  <c r="J22" i="2"/>
  <c r="M22" i="2" s="1"/>
  <c r="J18" i="2"/>
  <c r="H18" i="2"/>
  <c r="H14" i="2"/>
  <c r="M14" i="2" s="1"/>
  <c r="W268" i="2" l="1"/>
  <c r="I249" i="2"/>
  <c r="AJ226" i="2" s="1"/>
  <c r="I213" i="2"/>
  <c r="AL188" i="2" s="1"/>
  <c r="H212" i="2"/>
  <c r="AK184" i="2" s="1"/>
  <c r="H174" i="2"/>
  <c r="AK146" i="2" s="1"/>
  <c r="G3" i="1"/>
  <c r="I134" i="2"/>
  <c r="AI112" i="2" s="1"/>
  <c r="AB68" i="2"/>
  <c r="AK68" i="2"/>
  <c r="AE68" i="2"/>
  <c r="AL68" i="2"/>
  <c r="AD68" i="2"/>
  <c r="AP68" i="2"/>
  <c r="AF68" i="2"/>
  <c r="AQ68" i="2"/>
  <c r="AH68" i="2"/>
  <c r="AN68" i="2"/>
  <c r="AI68" i="2"/>
  <c r="AO68" i="2"/>
  <c r="AG68" i="2"/>
  <c r="AR68" i="2"/>
  <c r="AC68" i="2"/>
  <c r="AJ68" i="2"/>
  <c r="AM68" i="2"/>
  <c r="X68" i="2"/>
  <c r="W68" i="2"/>
  <c r="AA68" i="2"/>
  <c r="Z68" i="2"/>
  <c r="T68" i="2"/>
  <c r="V68" i="2"/>
  <c r="U68" i="2"/>
  <c r="Y68" i="2"/>
  <c r="S68" i="2"/>
  <c r="M18" i="2"/>
  <c r="M62" i="2"/>
  <c r="R68" i="2"/>
  <c r="Q68" i="2"/>
  <c r="M48" i="2"/>
  <c r="G15" i="1" s="1"/>
  <c r="M25" i="2"/>
  <c r="M63" i="2"/>
  <c r="M57" i="2"/>
  <c r="M58" i="2"/>
  <c r="G18" i="1" s="1"/>
  <c r="M52" i="2"/>
  <c r="M53" i="2"/>
  <c r="M47" i="2"/>
  <c r="M30" i="2"/>
  <c r="G9" i="1" s="1"/>
  <c r="M33" i="2"/>
  <c r="M38" i="2"/>
  <c r="G12" i="1" s="1"/>
  <c r="M43" i="2"/>
  <c r="M37" i="2"/>
  <c r="M42" i="2"/>
  <c r="M29" i="2"/>
  <c r="M17" i="2"/>
  <c r="M21" i="2"/>
  <c r="F6" i="1" s="1"/>
  <c r="M13" i="2"/>
  <c r="X268" i="2" l="1"/>
  <c r="I248" i="2"/>
  <c r="AI226" i="2" s="1"/>
  <c r="I212" i="2"/>
  <c r="AK188" i="2" s="1"/>
  <c r="H211" i="2"/>
  <c r="AJ184" i="2" s="1"/>
  <c r="H173" i="2"/>
  <c r="AJ146" i="2" s="1"/>
  <c r="I133" i="2"/>
  <c r="AH112" i="2" s="1"/>
  <c r="AS68" i="2"/>
  <c r="AT70" i="2" s="1"/>
  <c r="F3" i="1" s="1"/>
  <c r="Y268" i="2" l="1"/>
  <c r="I247" i="2"/>
  <c r="AH226" i="2" s="1"/>
  <c r="I211" i="2"/>
  <c r="AJ188" i="2" s="1"/>
  <c r="H210" i="2"/>
  <c r="AI184" i="2" s="1"/>
  <c r="H172" i="2"/>
  <c r="I132" i="2"/>
  <c r="AG112" i="2" s="1"/>
  <c r="Z268" i="2" l="1"/>
  <c r="I246" i="2"/>
  <c r="AG226" i="2" s="1"/>
  <c r="I210" i="2"/>
  <c r="AI188" i="2" s="1"/>
  <c r="H209" i="2"/>
  <c r="AH184" i="2" s="1"/>
  <c r="AI146" i="2"/>
  <c r="H171" i="2"/>
  <c r="AH146" i="2" s="1"/>
  <c r="I131" i="2"/>
  <c r="AF112" i="2" s="1"/>
  <c r="AA268" i="2" l="1"/>
  <c r="I245" i="2"/>
  <c r="AF226" i="2" s="1"/>
  <c r="I209" i="2"/>
  <c r="AH188" i="2" s="1"/>
  <c r="H208" i="2"/>
  <c r="AG184" i="2" s="1"/>
  <c r="H170" i="2"/>
  <c r="AG146" i="2" s="1"/>
  <c r="I130" i="2"/>
  <c r="AE112" i="2" s="1"/>
  <c r="AB268" i="2" l="1"/>
  <c r="I244" i="2"/>
  <c r="AE226" i="2" s="1"/>
  <c r="I208" i="2"/>
  <c r="AG188" i="2" s="1"/>
  <c r="H207" i="2"/>
  <c r="AF184" i="2" s="1"/>
  <c r="H169" i="2"/>
  <c r="AF146" i="2" s="1"/>
  <c r="I129" i="2"/>
  <c r="AD112" i="2" s="1"/>
  <c r="AC268" i="2" l="1"/>
  <c r="I243" i="2"/>
  <c r="AD226" i="2" s="1"/>
  <c r="I207" i="2"/>
  <c r="AF188" i="2" s="1"/>
  <c r="H206" i="2"/>
  <c r="AE184" i="2" s="1"/>
  <c r="H168" i="2"/>
  <c r="AE146" i="2" s="1"/>
  <c r="I128" i="2"/>
  <c r="AC112" i="2" s="1"/>
  <c r="AD268" i="2" l="1"/>
  <c r="I242" i="2"/>
  <c r="AC226" i="2" s="1"/>
  <c r="I206" i="2"/>
  <c r="AE188" i="2" s="1"/>
  <c r="H205" i="2"/>
  <c r="AD184" i="2" s="1"/>
  <c r="H167" i="2"/>
  <c r="AD146" i="2" s="1"/>
  <c r="I127" i="2"/>
  <c r="AB112" i="2" s="1"/>
  <c r="AE268" i="2" l="1"/>
  <c r="I241" i="2"/>
  <c r="AB226" i="2" s="1"/>
  <c r="I205" i="2"/>
  <c r="AD188" i="2" s="1"/>
  <c r="H204" i="2"/>
  <c r="AC184" i="2" s="1"/>
  <c r="H166" i="2"/>
  <c r="AC146" i="2" s="1"/>
  <c r="I126" i="2"/>
  <c r="AA112" i="2" s="1"/>
  <c r="AF268" i="2" l="1"/>
  <c r="I240" i="2"/>
  <c r="AA226" i="2" s="1"/>
  <c r="I204" i="2"/>
  <c r="AC188" i="2" s="1"/>
  <c r="H203" i="2"/>
  <c r="AB184" i="2" s="1"/>
  <c r="H165" i="2"/>
  <c r="AB146" i="2" s="1"/>
  <c r="I125" i="2"/>
  <c r="Z112" i="2" s="1"/>
  <c r="AG268" i="2" l="1"/>
  <c r="I239" i="2"/>
  <c r="Z226" i="2" s="1"/>
  <c r="I203" i="2"/>
  <c r="AB188" i="2" s="1"/>
  <c r="H202" i="2"/>
  <c r="AA184" i="2" s="1"/>
  <c r="H164" i="2"/>
  <c r="AA146" i="2" s="1"/>
  <c r="I124" i="2"/>
  <c r="Y112" i="2" s="1"/>
  <c r="AH268" i="2" l="1"/>
  <c r="AS260" i="2"/>
  <c r="AT261" i="2" s="1"/>
  <c r="F18" i="1" s="1"/>
  <c r="I238" i="2"/>
  <c r="Y226" i="2" s="1"/>
  <c r="I202" i="2"/>
  <c r="AA188" i="2" s="1"/>
  <c r="H201" i="2"/>
  <c r="Z184" i="2" s="1"/>
  <c r="H163" i="2"/>
  <c r="Z146" i="2" s="1"/>
  <c r="I123" i="2"/>
  <c r="X112" i="2" s="1"/>
  <c r="AI268" i="2" l="1"/>
  <c r="I237" i="2"/>
  <c r="X226" i="2" s="1"/>
  <c r="I201" i="2"/>
  <c r="Z188" i="2" s="1"/>
  <c r="H200" i="2"/>
  <c r="Y184" i="2" s="1"/>
  <c r="H162" i="2"/>
  <c r="Y146" i="2" s="1"/>
  <c r="I122" i="2"/>
  <c r="W112" i="2" s="1"/>
  <c r="AJ268" i="2" l="1"/>
  <c r="I236" i="2"/>
  <c r="W226" i="2" s="1"/>
  <c r="I200" i="2"/>
  <c r="Y188" i="2" s="1"/>
  <c r="H199" i="2"/>
  <c r="X184" i="2" s="1"/>
  <c r="AS146" i="2"/>
  <c r="H161" i="2"/>
  <c r="X146" i="2" s="1"/>
  <c r="I121" i="2"/>
  <c r="V112" i="2" s="1"/>
  <c r="AK268" i="2" l="1"/>
  <c r="I235" i="2"/>
  <c r="V226" i="2" s="1"/>
  <c r="AS222" i="2"/>
  <c r="I199" i="2"/>
  <c r="X188" i="2" s="1"/>
  <c r="H198" i="2"/>
  <c r="W184" i="2" s="1"/>
  <c r="H160" i="2"/>
  <c r="W146" i="2" s="1"/>
  <c r="I120" i="2"/>
  <c r="U112" i="2" s="1"/>
  <c r="AL268" i="2" l="1"/>
  <c r="I234" i="2"/>
  <c r="U226" i="2" s="1"/>
  <c r="I198" i="2"/>
  <c r="W188" i="2" s="1"/>
  <c r="H197" i="2"/>
  <c r="V184" i="2" s="1"/>
  <c r="H159" i="2"/>
  <c r="V146" i="2" s="1"/>
  <c r="I119" i="2"/>
  <c r="T112" i="2" s="1"/>
  <c r="AM268" i="2" l="1"/>
  <c r="I233" i="2"/>
  <c r="T226" i="2" s="1"/>
  <c r="I197" i="2"/>
  <c r="V188" i="2" s="1"/>
  <c r="H196" i="2"/>
  <c r="U184" i="2" s="1"/>
  <c r="H158" i="2"/>
  <c r="U146" i="2" s="1"/>
  <c r="I118" i="2"/>
  <c r="S112" i="2" s="1"/>
  <c r="AN268" i="2" l="1"/>
  <c r="I232" i="2"/>
  <c r="S226" i="2" s="1"/>
  <c r="I196" i="2"/>
  <c r="U188" i="2" s="1"/>
  <c r="H195" i="2"/>
  <c r="T184" i="2" s="1"/>
  <c r="H157" i="2"/>
  <c r="T146" i="2" s="1"/>
  <c r="I117" i="2"/>
  <c r="R112" i="2" s="1"/>
  <c r="AO268" i="2" l="1"/>
  <c r="I231" i="2"/>
  <c r="R226" i="2" s="1"/>
  <c r="I195" i="2"/>
  <c r="T188" i="2" s="1"/>
  <c r="H194" i="2"/>
  <c r="S184" i="2" s="1"/>
  <c r="H156" i="2"/>
  <c r="S146" i="2" s="1"/>
  <c r="I116" i="2"/>
  <c r="Q112" i="2" s="1"/>
  <c r="AP268" i="2" l="1"/>
  <c r="I230" i="2"/>
  <c r="Q226" i="2" s="1"/>
  <c r="I194" i="2"/>
  <c r="S188" i="2" s="1"/>
  <c r="H193" i="2"/>
  <c r="R184" i="2" s="1"/>
  <c r="H155" i="2"/>
  <c r="R146" i="2" s="1"/>
  <c r="I115" i="2"/>
  <c r="I114" i="2" s="1"/>
  <c r="P112" i="2" s="1"/>
  <c r="AQ268" i="2" l="1"/>
  <c r="I229" i="2"/>
  <c r="I228" i="2" s="1"/>
  <c r="P226" i="2" s="1"/>
  <c r="I193" i="2"/>
  <c r="R188" i="2" s="1"/>
  <c r="H192" i="2"/>
  <c r="Q184" i="2" s="1"/>
  <c r="H154" i="2"/>
  <c r="Q146" i="2" s="1"/>
  <c r="I113" i="2"/>
  <c r="O112" i="2" s="1"/>
  <c r="AR268" i="2" l="1"/>
  <c r="I227" i="2"/>
  <c r="O226" i="2" s="1"/>
  <c r="I192" i="2"/>
  <c r="Q188" i="2" s="1"/>
  <c r="H191" i="2"/>
  <c r="H190" i="2" s="1"/>
  <c r="P184" i="2" s="1"/>
  <c r="H153" i="2"/>
  <c r="H152" i="2" s="1"/>
  <c r="P146" i="2" s="1"/>
  <c r="I112" i="2"/>
  <c r="N112" i="2" s="1"/>
  <c r="I226" i="2" l="1"/>
  <c r="N226" i="2" s="1"/>
  <c r="I191" i="2"/>
  <c r="I190" i="2" s="1"/>
  <c r="P188" i="2" s="1"/>
  <c r="H189" i="2"/>
  <c r="O184" i="2" s="1"/>
  <c r="H151" i="2"/>
  <c r="O146" i="2" s="1"/>
  <c r="AS226" i="2" l="1"/>
  <c r="AT223" i="2" s="1"/>
  <c r="F15" i="1" s="1"/>
  <c r="I189" i="2"/>
  <c r="O188" i="2" s="1"/>
  <c r="H188" i="2"/>
  <c r="H150" i="2"/>
  <c r="N146" i="2" s="1"/>
  <c r="AT147" i="2"/>
  <c r="F9" i="1" s="1"/>
  <c r="AS184" i="2" l="1"/>
  <c r="N184" i="2"/>
  <c r="I188" i="2"/>
  <c r="N188" i="2" s="1"/>
  <c r="AS188" i="2" l="1"/>
  <c r="AT185" i="2" s="1"/>
  <c r="F12" i="1" s="1"/>
</calcChain>
</file>

<file path=xl/sharedStrings.xml><?xml version="1.0" encoding="utf-8"?>
<sst xmlns="http://schemas.openxmlformats.org/spreadsheetml/2006/main" count="1479" uniqueCount="104">
  <si>
    <t>Material</t>
  </si>
  <si>
    <t>Probe Type</t>
  </si>
  <si>
    <t>Tank Ø =ft</t>
  </si>
  <si>
    <t>Tensile load</t>
  </si>
  <si>
    <t>Pass/Fails</t>
  </si>
  <si>
    <t>Wheat at 10-15% Moisture Content</t>
  </si>
  <si>
    <t>LWT310 4.8mm (3/16")</t>
  </si>
  <si>
    <t>Plastic Pellets</t>
  </si>
  <si>
    <t>Fly Ash</t>
  </si>
  <si>
    <t>Coal Dust</t>
  </si>
  <si>
    <t>Cement</t>
  </si>
  <si>
    <t>Limestone</t>
  </si>
  <si>
    <t>Select from Probe drop down</t>
  </si>
  <si>
    <t>Select from Tank OD drop down</t>
  </si>
  <si>
    <t>Input value for Insertion Length</t>
  </si>
  <si>
    <t>LWT310 4.8mm</t>
  </si>
  <si>
    <t>10 ft od</t>
  </si>
  <si>
    <t>LWT320 6.4mm</t>
  </si>
  <si>
    <t>39 ft od</t>
  </si>
  <si>
    <t>Insertion Length</t>
  </si>
  <si>
    <t>Probe diameter</t>
  </si>
  <si>
    <t>Insertion length (ft)</t>
  </si>
  <si>
    <t>Wheat</t>
  </si>
  <si>
    <t>39 ft OD Tank</t>
  </si>
  <si>
    <t>LWT320 6.4mm (1/4")</t>
  </si>
  <si>
    <t>No Data</t>
  </si>
  <si>
    <t>Tank OD</t>
  </si>
  <si>
    <t>`</t>
  </si>
  <si>
    <t>at 49ft</t>
  </si>
  <si>
    <t>at 115 ft</t>
  </si>
  <si>
    <t>.</t>
  </si>
  <si>
    <t>4.8 @ 11</t>
  </si>
  <si>
    <t>4.8@ 12</t>
  </si>
  <si>
    <t>4.8 @ 13</t>
  </si>
  <si>
    <t>4.8 @ 14</t>
  </si>
  <si>
    <t>4.8 @ 15</t>
  </si>
  <si>
    <t>4.8 @ 16</t>
  </si>
  <si>
    <t>4.8 @ 17</t>
  </si>
  <si>
    <t>4.8 @ 18</t>
  </si>
  <si>
    <t>4.8 @ 19</t>
  </si>
  <si>
    <t>4.8 @ 20</t>
  </si>
  <si>
    <t>4.8 @ 21</t>
  </si>
  <si>
    <t>4.8 @ 22</t>
  </si>
  <si>
    <t>4.8 @ 23</t>
  </si>
  <si>
    <t>4.8 @ 24</t>
  </si>
  <si>
    <t>4.8 @ 25</t>
  </si>
  <si>
    <t>4.8 @ 26</t>
  </si>
  <si>
    <t>4.8 @ 27</t>
  </si>
  <si>
    <t>4.8 @ 28</t>
  </si>
  <si>
    <t>4.8 @ 29</t>
  </si>
  <si>
    <t>4.8 @ 30</t>
  </si>
  <si>
    <t>4.8 @ 31</t>
  </si>
  <si>
    <t>4.8 @ 32</t>
  </si>
  <si>
    <t>4.8 @ 33</t>
  </si>
  <si>
    <t>4.8 @ 34</t>
  </si>
  <si>
    <t>4.8 @ 35</t>
  </si>
  <si>
    <t>4.8 @ 36</t>
  </si>
  <si>
    <t>4.8 @ 37</t>
  </si>
  <si>
    <t>4.8 @ 38</t>
  </si>
  <si>
    <t>Factor 4.8</t>
  </si>
  <si>
    <t>Factor 6.4</t>
  </si>
  <si>
    <t>Wheat 4.8, 6.4</t>
  </si>
  <si>
    <t>4.8 @ 9</t>
  </si>
  <si>
    <t>4.8 @ 5</t>
  </si>
  <si>
    <t>4.8 @ 6</t>
  </si>
  <si>
    <t>4.8 @ 7</t>
  </si>
  <si>
    <t>4.8 @ 8</t>
  </si>
  <si>
    <t>at 49 ft</t>
  </si>
  <si>
    <t>6.4 @ 5</t>
  </si>
  <si>
    <t>6.4 @ 6</t>
  </si>
  <si>
    <t>6.4 @ 7</t>
  </si>
  <si>
    <t>6.4 @ 8</t>
  </si>
  <si>
    <t>6.4 @ 9</t>
  </si>
  <si>
    <t>6.4 @ 11</t>
  </si>
  <si>
    <t>6.4 @ 12</t>
  </si>
  <si>
    <t>6.4 @ 13</t>
  </si>
  <si>
    <t>6.4 @ 14</t>
  </si>
  <si>
    <t>6.4 @ 15</t>
  </si>
  <si>
    <t>6.4 @ 16</t>
  </si>
  <si>
    <t>6.4 @ 17</t>
  </si>
  <si>
    <t>6.4 @ 18</t>
  </si>
  <si>
    <t>6.4 @ 19</t>
  </si>
  <si>
    <t>6.4 @ 20</t>
  </si>
  <si>
    <t>6.4 @ 21</t>
  </si>
  <si>
    <t>6.4 @ 22</t>
  </si>
  <si>
    <t>6.4 @ 23</t>
  </si>
  <si>
    <t>6.4 @ 24</t>
  </si>
  <si>
    <t>6.4 @ 25</t>
  </si>
  <si>
    <t>6.4 @ 26</t>
  </si>
  <si>
    <t>6.4 @ 27</t>
  </si>
  <si>
    <t>6.4 @ 28</t>
  </si>
  <si>
    <t>6.4 @ 29</t>
  </si>
  <si>
    <t>6.4 @ 30</t>
  </si>
  <si>
    <t>6.4 @ 31</t>
  </si>
  <si>
    <t>6.4 @ 32</t>
  </si>
  <si>
    <t>6.4 @ 33</t>
  </si>
  <si>
    <t>6.4 @ 34</t>
  </si>
  <si>
    <t>6.4 @ 35</t>
  </si>
  <si>
    <t>6.4 @ 36</t>
  </si>
  <si>
    <t>6.4 @ 37</t>
  </si>
  <si>
    <t>6.4 @ 38</t>
  </si>
  <si>
    <t>Toggle</t>
  </si>
  <si>
    <r>
      <rPr>
        <sz val="85"/>
        <color rgb="FFFF0000"/>
        <rFont val="ABB Logo"/>
        <charset val="2"/>
      </rPr>
      <t>ABB</t>
    </r>
    <r>
      <rPr>
        <sz val="55"/>
        <color rgb="FFFF0000"/>
        <rFont val="ABB Logo"/>
        <charset val="2"/>
      </rPr>
      <t xml:space="preserve"> </t>
    </r>
    <r>
      <rPr>
        <sz val="24"/>
        <color theme="1"/>
        <rFont val="Arial"/>
        <family val="2"/>
      </rPr>
      <t>Tensile Load Calculator</t>
    </r>
    <r>
      <rPr>
        <sz val="11"/>
        <color theme="1"/>
        <rFont val="Arial"/>
        <family val="2"/>
        <charset val="2"/>
      </rPr>
      <t xml:space="preserve">                                     Calculations assume that Dielectric Constant values are above 1.4 and tool is for estimating purposes only</t>
    </r>
  </si>
  <si>
    <t>Tensile load (lbs)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</si>
</sst>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Arial"/>
    </font>
    <font>
      <sz val="11"/>
      <color theme="1"/>
      <name val="Calibri"/>
    </font>
    <font>
      <sz val="11"/>
      <color rgb="FF000000"/>
      <name val="Calibri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  <font>
      <sz val="11"/>
      <color theme="1"/>
      <name val="Arial"/>
      <family val="2"/>
    </font>
    <font>
      <sz val="8"/>
      <name val="Arial"/>
    </font>
    <font>
      <strike/>
      <sz val="12"/>
      <color theme="1"/>
      <name val="Arial"/>
      <family val="2"/>
    </font>
    <font>
      <strike/>
      <sz val="11"/>
      <color theme="1"/>
      <name val="Arial"/>
      <family val="2"/>
    </font>
    <font>
      <strike/>
      <sz val="12"/>
      <color rgb="FF000000"/>
      <name val="Arial"/>
      <family val="2"/>
    </font>
    <font>
      <sz val="55"/>
      <color rgb="FFFF0000"/>
      <name val="ABB Logo"/>
      <charset val="2"/>
    </font>
    <font>
      <sz val="85"/>
      <color rgb="FFFF0000"/>
      <name val="ABB Logo"/>
      <charset val="2"/>
    </font>
    <font>
      <sz val="11"/>
      <color theme="1"/>
      <name val="Arial"/>
      <family val="2"/>
      <charset val="2"/>
    </font>
    <font>
      <sz val="2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 applyAlignment="1"/>
    <xf numFmtId="0" fontId="1" fillId="2" borderId="1" xfId="0" applyFont="1" applyFill="1" applyBorder="1" applyAlignment="1"/>
    <xf numFmtId="0" fontId="2" fillId="0" borderId="1" xfId="0" applyFont="1" applyBorder="1"/>
    <xf numFmtId="0" fontId="1" fillId="0" borderId="0" xfId="0" applyFont="1"/>
    <xf numFmtId="0" fontId="3" fillId="0" borderId="0" xfId="0" applyFont="1"/>
    <xf numFmtId="0" fontId="4" fillId="0" borderId="0" xfId="0" applyFont="1" applyAlignment="1"/>
    <xf numFmtId="0" fontId="5" fillId="0" borderId="0" xfId="0" applyFont="1"/>
    <xf numFmtId="0" fontId="4" fillId="0" borderId="0" xfId="0" applyFont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/>
    <xf numFmtId="0" fontId="3" fillId="0" borderId="1" xfId="0" applyFont="1" applyBorder="1"/>
    <xf numFmtId="0" fontId="4" fillId="3" borderId="2" xfId="0" applyFont="1" applyFill="1" applyBorder="1"/>
    <xf numFmtId="2" fontId="3" fillId="0" borderId="0" xfId="0" applyNumberFormat="1" applyFont="1"/>
    <xf numFmtId="0" fontId="3" fillId="3" borderId="2" xfId="0" applyFont="1" applyFill="1" applyBorder="1"/>
    <xf numFmtId="0" fontId="3" fillId="0" borderId="0" xfId="0" applyFont="1" applyAlignment="1"/>
    <xf numFmtId="0" fontId="3" fillId="3" borderId="2" xfId="0" applyFont="1" applyFill="1" applyBorder="1" applyAlignment="1"/>
    <xf numFmtId="0" fontId="4" fillId="0" borderId="0" xfId="0" applyFont="1" applyAlignment="1">
      <alignment vertical="center" wrapText="1"/>
    </xf>
    <xf numFmtId="0" fontId="3" fillId="3" borderId="0" xfId="0" applyFont="1" applyFill="1" applyAlignment="1"/>
    <xf numFmtId="0" fontId="3" fillId="0" borderId="3" xfId="0" applyFont="1" applyFill="1" applyBorder="1" applyAlignment="1"/>
    <xf numFmtId="0" fontId="3" fillId="0" borderId="2" xfId="0" applyFont="1" applyFill="1" applyBorder="1" applyAlignment="1"/>
    <xf numFmtId="0" fontId="8" fillId="0" borderId="0" xfId="0" applyFont="1" applyAlignment="1"/>
    <xf numFmtId="0" fontId="6" fillId="0" borderId="0" xfId="0" applyFont="1" applyAlignment="1"/>
    <xf numFmtId="0" fontId="4" fillId="4" borderId="0" xfId="0" applyFont="1" applyFill="1" applyAlignment="1"/>
    <xf numFmtId="0" fontId="9" fillId="0" borderId="0" xfId="0" applyFont="1" applyAlignment="1"/>
    <xf numFmtId="0" fontId="10" fillId="0" borderId="3" xfId="0" applyFont="1" applyFill="1" applyBorder="1" applyAlignment="1"/>
    <xf numFmtId="0" fontId="10" fillId="0" borderId="2" xfId="0" applyFont="1" applyFill="1" applyBorder="1" applyAlignment="1"/>
    <xf numFmtId="0" fontId="10" fillId="0" borderId="0" xfId="0" applyFont="1"/>
    <xf numFmtId="0" fontId="3" fillId="0" borderId="0" xfId="0" applyFont="1" applyFill="1"/>
    <xf numFmtId="0" fontId="10" fillId="0" borderId="0" xfId="0" applyFont="1" applyFill="1"/>
    <xf numFmtId="1" fontId="1" fillId="0" borderId="1" xfId="0" applyNumberFormat="1" applyFont="1" applyBorder="1"/>
    <xf numFmtId="0" fontId="13" fillId="0" borderId="0" xfId="0" applyFont="1" applyAlignment="1">
      <alignment horizontal="center" vertical="top" wrapText="1"/>
    </xf>
  </cellXfs>
  <cellStyles count="1">
    <cellStyle name="Normal" xfId="0" builtinId="0"/>
  </cellStyles>
  <dxfs count="2"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167640</xdr:colOff>
      <xdr:row>1</xdr:row>
      <xdr:rowOff>22860</xdr:rowOff>
    </xdr:from>
    <xdr:to>
      <xdr:col>8</xdr:col>
      <xdr:colOff>883920</xdr:colOff>
      <xdr:row>21</xdr:row>
      <xdr:rowOff>129540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2D745E-3950-4D2E-BBC7-2DD8F552AE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666" t="17038" r="32444" b="8444"/>
        <a:stretch/>
      </xdr:blipFill>
      <xdr:spPr bwMode="auto">
        <a:xfrm>
          <a:off x="7757160" y="213360"/>
          <a:ext cx="1676400" cy="3832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4.8@13" TargetMode="External"/><Relationship Id="rId13" Type="http://schemas.openxmlformats.org/officeDocument/2006/relationships/hyperlink" Target="mailto:4.8@%2012" TargetMode="External"/><Relationship Id="rId18" Type="http://schemas.openxmlformats.org/officeDocument/2006/relationships/hyperlink" Target="mailto:4.8@13" TargetMode="External"/><Relationship Id="rId3" Type="http://schemas.openxmlformats.org/officeDocument/2006/relationships/hyperlink" Target="mailto:4.8@13" TargetMode="External"/><Relationship Id="rId21" Type="http://schemas.openxmlformats.org/officeDocument/2006/relationships/hyperlink" Target="mailto:4.8@%2012" TargetMode="External"/><Relationship Id="rId7" Type="http://schemas.openxmlformats.org/officeDocument/2006/relationships/hyperlink" Target="mailto:4.8@13" TargetMode="External"/><Relationship Id="rId12" Type="http://schemas.openxmlformats.org/officeDocument/2006/relationships/hyperlink" Target="mailto:4.8@13" TargetMode="External"/><Relationship Id="rId17" Type="http://schemas.openxmlformats.org/officeDocument/2006/relationships/hyperlink" Target="mailto:4.8@%2012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mailto:4.8@13" TargetMode="External"/><Relationship Id="rId16" Type="http://schemas.openxmlformats.org/officeDocument/2006/relationships/hyperlink" Target="mailto:4.8@13" TargetMode="External"/><Relationship Id="rId20" Type="http://schemas.openxmlformats.org/officeDocument/2006/relationships/hyperlink" Target="mailto:4.8@13" TargetMode="External"/><Relationship Id="rId1" Type="http://schemas.openxmlformats.org/officeDocument/2006/relationships/hyperlink" Target="mailto:4.8@%2012" TargetMode="External"/><Relationship Id="rId6" Type="http://schemas.openxmlformats.org/officeDocument/2006/relationships/hyperlink" Target="mailto:4.8@13" TargetMode="External"/><Relationship Id="rId11" Type="http://schemas.openxmlformats.org/officeDocument/2006/relationships/hyperlink" Target="mailto:4.8@13" TargetMode="External"/><Relationship Id="rId24" Type="http://schemas.openxmlformats.org/officeDocument/2006/relationships/hyperlink" Target="mailto:4.8@13" TargetMode="External"/><Relationship Id="rId5" Type="http://schemas.openxmlformats.org/officeDocument/2006/relationships/hyperlink" Target="mailto:4.8@%2012" TargetMode="External"/><Relationship Id="rId15" Type="http://schemas.openxmlformats.org/officeDocument/2006/relationships/hyperlink" Target="mailto:4.8@13" TargetMode="External"/><Relationship Id="rId23" Type="http://schemas.openxmlformats.org/officeDocument/2006/relationships/hyperlink" Target="mailto:4.8@13" TargetMode="External"/><Relationship Id="rId10" Type="http://schemas.openxmlformats.org/officeDocument/2006/relationships/hyperlink" Target="mailto:4.8@13" TargetMode="External"/><Relationship Id="rId19" Type="http://schemas.openxmlformats.org/officeDocument/2006/relationships/hyperlink" Target="mailto:4.8@13" TargetMode="External"/><Relationship Id="rId4" Type="http://schemas.openxmlformats.org/officeDocument/2006/relationships/hyperlink" Target="mailto:4.8@13" TargetMode="External"/><Relationship Id="rId9" Type="http://schemas.openxmlformats.org/officeDocument/2006/relationships/hyperlink" Target="mailto:4.8@%2012" TargetMode="External"/><Relationship Id="rId14" Type="http://schemas.openxmlformats.org/officeDocument/2006/relationships/hyperlink" Target="mailto:4.8@13" TargetMode="External"/><Relationship Id="rId22" Type="http://schemas.openxmlformats.org/officeDocument/2006/relationships/hyperlink" Target="mailto:4.8@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999"/>
  <sheetViews>
    <sheetView tabSelected="1" workbookViewId="0">
      <selection activeCell="F21" sqref="F21"/>
    </sheetView>
  </sheetViews>
  <sheetFormatPr defaultColWidth="12.59765625" defaultRowHeight="15" customHeight="1"/>
  <cols>
    <col min="1" max="1" width="7.59765625" customWidth="1"/>
    <col min="2" max="2" width="28.5" customWidth="1"/>
    <col min="3" max="3" width="18.59765625" customWidth="1"/>
    <col min="4" max="4" width="10.3984375" customWidth="1"/>
    <col min="5" max="5" width="15.296875" customWidth="1"/>
    <col min="6" max="6" width="13.296875" customWidth="1"/>
    <col min="7" max="7" width="10.3984375" customWidth="1"/>
  </cols>
  <sheetData>
    <row r="2" spans="2:12" ht="14.4">
      <c r="B2" s="1" t="s">
        <v>0</v>
      </c>
      <c r="C2" s="1" t="s">
        <v>1</v>
      </c>
      <c r="D2" s="1" t="s">
        <v>2</v>
      </c>
      <c r="E2" s="1" t="s">
        <v>21</v>
      </c>
      <c r="F2" s="1" t="s">
        <v>103</v>
      </c>
      <c r="G2" s="1" t="s">
        <v>4</v>
      </c>
    </row>
    <row r="3" spans="2:12" ht="14.4" customHeight="1">
      <c r="B3" s="2" t="s">
        <v>5</v>
      </c>
      <c r="C3" s="2" t="s">
        <v>6</v>
      </c>
      <c r="D3" s="2">
        <v>10</v>
      </c>
      <c r="E3" s="3">
        <v>50</v>
      </c>
      <c r="F3" s="31">
        <f>IF($D$3=Sheet1!$I$14,Sheet1!M13,IF($D$3=Sheet1!$I$18,Sheet1!M17, IF($D$3=Sheet1!$I$68,Sheet1!AT70)))</f>
        <v>687.13</v>
      </c>
      <c r="G3" s="1" t="str">
        <f>IF($D$3=Sheet1!$I$14,Sheet1!M14,IF($D$3=Sheet1!$I$18,Sheet1!M18,IF($D$3=Sheet1!$I$68,Sheet1!AT71)))</f>
        <v>PASS</v>
      </c>
      <c r="J3" s="32" t="s">
        <v>102</v>
      </c>
      <c r="K3" s="32"/>
      <c r="L3" s="32"/>
    </row>
    <row r="4" spans="2:12" ht="15" customHeight="1">
      <c r="J4" s="32"/>
      <c r="K4" s="32"/>
      <c r="L4" s="32"/>
    </row>
    <row r="5" spans="2:12" ht="14.4">
      <c r="B5" s="1" t="s">
        <v>0</v>
      </c>
      <c r="C5" s="1" t="s">
        <v>1</v>
      </c>
      <c r="D5" s="1" t="s">
        <v>2</v>
      </c>
      <c r="E5" s="1" t="s">
        <v>21</v>
      </c>
      <c r="F5" s="1" t="s">
        <v>103</v>
      </c>
      <c r="G5" s="1" t="s">
        <v>4</v>
      </c>
      <c r="J5" s="32"/>
      <c r="K5" s="32"/>
      <c r="L5" s="32"/>
    </row>
    <row r="6" spans="2:12" ht="14.4">
      <c r="B6" s="2" t="s">
        <v>7</v>
      </c>
      <c r="C6" s="2" t="s">
        <v>6</v>
      </c>
      <c r="D6" s="4">
        <v>10</v>
      </c>
      <c r="E6" s="3">
        <v>50</v>
      </c>
      <c r="F6" s="31">
        <f>IF($D$6=Sheet1!$I$22,Sheet1!M21,IF($D$6=Sheet1!$I$26,Sheet1!M25,IF($D$6=Sheet1!$I$108,Sheet1!AT110)))</f>
        <v>347.12099999999998</v>
      </c>
      <c r="G6" s="1" t="str">
        <f>IF($D$6=Sheet1!$I$22,Sheet1!M22,IF($D$6=Sheet1!$I$26,Sheet1!M26,IF($D$6=Sheet1!$I$108,Sheet1!AT111)))</f>
        <v>PASS</v>
      </c>
      <c r="J6" s="32"/>
      <c r="K6" s="32"/>
      <c r="L6" s="32"/>
    </row>
    <row r="7" spans="2:12" ht="15" customHeight="1">
      <c r="J7" s="32"/>
      <c r="K7" s="32"/>
      <c r="L7" s="32"/>
    </row>
    <row r="8" spans="2:12" ht="14.4">
      <c r="B8" s="1" t="s">
        <v>0</v>
      </c>
      <c r="C8" s="1" t="s">
        <v>1</v>
      </c>
      <c r="D8" s="1" t="s">
        <v>2</v>
      </c>
      <c r="E8" s="1" t="s">
        <v>21</v>
      </c>
      <c r="F8" s="1" t="s">
        <v>103</v>
      </c>
      <c r="G8" s="1" t="s">
        <v>4</v>
      </c>
      <c r="J8" s="32"/>
      <c r="K8" s="32"/>
      <c r="L8" s="32"/>
    </row>
    <row r="9" spans="2:12" ht="14.4">
      <c r="B9" s="2" t="s">
        <v>8</v>
      </c>
      <c r="C9" s="2" t="s">
        <v>24</v>
      </c>
      <c r="D9" s="4">
        <v>10</v>
      </c>
      <c r="E9" s="3">
        <v>50</v>
      </c>
      <c r="F9" s="31">
        <f>IF($D$9=Sheet1!$I$30,Sheet1!M29,IF($D$9=Sheet1!$I$34,Sheet1!M33,IF($D$9=Sheet1!$I$146,Sheet1!AT147)))</f>
        <v>1157.576</v>
      </c>
      <c r="G9" s="1" t="str">
        <f>IF($D$9=Sheet1!$I$30,Sheet1!M30,IF($D$9=Sheet1!$I$34,Sheet1!M34,IF($D$9=Sheet1!$I$146,Sheet1!AT148)))</f>
        <v>PASS</v>
      </c>
      <c r="J9" s="32"/>
      <c r="K9" s="32"/>
      <c r="L9" s="32"/>
    </row>
    <row r="10" spans="2:12" ht="15" customHeight="1">
      <c r="J10" s="32"/>
      <c r="K10" s="32"/>
      <c r="L10" s="32"/>
    </row>
    <row r="11" spans="2:12" ht="14.4">
      <c r="B11" s="1" t="s">
        <v>0</v>
      </c>
      <c r="C11" s="1" t="s">
        <v>1</v>
      </c>
      <c r="D11" s="1" t="s">
        <v>2</v>
      </c>
      <c r="E11" s="1" t="s">
        <v>21</v>
      </c>
      <c r="F11" s="1" t="s">
        <v>103</v>
      </c>
      <c r="G11" s="1" t="s">
        <v>4</v>
      </c>
      <c r="J11" s="32"/>
      <c r="K11" s="32"/>
      <c r="L11" s="32"/>
    </row>
    <row r="12" spans="2:12" ht="14.4">
      <c r="B12" s="2" t="s">
        <v>9</v>
      </c>
      <c r="C12" s="2" t="s">
        <v>24</v>
      </c>
      <c r="D12" s="4">
        <v>10</v>
      </c>
      <c r="E12" s="3">
        <v>50</v>
      </c>
      <c r="F12" s="31">
        <f>IF($D$12=Sheet1!$I$38,Sheet1!M37,IF($D$12=Sheet1!$I$43,Sheet1!M42,IF($D$12=Sheet1!$I$184,Sheet1!AT185)))</f>
        <v>809.399</v>
      </c>
      <c r="G12" s="1" t="str">
        <f>IF($D$12=Sheet1!$I$38,Sheet1!M38,IF($D$12=Sheet1!$I$43,Sheet1!M43,IF($D$12=Sheet1!$I$184,Sheet1!AT186)))</f>
        <v>PASS</v>
      </c>
      <c r="J12" s="32"/>
      <c r="K12" s="32"/>
      <c r="L12" s="32"/>
    </row>
    <row r="13" spans="2:12" ht="15" customHeight="1">
      <c r="J13" s="32"/>
      <c r="K13" s="32"/>
      <c r="L13" s="32"/>
    </row>
    <row r="14" spans="2:12" ht="14.4">
      <c r="B14" s="1" t="s">
        <v>0</v>
      </c>
      <c r="C14" s="1" t="s">
        <v>1</v>
      </c>
      <c r="D14" s="1" t="s">
        <v>2</v>
      </c>
      <c r="E14" s="1" t="s">
        <v>21</v>
      </c>
      <c r="F14" s="1" t="s">
        <v>103</v>
      </c>
      <c r="G14" s="1" t="s">
        <v>4</v>
      </c>
      <c r="J14" s="32"/>
      <c r="K14" s="32"/>
      <c r="L14" s="32"/>
    </row>
    <row r="15" spans="2:12" ht="14.4">
      <c r="B15" s="2" t="s">
        <v>10</v>
      </c>
      <c r="C15" s="2" t="s">
        <v>24</v>
      </c>
      <c r="D15" s="4">
        <v>10</v>
      </c>
      <c r="E15" s="3">
        <v>50</v>
      </c>
      <c r="F15" s="31">
        <f>IF($D$15=Sheet1!$I$48,Sheet1!M47,IF($D$15=Sheet1!$I$53,Sheet1!M52,IF($D$15=Sheet1!I222,Sheet1!AT223)))</f>
        <v>1384.1</v>
      </c>
      <c r="G15" s="1" t="str">
        <f>IF($D$15=Sheet1!$I$48,Sheet1!M48,IF($D$15=Sheet1!$I$53,Sheet1!M53,IF($D$15=Sheet1!$I$222,Sheet1!AT224)))</f>
        <v>PASS</v>
      </c>
      <c r="J15" s="32"/>
      <c r="K15" s="32"/>
      <c r="L15" s="32"/>
    </row>
    <row r="16" spans="2:12" ht="15" customHeight="1">
      <c r="J16" s="32"/>
      <c r="K16" s="32"/>
      <c r="L16" s="32"/>
    </row>
    <row r="17" spans="2:12" ht="14.4">
      <c r="B17" s="1" t="s">
        <v>0</v>
      </c>
      <c r="C17" s="1" t="s">
        <v>1</v>
      </c>
      <c r="D17" s="1" t="s">
        <v>2</v>
      </c>
      <c r="E17" s="1" t="s">
        <v>21</v>
      </c>
      <c r="F17" s="1" t="s">
        <v>103</v>
      </c>
      <c r="G17" s="1" t="s">
        <v>4</v>
      </c>
      <c r="J17" s="32"/>
      <c r="K17" s="32"/>
      <c r="L17" s="32"/>
    </row>
    <row r="18" spans="2:12" ht="14.4">
      <c r="B18" s="2" t="s">
        <v>11</v>
      </c>
      <c r="C18" s="2" t="s">
        <v>6</v>
      </c>
      <c r="D18" s="4">
        <v>10</v>
      </c>
      <c r="E18" s="3">
        <v>50</v>
      </c>
      <c r="F18" s="31">
        <f>IF($D$18=Sheet1!$I$58,Sheet1!M57,IF($D$18=Sheet1!$I$63,Sheet1!M62,IF($D$18=Sheet1!$I$260,Sheet1!AT261)))</f>
        <v>851.23</v>
      </c>
      <c r="G18" s="1" t="str">
        <f>IF($D$18=Sheet1!$I$58,Sheet1!M58,IF($D$18=Sheet1!$I$63,Sheet1!M63,IF($D$18=Sheet1!$I$260,Sheet1!AT262)))</f>
        <v>PASS</v>
      </c>
      <c r="J18" s="32"/>
      <c r="K18" s="32"/>
      <c r="L18" s="32"/>
    </row>
    <row r="19" spans="2:12" ht="15" customHeight="1">
      <c r="E19" s="23"/>
      <c r="J19" s="32"/>
      <c r="K19" s="32"/>
      <c r="L19" s="32"/>
    </row>
    <row r="20" spans="2:12" ht="15" customHeight="1">
      <c r="J20" s="32"/>
      <c r="K20" s="32"/>
      <c r="L20" s="32"/>
    </row>
    <row r="21" spans="2:12" ht="15.75" customHeight="1">
      <c r="J21" s="32"/>
      <c r="K21" s="32"/>
      <c r="L21" s="32"/>
    </row>
    <row r="22" spans="2:12" ht="15.75" customHeight="1">
      <c r="C22" s="5">
        <v>1</v>
      </c>
      <c r="D22" s="5" t="s">
        <v>12</v>
      </c>
      <c r="J22" s="32"/>
      <c r="K22" s="32"/>
      <c r="L22" s="32"/>
    </row>
    <row r="23" spans="2:12" ht="15.75" customHeight="1">
      <c r="C23" s="5">
        <v>2</v>
      </c>
      <c r="D23" s="5" t="s">
        <v>13</v>
      </c>
    </row>
    <row r="24" spans="2:12" ht="15.75" customHeight="1">
      <c r="C24" s="5">
        <v>3</v>
      </c>
      <c r="D24" s="5" t="s">
        <v>14</v>
      </c>
    </row>
    <row r="25" spans="2:12" ht="15.75" customHeight="1"/>
    <row r="26" spans="2:12" ht="15.75" customHeight="1"/>
    <row r="27" spans="2:12" ht="15.75" customHeight="1"/>
    <row r="28" spans="2:12" ht="15.75" customHeight="1"/>
    <row r="29" spans="2:12" ht="15.75" customHeight="1"/>
    <row r="30" spans="2:12" ht="15.75" customHeight="1"/>
    <row r="31" spans="2:12" ht="15.75" customHeight="1"/>
    <row r="32" spans="2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otectedRanges>
    <protectedRange sqref="C2:E18" name="Range1"/>
  </protectedRanges>
  <mergeCells count="1">
    <mergeCell ref="J3:L22"/>
  </mergeCells>
  <conditionalFormatting sqref="G3 G6 G9 G12 G15 G18">
    <cfRule type="containsText" dxfId="1" priority="1" operator="containsText" text="F">
      <formula>NOT(ISERROR(SEARCH(("F"),(G3))))</formula>
    </cfRule>
  </conditionalFormatting>
  <conditionalFormatting sqref="G3 G6 G9 G12 G15 G18">
    <cfRule type="containsText" dxfId="0" priority="2" operator="containsText" text="P">
      <formula>NOT(ISERROR(SEARCH(("P"),(G3))))</formula>
    </cfRule>
  </conditionalFormatting>
  <pageMargins left="0.7" right="0.7" top="0.75" bottom="0.75" header="0" footer="0"/>
  <pageSetup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1000000}">
          <x14:formula1>
            <xm:f>Sheet1!$D$3:$D$4</xm:f>
          </x14:formula1>
          <xm:sqref>C3 C6 C9 C12 C15 C18</xm:sqref>
        </x14:dataValidation>
        <x14:dataValidation type="list" allowBlank="1" showErrorMessage="1" xr:uid="{00000000-0002-0000-0000-000002000000}">
          <x14:formula1>
            <xm:f>Sheet1!$B$3:$B$202</xm:f>
          </x14:formula1>
          <xm:sqref>E3 E6 E9 E12 E15 E18</xm:sqref>
        </x14:dataValidation>
        <x14:dataValidation type="list" allowBlank="1" showErrorMessage="1" xr:uid="{00000000-0002-0000-0000-000000000000}">
          <x14:formula1>
            <xm:f>Sheet1!$C$6:$C$40</xm:f>
          </x14:formula1>
          <xm:sqref>D18 D3 D6 D9 D12 D15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A1000"/>
  <sheetViews>
    <sheetView topLeftCell="A198" zoomScale="70" zoomScaleNormal="70" workbookViewId="0">
      <selection activeCell="D212" sqref="D212"/>
    </sheetView>
  </sheetViews>
  <sheetFormatPr defaultColWidth="12.59765625" defaultRowHeight="15" customHeight="1"/>
  <cols>
    <col min="1" max="6" width="7.59765625" style="7" customWidth="1"/>
    <col min="7" max="7" width="14.59765625" style="7" customWidth="1"/>
    <col min="8" max="8" width="13.09765625" style="7" customWidth="1"/>
    <col min="9" max="9" width="17.8984375" style="7" customWidth="1"/>
    <col min="10" max="10" width="14.59765625" style="7" customWidth="1"/>
    <col min="11" max="11" width="7.59765625" style="7" customWidth="1"/>
    <col min="12" max="12" width="10.296875" style="7" customWidth="1"/>
    <col min="13" max="13" width="9.69921875" style="7" customWidth="1"/>
    <col min="14" max="14" width="9" style="7" customWidth="1"/>
    <col min="15" max="22" width="12.59765625" style="7"/>
    <col min="53" max="53" width="12.59765625" customWidth="1"/>
    <col min="54" max="61" width="7.59765625" style="7" customWidth="1"/>
    <col min="62" max="62" width="12.59765625" style="7"/>
    <col min="63" max="63" width="10.09765625" style="7" customWidth="1"/>
    <col min="64" max="64" width="18.59765625" style="7" customWidth="1"/>
    <col min="65" max="65" width="11.296875" style="7" customWidth="1"/>
    <col min="66" max="67" width="7.59765625" style="7" customWidth="1"/>
    <col min="68" max="68" width="10.5" style="7" customWidth="1"/>
    <col min="69" max="88" width="7.59765625" style="7" customWidth="1"/>
    <col min="116" max="16384" width="12.59765625" style="7"/>
  </cols>
  <sheetData>
    <row r="1" spans="1:88" ht="15.6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BB1" s="8" t="s">
        <v>15</v>
      </c>
      <c r="BC1" s="8"/>
      <c r="BD1" s="6"/>
      <c r="BE1" s="6" t="s">
        <v>16</v>
      </c>
      <c r="BF1" s="6"/>
      <c r="BG1" s="6"/>
      <c r="BH1" s="6"/>
      <c r="BI1" s="6"/>
      <c r="BK1" s="9" t="s">
        <v>17</v>
      </c>
      <c r="BN1" s="9" t="s">
        <v>16</v>
      </c>
      <c r="BS1" s="6"/>
      <c r="BT1" s="9" t="s">
        <v>15</v>
      </c>
      <c r="BW1" s="9" t="s">
        <v>18</v>
      </c>
      <c r="CB1" s="6"/>
      <c r="CC1" s="9" t="s">
        <v>17</v>
      </c>
      <c r="CG1" s="9" t="s">
        <v>18</v>
      </c>
    </row>
    <row r="2" spans="1:88" ht="15.6">
      <c r="A2" s="8" t="s">
        <v>0</v>
      </c>
      <c r="B2" s="8" t="s">
        <v>19</v>
      </c>
      <c r="D2" s="8" t="s">
        <v>20</v>
      </c>
      <c r="J2" s="6"/>
      <c r="K2" s="6"/>
      <c r="L2" s="6"/>
      <c r="M2" s="6"/>
      <c r="N2" s="6"/>
      <c r="BB2" s="8" t="s">
        <v>21</v>
      </c>
      <c r="BC2" s="8" t="s">
        <v>1</v>
      </c>
      <c r="BD2" s="8" t="s">
        <v>22</v>
      </c>
      <c r="BE2" s="8" t="s">
        <v>7</v>
      </c>
      <c r="BF2" s="8" t="s">
        <v>8</v>
      </c>
      <c r="BG2" s="8" t="s">
        <v>9</v>
      </c>
      <c r="BH2" s="8" t="s">
        <v>10</v>
      </c>
      <c r="BI2" s="8" t="s">
        <v>11</v>
      </c>
      <c r="BK2" s="8" t="s">
        <v>21</v>
      </c>
      <c r="BL2" s="8" t="s">
        <v>1</v>
      </c>
      <c r="BM2" s="8" t="s">
        <v>22</v>
      </c>
      <c r="BN2" s="8" t="s">
        <v>7</v>
      </c>
      <c r="BO2" s="8" t="s">
        <v>8</v>
      </c>
      <c r="BP2" s="8" t="s">
        <v>9</v>
      </c>
      <c r="BQ2" s="8" t="s">
        <v>10</v>
      </c>
      <c r="BR2" s="8" t="s">
        <v>11</v>
      </c>
      <c r="BS2" s="6"/>
      <c r="BT2" s="8" t="s">
        <v>21</v>
      </c>
      <c r="BU2" s="8" t="s">
        <v>23</v>
      </c>
      <c r="BV2" s="8" t="s">
        <v>22</v>
      </c>
      <c r="BW2" s="8" t="s">
        <v>7</v>
      </c>
      <c r="BX2" s="8" t="s">
        <v>8</v>
      </c>
      <c r="BY2" s="8" t="s">
        <v>9</v>
      </c>
      <c r="BZ2" s="8" t="s">
        <v>10</v>
      </c>
      <c r="CA2" s="8" t="s">
        <v>11</v>
      </c>
      <c r="CB2" s="6"/>
      <c r="CC2" s="8" t="s">
        <v>21</v>
      </c>
      <c r="CD2" s="8" t="s">
        <v>23</v>
      </c>
      <c r="CE2" s="8" t="s">
        <v>22</v>
      </c>
      <c r="CF2" s="8" t="s">
        <v>7</v>
      </c>
      <c r="CG2" s="8" t="s">
        <v>8</v>
      </c>
      <c r="CH2" s="8" t="s">
        <v>9</v>
      </c>
      <c r="CI2" s="8" t="s">
        <v>10</v>
      </c>
      <c r="CJ2" s="8" t="s">
        <v>11</v>
      </c>
    </row>
    <row r="3" spans="1:88">
      <c r="A3" s="6" t="s">
        <v>5</v>
      </c>
      <c r="B3" s="10">
        <v>1</v>
      </c>
      <c r="D3" s="6" t="s">
        <v>6</v>
      </c>
      <c r="J3" s="6"/>
      <c r="K3" s="6"/>
      <c r="L3" s="6"/>
      <c r="M3" s="6"/>
      <c r="N3" s="6"/>
      <c r="BB3" s="10">
        <v>1</v>
      </c>
      <c r="BC3" s="10" t="s">
        <v>6</v>
      </c>
      <c r="BD3" s="11" t="s">
        <v>25</v>
      </c>
      <c r="BE3" s="11" t="s">
        <v>25</v>
      </c>
      <c r="BF3" s="11" t="s">
        <v>25</v>
      </c>
      <c r="BG3" s="11" t="s">
        <v>25</v>
      </c>
      <c r="BH3" s="11" t="s">
        <v>25</v>
      </c>
      <c r="BI3" s="11" t="s">
        <v>25</v>
      </c>
      <c r="BK3" s="10">
        <v>1</v>
      </c>
      <c r="BL3" s="10" t="s">
        <v>24</v>
      </c>
      <c r="BM3" s="11" t="s">
        <v>25</v>
      </c>
      <c r="BN3" s="11" t="s">
        <v>25</v>
      </c>
      <c r="BO3" s="11" t="s">
        <v>25</v>
      </c>
      <c r="BP3" s="11" t="s">
        <v>25</v>
      </c>
      <c r="BQ3" s="11" t="s">
        <v>25</v>
      </c>
      <c r="BR3" s="11" t="s">
        <v>25</v>
      </c>
      <c r="BS3" s="6"/>
      <c r="BT3" s="10">
        <v>1</v>
      </c>
      <c r="BU3" s="10"/>
      <c r="BV3" s="11" t="s">
        <v>25</v>
      </c>
      <c r="BW3" s="11" t="s">
        <v>25</v>
      </c>
      <c r="BX3" s="11" t="s">
        <v>25</v>
      </c>
      <c r="BY3" s="11" t="s">
        <v>25</v>
      </c>
      <c r="BZ3" s="11" t="s">
        <v>25</v>
      </c>
      <c r="CA3" s="11" t="s">
        <v>25</v>
      </c>
      <c r="CB3" s="6"/>
      <c r="CC3" s="10">
        <v>1</v>
      </c>
      <c r="CD3" s="10"/>
      <c r="CE3" s="11" t="s">
        <v>25</v>
      </c>
      <c r="CF3" s="11" t="s">
        <v>25</v>
      </c>
      <c r="CG3" s="11" t="s">
        <v>25</v>
      </c>
      <c r="CH3" s="11" t="s">
        <v>25</v>
      </c>
      <c r="CI3" s="11" t="s">
        <v>25</v>
      </c>
      <c r="CJ3" s="11" t="s">
        <v>25</v>
      </c>
    </row>
    <row r="4" spans="1:88">
      <c r="A4" s="6" t="s">
        <v>7</v>
      </c>
      <c r="B4" s="10">
        <v>2</v>
      </c>
      <c r="D4" s="6" t="s">
        <v>24</v>
      </c>
      <c r="J4" s="6"/>
      <c r="K4" s="6"/>
      <c r="L4" s="6"/>
      <c r="M4" s="6"/>
      <c r="N4" s="6"/>
      <c r="BB4" s="10">
        <v>2</v>
      </c>
      <c r="BC4" s="10" t="s">
        <v>6</v>
      </c>
      <c r="BD4" s="11" t="s">
        <v>25</v>
      </c>
      <c r="BE4" s="11" t="s">
        <v>25</v>
      </c>
      <c r="BF4" s="11" t="s">
        <v>25</v>
      </c>
      <c r="BG4" s="11" t="s">
        <v>25</v>
      </c>
      <c r="BH4" s="11" t="s">
        <v>25</v>
      </c>
      <c r="BI4" s="11" t="s">
        <v>25</v>
      </c>
      <c r="BK4" s="10">
        <v>2</v>
      </c>
      <c r="BL4" s="10" t="s">
        <v>24</v>
      </c>
      <c r="BM4" s="11" t="s">
        <v>25</v>
      </c>
      <c r="BN4" s="11" t="s">
        <v>25</v>
      </c>
      <c r="BO4" s="11" t="s">
        <v>25</v>
      </c>
      <c r="BP4" s="11" t="s">
        <v>25</v>
      </c>
      <c r="BQ4" s="11" t="s">
        <v>25</v>
      </c>
      <c r="BR4" s="11" t="s">
        <v>25</v>
      </c>
      <c r="BS4" s="6"/>
      <c r="BT4" s="10">
        <v>2</v>
      </c>
      <c r="BU4" s="10"/>
      <c r="BV4" s="11" t="s">
        <v>25</v>
      </c>
      <c r="BW4" s="11" t="s">
        <v>25</v>
      </c>
      <c r="BX4" s="11" t="s">
        <v>25</v>
      </c>
      <c r="BY4" s="11" t="s">
        <v>25</v>
      </c>
      <c r="BZ4" s="11" t="s">
        <v>25</v>
      </c>
      <c r="CA4" s="11" t="s">
        <v>25</v>
      </c>
      <c r="CB4" s="6"/>
      <c r="CC4" s="10">
        <v>2</v>
      </c>
      <c r="CD4" s="10"/>
      <c r="CE4" s="11" t="s">
        <v>25</v>
      </c>
      <c r="CF4" s="11" t="s">
        <v>25</v>
      </c>
      <c r="CG4" s="11" t="s">
        <v>25</v>
      </c>
      <c r="CH4" s="11" t="s">
        <v>25</v>
      </c>
      <c r="CI4" s="11" t="s">
        <v>25</v>
      </c>
      <c r="CJ4" s="11" t="s">
        <v>25</v>
      </c>
    </row>
    <row r="5" spans="1:88" ht="15.6">
      <c r="A5" s="6" t="s">
        <v>8</v>
      </c>
      <c r="B5" s="10">
        <v>3</v>
      </c>
      <c r="C5" s="8" t="s">
        <v>2</v>
      </c>
      <c r="D5" s="6"/>
      <c r="E5" s="6"/>
      <c r="F5" s="6"/>
      <c r="J5" s="6"/>
      <c r="K5" s="6"/>
      <c r="L5" s="6"/>
      <c r="M5" s="6"/>
      <c r="N5" s="6"/>
      <c r="BB5" s="10">
        <v>3</v>
      </c>
      <c r="BC5" s="10" t="s">
        <v>6</v>
      </c>
      <c r="BD5" s="11" t="s">
        <v>25</v>
      </c>
      <c r="BE5" s="11" t="s">
        <v>25</v>
      </c>
      <c r="BF5" s="11" t="s">
        <v>25</v>
      </c>
      <c r="BG5" s="11" t="s">
        <v>25</v>
      </c>
      <c r="BH5" s="11" t="s">
        <v>25</v>
      </c>
      <c r="BI5" s="11" t="s">
        <v>25</v>
      </c>
      <c r="BK5" s="10">
        <v>3</v>
      </c>
      <c r="BL5" s="10" t="s">
        <v>24</v>
      </c>
      <c r="BM5" s="11" t="s">
        <v>25</v>
      </c>
      <c r="BN5" s="11" t="s">
        <v>25</v>
      </c>
      <c r="BO5" s="11" t="s">
        <v>25</v>
      </c>
      <c r="BP5" s="11" t="s">
        <v>25</v>
      </c>
      <c r="BQ5" s="11" t="s">
        <v>25</v>
      </c>
      <c r="BR5" s="11" t="s">
        <v>25</v>
      </c>
      <c r="BS5" s="6"/>
      <c r="BT5" s="10">
        <v>3</v>
      </c>
      <c r="BU5" s="10"/>
      <c r="BV5" s="11" t="s">
        <v>25</v>
      </c>
      <c r="BW5" s="11" t="s">
        <v>25</v>
      </c>
      <c r="BX5" s="11" t="s">
        <v>25</v>
      </c>
      <c r="BY5" s="11" t="s">
        <v>25</v>
      </c>
      <c r="BZ5" s="11" t="s">
        <v>25</v>
      </c>
      <c r="CA5" s="11" t="s">
        <v>25</v>
      </c>
      <c r="CB5" s="6"/>
      <c r="CC5" s="10">
        <v>3</v>
      </c>
      <c r="CD5" s="10"/>
      <c r="CE5" s="11" t="s">
        <v>25</v>
      </c>
      <c r="CF5" s="11" t="s">
        <v>25</v>
      </c>
      <c r="CG5" s="11" t="s">
        <v>25</v>
      </c>
      <c r="CH5" s="11" t="s">
        <v>25</v>
      </c>
      <c r="CI5" s="11" t="s">
        <v>25</v>
      </c>
      <c r="CJ5" s="11" t="s">
        <v>25</v>
      </c>
    </row>
    <row r="6" spans="1:88">
      <c r="A6" s="6" t="s">
        <v>9</v>
      </c>
      <c r="B6" s="10">
        <v>4</v>
      </c>
      <c r="C6" s="9">
        <v>5</v>
      </c>
      <c r="D6" s="6"/>
      <c r="E6" s="6"/>
      <c r="F6" s="6"/>
      <c r="J6" s="6"/>
      <c r="K6" s="6"/>
      <c r="L6" s="6"/>
      <c r="M6" s="6"/>
      <c r="N6" s="6"/>
      <c r="BB6" s="10">
        <v>4</v>
      </c>
      <c r="BC6" s="10" t="s">
        <v>6</v>
      </c>
      <c r="BD6" s="11" t="s">
        <v>25</v>
      </c>
      <c r="BE6" s="11" t="s">
        <v>25</v>
      </c>
      <c r="BF6" s="11" t="s">
        <v>25</v>
      </c>
      <c r="BG6" s="11" t="s">
        <v>25</v>
      </c>
      <c r="BH6" s="11" t="s">
        <v>25</v>
      </c>
      <c r="BI6" s="11" t="s">
        <v>25</v>
      </c>
      <c r="BK6" s="10">
        <v>4</v>
      </c>
      <c r="BL6" s="10" t="s">
        <v>24</v>
      </c>
      <c r="BM6" s="11" t="s">
        <v>25</v>
      </c>
      <c r="BN6" s="11" t="s">
        <v>25</v>
      </c>
      <c r="BO6" s="11" t="s">
        <v>25</v>
      </c>
      <c r="BP6" s="11" t="s">
        <v>25</v>
      </c>
      <c r="BQ6" s="11" t="s">
        <v>25</v>
      </c>
      <c r="BR6" s="11" t="s">
        <v>25</v>
      </c>
      <c r="BS6" s="6"/>
      <c r="BT6" s="10">
        <v>4</v>
      </c>
      <c r="BU6" s="10"/>
      <c r="BV6" s="11" t="s">
        <v>25</v>
      </c>
      <c r="BW6" s="11" t="s">
        <v>25</v>
      </c>
      <c r="BX6" s="11" t="s">
        <v>25</v>
      </c>
      <c r="BY6" s="11" t="s">
        <v>25</v>
      </c>
      <c r="BZ6" s="11" t="s">
        <v>25</v>
      </c>
      <c r="CA6" s="11" t="s">
        <v>25</v>
      </c>
      <c r="CB6" s="6"/>
      <c r="CC6" s="10">
        <v>4</v>
      </c>
      <c r="CD6" s="10"/>
      <c r="CE6" s="11" t="s">
        <v>25</v>
      </c>
      <c r="CF6" s="11" t="s">
        <v>25</v>
      </c>
      <c r="CG6" s="11" t="s">
        <v>25</v>
      </c>
      <c r="CH6" s="11" t="s">
        <v>25</v>
      </c>
      <c r="CI6" s="11" t="s">
        <v>25</v>
      </c>
      <c r="CJ6" s="11" t="s">
        <v>25</v>
      </c>
    </row>
    <row r="7" spans="1:88">
      <c r="A7" s="6" t="s">
        <v>10</v>
      </c>
      <c r="B7" s="10">
        <v>5</v>
      </c>
      <c r="C7" s="7">
        <v>6</v>
      </c>
      <c r="D7" s="6"/>
      <c r="E7" s="6"/>
      <c r="F7" s="6"/>
      <c r="J7" s="6"/>
      <c r="K7" s="6"/>
      <c r="L7" s="6"/>
      <c r="M7" s="6"/>
      <c r="N7" s="6"/>
      <c r="BB7" s="10">
        <v>5</v>
      </c>
      <c r="BC7" s="10" t="s">
        <v>6</v>
      </c>
      <c r="BD7" s="11" t="s">
        <v>25</v>
      </c>
      <c r="BE7" s="11" t="s">
        <v>25</v>
      </c>
      <c r="BF7" s="11" t="s">
        <v>25</v>
      </c>
      <c r="BG7" s="11" t="s">
        <v>25</v>
      </c>
      <c r="BH7" s="11" t="s">
        <v>25</v>
      </c>
      <c r="BI7" s="11" t="s">
        <v>25</v>
      </c>
      <c r="BK7" s="10">
        <v>5</v>
      </c>
      <c r="BL7" s="10" t="s">
        <v>24</v>
      </c>
      <c r="BM7" s="11" t="s">
        <v>25</v>
      </c>
      <c r="BN7" s="11" t="s">
        <v>25</v>
      </c>
      <c r="BO7" s="11" t="s">
        <v>25</v>
      </c>
      <c r="BP7" s="11" t="s">
        <v>25</v>
      </c>
      <c r="BQ7" s="11" t="s">
        <v>25</v>
      </c>
      <c r="BR7" s="11" t="s">
        <v>25</v>
      </c>
      <c r="BS7" s="6"/>
      <c r="BT7" s="10">
        <v>5</v>
      </c>
      <c r="BU7" s="10"/>
      <c r="BV7" s="11" t="s">
        <v>25</v>
      </c>
      <c r="BW7" s="11" t="s">
        <v>25</v>
      </c>
      <c r="BX7" s="11" t="s">
        <v>25</v>
      </c>
      <c r="BY7" s="11" t="s">
        <v>25</v>
      </c>
      <c r="BZ7" s="11" t="s">
        <v>25</v>
      </c>
      <c r="CA7" s="11" t="s">
        <v>25</v>
      </c>
      <c r="CB7" s="6"/>
      <c r="CC7" s="10">
        <v>5</v>
      </c>
      <c r="CD7" s="10"/>
      <c r="CE7" s="11" t="s">
        <v>25</v>
      </c>
      <c r="CF7" s="11" t="s">
        <v>25</v>
      </c>
      <c r="CG7" s="11" t="s">
        <v>25</v>
      </c>
      <c r="CH7" s="11" t="s">
        <v>25</v>
      </c>
      <c r="CI7" s="11" t="s">
        <v>25</v>
      </c>
      <c r="CJ7" s="11" t="s">
        <v>25</v>
      </c>
    </row>
    <row r="8" spans="1:88">
      <c r="A8" s="6" t="s">
        <v>11</v>
      </c>
      <c r="B8" s="10">
        <v>6</v>
      </c>
      <c r="C8" s="7">
        <v>7</v>
      </c>
      <c r="D8" s="6"/>
      <c r="E8" s="6"/>
      <c r="F8" s="6"/>
      <c r="I8" s="6"/>
      <c r="J8" s="6"/>
      <c r="K8" s="6"/>
      <c r="L8" s="6"/>
      <c r="M8" s="6"/>
      <c r="N8" s="6"/>
      <c r="BB8" s="10">
        <v>6</v>
      </c>
      <c r="BC8" s="10" t="s">
        <v>6</v>
      </c>
      <c r="BD8" s="11" t="s">
        <v>25</v>
      </c>
      <c r="BE8" s="11" t="s">
        <v>25</v>
      </c>
      <c r="BF8" s="11" t="s">
        <v>25</v>
      </c>
      <c r="BG8" s="11" t="s">
        <v>25</v>
      </c>
      <c r="BH8" s="11" t="s">
        <v>25</v>
      </c>
      <c r="BI8" s="11" t="s">
        <v>25</v>
      </c>
      <c r="BK8" s="10">
        <v>6</v>
      </c>
      <c r="BL8" s="10" t="s">
        <v>24</v>
      </c>
      <c r="BM8" s="11" t="s">
        <v>25</v>
      </c>
      <c r="BN8" s="11" t="s">
        <v>25</v>
      </c>
      <c r="BO8" s="11" t="s">
        <v>25</v>
      </c>
      <c r="BP8" s="11" t="s">
        <v>25</v>
      </c>
      <c r="BQ8" s="11" t="s">
        <v>25</v>
      </c>
      <c r="BR8" s="11" t="s">
        <v>25</v>
      </c>
      <c r="BS8" s="6"/>
      <c r="BT8" s="10">
        <v>6</v>
      </c>
      <c r="BU8" s="10"/>
      <c r="BV8" s="11" t="s">
        <v>25</v>
      </c>
      <c r="BW8" s="11" t="s">
        <v>25</v>
      </c>
      <c r="BX8" s="11" t="s">
        <v>25</v>
      </c>
      <c r="BY8" s="11" t="s">
        <v>25</v>
      </c>
      <c r="BZ8" s="11" t="s">
        <v>25</v>
      </c>
      <c r="CA8" s="11" t="s">
        <v>25</v>
      </c>
      <c r="CB8" s="6"/>
      <c r="CC8" s="10">
        <v>6</v>
      </c>
      <c r="CD8" s="10"/>
      <c r="CE8" s="11" t="s">
        <v>25</v>
      </c>
      <c r="CF8" s="11" t="s">
        <v>25</v>
      </c>
      <c r="CG8" s="11" t="s">
        <v>25</v>
      </c>
      <c r="CH8" s="11" t="s">
        <v>25</v>
      </c>
      <c r="CI8" s="11" t="s">
        <v>25</v>
      </c>
      <c r="CJ8" s="11" t="s">
        <v>25</v>
      </c>
    </row>
    <row r="9" spans="1:88">
      <c r="A9" s="6"/>
      <c r="B9" s="10">
        <v>7</v>
      </c>
      <c r="C9" s="7">
        <v>8</v>
      </c>
      <c r="D9" s="6"/>
      <c r="E9" s="6"/>
      <c r="I9" s="6"/>
      <c r="J9" s="6"/>
      <c r="K9" s="6"/>
      <c r="L9" s="6"/>
      <c r="M9" s="6"/>
      <c r="N9" s="6"/>
      <c r="BB9" s="10">
        <v>7</v>
      </c>
      <c r="BC9" s="10" t="s">
        <v>6</v>
      </c>
      <c r="BD9" s="11" t="s">
        <v>25</v>
      </c>
      <c r="BE9" s="11" t="s">
        <v>25</v>
      </c>
      <c r="BF9" s="11" t="s">
        <v>25</v>
      </c>
      <c r="BG9" s="11" t="s">
        <v>25</v>
      </c>
      <c r="BH9" s="11" t="s">
        <v>25</v>
      </c>
      <c r="BI9" s="11" t="s">
        <v>25</v>
      </c>
      <c r="BK9" s="10">
        <v>7</v>
      </c>
      <c r="BL9" s="10" t="s">
        <v>24</v>
      </c>
      <c r="BM9" s="11" t="s">
        <v>25</v>
      </c>
      <c r="BN9" s="11" t="s">
        <v>25</v>
      </c>
      <c r="BO9" s="11" t="s">
        <v>25</v>
      </c>
      <c r="BP9" s="11" t="s">
        <v>25</v>
      </c>
      <c r="BQ9" s="11" t="s">
        <v>25</v>
      </c>
      <c r="BR9" s="11" t="s">
        <v>25</v>
      </c>
      <c r="BS9" s="6"/>
      <c r="BT9" s="10">
        <v>7</v>
      </c>
      <c r="BU9" s="10"/>
      <c r="BV9" s="11" t="s">
        <v>25</v>
      </c>
      <c r="BW9" s="11" t="s">
        <v>25</v>
      </c>
      <c r="BX9" s="11" t="s">
        <v>25</v>
      </c>
      <c r="BY9" s="11" t="s">
        <v>25</v>
      </c>
      <c r="BZ9" s="11" t="s">
        <v>25</v>
      </c>
      <c r="CA9" s="11" t="s">
        <v>25</v>
      </c>
      <c r="CB9" s="6"/>
      <c r="CC9" s="10">
        <v>7</v>
      </c>
      <c r="CD9" s="10"/>
      <c r="CE9" s="11" t="s">
        <v>25</v>
      </c>
      <c r="CF9" s="11" t="s">
        <v>25</v>
      </c>
      <c r="CG9" s="11" t="s">
        <v>25</v>
      </c>
      <c r="CH9" s="11" t="s">
        <v>25</v>
      </c>
      <c r="CI9" s="11" t="s">
        <v>25</v>
      </c>
      <c r="CJ9" s="11" t="s">
        <v>25</v>
      </c>
    </row>
    <row r="10" spans="1:88">
      <c r="A10" s="6"/>
      <c r="B10" s="10">
        <v>8</v>
      </c>
      <c r="C10" s="7">
        <v>9</v>
      </c>
      <c r="D10" s="6"/>
      <c r="E10" s="6"/>
      <c r="I10" s="6"/>
      <c r="J10" s="6"/>
      <c r="K10" s="6"/>
      <c r="L10" s="6"/>
      <c r="M10" s="6"/>
      <c r="N10" s="6"/>
      <c r="BB10" s="10">
        <v>8</v>
      </c>
      <c r="BC10" s="10" t="s">
        <v>6</v>
      </c>
      <c r="BD10" s="11" t="s">
        <v>25</v>
      </c>
      <c r="BE10" s="11" t="s">
        <v>25</v>
      </c>
      <c r="BF10" s="11" t="s">
        <v>25</v>
      </c>
      <c r="BG10" s="11" t="s">
        <v>25</v>
      </c>
      <c r="BH10" s="11" t="s">
        <v>25</v>
      </c>
      <c r="BI10" s="11" t="s">
        <v>25</v>
      </c>
      <c r="BK10" s="10">
        <v>8</v>
      </c>
      <c r="BL10" s="10" t="s">
        <v>24</v>
      </c>
      <c r="BM10" s="11" t="s">
        <v>25</v>
      </c>
      <c r="BN10" s="11" t="s">
        <v>25</v>
      </c>
      <c r="BO10" s="11" t="s">
        <v>25</v>
      </c>
      <c r="BP10" s="11" t="s">
        <v>25</v>
      </c>
      <c r="BQ10" s="11" t="s">
        <v>25</v>
      </c>
      <c r="BR10" s="11" t="s">
        <v>25</v>
      </c>
      <c r="BS10" s="6"/>
      <c r="BT10" s="10">
        <v>8</v>
      </c>
      <c r="BU10" s="10"/>
      <c r="BV10" s="11" t="s">
        <v>25</v>
      </c>
      <c r="BW10" s="11" t="s">
        <v>25</v>
      </c>
      <c r="BX10" s="11" t="s">
        <v>25</v>
      </c>
      <c r="BY10" s="11" t="s">
        <v>25</v>
      </c>
      <c r="BZ10" s="11" t="s">
        <v>25</v>
      </c>
      <c r="CA10" s="11" t="s">
        <v>25</v>
      </c>
      <c r="CB10" s="6"/>
      <c r="CC10" s="10">
        <v>8</v>
      </c>
      <c r="CD10" s="10"/>
      <c r="CE10" s="11" t="s">
        <v>25</v>
      </c>
      <c r="CF10" s="11" t="s">
        <v>25</v>
      </c>
      <c r="CG10" s="11" t="s">
        <v>25</v>
      </c>
      <c r="CH10" s="11" t="s">
        <v>25</v>
      </c>
      <c r="CI10" s="11" t="s">
        <v>25</v>
      </c>
      <c r="CJ10" s="11" t="s">
        <v>25</v>
      </c>
    </row>
    <row r="11" spans="1:88">
      <c r="A11" s="6"/>
      <c r="B11" s="10">
        <v>9</v>
      </c>
      <c r="C11" s="13">
        <v>10</v>
      </c>
      <c r="D11" s="6"/>
      <c r="E11" s="6"/>
      <c r="G11" s="6"/>
      <c r="H11" s="6"/>
      <c r="I11" s="6"/>
      <c r="J11" s="6"/>
      <c r="K11" s="6"/>
      <c r="L11" s="6"/>
      <c r="M11" s="6"/>
      <c r="N11" s="6"/>
      <c r="BB11" s="10">
        <v>9</v>
      </c>
      <c r="BC11" s="10" t="s">
        <v>6</v>
      </c>
      <c r="BD11" s="11" t="s">
        <v>25</v>
      </c>
      <c r="BE11" s="11" t="s">
        <v>25</v>
      </c>
      <c r="BF11" s="11" t="s">
        <v>25</v>
      </c>
      <c r="BG11" s="11" t="s">
        <v>25</v>
      </c>
      <c r="BH11" s="11" t="s">
        <v>25</v>
      </c>
      <c r="BI11" s="11" t="s">
        <v>25</v>
      </c>
      <c r="BK11" s="10">
        <v>9</v>
      </c>
      <c r="BL11" s="10" t="s">
        <v>24</v>
      </c>
      <c r="BM11" s="11" t="s">
        <v>25</v>
      </c>
      <c r="BN11" s="11" t="s">
        <v>25</v>
      </c>
      <c r="BO11" s="11" t="s">
        <v>25</v>
      </c>
      <c r="BP11" s="11" t="s">
        <v>25</v>
      </c>
      <c r="BQ11" s="11" t="s">
        <v>25</v>
      </c>
      <c r="BR11" s="11" t="s">
        <v>25</v>
      </c>
      <c r="BS11" s="6"/>
      <c r="BT11" s="10">
        <v>9</v>
      </c>
      <c r="BU11" s="10"/>
      <c r="BV11" s="11" t="s">
        <v>25</v>
      </c>
      <c r="BW11" s="11" t="s">
        <v>25</v>
      </c>
      <c r="BX11" s="11" t="s">
        <v>25</v>
      </c>
      <c r="BY11" s="11" t="s">
        <v>25</v>
      </c>
      <c r="BZ11" s="11" t="s">
        <v>25</v>
      </c>
      <c r="CA11" s="11" t="s">
        <v>25</v>
      </c>
      <c r="CB11" s="6"/>
      <c r="CC11" s="10">
        <v>9</v>
      </c>
      <c r="CD11" s="10"/>
      <c r="CE11" s="11" t="s">
        <v>25</v>
      </c>
      <c r="CF11" s="11" t="s">
        <v>25</v>
      </c>
      <c r="CG11" s="11" t="s">
        <v>25</v>
      </c>
      <c r="CH11" s="11" t="s">
        <v>25</v>
      </c>
      <c r="CI11" s="11" t="s">
        <v>25</v>
      </c>
      <c r="CJ11" s="11" t="s">
        <v>25</v>
      </c>
    </row>
    <row r="12" spans="1:88">
      <c r="A12" s="6"/>
      <c r="B12" s="10">
        <v>10</v>
      </c>
      <c r="C12" s="7">
        <v>11</v>
      </c>
      <c r="D12" s="6"/>
      <c r="E12" s="6"/>
      <c r="G12" s="6"/>
      <c r="H12" s="6"/>
      <c r="I12" s="6"/>
      <c r="J12" s="6"/>
      <c r="K12" s="6"/>
      <c r="L12" s="6"/>
      <c r="M12" s="6" t="s">
        <v>3</v>
      </c>
      <c r="N12" s="6"/>
      <c r="BB12" s="10">
        <v>10</v>
      </c>
      <c r="BC12" s="10" t="s">
        <v>6</v>
      </c>
      <c r="BD12" s="12">
        <v>22</v>
      </c>
      <c r="BE12" s="12">
        <v>62.281000000000084</v>
      </c>
      <c r="BF12" s="11" t="s">
        <v>25</v>
      </c>
      <c r="BG12" s="11" t="s">
        <v>25</v>
      </c>
      <c r="BH12" s="11" t="s">
        <v>25</v>
      </c>
      <c r="BI12" s="11" t="s">
        <v>25</v>
      </c>
      <c r="BK12" s="10">
        <v>10</v>
      </c>
      <c r="BL12" s="10" t="s">
        <v>24</v>
      </c>
      <c r="BM12" s="11" t="s">
        <v>25</v>
      </c>
      <c r="BN12" s="11" t="s">
        <v>25</v>
      </c>
      <c r="BO12" s="11" t="s">
        <v>25</v>
      </c>
      <c r="BP12" s="11" t="s">
        <v>25</v>
      </c>
      <c r="BQ12" s="11" t="s">
        <v>25</v>
      </c>
      <c r="BR12" s="11" t="s">
        <v>25</v>
      </c>
      <c r="BS12" s="6"/>
      <c r="BT12" s="10">
        <v>10</v>
      </c>
      <c r="BU12" s="10"/>
      <c r="BV12" s="11" t="s">
        <v>25</v>
      </c>
      <c r="BW12" s="11" t="s">
        <v>25</v>
      </c>
      <c r="BX12" s="11" t="s">
        <v>25</v>
      </c>
      <c r="BY12" s="11" t="s">
        <v>25</v>
      </c>
      <c r="BZ12" s="11" t="s">
        <v>25</v>
      </c>
      <c r="CA12" s="11" t="s">
        <v>25</v>
      </c>
      <c r="CB12" s="6"/>
      <c r="CC12" s="10">
        <v>10</v>
      </c>
      <c r="CD12" s="10"/>
      <c r="CE12" s="11" t="s">
        <v>25</v>
      </c>
      <c r="CF12" s="11" t="s">
        <v>25</v>
      </c>
      <c r="CG12" s="11" t="s">
        <v>25</v>
      </c>
      <c r="CH12" s="11">
        <v>331.9299999999979</v>
      </c>
      <c r="CI12" s="11" t="s">
        <v>25</v>
      </c>
      <c r="CJ12" s="11" t="s">
        <v>25</v>
      </c>
    </row>
    <row r="13" spans="1:88">
      <c r="A13" s="6"/>
      <c r="B13" s="10">
        <v>11</v>
      </c>
      <c r="C13" s="7">
        <v>12</v>
      </c>
      <c r="D13" s="6"/>
      <c r="E13" s="6"/>
      <c r="G13" s="6" t="s">
        <v>0</v>
      </c>
      <c r="H13" s="6" t="s">
        <v>1</v>
      </c>
      <c r="I13" s="6" t="s">
        <v>26</v>
      </c>
      <c r="J13" s="6" t="s">
        <v>19</v>
      </c>
      <c r="K13" s="6" t="s">
        <v>4</v>
      </c>
      <c r="L13" s="6"/>
      <c r="M13" s="14">
        <f>IF(I14=C11,IF(H14=D3,VLOOKUP(J14,BB3:BD202,3,FALSE),IF(I14=C11,IF(H14=D4,VLOOKUP(J14,BK3:BM202,3,FALSE)))))</f>
        <v>687.13</v>
      </c>
      <c r="N13" s="6"/>
      <c r="BB13" s="10">
        <v>11</v>
      </c>
      <c r="BC13" s="10" t="s">
        <v>6</v>
      </c>
      <c r="BD13" s="12">
        <v>25</v>
      </c>
      <c r="BE13" s="12">
        <v>69.402000000000086</v>
      </c>
      <c r="BF13" s="12">
        <v>73.269999999999698</v>
      </c>
      <c r="BG13" s="12">
        <v>50.560000000000159</v>
      </c>
      <c r="BH13" s="11" t="s">
        <v>25</v>
      </c>
      <c r="BI13" s="11" t="s">
        <v>25</v>
      </c>
      <c r="BK13" s="10">
        <v>11</v>
      </c>
      <c r="BL13" s="10" t="s">
        <v>24</v>
      </c>
      <c r="BM13" s="12">
        <v>31.409999999999997</v>
      </c>
      <c r="BN13" s="11" t="s">
        <v>25</v>
      </c>
      <c r="BO13" s="11" t="s">
        <v>25</v>
      </c>
      <c r="BP13" s="11" t="s">
        <v>25</v>
      </c>
      <c r="BQ13" s="11" t="s">
        <v>25</v>
      </c>
      <c r="BR13" s="11" t="s">
        <v>25</v>
      </c>
      <c r="BS13" s="6"/>
      <c r="BT13" s="10">
        <v>11</v>
      </c>
      <c r="BU13" s="10"/>
      <c r="BV13" s="11" t="s">
        <v>25</v>
      </c>
      <c r="BW13" s="11" t="s">
        <v>25</v>
      </c>
      <c r="BX13" s="11" t="s">
        <v>25</v>
      </c>
      <c r="BY13" s="11" t="s">
        <v>25</v>
      </c>
      <c r="BZ13" s="11" t="s">
        <v>25</v>
      </c>
      <c r="CA13" s="11" t="s">
        <v>25</v>
      </c>
      <c r="CB13" s="6"/>
      <c r="CC13" s="10">
        <v>11</v>
      </c>
      <c r="CD13" s="10"/>
      <c r="CE13" s="11" t="s">
        <v>25</v>
      </c>
      <c r="CF13" s="11" t="s">
        <v>25</v>
      </c>
      <c r="CG13" s="11" t="s">
        <v>25</v>
      </c>
      <c r="CH13" s="11">
        <v>369.0599999999979</v>
      </c>
      <c r="CI13" s="11" t="s">
        <v>25</v>
      </c>
      <c r="CJ13" s="11" t="s">
        <v>25</v>
      </c>
    </row>
    <row r="14" spans="1:88">
      <c r="A14" s="6"/>
      <c r="B14" s="10">
        <v>12</v>
      </c>
      <c r="C14" s="6">
        <v>13</v>
      </c>
      <c r="D14" s="6"/>
      <c r="E14" s="6"/>
      <c r="G14" s="6" t="s">
        <v>22</v>
      </c>
      <c r="H14" s="6" t="str">
        <f>'Tensile Pass Fail'!C3</f>
        <v>LWT310 4.8mm (3/16")</v>
      </c>
      <c r="I14" s="15">
        <v>10</v>
      </c>
      <c r="J14" s="6">
        <f>'Tensile Pass Fail'!E3</f>
        <v>50</v>
      </c>
      <c r="K14" s="6"/>
      <c r="L14" s="6"/>
      <c r="M14" s="6" t="str">
        <f>IF(H14=D4,IF(J14&lt;=66,"PASS","FAIL"), IF(H14=D3,IF(J14&lt;=68, "PASS","FAIL")))</f>
        <v>PASS</v>
      </c>
      <c r="N14" s="6"/>
      <c r="BB14" s="10">
        <v>12</v>
      </c>
      <c r="BC14" s="10" t="s">
        <v>6</v>
      </c>
      <c r="BD14" s="12">
        <v>36.190000000000168</v>
      </c>
      <c r="BE14" s="12">
        <v>76.523000000000081</v>
      </c>
      <c r="BF14" s="12">
        <v>91.604999999999706</v>
      </c>
      <c r="BG14" s="12">
        <v>63.440000000000161</v>
      </c>
      <c r="BH14" s="11" t="s">
        <v>25</v>
      </c>
      <c r="BI14" s="11" t="s">
        <v>25</v>
      </c>
      <c r="BK14" s="10">
        <v>12</v>
      </c>
      <c r="BL14" s="10" t="s">
        <v>24</v>
      </c>
      <c r="BM14" s="12">
        <v>41.519999999999996</v>
      </c>
      <c r="BN14" s="12">
        <v>34.933999999999784</v>
      </c>
      <c r="BO14" s="12">
        <v>109.68799999999936</v>
      </c>
      <c r="BP14" s="11" t="s">
        <v>25</v>
      </c>
      <c r="BQ14" s="11" t="s">
        <v>25</v>
      </c>
      <c r="BR14" s="11" t="s">
        <v>25</v>
      </c>
      <c r="BS14" s="6"/>
      <c r="BT14" s="10">
        <v>12</v>
      </c>
      <c r="BU14" s="10"/>
      <c r="BV14" s="11" t="s">
        <v>25</v>
      </c>
      <c r="BW14" s="11" t="s">
        <v>25</v>
      </c>
      <c r="BX14" s="11" t="s">
        <v>25</v>
      </c>
      <c r="BY14" s="11" t="s">
        <v>25</v>
      </c>
      <c r="BZ14" s="11" t="s">
        <v>25</v>
      </c>
      <c r="CA14" s="11" t="s">
        <v>25</v>
      </c>
      <c r="CB14" s="6"/>
      <c r="CC14" s="10">
        <v>12</v>
      </c>
      <c r="CD14" s="10"/>
      <c r="CE14" s="11" t="s">
        <v>25</v>
      </c>
      <c r="CF14" s="11" t="s">
        <v>25</v>
      </c>
      <c r="CG14" s="11" t="s">
        <v>25</v>
      </c>
      <c r="CH14" s="11">
        <v>406.18999999999789</v>
      </c>
      <c r="CI14" s="11" t="s">
        <v>25</v>
      </c>
      <c r="CJ14" s="11" t="s">
        <v>25</v>
      </c>
    </row>
    <row r="15" spans="1:88">
      <c r="A15" s="6"/>
      <c r="B15" s="10">
        <v>13</v>
      </c>
      <c r="C15" s="6">
        <v>14</v>
      </c>
      <c r="G15" s="6"/>
      <c r="H15" s="6"/>
      <c r="I15" s="6"/>
      <c r="J15" s="6"/>
      <c r="K15" s="6"/>
      <c r="L15" s="6"/>
      <c r="M15" s="6"/>
      <c r="N15" s="6"/>
      <c r="BB15" s="10">
        <v>13</v>
      </c>
      <c r="BC15" s="10" t="s">
        <v>6</v>
      </c>
      <c r="BD15" s="12">
        <v>53.320000000000164</v>
      </c>
      <c r="BE15" s="12">
        <v>83.644000000000077</v>
      </c>
      <c r="BF15" s="12">
        <v>109.93999999999971</v>
      </c>
      <c r="BG15" s="12">
        <v>76.320000000000164</v>
      </c>
      <c r="BH15" s="12">
        <v>43.560000000000421</v>
      </c>
      <c r="BI15" s="11">
        <v>65.719999999999558</v>
      </c>
      <c r="BK15" s="10">
        <v>13</v>
      </c>
      <c r="BL15" s="10" t="s">
        <v>24</v>
      </c>
      <c r="BM15" s="12">
        <v>58.929999999999382</v>
      </c>
      <c r="BN15" s="12">
        <v>46.151999999999788</v>
      </c>
      <c r="BO15" s="12">
        <v>137.26399999999936</v>
      </c>
      <c r="BP15" s="11" t="s">
        <v>25</v>
      </c>
      <c r="BQ15" s="12">
        <v>122.40000000000032</v>
      </c>
      <c r="BR15" s="12">
        <v>130.68000000000063</v>
      </c>
      <c r="BS15" s="6"/>
      <c r="BT15" s="10">
        <v>13</v>
      </c>
      <c r="BU15" s="10"/>
      <c r="BV15" s="11" t="s">
        <v>25</v>
      </c>
      <c r="BW15" s="11" t="s">
        <v>25</v>
      </c>
      <c r="BX15" s="11" t="s">
        <v>25</v>
      </c>
      <c r="BY15" s="11" t="s">
        <v>25</v>
      </c>
      <c r="BZ15" s="11" t="s">
        <v>25</v>
      </c>
      <c r="CA15" s="11" t="s">
        <v>25</v>
      </c>
      <c r="CB15" s="6"/>
      <c r="CC15" s="10">
        <v>13</v>
      </c>
      <c r="CD15" s="10"/>
      <c r="CE15" s="11" t="s">
        <v>25</v>
      </c>
      <c r="CF15" s="11" t="s">
        <v>25</v>
      </c>
      <c r="CG15" s="11" t="s">
        <v>25</v>
      </c>
      <c r="CH15" s="11">
        <v>443.31999999999789</v>
      </c>
      <c r="CI15" s="11" t="s">
        <v>25</v>
      </c>
      <c r="CJ15" s="11" t="s">
        <v>25</v>
      </c>
    </row>
    <row r="16" spans="1:88">
      <c r="A16" s="6"/>
      <c r="B16" s="10">
        <v>14</v>
      </c>
      <c r="C16" s="6">
        <v>15</v>
      </c>
      <c r="G16" s="6"/>
      <c r="H16" s="6"/>
      <c r="I16" s="6"/>
      <c r="J16" s="6"/>
      <c r="K16" s="6"/>
      <c r="L16" s="6"/>
      <c r="M16" s="6" t="s">
        <v>3</v>
      </c>
      <c r="N16" s="6"/>
      <c r="BB16" s="10">
        <v>14</v>
      </c>
      <c r="BC16" s="10" t="s">
        <v>6</v>
      </c>
      <c r="BD16" s="12">
        <v>70.450000000000159</v>
      </c>
      <c r="BE16" s="12">
        <v>90.765000000000072</v>
      </c>
      <c r="BF16" s="12">
        <v>128.27499999999972</v>
      </c>
      <c r="BG16" s="12">
        <v>89.200000000000159</v>
      </c>
      <c r="BH16" s="12">
        <v>67.350000000000421</v>
      </c>
      <c r="BI16" s="11">
        <v>86.949999999999562</v>
      </c>
      <c r="BK16" s="10">
        <v>14</v>
      </c>
      <c r="BL16" s="10" t="s">
        <v>24</v>
      </c>
      <c r="BM16" s="12">
        <v>76.059999999999377</v>
      </c>
      <c r="BN16" s="12">
        <v>57.369999999999791</v>
      </c>
      <c r="BO16" s="12">
        <v>164.83999999999935</v>
      </c>
      <c r="BP16" s="12">
        <v>111.03499999999997</v>
      </c>
      <c r="BQ16" s="12">
        <v>156.50000000000031</v>
      </c>
      <c r="BR16" s="12">
        <v>162.05000000000064</v>
      </c>
      <c r="BS16" s="6"/>
      <c r="BT16" s="10">
        <v>14</v>
      </c>
      <c r="BU16" s="10"/>
      <c r="BV16" s="11" t="s">
        <v>25</v>
      </c>
      <c r="BW16" s="11" t="s">
        <v>25</v>
      </c>
      <c r="BX16" s="11" t="s">
        <v>25</v>
      </c>
      <c r="BY16" s="11" t="s">
        <v>25</v>
      </c>
      <c r="BZ16" s="11" t="s">
        <v>25</v>
      </c>
      <c r="CA16" s="11" t="s">
        <v>25</v>
      </c>
      <c r="CB16" s="6"/>
      <c r="CC16" s="10">
        <v>14</v>
      </c>
      <c r="CD16" s="10"/>
      <c r="CE16" s="11" t="s">
        <v>25</v>
      </c>
      <c r="CF16" s="11" t="s">
        <v>25</v>
      </c>
      <c r="CG16" s="11" t="s">
        <v>25</v>
      </c>
      <c r="CH16" s="11">
        <v>480.44999999999789</v>
      </c>
      <c r="CI16" s="11" t="s">
        <v>25</v>
      </c>
      <c r="CJ16" s="11" t="s">
        <v>25</v>
      </c>
    </row>
    <row r="17" spans="1:88">
      <c r="A17" s="6"/>
      <c r="B17" s="10">
        <v>15</v>
      </c>
      <c r="C17" s="6">
        <v>16</v>
      </c>
      <c r="G17" s="6" t="s">
        <v>0</v>
      </c>
      <c r="H17" s="6" t="s">
        <v>1</v>
      </c>
      <c r="I17" s="6" t="s">
        <v>26</v>
      </c>
      <c r="J17" s="6" t="s">
        <v>19</v>
      </c>
      <c r="K17" s="6" t="s">
        <v>4</v>
      </c>
      <c r="L17" s="6"/>
      <c r="M17" s="6">
        <f>IF(I18=C40,IF(H18=D3,VLOOKUP(J18,BT3:BV202,3,FALSE),IF(I18=C40,IF(H18=D4,VLOOKUP(J18,CC3:CE202,3,FALSE)))))</f>
        <v>1171.223</v>
      </c>
      <c r="N17" s="6"/>
      <c r="BB17" s="10">
        <v>15</v>
      </c>
      <c r="BC17" s="10" t="s">
        <v>6</v>
      </c>
      <c r="BD17" s="12">
        <v>87.580000000000155</v>
      </c>
      <c r="BE17" s="12">
        <v>97.886000000000067</v>
      </c>
      <c r="BF17" s="12">
        <v>146.60999999999973</v>
      </c>
      <c r="BG17" s="12">
        <v>102.08000000000015</v>
      </c>
      <c r="BH17" s="12">
        <v>91.140000000000413</v>
      </c>
      <c r="BI17" s="11">
        <v>108.17999999999957</v>
      </c>
      <c r="BK17" s="10">
        <v>15</v>
      </c>
      <c r="BL17" s="10" t="s">
        <v>24</v>
      </c>
      <c r="BM17" s="12">
        <v>93.189999999999372</v>
      </c>
      <c r="BN17" s="12">
        <v>68.587999999999795</v>
      </c>
      <c r="BO17" s="12">
        <v>192.41599999999934</v>
      </c>
      <c r="BP17" s="12">
        <v>130.43399999999997</v>
      </c>
      <c r="BQ17" s="12">
        <v>190.60000000000031</v>
      </c>
      <c r="BR17" s="12">
        <v>193.42000000000064</v>
      </c>
      <c r="BS17" s="6"/>
      <c r="BT17" s="10">
        <v>15</v>
      </c>
      <c r="BU17" s="10"/>
      <c r="BV17" s="11" t="s">
        <v>25</v>
      </c>
      <c r="BW17" s="11" t="s">
        <v>25</v>
      </c>
      <c r="BX17" s="11" t="s">
        <v>25</v>
      </c>
      <c r="BY17" s="11" t="s">
        <v>25</v>
      </c>
      <c r="BZ17" s="11" t="s">
        <v>25</v>
      </c>
      <c r="CA17" s="11" t="s">
        <v>25</v>
      </c>
      <c r="CB17" s="6"/>
      <c r="CC17" s="10">
        <v>15</v>
      </c>
      <c r="CD17" s="10"/>
      <c r="CE17" s="11" t="s">
        <v>25</v>
      </c>
      <c r="CF17" s="11" t="s">
        <v>25</v>
      </c>
      <c r="CG17" s="11" t="s">
        <v>25</v>
      </c>
      <c r="CH17" s="11">
        <v>517.57999999999788</v>
      </c>
      <c r="CI17" s="11" t="s">
        <v>25</v>
      </c>
      <c r="CJ17" s="11" t="s">
        <v>25</v>
      </c>
    </row>
    <row r="18" spans="1:88">
      <c r="A18" s="6"/>
      <c r="B18" s="10">
        <v>16</v>
      </c>
      <c r="C18" s="6">
        <v>17</v>
      </c>
      <c r="G18" s="6" t="s">
        <v>22</v>
      </c>
      <c r="H18" s="6" t="str">
        <f>'Tensile Pass Fail'!C3</f>
        <v>LWT310 4.8mm (3/16")</v>
      </c>
      <c r="I18" s="15">
        <v>39</v>
      </c>
      <c r="J18" s="6">
        <f>'Tensile Pass Fail'!E3</f>
        <v>50</v>
      </c>
      <c r="K18" s="6"/>
      <c r="L18" s="6"/>
      <c r="M18" s="6" t="str">
        <f>IF(H18=D4,IF(J18&lt;=45,"PASS","FAIL"), IF(H18=D3,IF(J18&lt;=46, "PASS","FAIL")))</f>
        <v>FAIL</v>
      </c>
      <c r="N18" s="6"/>
      <c r="BB18" s="10">
        <v>16</v>
      </c>
      <c r="BC18" s="10" t="s">
        <v>6</v>
      </c>
      <c r="BD18" s="12">
        <v>104.71000000000015</v>
      </c>
      <c r="BE18" s="12">
        <v>105.00700000000006</v>
      </c>
      <c r="BF18" s="12">
        <v>164.94499999999974</v>
      </c>
      <c r="BG18" s="12">
        <v>114.96000000000015</v>
      </c>
      <c r="BH18" s="12">
        <v>114.9300000000004</v>
      </c>
      <c r="BI18" s="11">
        <v>129.40999999999957</v>
      </c>
      <c r="BK18" s="10">
        <v>16</v>
      </c>
      <c r="BL18" s="10" t="s">
        <v>24</v>
      </c>
      <c r="BM18" s="12">
        <v>110.31999999999937</v>
      </c>
      <c r="BN18" s="12">
        <v>79.805999999999798</v>
      </c>
      <c r="BO18" s="12">
        <v>219.99199999999934</v>
      </c>
      <c r="BP18" s="12">
        <v>149.83299999999997</v>
      </c>
      <c r="BQ18" s="12">
        <v>224.7000000000003</v>
      </c>
      <c r="BR18" s="12">
        <v>224.79000000000065</v>
      </c>
      <c r="BS18" s="6"/>
      <c r="BT18" s="10">
        <v>16</v>
      </c>
      <c r="BU18" s="10"/>
      <c r="BV18" s="11" t="s">
        <v>25</v>
      </c>
      <c r="BW18" s="11" t="s">
        <v>25</v>
      </c>
      <c r="BX18" s="11" t="s">
        <v>25</v>
      </c>
      <c r="BY18" s="11" t="s">
        <v>25</v>
      </c>
      <c r="BZ18" s="11" t="s">
        <v>25</v>
      </c>
      <c r="CA18" s="11" t="s">
        <v>25</v>
      </c>
      <c r="CB18" s="6"/>
      <c r="CC18" s="10">
        <v>16</v>
      </c>
      <c r="CD18" s="10"/>
      <c r="CE18" s="11" t="s">
        <v>25</v>
      </c>
      <c r="CF18" s="11" t="s">
        <v>25</v>
      </c>
      <c r="CG18" s="11" t="s">
        <v>25</v>
      </c>
      <c r="CH18" s="11">
        <v>554.70999999999788</v>
      </c>
      <c r="CI18" s="11" t="s">
        <v>25</v>
      </c>
      <c r="CJ18" s="11" t="s">
        <v>25</v>
      </c>
    </row>
    <row r="19" spans="1:88">
      <c r="A19" s="6"/>
      <c r="B19" s="10">
        <v>17</v>
      </c>
      <c r="C19" s="6">
        <v>18</v>
      </c>
      <c r="G19" s="6"/>
      <c r="H19" s="6"/>
      <c r="I19" s="6"/>
      <c r="J19" s="6"/>
      <c r="K19" s="6"/>
      <c r="L19" s="6"/>
      <c r="M19" s="6"/>
      <c r="N19" s="6"/>
      <c r="BB19" s="10">
        <v>17</v>
      </c>
      <c r="BC19" s="10" t="s">
        <v>6</v>
      </c>
      <c r="BD19" s="12">
        <v>121.84000000000015</v>
      </c>
      <c r="BE19" s="12">
        <v>112.12800000000006</v>
      </c>
      <c r="BF19" s="12">
        <v>183.27999999999975</v>
      </c>
      <c r="BG19" s="12">
        <v>127.84000000000015</v>
      </c>
      <c r="BH19" s="12">
        <v>138.7200000000004</v>
      </c>
      <c r="BI19" s="12">
        <v>150.63999999999956</v>
      </c>
      <c r="BK19" s="10">
        <v>17</v>
      </c>
      <c r="BL19" s="10" t="s">
        <v>24</v>
      </c>
      <c r="BM19" s="12">
        <v>127.44999999999936</v>
      </c>
      <c r="BN19" s="12">
        <v>91.023999999999802</v>
      </c>
      <c r="BO19" s="12">
        <v>247.56799999999933</v>
      </c>
      <c r="BP19" s="12">
        <v>169.23199999999997</v>
      </c>
      <c r="BQ19" s="12">
        <v>258.8000000000003</v>
      </c>
      <c r="BR19" s="12">
        <v>256.16000000000065</v>
      </c>
      <c r="BS19" s="6"/>
      <c r="BT19" s="10">
        <v>17</v>
      </c>
      <c r="BU19" s="10"/>
      <c r="BV19" s="11" t="s">
        <v>25</v>
      </c>
      <c r="BW19" s="11" t="s">
        <v>25</v>
      </c>
      <c r="BX19" s="11" t="s">
        <v>25</v>
      </c>
      <c r="BY19" s="11" t="s">
        <v>25</v>
      </c>
      <c r="BZ19" s="11" t="s">
        <v>25</v>
      </c>
      <c r="CA19" s="11" t="s">
        <v>25</v>
      </c>
      <c r="CB19" s="6"/>
      <c r="CC19" s="10">
        <v>17</v>
      </c>
      <c r="CD19" s="10"/>
      <c r="CE19" s="11" t="s">
        <v>25</v>
      </c>
      <c r="CF19" s="11" t="s">
        <v>25</v>
      </c>
      <c r="CG19" s="11" t="s">
        <v>25</v>
      </c>
      <c r="CH19" s="11">
        <v>591.83999999999787</v>
      </c>
      <c r="CI19" s="11" t="s">
        <v>25</v>
      </c>
      <c r="CJ19" s="11" t="s">
        <v>25</v>
      </c>
    </row>
    <row r="20" spans="1:88">
      <c r="A20" s="6"/>
      <c r="B20" s="10">
        <v>18</v>
      </c>
      <c r="C20" s="6">
        <v>19</v>
      </c>
      <c r="G20" s="6"/>
      <c r="H20" s="6"/>
      <c r="I20" s="6"/>
      <c r="J20" s="6"/>
      <c r="K20" s="6"/>
      <c r="L20" s="6"/>
      <c r="M20" s="6" t="s">
        <v>3</v>
      </c>
      <c r="BB20" s="10">
        <v>18</v>
      </c>
      <c r="BC20" s="10" t="s">
        <v>6</v>
      </c>
      <c r="BD20" s="12">
        <v>138.97000000000014</v>
      </c>
      <c r="BE20" s="12">
        <v>119.24900000000005</v>
      </c>
      <c r="BF20" s="12">
        <v>201.61499999999975</v>
      </c>
      <c r="BG20" s="12">
        <v>140.72000000000014</v>
      </c>
      <c r="BH20" s="12">
        <v>162.51000000000039</v>
      </c>
      <c r="BI20" s="12">
        <v>171.86999999999955</v>
      </c>
      <c r="BK20" s="10">
        <v>18</v>
      </c>
      <c r="BL20" s="10" t="s">
        <v>24</v>
      </c>
      <c r="BM20" s="12">
        <v>144.57999999999936</v>
      </c>
      <c r="BN20" s="12">
        <v>102.24199999999981</v>
      </c>
      <c r="BO20" s="12">
        <v>275.14399999999932</v>
      </c>
      <c r="BP20" s="12">
        <v>188.63099999999997</v>
      </c>
      <c r="BQ20" s="12">
        <v>292.90000000000032</v>
      </c>
      <c r="BR20" s="12">
        <v>287.53000000000065</v>
      </c>
      <c r="BS20" s="6"/>
      <c r="BT20" s="10">
        <v>18</v>
      </c>
      <c r="BU20" s="10"/>
      <c r="BV20" s="11" t="s">
        <v>25</v>
      </c>
      <c r="BW20" s="11" t="s">
        <v>25</v>
      </c>
      <c r="BX20" s="11" t="s">
        <v>25</v>
      </c>
      <c r="BY20" s="11" t="s">
        <v>25</v>
      </c>
      <c r="BZ20" s="11" t="s">
        <v>25</v>
      </c>
      <c r="CA20" s="11" t="s">
        <v>25</v>
      </c>
      <c r="CB20" s="6"/>
      <c r="CC20" s="10">
        <v>18</v>
      </c>
      <c r="CD20" s="10"/>
      <c r="CE20" s="11" t="s">
        <v>25</v>
      </c>
      <c r="CF20" s="11" t="s">
        <v>25</v>
      </c>
      <c r="CG20" s="11" t="s">
        <v>25</v>
      </c>
      <c r="CH20" s="11">
        <v>628.96999999999787</v>
      </c>
      <c r="CI20" s="11" t="s">
        <v>25</v>
      </c>
      <c r="CJ20" s="11" t="s">
        <v>25</v>
      </c>
    </row>
    <row r="21" spans="1:88" ht="15.75" customHeight="1">
      <c r="A21" s="6"/>
      <c r="B21" s="10">
        <v>19</v>
      </c>
      <c r="C21" s="6">
        <v>20</v>
      </c>
      <c r="G21" s="6" t="s">
        <v>0</v>
      </c>
      <c r="H21" s="6" t="s">
        <v>1</v>
      </c>
      <c r="I21" s="6" t="s">
        <v>26</v>
      </c>
      <c r="J21" s="6" t="s">
        <v>19</v>
      </c>
      <c r="K21" s="6" t="s">
        <v>4</v>
      </c>
      <c r="L21" s="6"/>
      <c r="M21" s="6">
        <f>IF(I22=C11,IF(H22=D3,VLOOKUP(J22,BB3:BI202,4,FALSE),IF(I22=C11,IF(H22=D4,VLOOKUP(J22,BK3:BR202,4,FALSE)))))</f>
        <v>347.12099999999998</v>
      </c>
      <c r="BB21" s="10">
        <v>19</v>
      </c>
      <c r="BC21" s="10" t="s">
        <v>6</v>
      </c>
      <c r="BD21" s="12">
        <v>156.10000000000014</v>
      </c>
      <c r="BE21" s="12">
        <v>126.37000000000005</v>
      </c>
      <c r="BF21" s="12">
        <v>219.94999999999976</v>
      </c>
      <c r="BG21" s="12">
        <v>153.60000000000014</v>
      </c>
      <c r="BH21" s="12">
        <v>186.30000000000038</v>
      </c>
      <c r="BI21" s="12">
        <v>193.09999999999954</v>
      </c>
      <c r="BK21" s="10">
        <v>19</v>
      </c>
      <c r="BL21" s="10" t="s">
        <v>24</v>
      </c>
      <c r="BM21" s="12">
        <v>161.70999999999935</v>
      </c>
      <c r="BN21" s="12">
        <v>113.45999999999981</v>
      </c>
      <c r="BO21" s="12">
        <v>302.71999999999935</v>
      </c>
      <c r="BP21" s="12">
        <v>208.02999999999997</v>
      </c>
      <c r="BQ21" s="12">
        <v>327.00000000000034</v>
      </c>
      <c r="BR21" s="12">
        <v>318.90000000000066</v>
      </c>
      <c r="BS21" s="6"/>
      <c r="BT21" s="10">
        <v>19</v>
      </c>
      <c r="BU21" s="10"/>
      <c r="BV21" s="11" t="s">
        <v>25</v>
      </c>
      <c r="BW21" s="11" t="s">
        <v>25</v>
      </c>
      <c r="BX21" s="11" t="s">
        <v>25</v>
      </c>
      <c r="BY21" s="11" t="s">
        <v>25</v>
      </c>
      <c r="BZ21" s="11" t="s">
        <v>25</v>
      </c>
      <c r="CA21" s="11" t="s">
        <v>25</v>
      </c>
      <c r="CB21" s="6"/>
      <c r="CC21" s="10">
        <v>19</v>
      </c>
      <c r="CD21" s="10"/>
      <c r="CE21" s="11" t="s">
        <v>25</v>
      </c>
      <c r="CF21" s="11" t="s">
        <v>25</v>
      </c>
      <c r="CG21" s="11" t="s">
        <v>25</v>
      </c>
      <c r="CH21" s="11">
        <v>666.09999999999786</v>
      </c>
      <c r="CI21" s="11" t="s">
        <v>25</v>
      </c>
      <c r="CJ21" s="11" t="s">
        <v>25</v>
      </c>
    </row>
    <row r="22" spans="1:88" ht="15.75" customHeight="1">
      <c r="A22" s="6"/>
      <c r="B22" s="10">
        <v>20</v>
      </c>
      <c r="C22" s="6">
        <v>21</v>
      </c>
      <c r="G22" s="6" t="s">
        <v>7</v>
      </c>
      <c r="H22" s="6" t="str">
        <f>'Tensile Pass Fail'!C6</f>
        <v>LWT310 4.8mm (3/16")</v>
      </c>
      <c r="I22" s="15">
        <v>10</v>
      </c>
      <c r="J22" s="6">
        <f>'Tensile Pass Fail'!E6</f>
        <v>50</v>
      </c>
      <c r="K22" s="6"/>
      <c r="L22" s="6"/>
      <c r="M22" s="6" t="str">
        <f>IF(J22&gt;=140,"FAIL","PASS")</f>
        <v>PASS</v>
      </c>
      <c r="N22" s="6"/>
      <c r="BB22" s="10">
        <v>20</v>
      </c>
      <c r="BC22" s="10" t="s">
        <v>6</v>
      </c>
      <c r="BD22" s="12">
        <v>173.23000000000013</v>
      </c>
      <c r="BE22" s="12">
        <v>133.49100000000004</v>
      </c>
      <c r="BF22" s="12">
        <v>238.28499999999977</v>
      </c>
      <c r="BG22" s="12">
        <v>166.48000000000013</v>
      </c>
      <c r="BH22" s="12">
        <v>210.09000000000037</v>
      </c>
      <c r="BI22" s="12">
        <v>214.32999999999953</v>
      </c>
      <c r="BK22" s="10">
        <v>20</v>
      </c>
      <c r="BL22" s="10" t="s">
        <v>24</v>
      </c>
      <c r="BM22" s="12">
        <v>178.83999999999935</v>
      </c>
      <c r="BN22" s="12">
        <v>124.67799999999981</v>
      </c>
      <c r="BO22" s="12">
        <v>330.29599999999937</v>
      </c>
      <c r="BP22" s="12">
        <v>227.42899999999997</v>
      </c>
      <c r="BQ22" s="12">
        <v>361.10000000000036</v>
      </c>
      <c r="BR22" s="12">
        <v>350.27000000000066</v>
      </c>
      <c r="BS22" s="6"/>
      <c r="BT22" s="10">
        <v>20</v>
      </c>
      <c r="BU22" s="10"/>
      <c r="BV22" s="11" t="s">
        <v>25</v>
      </c>
      <c r="BW22" s="11" t="s">
        <v>25</v>
      </c>
      <c r="BX22" s="11" t="s">
        <v>25</v>
      </c>
      <c r="BY22" s="11" t="s">
        <v>25</v>
      </c>
      <c r="BZ22" s="11" t="s">
        <v>25</v>
      </c>
      <c r="CA22" s="11" t="s">
        <v>25</v>
      </c>
      <c r="CB22" s="6"/>
      <c r="CC22" s="10">
        <v>20</v>
      </c>
      <c r="CD22" s="10"/>
      <c r="CE22" s="11" t="s">
        <v>25</v>
      </c>
      <c r="CF22" s="11" t="s">
        <v>25</v>
      </c>
      <c r="CG22" s="11" t="s">
        <v>25</v>
      </c>
      <c r="CH22" s="11">
        <v>703.22999999999786</v>
      </c>
      <c r="CI22" s="11" t="s">
        <v>25</v>
      </c>
      <c r="CJ22" s="11" t="s">
        <v>25</v>
      </c>
    </row>
    <row r="23" spans="1:88" ht="15.75" customHeight="1">
      <c r="A23" s="6"/>
      <c r="B23" s="10">
        <v>21</v>
      </c>
      <c r="C23" s="6">
        <v>22</v>
      </c>
      <c r="G23" s="6"/>
      <c r="H23" s="6"/>
      <c r="I23" s="6"/>
      <c r="J23" s="6"/>
      <c r="K23" s="6"/>
      <c r="L23" s="6"/>
      <c r="M23" s="6"/>
      <c r="N23" s="6"/>
      <c r="BB23" s="10">
        <v>21</v>
      </c>
      <c r="BC23" s="10" t="s">
        <v>6</v>
      </c>
      <c r="BD23" s="12">
        <v>190.36000000000013</v>
      </c>
      <c r="BE23" s="12">
        <v>140.61200000000005</v>
      </c>
      <c r="BF23" s="12">
        <v>256.61999999999978</v>
      </c>
      <c r="BG23" s="12">
        <v>179.36000000000013</v>
      </c>
      <c r="BH23" s="12">
        <v>233.88000000000036</v>
      </c>
      <c r="BI23" s="12">
        <v>235.55999999999952</v>
      </c>
      <c r="BK23" s="10">
        <v>21</v>
      </c>
      <c r="BL23" s="10" t="s">
        <v>24</v>
      </c>
      <c r="BM23" s="12">
        <v>195.96999999999935</v>
      </c>
      <c r="BN23" s="12">
        <v>135.89599999999982</v>
      </c>
      <c r="BO23" s="12">
        <v>357.87199999999939</v>
      </c>
      <c r="BP23" s="12">
        <v>246.82799999999997</v>
      </c>
      <c r="BQ23" s="12">
        <v>395.20000000000039</v>
      </c>
      <c r="BR23" s="12">
        <v>381.64000000000067</v>
      </c>
      <c r="BS23" s="6"/>
      <c r="BT23" s="10">
        <v>21</v>
      </c>
      <c r="BU23" s="10"/>
      <c r="BV23" s="11" t="s">
        <v>25</v>
      </c>
      <c r="BW23" s="11" t="s">
        <v>25</v>
      </c>
      <c r="BX23" s="11" t="s">
        <v>25</v>
      </c>
      <c r="BY23" s="11" t="s">
        <v>25</v>
      </c>
      <c r="BZ23" s="11" t="s">
        <v>25</v>
      </c>
      <c r="CA23" s="11" t="s">
        <v>25</v>
      </c>
      <c r="CB23" s="6"/>
      <c r="CC23" s="10">
        <v>21</v>
      </c>
      <c r="CD23" s="10"/>
      <c r="CE23" s="11" t="s">
        <v>25</v>
      </c>
      <c r="CF23" s="11" t="s">
        <v>25</v>
      </c>
      <c r="CG23" s="11" t="s">
        <v>25</v>
      </c>
      <c r="CH23" s="11">
        <v>740.35999999999785</v>
      </c>
      <c r="CI23" s="11" t="s">
        <v>25</v>
      </c>
      <c r="CJ23" s="11" t="s">
        <v>25</v>
      </c>
    </row>
    <row r="24" spans="1:88" ht="15.75" customHeight="1">
      <c r="A24" s="6"/>
      <c r="B24" s="10">
        <v>22</v>
      </c>
      <c r="C24" s="6">
        <v>23</v>
      </c>
      <c r="G24" s="6"/>
      <c r="H24" s="6"/>
      <c r="I24" s="6"/>
      <c r="J24" s="6"/>
      <c r="K24" s="6"/>
      <c r="L24" s="6"/>
      <c r="M24" s="6" t="s">
        <v>3</v>
      </c>
      <c r="N24" s="6"/>
      <c r="BB24" s="10">
        <v>22</v>
      </c>
      <c r="BC24" s="10" t="s">
        <v>6</v>
      </c>
      <c r="BD24" s="12">
        <v>207.49000000000012</v>
      </c>
      <c r="BE24" s="12">
        <v>147.73300000000006</v>
      </c>
      <c r="BF24" s="12">
        <v>274.95499999999976</v>
      </c>
      <c r="BG24" s="12">
        <v>192.24000000000012</v>
      </c>
      <c r="BH24" s="12">
        <v>257.67000000000036</v>
      </c>
      <c r="BI24" s="12">
        <v>256.78999999999951</v>
      </c>
      <c r="BK24" s="10">
        <v>22</v>
      </c>
      <c r="BL24" s="10" t="s">
        <v>24</v>
      </c>
      <c r="BM24" s="12">
        <v>213.09999999999934</v>
      </c>
      <c r="BN24" s="12">
        <v>147.11399999999981</v>
      </c>
      <c r="BO24" s="12">
        <v>385.44799999999941</v>
      </c>
      <c r="BP24" s="12">
        <v>266.22699999999998</v>
      </c>
      <c r="BQ24" s="12">
        <v>429.30000000000041</v>
      </c>
      <c r="BR24" s="12">
        <v>413.01000000000067</v>
      </c>
      <c r="BS24" s="6"/>
      <c r="BT24" s="10">
        <v>22</v>
      </c>
      <c r="BU24" s="10"/>
      <c r="BV24" s="11" t="s">
        <v>25</v>
      </c>
      <c r="BW24" s="11" t="s">
        <v>25</v>
      </c>
      <c r="BX24" s="11" t="s">
        <v>25</v>
      </c>
      <c r="BY24" s="11" t="s">
        <v>25</v>
      </c>
      <c r="BZ24" s="11" t="s">
        <v>25</v>
      </c>
      <c r="CA24" s="11" t="s">
        <v>25</v>
      </c>
      <c r="CB24" s="6"/>
      <c r="CC24" s="10">
        <v>22</v>
      </c>
      <c r="CD24" s="10"/>
      <c r="CE24" s="11" t="s">
        <v>25</v>
      </c>
      <c r="CF24" s="11" t="s">
        <v>25</v>
      </c>
      <c r="CG24" s="11" t="s">
        <v>25</v>
      </c>
      <c r="CH24" s="11">
        <v>777.48999999999785</v>
      </c>
      <c r="CI24" s="11" t="s">
        <v>25</v>
      </c>
      <c r="CJ24" s="11" t="s">
        <v>25</v>
      </c>
    </row>
    <row r="25" spans="1:88" ht="15.75" customHeight="1">
      <c r="A25" s="6"/>
      <c r="B25" s="10">
        <v>23</v>
      </c>
      <c r="C25" s="7">
        <v>24</v>
      </c>
      <c r="G25" s="6" t="s">
        <v>0</v>
      </c>
      <c r="H25" s="6" t="s">
        <v>1</v>
      </c>
      <c r="I25" s="6" t="s">
        <v>26</v>
      </c>
      <c r="J25" s="6" t="s">
        <v>19</v>
      </c>
      <c r="K25" s="6" t="s">
        <v>4</v>
      </c>
      <c r="L25" s="6"/>
      <c r="M25" s="6">
        <f>IF(I26=C40,IF(H26=D3,VLOOKUP(J26,BT3:CA202,4,FALSE),IF(I26=C40,IF(H26=D4,VLOOKUP(J26,CC3:CJ202,4,FALSE)))))</f>
        <v>695.62</v>
      </c>
      <c r="N25" s="6"/>
      <c r="BB25" s="10">
        <v>23</v>
      </c>
      <c r="BC25" s="10" t="s">
        <v>6</v>
      </c>
      <c r="BD25" s="12">
        <v>224.62000000000012</v>
      </c>
      <c r="BE25" s="12">
        <v>154.85400000000007</v>
      </c>
      <c r="BF25" s="12">
        <v>293.28999999999974</v>
      </c>
      <c r="BG25" s="12">
        <v>205.12000000000012</v>
      </c>
      <c r="BH25" s="12">
        <v>281.46000000000038</v>
      </c>
      <c r="BI25" s="12">
        <v>278.01999999999953</v>
      </c>
      <c r="BK25" s="10">
        <v>23</v>
      </c>
      <c r="BL25" s="10" t="s">
        <v>24</v>
      </c>
      <c r="BM25" s="12">
        <v>230.22999999999934</v>
      </c>
      <c r="BN25" s="12">
        <v>158.33199999999979</v>
      </c>
      <c r="BO25" s="12">
        <v>413.02399999999943</v>
      </c>
      <c r="BP25" s="12">
        <v>285.62599999999998</v>
      </c>
      <c r="BQ25" s="12">
        <v>463.40000000000043</v>
      </c>
      <c r="BR25" s="12">
        <v>444.38000000000068</v>
      </c>
      <c r="BS25" s="6"/>
      <c r="BT25" s="10">
        <v>23</v>
      </c>
      <c r="BU25" s="10"/>
      <c r="BV25" s="11" t="s">
        <v>25</v>
      </c>
      <c r="BW25" s="11" t="s">
        <v>25</v>
      </c>
      <c r="BX25" s="11" t="s">
        <v>25</v>
      </c>
      <c r="BY25" s="11" t="s">
        <v>25</v>
      </c>
      <c r="BZ25" s="11" t="s">
        <v>25</v>
      </c>
      <c r="CA25" s="11" t="s">
        <v>25</v>
      </c>
      <c r="CB25" s="6"/>
      <c r="CC25" s="10">
        <v>23</v>
      </c>
      <c r="CD25" s="10"/>
      <c r="CE25" s="11" t="s">
        <v>25</v>
      </c>
      <c r="CF25" s="11" t="s">
        <v>25</v>
      </c>
      <c r="CG25" s="11" t="s">
        <v>25</v>
      </c>
      <c r="CH25" s="11">
        <v>814.61999999999784</v>
      </c>
      <c r="CI25" s="11" t="s">
        <v>25</v>
      </c>
      <c r="CJ25" s="11" t="s">
        <v>25</v>
      </c>
    </row>
    <row r="26" spans="1:88" ht="15.75" customHeight="1">
      <c r="A26" s="6"/>
      <c r="B26" s="10">
        <v>24</v>
      </c>
      <c r="C26" s="6">
        <v>25</v>
      </c>
      <c r="G26" s="6" t="s">
        <v>7</v>
      </c>
      <c r="H26" s="6" t="str">
        <f>'Tensile Pass Fail'!C6</f>
        <v>LWT310 4.8mm (3/16")</v>
      </c>
      <c r="I26" s="17">
        <v>39</v>
      </c>
      <c r="J26" s="6">
        <f>'Tensile Pass Fail'!E6</f>
        <v>50</v>
      </c>
      <c r="K26" s="6"/>
      <c r="L26" s="6"/>
      <c r="M26" s="6" t="str">
        <f>IF(J26&gt;=61,"FAIL","PASS")</f>
        <v>PASS</v>
      </c>
      <c r="N26" s="6"/>
      <c r="BB26" s="10">
        <v>24</v>
      </c>
      <c r="BC26" s="10" t="s">
        <v>6</v>
      </c>
      <c r="BD26" s="12">
        <v>241.75000000000011</v>
      </c>
      <c r="BE26" s="12">
        <v>161.97500000000008</v>
      </c>
      <c r="BF26" s="12">
        <v>311.62499999999972</v>
      </c>
      <c r="BG26" s="12">
        <v>218.00000000000011</v>
      </c>
      <c r="BH26" s="12">
        <v>305.2500000000004</v>
      </c>
      <c r="BI26" s="12">
        <v>299.24999999999955</v>
      </c>
      <c r="BK26" s="10">
        <v>24</v>
      </c>
      <c r="BL26" s="10" t="s">
        <v>24</v>
      </c>
      <c r="BM26" s="12">
        <v>247.35999999999933</v>
      </c>
      <c r="BN26" s="12">
        <v>169.54999999999978</v>
      </c>
      <c r="BO26" s="12">
        <v>440.59999999999945</v>
      </c>
      <c r="BP26" s="12">
        <v>305.02499999999998</v>
      </c>
      <c r="BQ26" s="12">
        <v>497.50000000000045</v>
      </c>
      <c r="BR26" s="12">
        <v>475.75000000000068</v>
      </c>
      <c r="BS26" s="6"/>
      <c r="BT26" s="10">
        <v>24</v>
      </c>
      <c r="BU26" s="10"/>
      <c r="BV26" s="11" t="s">
        <v>25</v>
      </c>
      <c r="BW26" s="11" t="s">
        <v>25</v>
      </c>
      <c r="BX26" s="11" t="s">
        <v>25</v>
      </c>
      <c r="BY26" s="11" t="s">
        <v>25</v>
      </c>
      <c r="BZ26" s="11" t="s">
        <v>25</v>
      </c>
      <c r="CA26" s="11" t="s">
        <v>25</v>
      </c>
      <c r="CB26" s="6"/>
      <c r="CC26" s="10">
        <v>24</v>
      </c>
      <c r="CD26" s="10"/>
      <c r="CE26" s="11" t="s">
        <v>25</v>
      </c>
      <c r="CF26" s="11" t="s">
        <v>25</v>
      </c>
      <c r="CG26" s="11" t="s">
        <v>25</v>
      </c>
      <c r="CH26" s="11">
        <v>851.74999999999784</v>
      </c>
      <c r="CI26" s="11" t="s">
        <v>25</v>
      </c>
      <c r="CJ26" s="11" t="s">
        <v>25</v>
      </c>
    </row>
    <row r="27" spans="1:88" ht="15.75" customHeight="1">
      <c r="A27" s="6"/>
      <c r="B27" s="10">
        <v>25</v>
      </c>
      <c r="C27" s="6">
        <v>26</v>
      </c>
      <c r="G27" s="6"/>
      <c r="H27" s="6"/>
      <c r="I27" s="6"/>
      <c r="J27" s="6"/>
      <c r="K27" s="6"/>
      <c r="L27" s="6"/>
      <c r="M27" s="6"/>
      <c r="N27" s="6"/>
      <c r="BB27" s="10">
        <v>25</v>
      </c>
      <c r="BC27" s="10" t="s">
        <v>6</v>
      </c>
      <c r="BD27" s="12">
        <v>258.88000000000011</v>
      </c>
      <c r="BE27" s="12">
        <v>169.09600000000009</v>
      </c>
      <c r="BF27" s="12">
        <v>329.9599999999997</v>
      </c>
      <c r="BG27" s="12">
        <v>230.88000000000011</v>
      </c>
      <c r="BH27" s="12">
        <v>329.04000000000042</v>
      </c>
      <c r="BI27" s="12">
        <v>320.47999999999956</v>
      </c>
      <c r="BK27" s="10">
        <v>25</v>
      </c>
      <c r="BL27" s="10" t="s">
        <v>24</v>
      </c>
      <c r="BM27" s="12">
        <v>264.48999999999933</v>
      </c>
      <c r="BN27" s="12">
        <v>180.76799999999977</v>
      </c>
      <c r="BO27" s="12">
        <v>468.17599999999948</v>
      </c>
      <c r="BP27" s="12">
        <v>324.42399999999998</v>
      </c>
      <c r="BQ27" s="12">
        <v>531.60000000000048</v>
      </c>
      <c r="BR27" s="12">
        <v>507.12000000000069</v>
      </c>
      <c r="BS27" s="6"/>
      <c r="BT27" s="10">
        <v>25</v>
      </c>
      <c r="BU27" s="10"/>
      <c r="BV27" s="11" t="s">
        <v>25</v>
      </c>
      <c r="BW27" s="11" t="s">
        <v>25</v>
      </c>
      <c r="BX27" s="11" t="s">
        <v>25</v>
      </c>
      <c r="BY27" s="11" t="s">
        <v>25</v>
      </c>
      <c r="BZ27" s="11" t="s">
        <v>25</v>
      </c>
      <c r="CA27" s="11" t="s">
        <v>25</v>
      </c>
      <c r="CB27" s="6"/>
      <c r="CC27" s="10">
        <v>25</v>
      </c>
      <c r="CD27" s="10"/>
      <c r="CE27" s="11" t="s">
        <v>25</v>
      </c>
      <c r="CF27" s="11" t="s">
        <v>25</v>
      </c>
      <c r="CG27" s="11" t="s">
        <v>25</v>
      </c>
      <c r="CH27" s="11">
        <v>888.87999999999784</v>
      </c>
      <c r="CI27" s="11" t="s">
        <v>25</v>
      </c>
      <c r="CJ27" s="11" t="s">
        <v>25</v>
      </c>
    </row>
    <row r="28" spans="1:88" ht="15.75" customHeight="1">
      <c r="A28" s="6"/>
      <c r="B28" s="10">
        <v>26</v>
      </c>
      <c r="C28" s="6">
        <v>27</v>
      </c>
      <c r="G28" s="6"/>
      <c r="H28" s="6"/>
      <c r="I28" s="6"/>
      <c r="J28" s="6"/>
      <c r="K28" s="6"/>
      <c r="L28" s="6"/>
      <c r="M28" s="6" t="s">
        <v>3</v>
      </c>
      <c r="N28" s="6"/>
      <c r="BB28" s="10">
        <v>26</v>
      </c>
      <c r="BC28" s="10" t="s">
        <v>6</v>
      </c>
      <c r="BD28" s="12">
        <v>276.0100000000001</v>
      </c>
      <c r="BE28" s="12">
        <v>176.2170000000001</v>
      </c>
      <c r="BF28" s="12">
        <v>348.29499999999967</v>
      </c>
      <c r="BG28" s="12">
        <v>243.7600000000001</v>
      </c>
      <c r="BH28" s="12">
        <v>352.83000000000044</v>
      </c>
      <c r="BI28" s="12">
        <v>341.70999999999958</v>
      </c>
      <c r="BK28" s="10">
        <v>26</v>
      </c>
      <c r="BL28" s="10" t="s">
        <v>24</v>
      </c>
      <c r="BM28" s="12">
        <v>281.61999999999932</v>
      </c>
      <c r="BN28" s="12">
        <v>191.98599999999976</v>
      </c>
      <c r="BO28" s="12">
        <v>495.7519999999995</v>
      </c>
      <c r="BP28" s="12">
        <v>343.82299999999998</v>
      </c>
      <c r="BQ28" s="12">
        <v>565.7000000000005</v>
      </c>
      <c r="BR28" s="12">
        <v>538.49000000000069</v>
      </c>
      <c r="BS28" s="6"/>
      <c r="BT28" s="10">
        <v>26</v>
      </c>
      <c r="BU28" s="10"/>
      <c r="BV28" s="11" t="s">
        <v>25</v>
      </c>
      <c r="BW28" s="11" t="s">
        <v>25</v>
      </c>
      <c r="BX28" s="11" t="s">
        <v>25</v>
      </c>
      <c r="BY28" s="11" t="s">
        <v>25</v>
      </c>
      <c r="BZ28" s="11" t="s">
        <v>25</v>
      </c>
      <c r="CA28" s="11" t="s">
        <v>25</v>
      </c>
      <c r="CB28" s="6"/>
      <c r="CC28" s="10">
        <v>26</v>
      </c>
      <c r="CD28" s="10"/>
      <c r="CE28" s="11" t="s">
        <v>25</v>
      </c>
      <c r="CF28" s="11" t="s">
        <v>25</v>
      </c>
      <c r="CG28" s="11" t="s">
        <v>25</v>
      </c>
      <c r="CH28" s="11">
        <v>926.00999999999783</v>
      </c>
      <c r="CI28" s="11" t="s">
        <v>25</v>
      </c>
      <c r="CJ28" s="11" t="s">
        <v>25</v>
      </c>
    </row>
    <row r="29" spans="1:88" ht="15.75" customHeight="1">
      <c r="A29" s="6"/>
      <c r="B29" s="10">
        <v>27</v>
      </c>
      <c r="C29" s="6">
        <v>28</v>
      </c>
      <c r="G29" s="6" t="s">
        <v>0</v>
      </c>
      <c r="H29" s="6" t="s">
        <v>1</v>
      </c>
      <c r="I29" s="6" t="s">
        <v>26</v>
      </c>
      <c r="J29" s="6" t="s">
        <v>19</v>
      </c>
      <c r="K29" s="6" t="s">
        <v>4</v>
      </c>
      <c r="L29" s="6"/>
      <c r="M29" s="6">
        <f>IF(I30=C11,IF(H30=D3,VLOOKUP(J30,BB3:BI202,5,FALSE),IF(I30=C11,IF(H30=D4,VLOOKUP(J30,BK3:BR202,5,FALSE),""))))</f>
        <v>1157.576</v>
      </c>
      <c r="N29" s="6"/>
      <c r="BB29" s="10">
        <v>27</v>
      </c>
      <c r="BC29" s="10" t="s">
        <v>6</v>
      </c>
      <c r="BD29" s="12">
        <v>293.1400000000001</v>
      </c>
      <c r="BE29" s="12">
        <v>183.33800000000011</v>
      </c>
      <c r="BF29" s="12">
        <v>366.62999999999965</v>
      </c>
      <c r="BG29" s="12">
        <v>256.6400000000001</v>
      </c>
      <c r="BH29" s="12">
        <v>376.62000000000046</v>
      </c>
      <c r="BI29" s="12">
        <v>362.9399999999996</v>
      </c>
      <c r="BK29" s="10">
        <v>27</v>
      </c>
      <c r="BL29" s="10" t="s">
        <v>24</v>
      </c>
      <c r="BM29" s="12">
        <v>298.74999999999932</v>
      </c>
      <c r="BN29" s="12">
        <v>203.20399999999975</v>
      </c>
      <c r="BO29" s="12">
        <v>523.32799999999952</v>
      </c>
      <c r="BP29" s="12">
        <v>363.22199999999998</v>
      </c>
      <c r="BQ29" s="12">
        <v>599.80000000000052</v>
      </c>
      <c r="BR29" s="12">
        <v>569.8600000000007</v>
      </c>
      <c r="BS29" s="6"/>
      <c r="BT29" s="10">
        <v>27</v>
      </c>
      <c r="BU29" s="10"/>
      <c r="BV29" s="11" t="s">
        <v>25</v>
      </c>
      <c r="BW29" s="11" t="s">
        <v>25</v>
      </c>
      <c r="BX29" s="11" t="s">
        <v>25</v>
      </c>
      <c r="BY29" s="11" t="s">
        <v>25</v>
      </c>
      <c r="BZ29" s="11" t="s">
        <v>25</v>
      </c>
      <c r="CA29" s="11" t="s">
        <v>25</v>
      </c>
      <c r="CB29" s="6"/>
      <c r="CC29" s="10">
        <v>27</v>
      </c>
      <c r="CD29" s="10"/>
      <c r="CE29" s="11" t="s">
        <v>25</v>
      </c>
      <c r="CF29" s="11" t="s">
        <v>25</v>
      </c>
      <c r="CG29" s="11" t="s">
        <v>25</v>
      </c>
      <c r="CH29" s="11">
        <v>963.13999999999783</v>
      </c>
      <c r="CI29" s="11" t="s">
        <v>25</v>
      </c>
      <c r="CJ29" s="11" t="s">
        <v>25</v>
      </c>
    </row>
    <row r="30" spans="1:88" ht="15.75" customHeight="1">
      <c r="A30" s="6"/>
      <c r="B30" s="10">
        <v>28</v>
      </c>
      <c r="C30" s="6">
        <v>29</v>
      </c>
      <c r="G30" s="6" t="s">
        <v>8</v>
      </c>
      <c r="H30" s="6" t="str">
        <f>'Tensile Pass Fail'!C9</f>
        <v>LWT320 6.4mm (1/4")</v>
      </c>
      <c r="I30" s="15">
        <v>10</v>
      </c>
      <c r="J30" s="6">
        <f>'Tensile Pass Fail'!E9</f>
        <v>50</v>
      </c>
      <c r="K30" s="6"/>
      <c r="L30" s="6"/>
      <c r="M30" s="6" t="str">
        <f>IF(H30=D4,IF(J30&lt;=58,"PASS","FAIL"), IF(H30=D3,IF(J30&lt;=61, "PASS","FAIL")))</f>
        <v>PASS</v>
      </c>
      <c r="N30" s="6"/>
      <c r="BB30" s="10">
        <v>28</v>
      </c>
      <c r="BC30" s="10" t="s">
        <v>6</v>
      </c>
      <c r="BD30" s="12">
        <v>310.2700000000001</v>
      </c>
      <c r="BE30" s="12">
        <v>190.45900000000012</v>
      </c>
      <c r="BF30" s="12">
        <v>384.96499999999963</v>
      </c>
      <c r="BG30" s="12">
        <v>269.5200000000001</v>
      </c>
      <c r="BH30" s="12">
        <v>400.41000000000048</v>
      </c>
      <c r="BI30" s="12">
        <v>384.16999999999962</v>
      </c>
      <c r="BK30" s="10">
        <v>28</v>
      </c>
      <c r="BL30" s="10" t="s">
        <v>24</v>
      </c>
      <c r="BM30" s="12">
        <v>315.87999999999931</v>
      </c>
      <c r="BN30" s="12">
        <v>214.42199999999974</v>
      </c>
      <c r="BO30" s="12">
        <v>550.90399999999954</v>
      </c>
      <c r="BP30" s="12">
        <v>382.62099999999998</v>
      </c>
      <c r="BQ30" s="12">
        <v>633.90000000000055</v>
      </c>
      <c r="BR30" s="12">
        <v>601.2300000000007</v>
      </c>
      <c r="BS30" s="6"/>
      <c r="BT30" s="10">
        <v>28</v>
      </c>
      <c r="BU30" s="10"/>
      <c r="BV30" s="12">
        <v>44.317000000000377</v>
      </c>
      <c r="BW30" s="12">
        <v>131.9799999999999</v>
      </c>
      <c r="BX30" s="12">
        <v>325</v>
      </c>
      <c r="BY30" s="12">
        <v>222.61399999999938</v>
      </c>
      <c r="BZ30" s="12">
        <v>336.66099999999881</v>
      </c>
      <c r="CA30" s="12">
        <v>283.15700000000015</v>
      </c>
      <c r="CB30" s="6"/>
      <c r="CC30" s="10">
        <v>28</v>
      </c>
      <c r="CD30" s="10"/>
      <c r="CE30" s="12">
        <v>83.080000000000368</v>
      </c>
      <c r="CF30" s="12">
        <v>95.75</v>
      </c>
      <c r="CG30" s="12">
        <v>461.16000000000071</v>
      </c>
      <c r="CH30" s="12">
        <v>1000.2699999999978</v>
      </c>
      <c r="CI30" s="12">
        <v>415.79199999999906</v>
      </c>
      <c r="CJ30" s="12">
        <v>442.70500000000038</v>
      </c>
    </row>
    <row r="31" spans="1:88" ht="15.75" customHeight="1">
      <c r="A31" s="6"/>
      <c r="B31" s="10">
        <v>29</v>
      </c>
      <c r="C31" s="6">
        <v>30</v>
      </c>
      <c r="G31" s="6"/>
      <c r="H31" s="6"/>
      <c r="I31" s="6"/>
      <c r="J31" s="6"/>
      <c r="K31" s="6"/>
      <c r="L31" s="6"/>
      <c r="M31" s="6"/>
      <c r="N31" s="6"/>
      <c r="Q31" s="18"/>
      <c r="BB31" s="10">
        <v>29</v>
      </c>
      <c r="BC31" s="10" t="s">
        <v>6</v>
      </c>
      <c r="BD31" s="12">
        <v>327.40000000000009</v>
      </c>
      <c r="BE31" s="12">
        <v>197.58000000000013</v>
      </c>
      <c r="BF31" s="12">
        <v>403.29999999999961</v>
      </c>
      <c r="BG31" s="12">
        <v>282.40000000000009</v>
      </c>
      <c r="BH31" s="12">
        <v>424.2000000000005</v>
      </c>
      <c r="BI31" s="12">
        <v>405.39999999999964</v>
      </c>
      <c r="BK31" s="10">
        <v>29</v>
      </c>
      <c r="BL31" s="10" t="s">
        <v>24</v>
      </c>
      <c r="BM31" s="12">
        <v>333.00999999999931</v>
      </c>
      <c r="BN31" s="12">
        <v>225.63999999999973</v>
      </c>
      <c r="BO31" s="12">
        <v>578.47999999999956</v>
      </c>
      <c r="BP31" s="12">
        <v>402.02</v>
      </c>
      <c r="BQ31" s="12">
        <v>668.00000000000057</v>
      </c>
      <c r="BR31" s="12">
        <v>632.6000000000007</v>
      </c>
      <c r="BS31" s="6"/>
      <c r="BT31" s="10">
        <v>29</v>
      </c>
      <c r="BU31" s="10"/>
      <c r="BV31" s="12">
        <v>95.540000000000376</v>
      </c>
      <c r="BW31" s="12">
        <v>157.59999999999991</v>
      </c>
      <c r="BX31" s="12">
        <v>390</v>
      </c>
      <c r="BY31" s="12">
        <v>268.67999999999938</v>
      </c>
      <c r="BZ31" s="12">
        <v>416.8199999999988</v>
      </c>
      <c r="CA31" s="12">
        <v>356.34000000000015</v>
      </c>
      <c r="CB31" s="6"/>
      <c r="CC31" s="10">
        <v>29</v>
      </c>
      <c r="CD31" s="10"/>
      <c r="CE31" s="12">
        <v>159.60000000000036</v>
      </c>
      <c r="CF31" s="12">
        <v>135</v>
      </c>
      <c r="CG31" s="12">
        <v>559.20000000000073</v>
      </c>
      <c r="CH31" s="12">
        <v>1037.3999999999978</v>
      </c>
      <c r="CI31" s="12">
        <v>535.03999999999905</v>
      </c>
      <c r="CJ31" s="12">
        <v>552.10000000000036</v>
      </c>
    </row>
    <row r="32" spans="1:88" ht="15.75" customHeight="1">
      <c r="A32" s="6"/>
      <c r="B32" s="10">
        <v>30</v>
      </c>
      <c r="C32" s="6">
        <v>31</v>
      </c>
      <c r="G32" s="6"/>
      <c r="H32" s="6"/>
      <c r="I32" s="6"/>
      <c r="J32" s="6"/>
      <c r="K32" s="6"/>
      <c r="L32" s="6"/>
      <c r="M32" s="6" t="s">
        <v>3</v>
      </c>
      <c r="N32" s="6"/>
      <c r="BB32" s="10">
        <v>30</v>
      </c>
      <c r="BC32" s="10" t="s">
        <v>6</v>
      </c>
      <c r="BD32" s="12">
        <v>344.53000000000009</v>
      </c>
      <c r="BE32" s="12">
        <v>204.70100000000014</v>
      </c>
      <c r="BF32" s="12">
        <v>421.63499999999959</v>
      </c>
      <c r="BG32" s="12">
        <v>295.28000000000009</v>
      </c>
      <c r="BH32" s="12">
        <v>447.99000000000052</v>
      </c>
      <c r="BI32" s="12">
        <v>426.62999999999965</v>
      </c>
      <c r="BK32" s="10">
        <v>30</v>
      </c>
      <c r="BL32" s="10" t="s">
        <v>24</v>
      </c>
      <c r="BM32" s="12">
        <v>350.1399999999993</v>
      </c>
      <c r="BN32" s="12">
        <v>236.85799999999972</v>
      </c>
      <c r="BO32" s="12">
        <v>606.05599999999959</v>
      </c>
      <c r="BP32" s="12">
        <v>421.41899999999998</v>
      </c>
      <c r="BQ32" s="12">
        <v>702.10000000000059</v>
      </c>
      <c r="BR32" s="12">
        <v>663.97000000000071</v>
      </c>
      <c r="BS32" s="6"/>
      <c r="BT32" s="10">
        <v>30</v>
      </c>
      <c r="BU32" s="10"/>
      <c r="BV32" s="12">
        <v>146.76300000000037</v>
      </c>
      <c r="BW32" s="12">
        <v>183.21999999999991</v>
      </c>
      <c r="BX32" s="12">
        <v>455</v>
      </c>
      <c r="BY32" s="12">
        <v>314.74599999999941</v>
      </c>
      <c r="BZ32" s="12">
        <v>496.97899999999879</v>
      </c>
      <c r="CA32" s="12">
        <v>429.52300000000014</v>
      </c>
      <c r="CB32" s="6"/>
      <c r="CC32" s="10">
        <v>30</v>
      </c>
      <c r="CD32" s="10"/>
      <c r="CE32" s="12">
        <v>236.12000000000035</v>
      </c>
      <c r="CF32" s="12">
        <v>174.25</v>
      </c>
      <c r="CG32" s="12">
        <v>657.24000000000069</v>
      </c>
      <c r="CH32" s="12">
        <v>1074.5299999999979</v>
      </c>
      <c r="CI32" s="12">
        <v>654.2879999999991</v>
      </c>
      <c r="CJ32" s="12">
        <v>661.49500000000035</v>
      </c>
    </row>
    <row r="33" spans="1:88" ht="15.75" customHeight="1">
      <c r="A33" s="6"/>
      <c r="B33" s="10">
        <v>31</v>
      </c>
      <c r="C33" s="6">
        <v>32</v>
      </c>
      <c r="G33" s="6" t="s">
        <v>0</v>
      </c>
      <c r="H33" s="6" t="s">
        <v>1</v>
      </c>
      <c r="I33" s="6" t="s">
        <v>26</v>
      </c>
      <c r="J33" s="6" t="s">
        <v>19</v>
      </c>
      <c r="K33" s="6" t="s">
        <v>4</v>
      </c>
      <c r="L33" s="6"/>
      <c r="M33" s="6">
        <f>IF(I34=C40,IF(H34=D3,VLOOKUP(J34,BT3:CA202,5,FALSE), IF(I34=C40,IF(H34=D4,VLOOKUP(J34,CC3:CJ202,5,FALSE)))))</f>
        <v>2618.04</v>
      </c>
      <c r="N33" s="6"/>
      <c r="BB33" s="10">
        <v>31</v>
      </c>
      <c r="BC33" s="10" t="s">
        <v>6</v>
      </c>
      <c r="BD33" s="12">
        <v>361.66000000000008</v>
      </c>
      <c r="BE33" s="12">
        <v>211.82200000000014</v>
      </c>
      <c r="BF33" s="12">
        <v>439.96999999999957</v>
      </c>
      <c r="BG33" s="12">
        <v>308.16000000000008</v>
      </c>
      <c r="BH33" s="12">
        <v>471.78000000000054</v>
      </c>
      <c r="BI33" s="12">
        <v>447.85999999999967</v>
      </c>
      <c r="BK33" s="10">
        <v>31</v>
      </c>
      <c r="BL33" s="10" t="s">
        <v>24</v>
      </c>
      <c r="BM33" s="12">
        <v>379.0799999999993</v>
      </c>
      <c r="BN33" s="12">
        <v>248.07599999999971</v>
      </c>
      <c r="BO33" s="12">
        <v>633.63199999999961</v>
      </c>
      <c r="BP33" s="12">
        <v>440.81799999999998</v>
      </c>
      <c r="BQ33" s="12">
        <v>736.20000000000061</v>
      </c>
      <c r="BR33" s="12">
        <v>695.34000000000071</v>
      </c>
      <c r="BS33" s="6"/>
      <c r="BT33" s="10">
        <v>31</v>
      </c>
      <c r="BU33" s="10"/>
      <c r="BV33" s="12">
        <v>197.98600000000039</v>
      </c>
      <c r="BW33" s="12">
        <v>208.83999999999992</v>
      </c>
      <c r="BX33" s="12">
        <v>520</v>
      </c>
      <c r="BY33" s="12">
        <v>360.81199999999944</v>
      </c>
      <c r="BZ33" s="12">
        <v>577.13799999999878</v>
      </c>
      <c r="CA33" s="12">
        <v>502.70600000000013</v>
      </c>
      <c r="CB33" s="6"/>
      <c r="CC33" s="10">
        <v>31</v>
      </c>
      <c r="CD33" s="10"/>
      <c r="CE33" s="12">
        <v>312.64000000000033</v>
      </c>
      <c r="CF33" s="12">
        <v>213.5</v>
      </c>
      <c r="CG33" s="12">
        <v>755.28000000000065</v>
      </c>
      <c r="CH33" s="12">
        <v>1111.659999999998</v>
      </c>
      <c r="CI33" s="12">
        <v>773.53599999999915</v>
      </c>
      <c r="CJ33" s="12">
        <v>770.89000000000033</v>
      </c>
    </row>
    <row r="34" spans="1:88" ht="15.75" customHeight="1">
      <c r="A34" s="6"/>
      <c r="B34" s="10">
        <v>32</v>
      </c>
      <c r="C34" s="6">
        <v>33</v>
      </c>
      <c r="G34" s="6" t="s">
        <v>8</v>
      </c>
      <c r="H34" s="6" t="str">
        <f>'Tensile Pass Fail'!C9</f>
        <v>LWT320 6.4mm (1/4")</v>
      </c>
      <c r="I34" s="17">
        <v>39</v>
      </c>
      <c r="J34" s="6">
        <f>'Tensile Pass Fail'!E9</f>
        <v>50</v>
      </c>
      <c r="K34" s="6"/>
      <c r="L34" s="6"/>
      <c r="M34" s="6" t="str">
        <f>IF(J34&gt;=38,"FAIL","PASS")</f>
        <v>FAIL</v>
      </c>
      <c r="N34" s="6"/>
      <c r="BB34" s="10">
        <v>32</v>
      </c>
      <c r="BC34" s="10" t="s">
        <v>6</v>
      </c>
      <c r="BD34" s="12">
        <v>378.79000000000008</v>
      </c>
      <c r="BE34" s="12">
        <v>218.94300000000015</v>
      </c>
      <c r="BF34" s="12">
        <v>458.30499999999955</v>
      </c>
      <c r="BG34" s="12">
        <v>321.04000000000008</v>
      </c>
      <c r="BH34" s="12">
        <v>495.57000000000056</v>
      </c>
      <c r="BI34" s="12">
        <v>469.08999999999969</v>
      </c>
      <c r="BK34" s="10">
        <v>32</v>
      </c>
      <c r="BL34" s="10" t="s">
        <v>24</v>
      </c>
      <c r="BM34" s="12">
        <v>408.0199999999993</v>
      </c>
      <c r="BN34" s="12">
        <v>259.2939999999997</v>
      </c>
      <c r="BO34" s="12">
        <v>661.20799999999963</v>
      </c>
      <c r="BP34" s="12">
        <v>460.21699999999998</v>
      </c>
      <c r="BQ34" s="12">
        <v>770.30000000000064</v>
      </c>
      <c r="BR34" s="12">
        <v>726.71000000000072</v>
      </c>
      <c r="BS34" s="6"/>
      <c r="BT34" s="10">
        <v>32</v>
      </c>
      <c r="BU34" s="10"/>
      <c r="BV34" s="12">
        <v>249.2090000000004</v>
      </c>
      <c r="BW34" s="12">
        <v>234.45999999999992</v>
      </c>
      <c r="BX34" s="12">
        <v>585</v>
      </c>
      <c r="BY34" s="12">
        <v>406.87799999999947</v>
      </c>
      <c r="BZ34" s="12">
        <v>657.29699999999877</v>
      </c>
      <c r="CA34" s="12">
        <v>575.88900000000012</v>
      </c>
      <c r="CB34" s="6"/>
      <c r="CC34" s="10">
        <v>32</v>
      </c>
      <c r="CD34" s="10"/>
      <c r="CE34" s="12">
        <v>389.16000000000031</v>
      </c>
      <c r="CF34" s="12">
        <v>252.75</v>
      </c>
      <c r="CG34" s="12">
        <v>853.32000000000062</v>
      </c>
      <c r="CH34" s="12">
        <v>1148.7899999999981</v>
      </c>
      <c r="CI34" s="12">
        <v>892.7839999999992</v>
      </c>
      <c r="CJ34" s="12">
        <v>880.28500000000031</v>
      </c>
    </row>
    <row r="35" spans="1:88" ht="15.75" customHeight="1">
      <c r="A35" s="6"/>
      <c r="B35" s="10">
        <v>33</v>
      </c>
      <c r="C35" s="6">
        <v>34</v>
      </c>
      <c r="N35" s="6"/>
      <c r="BB35" s="10">
        <v>33</v>
      </c>
      <c r="BC35" s="10" t="s">
        <v>6</v>
      </c>
      <c r="BD35" s="12">
        <v>395.92000000000007</v>
      </c>
      <c r="BE35" s="12">
        <v>226.06400000000016</v>
      </c>
      <c r="BF35" s="12">
        <v>476.63999999999953</v>
      </c>
      <c r="BG35" s="12">
        <v>333.92000000000007</v>
      </c>
      <c r="BH35" s="12">
        <v>519.36000000000058</v>
      </c>
      <c r="BI35" s="12">
        <v>490.31999999999971</v>
      </c>
      <c r="BK35" s="10">
        <v>33</v>
      </c>
      <c r="BL35" s="10" t="s">
        <v>24</v>
      </c>
      <c r="BM35" s="12">
        <v>436.9599999999993</v>
      </c>
      <c r="BN35" s="12">
        <v>270.51199999999972</v>
      </c>
      <c r="BO35" s="12">
        <v>688.78399999999965</v>
      </c>
      <c r="BP35" s="12">
        <v>479.61599999999999</v>
      </c>
      <c r="BQ35" s="12">
        <v>804.40000000000066</v>
      </c>
      <c r="BR35" s="12">
        <v>758.08000000000072</v>
      </c>
      <c r="BS35" s="6"/>
      <c r="BT35" s="10">
        <v>33</v>
      </c>
      <c r="BU35" s="10"/>
      <c r="BV35" s="12">
        <v>300.43200000000041</v>
      </c>
      <c r="BW35" s="12">
        <v>260.07999999999993</v>
      </c>
      <c r="BX35" s="12">
        <v>650</v>
      </c>
      <c r="BY35" s="12">
        <v>452.94399999999951</v>
      </c>
      <c r="BZ35" s="12">
        <v>737.45599999999877</v>
      </c>
      <c r="CA35" s="12">
        <v>649.07200000000012</v>
      </c>
      <c r="CB35" s="6"/>
      <c r="CC35" s="10">
        <v>33</v>
      </c>
      <c r="CD35" s="10"/>
      <c r="CE35" s="12">
        <v>465.68000000000029</v>
      </c>
      <c r="CF35" s="12">
        <v>292</v>
      </c>
      <c r="CG35" s="12">
        <v>951.36000000000058</v>
      </c>
      <c r="CH35" s="12">
        <v>1185.9199999999983</v>
      </c>
      <c r="CI35" s="12">
        <v>1012.0319999999992</v>
      </c>
      <c r="CJ35" s="12">
        <v>989.68000000000029</v>
      </c>
    </row>
    <row r="36" spans="1:88" ht="15.75" customHeight="1">
      <c r="A36" s="6"/>
      <c r="B36" s="10">
        <v>34</v>
      </c>
      <c r="C36" s="7">
        <v>35</v>
      </c>
      <c r="G36" s="6"/>
      <c r="H36" s="6"/>
      <c r="I36" s="6"/>
      <c r="J36" s="6"/>
      <c r="K36" s="6"/>
      <c r="L36" s="6"/>
      <c r="M36" s="6" t="s">
        <v>3</v>
      </c>
      <c r="N36" s="6"/>
      <c r="BB36" s="10">
        <v>34</v>
      </c>
      <c r="BC36" s="10" t="s">
        <v>6</v>
      </c>
      <c r="BD36" s="12">
        <v>413.05000000000007</v>
      </c>
      <c r="BE36" s="12">
        <v>233.18500000000017</v>
      </c>
      <c r="BF36" s="12">
        <v>494.97499999999951</v>
      </c>
      <c r="BG36" s="12">
        <v>346.80000000000007</v>
      </c>
      <c r="BH36" s="12">
        <v>543.15000000000055</v>
      </c>
      <c r="BI36" s="12">
        <v>511.54999999999973</v>
      </c>
      <c r="BK36" s="10">
        <v>34</v>
      </c>
      <c r="BL36" s="10" t="s">
        <v>24</v>
      </c>
      <c r="BM36" s="12">
        <v>465.8999999999993</v>
      </c>
      <c r="BN36" s="12">
        <v>281.72999999999973</v>
      </c>
      <c r="BO36" s="12">
        <v>716.35999999999967</v>
      </c>
      <c r="BP36" s="12">
        <v>499.01499999999999</v>
      </c>
      <c r="BQ36" s="12">
        <v>838.50000000000068</v>
      </c>
      <c r="BR36" s="12">
        <v>789.45000000000073</v>
      </c>
      <c r="BS36" s="6"/>
      <c r="BT36" s="10">
        <v>34</v>
      </c>
      <c r="BU36" s="10"/>
      <c r="BV36" s="12">
        <v>351.65500000000043</v>
      </c>
      <c r="BW36" s="12">
        <v>285.69999999999993</v>
      </c>
      <c r="BX36" s="12">
        <v>715</v>
      </c>
      <c r="BY36" s="12">
        <v>499.00999999999954</v>
      </c>
      <c r="BZ36" s="12">
        <v>817.61499999999876</v>
      </c>
      <c r="CA36" s="12">
        <v>722.25500000000011</v>
      </c>
      <c r="CB36" s="6"/>
      <c r="CC36" s="10">
        <v>34</v>
      </c>
      <c r="CD36" s="10"/>
      <c r="CE36" s="12">
        <v>542.20000000000027</v>
      </c>
      <c r="CF36" s="12">
        <v>331.25</v>
      </c>
      <c r="CG36" s="12">
        <v>1049.4000000000005</v>
      </c>
      <c r="CH36" s="12">
        <v>1223.0499999999984</v>
      </c>
      <c r="CI36" s="12">
        <v>1131.2799999999993</v>
      </c>
      <c r="CJ36" s="12">
        <v>1099.0750000000003</v>
      </c>
    </row>
    <row r="37" spans="1:88" ht="15.75" customHeight="1">
      <c r="A37" s="6"/>
      <c r="B37" s="10">
        <v>35</v>
      </c>
      <c r="C37" s="6">
        <v>36</v>
      </c>
      <c r="G37" s="6" t="s">
        <v>0</v>
      </c>
      <c r="H37" s="6" t="s">
        <v>1</v>
      </c>
      <c r="I37" s="6" t="s">
        <v>26</v>
      </c>
      <c r="J37" s="6" t="s">
        <v>19</v>
      </c>
      <c r="K37" s="6" t="s">
        <v>4</v>
      </c>
      <c r="L37" s="6"/>
      <c r="M37" s="6">
        <f>IF(I38=C11,IF(H38=D3,VLOOKUP(J38,BB3:BI202,6,FALSE), IF(I38=C11,IF(H38=D4,VLOOKUP(J38,BK3:BR202,6,FALSE)))))</f>
        <v>809.399</v>
      </c>
      <c r="N37" s="6"/>
      <c r="BB37" s="10">
        <v>35</v>
      </c>
      <c r="BC37" s="10" t="s">
        <v>6</v>
      </c>
      <c r="BD37" s="12">
        <v>430.18000000000006</v>
      </c>
      <c r="BE37" s="12">
        <v>240.30600000000018</v>
      </c>
      <c r="BF37" s="12">
        <v>513.30999999999949</v>
      </c>
      <c r="BG37" s="12">
        <v>359.68000000000006</v>
      </c>
      <c r="BH37" s="12">
        <v>566.94000000000051</v>
      </c>
      <c r="BI37" s="12">
        <v>532.77999999999975</v>
      </c>
      <c r="BK37" s="10">
        <v>35</v>
      </c>
      <c r="BL37" s="10" t="s">
        <v>24</v>
      </c>
      <c r="BM37" s="12">
        <v>494.83999999999929</v>
      </c>
      <c r="BN37" s="12">
        <v>292.94799999999975</v>
      </c>
      <c r="BO37" s="12">
        <v>743.93599999999969</v>
      </c>
      <c r="BP37" s="12">
        <v>518.41399999999999</v>
      </c>
      <c r="BQ37" s="12">
        <v>872.6000000000007</v>
      </c>
      <c r="BR37" s="12">
        <v>820.82000000000073</v>
      </c>
      <c r="BS37" s="6"/>
      <c r="BT37" s="10">
        <v>35</v>
      </c>
      <c r="BU37" s="10"/>
      <c r="BV37" s="12">
        <v>402.87800000000044</v>
      </c>
      <c r="BW37" s="12">
        <v>311.31999999999994</v>
      </c>
      <c r="BX37" s="12">
        <v>780</v>
      </c>
      <c r="BY37" s="12">
        <v>545.07599999999957</v>
      </c>
      <c r="BZ37" s="12">
        <v>897.77399999999875</v>
      </c>
      <c r="CA37" s="12">
        <v>795.4380000000001</v>
      </c>
      <c r="CB37" s="6"/>
      <c r="CC37" s="10">
        <v>35</v>
      </c>
      <c r="CD37" s="10"/>
      <c r="CE37" s="12">
        <v>618.72000000000025</v>
      </c>
      <c r="CF37" s="12">
        <v>370.5</v>
      </c>
      <c r="CG37" s="12">
        <v>1147.4400000000005</v>
      </c>
      <c r="CH37" s="12">
        <v>1260.1799999999985</v>
      </c>
      <c r="CI37" s="12">
        <v>1250.5279999999993</v>
      </c>
      <c r="CJ37" s="12">
        <v>1208.4700000000003</v>
      </c>
    </row>
    <row r="38" spans="1:88" ht="15.75" customHeight="1">
      <c r="A38" s="6"/>
      <c r="B38" s="10">
        <v>36</v>
      </c>
      <c r="C38" s="6">
        <v>37</v>
      </c>
      <c r="G38" s="6" t="s">
        <v>9</v>
      </c>
      <c r="H38" s="6" t="str">
        <f>'Tensile Pass Fail'!C12</f>
        <v>LWT320 6.4mm (1/4")</v>
      </c>
      <c r="I38" s="15">
        <v>10</v>
      </c>
      <c r="J38" s="6">
        <f>'Tensile Pass Fail'!E12</f>
        <v>50</v>
      </c>
      <c r="K38" s="6"/>
      <c r="L38" s="6"/>
      <c r="M38" s="6" t="str">
        <f>IF(H38=D4,IF(J38&lt;=80,"PASS","FAIL"), IF(H38=D3,IF(J38&lt;=84, "PASS","FAIL")))</f>
        <v>PASS</v>
      </c>
      <c r="N38" s="6"/>
      <c r="BB38" s="10">
        <v>36</v>
      </c>
      <c r="BC38" s="10" t="s">
        <v>6</v>
      </c>
      <c r="BD38" s="12">
        <v>447.31000000000006</v>
      </c>
      <c r="BE38" s="12">
        <v>247.42700000000019</v>
      </c>
      <c r="BF38" s="12">
        <v>531.64499999999953</v>
      </c>
      <c r="BG38" s="12">
        <v>372.56000000000006</v>
      </c>
      <c r="BH38" s="12">
        <v>590.73000000000047</v>
      </c>
      <c r="BI38" s="12">
        <v>554.00999999999976</v>
      </c>
      <c r="BK38" s="10">
        <v>36</v>
      </c>
      <c r="BL38" s="10" t="s">
        <v>24</v>
      </c>
      <c r="BM38" s="12">
        <v>523.77999999999929</v>
      </c>
      <c r="BN38" s="12">
        <v>304.16599999999977</v>
      </c>
      <c r="BO38" s="12">
        <v>771.51199999999972</v>
      </c>
      <c r="BP38" s="12">
        <v>537.81299999999999</v>
      </c>
      <c r="BQ38" s="12">
        <v>906.70000000000073</v>
      </c>
      <c r="BR38" s="12">
        <v>852.19000000000074</v>
      </c>
      <c r="BS38" s="6"/>
      <c r="BT38" s="10">
        <v>36</v>
      </c>
      <c r="BU38" s="10"/>
      <c r="BV38" s="12">
        <v>454.10100000000045</v>
      </c>
      <c r="BW38" s="12">
        <v>336.93999999999994</v>
      </c>
      <c r="BX38" s="12">
        <v>845</v>
      </c>
      <c r="BY38" s="12">
        <v>591.1419999999996</v>
      </c>
      <c r="BZ38" s="12">
        <v>977.93299999999874</v>
      </c>
      <c r="CA38" s="12">
        <v>868.62100000000009</v>
      </c>
      <c r="CB38" s="6"/>
      <c r="CC38" s="10">
        <v>36</v>
      </c>
      <c r="CD38" s="10"/>
      <c r="CE38" s="12">
        <v>695.24000000000024</v>
      </c>
      <c r="CF38" s="12">
        <v>409.75</v>
      </c>
      <c r="CG38" s="12">
        <v>1245.4800000000005</v>
      </c>
      <c r="CH38" s="12">
        <v>1297.3099999999986</v>
      </c>
      <c r="CI38" s="12">
        <v>1369.7759999999994</v>
      </c>
      <c r="CJ38" s="12">
        <v>1317.8650000000002</v>
      </c>
    </row>
    <row r="39" spans="1:88" ht="15.75" customHeight="1">
      <c r="A39" s="6"/>
      <c r="B39" s="10">
        <v>37</v>
      </c>
      <c r="C39" s="6">
        <v>38</v>
      </c>
      <c r="G39" s="6"/>
      <c r="H39" s="6"/>
      <c r="I39" s="6"/>
      <c r="J39" s="6"/>
      <c r="K39" s="6"/>
      <c r="L39" s="6"/>
      <c r="M39" s="6"/>
      <c r="N39" s="6"/>
      <c r="BB39" s="10">
        <v>37</v>
      </c>
      <c r="BC39" s="10" t="s">
        <v>6</v>
      </c>
      <c r="BD39" s="12">
        <v>464.44000000000005</v>
      </c>
      <c r="BE39" s="12">
        <v>254.5480000000002</v>
      </c>
      <c r="BF39" s="12">
        <v>549.97999999999956</v>
      </c>
      <c r="BG39" s="12">
        <v>385.44000000000005</v>
      </c>
      <c r="BH39" s="12">
        <v>614.52000000000044</v>
      </c>
      <c r="BI39" s="12">
        <v>575.23999999999978</v>
      </c>
      <c r="BK39" s="10">
        <v>37</v>
      </c>
      <c r="BL39" s="10" t="s">
        <v>24</v>
      </c>
      <c r="BM39" s="12">
        <v>552.71999999999935</v>
      </c>
      <c r="BN39" s="12">
        <v>315.38399999999979</v>
      </c>
      <c r="BO39" s="12">
        <v>799.08799999999974</v>
      </c>
      <c r="BP39" s="12">
        <v>557.21199999999999</v>
      </c>
      <c r="BQ39" s="12">
        <v>940.80000000000075</v>
      </c>
      <c r="BR39" s="12">
        <v>883.56000000000074</v>
      </c>
      <c r="BS39" s="6"/>
      <c r="BT39" s="10">
        <v>37</v>
      </c>
      <c r="BU39" s="10"/>
      <c r="BV39" s="12">
        <v>505.32400000000047</v>
      </c>
      <c r="BW39" s="12">
        <v>362.55999999999995</v>
      </c>
      <c r="BX39" s="12">
        <v>910</v>
      </c>
      <c r="BY39" s="12">
        <v>637.20799999999963</v>
      </c>
      <c r="BZ39" s="12">
        <v>1058.0919999999987</v>
      </c>
      <c r="CA39" s="12">
        <v>941.80400000000009</v>
      </c>
      <c r="CB39" s="6"/>
      <c r="CC39" s="10">
        <v>37</v>
      </c>
      <c r="CD39" s="10"/>
      <c r="CE39" s="12">
        <v>771.76000000000022</v>
      </c>
      <c r="CF39" s="12">
        <v>449</v>
      </c>
      <c r="CG39" s="12">
        <v>1343.5200000000004</v>
      </c>
      <c r="CH39" s="12">
        <v>1334.4399999999987</v>
      </c>
      <c r="CI39" s="12">
        <v>1489.0239999999994</v>
      </c>
      <c r="CJ39" s="12">
        <v>1427.2600000000002</v>
      </c>
    </row>
    <row r="40" spans="1:88" ht="15.75" customHeight="1">
      <c r="A40" s="6"/>
      <c r="B40" s="10">
        <v>38</v>
      </c>
      <c r="C40" s="13">
        <v>39</v>
      </c>
      <c r="G40" s="6"/>
      <c r="H40" s="6"/>
      <c r="I40" s="6"/>
      <c r="J40" s="6"/>
      <c r="K40" s="6"/>
      <c r="L40" s="6"/>
      <c r="M40" s="6"/>
      <c r="N40" s="6"/>
      <c r="BB40" s="10">
        <v>38</v>
      </c>
      <c r="BC40" s="10" t="s">
        <v>6</v>
      </c>
      <c r="BD40" s="12">
        <v>481.57000000000005</v>
      </c>
      <c r="BE40" s="12">
        <v>261.66900000000021</v>
      </c>
      <c r="BF40" s="12">
        <v>568.3149999999996</v>
      </c>
      <c r="BG40" s="12">
        <v>398.32000000000005</v>
      </c>
      <c r="BH40" s="12">
        <v>638.3100000000004</v>
      </c>
      <c r="BI40" s="12">
        <v>596.4699999999998</v>
      </c>
      <c r="BK40" s="10">
        <v>38</v>
      </c>
      <c r="BL40" s="10" t="s">
        <v>24</v>
      </c>
      <c r="BM40" s="12">
        <v>581.6599999999994</v>
      </c>
      <c r="BN40" s="12">
        <v>326.6019999999998</v>
      </c>
      <c r="BO40" s="12">
        <v>826.66399999999976</v>
      </c>
      <c r="BP40" s="12">
        <v>576.61099999999999</v>
      </c>
      <c r="BQ40" s="12">
        <v>974.90000000000077</v>
      </c>
      <c r="BR40" s="12">
        <v>914.93000000000075</v>
      </c>
      <c r="BS40" s="6"/>
      <c r="BT40" s="10">
        <v>38</v>
      </c>
      <c r="BU40" s="10"/>
      <c r="BV40" s="12">
        <v>556.54700000000048</v>
      </c>
      <c r="BW40" s="12">
        <v>388.17999999999995</v>
      </c>
      <c r="BX40" s="12">
        <v>975</v>
      </c>
      <c r="BY40" s="12">
        <v>683.27399999999966</v>
      </c>
      <c r="BZ40" s="12">
        <v>1138.2509999999988</v>
      </c>
      <c r="CA40" s="12">
        <v>1014.9870000000001</v>
      </c>
      <c r="CB40" s="6"/>
      <c r="CC40" s="10">
        <v>38</v>
      </c>
      <c r="CD40" s="10"/>
      <c r="CE40" s="12">
        <v>848.2800000000002</v>
      </c>
      <c r="CF40" s="12">
        <v>488.25</v>
      </c>
      <c r="CG40" s="12">
        <v>1441.5600000000004</v>
      </c>
      <c r="CH40" s="12">
        <v>1371.5699999999988</v>
      </c>
      <c r="CI40" s="12">
        <v>1608.2719999999995</v>
      </c>
      <c r="CJ40" s="12">
        <v>1536.6550000000002</v>
      </c>
    </row>
    <row r="41" spans="1:88" ht="15.75" customHeight="1">
      <c r="A41" s="6"/>
      <c r="B41" s="10">
        <v>39</v>
      </c>
      <c r="G41" s="6"/>
      <c r="H41" s="6"/>
      <c r="I41" s="6"/>
      <c r="J41" s="6"/>
      <c r="K41" s="6"/>
      <c r="L41" s="6"/>
      <c r="M41" s="6" t="s">
        <v>3</v>
      </c>
      <c r="N41" s="6"/>
      <c r="BB41" s="10">
        <v>39</v>
      </c>
      <c r="BC41" s="10" t="s">
        <v>6</v>
      </c>
      <c r="BD41" s="12">
        <v>498.70000000000005</v>
      </c>
      <c r="BE41" s="12">
        <v>268.79000000000019</v>
      </c>
      <c r="BF41" s="12">
        <v>586.64999999999964</v>
      </c>
      <c r="BG41" s="12">
        <v>411.20000000000005</v>
      </c>
      <c r="BH41" s="12">
        <v>662.10000000000036</v>
      </c>
      <c r="BI41" s="12">
        <v>617.69999999999982</v>
      </c>
      <c r="BK41" s="10">
        <v>39</v>
      </c>
      <c r="BL41" s="10" t="s">
        <v>24</v>
      </c>
      <c r="BM41" s="12">
        <v>610.59999999999945</v>
      </c>
      <c r="BN41" s="12">
        <v>337.81999999999982</v>
      </c>
      <c r="BO41" s="12">
        <v>854.23999999999978</v>
      </c>
      <c r="BP41" s="12">
        <v>596.01</v>
      </c>
      <c r="BQ41" s="12">
        <v>1009.0000000000008</v>
      </c>
      <c r="BR41" s="12">
        <v>946.30000000000075</v>
      </c>
      <c r="BS41" s="6"/>
      <c r="BT41" s="10">
        <v>39</v>
      </c>
      <c r="BU41" s="10"/>
      <c r="BV41" s="12">
        <v>607.77000000000044</v>
      </c>
      <c r="BW41" s="12">
        <v>413.79999999999995</v>
      </c>
      <c r="BX41" s="12">
        <v>1040</v>
      </c>
      <c r="BY41" s="12">
        <v>729.33999999999969</v>
      </c>
      <c r="BZ41" s="12">
        <v>1218.4099999999989</v>
      </c>
      <c r="CA41" s="12">
        <v>1088.17</v>
      </c>
      <c r="CB41" s="6"/>
      <c r="CC41" s="10">
        <v>39</v>
      </c>
      <c r="CD41" s="10"/>
      <c r="CE41" s="12">
        <v>924.80000000000018</v>
      </c>
      <c r="CF41" s="12">
        <v>527.5</v>
      </c>
      <c r="CG41" s="12">
        <v>1539.6000000000004</v>
      </c>
      <c r="CH41" s="12">
        <v>1408.6999999999989</v>
      </c>
      <c r="CI41" s="12">
        <v>1727.5199999999995</v>
      </c>
      <c r="CJ41" s="12">
        <v>1646.0500000000002</v>
      </c>
    </row>
    <row r="42" spans="1:88" ht="15.75" customHeight="1">
      <c r="A42" s="6"/>
      <c r="B42" s="10">
        <v>40</v>
      </c>
      <c r="G42" s="6" t="s">
        <v>0</v>
      </c>
      <c r="H42" s="6" t="s">
        <v>1</v>
      </c>
      <c r="I42" s="6" t="s">
        <v>26</v>
      </c>
      <c r="J42" s="6" t="s">
        <v>19</v>
      </c>
      <c r="K42" s="6" t="s">
        <v>4</v>
      </c>
      <c r="L42" s="6"/>
      <c r="M42" s="6">
        <f>IF(I43=C40,IF(H43=D3,VLOOKUP(J43,BT3:CA202,6,FALSE), IF(I43=C40,IF(H43=D4,VLOOKUP(J43,CC3:CJ202,6,FALSE)))))</f>
        <v>1817.13</v>
      </c>
      <c r="N42" s="6"/>
      <c r="BB42" s="10">
        <v>40</v>
      </c>
      <c r="BC42" s="10" t="s">
        <v>6</v>
      </c>
      <c r="BD42" s="12">
        <v>515.83000000000004</v>
      </c>
      <c r="BE42" s="12">
        <v>275.91100000000017</v>
      </c>
      <c r="BF42" s="12">
        <v>604.98499999999967</v>
      </c>
      <c r="BG42" s="12">
        <v>424.08000000000004</v>
      </c>
      <c r="BH42" s="12">
        <v>685.89000000000033</v>
      </c>
      <c r="BI42" s="12">
        <v>638.92999999999984</v>
      </c>
      <c r="BK42" s="10">
        <v>40</v>
      </c>
      <c r="BL42" s="10" t="s">
        <v>24</v>
      </c>
      <c r="BM42" s="12">
        <v>639.53999999999951</v>
      </c>
      <c r="BN42" s="12">
        <v>349.03799999999984</v>
      </c>
      <c r="BO42" s="12">
        <v>881.8159999999998</v>
      </c>
      <c r="BP42" s="12">
        <v>615.40899999999999</v>
      </c>
      <c r="BQ42" s="12">
        <v>1043.1000000000008</v>
      </c>
      <c r="BR42" s="12">
        <v>977.67000000000075</v>
      </c>
      <c r="BS42" s="6"/>
      <c r="BT42" s="10">
        <v>40</v>
      </c>
      <c r="BU42" s="10"/>
      <c r="BV42" s="12">
        <v>658.99300000000039</v>
      </c>
      <c r="BW42" s="12">
        <v>439.41999999999996</v>
      </c>
      <c r="BX42" s="12">
        <v>1105</v>
      </c>
      <c r="BY42" s="12">
        <v>775.40599999999972</v>
      </c>
      <c r="BZ42" s="12">
        <v>1298.5689999999991</v>
      </c>
      <c r="CA42" s="12">
        <v>1161.3530000000001</v>
      </c>
      <c r="CB42" s="6"/>
      <c r="CC42" s="10">
        <v>40</v>
      </c>
      <c r="CD42" s="10"/>
      <c r="CE42" s="12">
        <v>1001.3200000000002</v>
      </c>
      <c r="CF42" s="12">
        <v>566.75</v>
      </c>
      <c r="CG42" s="12">
        <v>1637.6400000000003</v>
      </c>
      <c r="CH42" s="12">
        <v>1445.829999999999</v>
      </c>
      <c r="CI42" s="12">
        <v>1846.7679999999996</v>
      </c>
      <c r="CJ42" s="12">
        <v>1755.4450000000002</v>
      </c>
    </row>
    <row r="43" spans="1:88" ht="15.75" customHeight="1">
      <c r="A43" s="6"/>
      <c r="B43" s="10">
        <v>41</v>
      </c>
      <c r="G43" s="6" t="s">
        <v>9</v>
      </c>
      <c r="H43" s="6" t="str">
        <f>'Tensile Pass Fail'!C12</f>
        <v>LWT320 6.4mm (1/4")</v>
      </c>
      <c r="I43" s="17">
        <v>39</v>
      </c>
      <c r="J43" s="6">
        <f>'Tensile Pass Fail'!E12</f>
        <v>50</v>
      </c>
      <c r="K43" s="6"/>
      <c r="L43" s="6"/>
      <c r="M43" s="6" t="str">
        <f>IF(H43=D4,IF(J43&lt;=38,"PASS","FAIL"), IF(H43=D3,IF(J43&lt;=44, "PASS","FAIL")))</f>
        <v>FAIL</v>
      </c>
      <c r="N43" s="6"/>
      <c r="BB43" s="10">
        <v>41</v>
      </c>
      <c r="BC43" s="10" t="s">
        <v>6</v>
      </c>
      <c r="BD43" s="12">
        <v>532.96</v>
      </c>
      <c r="BE43" s="12">
        <v>283.03200000000015</v>
      </c>
      <c r="BF43" s="12">
        <v>623.31999999999971</v>
      </c>
      <c r="BG43" s="12">
        <v>436.96000000000004</v>
      </c>
      <c r="BH43" s="12">
        <v>709.68000000000029</v>
      </c>
      <c r="BI43" s="12">
        <v>660.15999999999985</v>
      </c>
      <c r="BK43" s="10">
        <v>41</v>
      </c>
      <c r="BL43" s="10" t="s">
        <v>24</v>
      </c>
      <c r="BM43" s="12">
        <v>668.47999999999956</v>
      </c>
      <c r="BN43" s="12">
        <v>360.25599999999986</v>
      </c>
      <c r="BO43" s="12">
        <v>909.39199999999983</v>
      </c>
      <c r="BP43" s="12">
        <v>634.80799999999999</v>
      </c>
      <c r="BQ43" s="12">
        <v>1077.2000000000007</v>
      </c>
      <c r="BR43" s="12">
        <v>1009.0400000000008</v>
      </c>
      <c r="BS43" s="6"/>
      <c r="BT43" s="10">
        <v>41</v>
      </c>
      <c r="BU43" s="10"/>
      <c r="BV43" s="12">
        <v>710.21600000000035</v>
      </c>
      <c r="BW43" s="12">
        <v>465.03999999999996</v>
      </c>
      <c r="BX43" s="12">
        <v>1170</v>
      </c>
      <c r="BY43" s="12">
        <v>821.47199999999975</v>
      </c>
      <c r="BZ43" s="12">
        <v>1378.7279999999992</v>
      </c>
      <c r="CA43" s="12">
        <v>1234.5360000000001</v>
      </c>
      <c r="CB43" s="6"/>
      <c r="CC43" s="10">
        <v>41</v>
      </c>
      <c r="CD43" s="10"/>
      <c r="CE43" s="12">
        <v>1077.8400000000001</v>
      </c>
      <c r="CF43" s="12">
        <v>606</v>
      </c>
      <c r="CG43" s="12">
        <v>1735.6800000000003</v>
      </c>
      <c r="CH43" s="12">
        <v>1482.9599999999991</v>
      </c>
      <c r="CI43" s="12">
        <v>1966.0159999999996</v>
      </c>
      <c r="CJ43" s="12">
        <v>1864.8400000000001</v>
      </c>
    </row>
    <row r="44" spans="1:88" ht="15.75" customHeight="1">
      <c r="A44" s="6"/>
      <c r="B44" s="10">
        <v>42</v>
      </c>
      <c r="N44" s="6"/>
      <c r="BB44" s="10">
        <v>42</v>
      </c>
      <c r="BC44" s="10" t="s">
        <v>6</v>
      </c>
      <c r="BD44" s="12">
        <v>550.09</v>
      </c>
      <c r="BE44" s="12">
        <v>290.15300000000013</v>
      </c>
      <c r="BF44" s="12">
        <v>641.65499999999975</v>
      </c>
      <c r="BG44" s="12">
        <v>449.84000000000003</v>
      </c>
      <c r="BH44" s="12">
        <v>733.47000000000025</v>
      </c>
      <c r="BI44" s="12">
        <v>681.38999999999987</v>
      </c>
      <c r="BK44" s="10">
        <v>42</v>
      </c>
      <c r="BL44" s="10" t="s">
        <v>24</v>
      </c>
      <c r="BM44" s="12">
        <v>697.41999999999962</v>
      </c>
      <c r="BN44" s="12">
        <v>371.47399999999988</v>
      </c>
      <c r="BO44" s="12">
        <v>936.96799999999985</v>
      </c>
      <c r="BP44" s="12">
        <v>654.20699999999999</v>
      </c>
      <c r="BQ44" s="12">
        <v>1111.3000000000006</v>
      </c>
      <c r="BR44" s="12">
        <v>1040.4100000000008</v>
      </c>
      <c r="BS44" s="6"/>
      <c r="BT44" s="10">
        <v>42</v>
      </c>
      <c r="BU44" s="10"/>
      <c r="BV44" s="12">
        <v>761.43900000000031</v>
      </c>
      <c r="BW44" s="12">
        <v>490.65999999999997</v>
      </c>
      <c r="BX44" s="12">
        <v>1235</v>
      </c>
      <c r="BY44" s="12">
        <v>867.53799999999978</v>
      </c>
      <c r="BZ44" s="12">
        <v>1458.8869999999993</v>
      </c>
      <c r="CA44" s="12">
        <v>1307.7190000000001</v>
      </c>
      <c r="CB44" s="6"/>
      <c r="CC44" s="10">
        <v>42</v>
      </c>
      <c r="CD44" s="10"/>
      <c r="CE44" s="12">
        <v>1154.3600000000001</v>
      </c>
      <c r="CF44" s="12">
        <v>645.25</v>
      </c>
      <c r="CG44" s="12">
        <v>1833.7200000000003</v>
      </c>
      <c r="CH44" s="12">
        <v>1520.0899999999992</v>
      </c>
      <c r="CI44" s="12">
        <v>2085.2639999999997</v>
      </c>
      <c r="CJ44" s="12">
        <v>1974.2350000000001</v>
      </c>
    </row>
    <row r="45" spans="1:88" ht="15.75" customHeight="1">
      <c r="A45" s="6"/>
      <c r="B45" s="10">
        <v>43</v>
      </c>
      <c r="N45" s="6"/>
      <c r="BB45" s="10">
        <v>43</v>
      </c>
      <c r="BC45" s="10" t="s">
        <v>6</v>
      </c>
      <c r="BD45" s="12">
        <v>567.22</v>
      </c>
      <c r="BE45" s="12">
        <v>297.27400000000011</v>
      </c>
      <c r="BF45" s="12">
        <v>659.98999999999978</v>
      </c>
      <c r="BG45" s="12">
        <v>462.72</v>
      </c>
      <c r="BH45" s="12">
        <v>757.26000000000022</v>
      </c>
      <c r="BI45" s="12">
        <v>702.61999999999989</v>
      </c>
      <c r="BK45" s="10">
        <v>43</v>
      </c>
      <c r="BL45" s="10" t="s">
        <v>24</v>
      </c>
      <c r="BM45" s="12">
        <v>726.35999999999967</v>
      </c>
      <c r="BN45" s="12">
        <v>382.69199999999989</v>
      </c>
      <c r="BO45" s="12">
        <v>964.54399999999987</v>
      </c>
      <c r="BP45" s="12">
        <v>673.60599999999999</v>
      </c>
      <c r="BQ45" s="12">
        <v>1145.4000000000005</v>
      </c>
      <c r="BR45" s="12">
        <v>1071.7800000000007</v>
      </c>
      <c r="BS45" s="6"/>
      <c r="BT45" s="10">
        <v>43</v>
      </c>
      <c r="BU45" s="10"/>
      <c r="BV45" s="12">
        <v>812.66200000000026</v>
      </c>
      <c r="BW45" s="12">
        <v>516.28</v>
      </c>
      <c r="BX45" s="12">
        <v>1300</v>
      </c>
      <c r="BY45" s="12">
        <v>913.60399999999981</v>
      </c>
      <c r="BZ45" s="12">
        <v>1539.0459999999994</v>
      </c>
      <c r="CA45" s="12">
        <v>1380.902</v>
      </c>
      <c r="CB45" s="6"/>
      <c r="CC45" s="10">
        <v>43</v>
      </c>
      <c r="CD45" s="10"/>
      <c r="CE45" s="12">
        <v>1230.8800000000001</v>
      </c>
      <c r="CF45" s="12">
        <v>684.5</v>
      </c>
      <c r="CG45" s="12">
        <v>1931.7600000000002</v>
      </c>
      <c r="CH45" s="12">
        <v>1557.2199999999993</v>
      </c>
      <c r="CI45" s="12">
        <v>2204.5119999999997</v>
      </c>
      <c r="CJ45" s="12">
        <v>2083.63</v>
      </c>
    </row>
    <row r="46" spans="1:88" ht="15.75" customHeight="1">
      <c r="A46" s="6"/>
      <c r="B46" s="10">
        <v>44</v>
      </c>
      <c r="G46" s="6"/>
      <c r="H46" s="6"/>
      <c r="I46" s="6"/>
      <c r="J46" s="6"/>
      <c r="K46" s="6"/>
      <c r="L46" s="6"/>
      <c r="M46" s="6" t="s">
        <v>3</v>
      </c>
      <c r="N46" s="6"/>
      <c r="BB46" s="10">
        <v>44</v>
      </c>
      <c r="BC46" s="10" t="s">
        <v>6</v>
      </c>
      <c r="BD46" s="12">
        <v>584.35</v>
      </c>
      <c r="BE46" s="12">
        <v>304.3950000000001</v>
      </c>
      <c r="BF46" s="12">
        <v>678.32499999999982</v>
      </c>
      <c r="BG46" s="12">
        <v>475.6</v>
      </c>
      <c r="BH46" s="12">
        <v>781.05000000000018</v>
      </c>
      <c r="BI46" s="12">
        <v>723.84999999999991</v>
      </c>
      <c r="BK46" s="10">
        <v>44</v>
      </c>
      <c r="BL46" s="10" t="s">
        <v>24</v>
      </c>
      <c r="BM46" s="12">
        <v>755.29999999999973</v>
      </c>
      <c r="BN46" s="12">
        <v>393.90999999999991</v>
      </c>
      <c r="BO46" s="12">
        <v>992.11999999999989</v>
      </c>
      <c r="BP46" s="12">
        <v>693.005</v>
      </c>
      <c r="BQ46" s="12">
        <v>1179.5000000000005</v>
      </c>
      <c r="BR46" s="12">
        <v>1103.1500000000005</v>
      </c>
      <c r="BS46" s="6"/>
      <c r="BT46" s="10">
        <v>44</v>
      </c>
      <c r="BU46" s="10"/>
      <c r="BV46" s="12">
        <v>863.88500000000022</v>
      </c>
      <c r="BW46" s="12">
        <v>541.9</v>
      </c>
      <c r="BX46" s="12">
        <v>1365</v>
      </c>
      <c r="BY46" s="12">
        <v>959.66999999999985</v>
      </c>
      <c r="BZ46" s="12">
        <v>1619.2049999999995</v>
      </c>
      <c r="CA46" s="12">
        <v>1454.085</v>
      </c>
      <c r="CB46" s="6"/>
      <c r="CC46" s="10">
        <v>44</v>
      </c>
      <c r="CD46" s="10"/>
      <c r="CE46" s="12">
        <v>1307.4000000000001</v>
      </c>
      <c r="CF46" s="12">
        <v>723.75</v>
      </c>
      <c r="CG46" s="12">
        <v>2029.8000000000002</v>
      </c>
      <c r="CH46" s="12">
        <v>1594.3499999999995</v>
      </c>
      <c r="CI46" s="12">
        <v>2323.7599999999998</v>
      </c>
      <c r="CJ46" s="12">
        <v>2193.0250000000001</v>
      </c>
    </row>
    <row r="47" spans="1:88" ht="15.75" customHeight="1">
      <c r="A47" s="6"/>
      <c r="B47" s="10">
        <v>45</v>
      </c>
      <c r="G47" s="6" t="s">
        <v>0</v>
      </c>
      <c r="H47" s="6" t="s">
        <v>1</v>
      </c>
      <c r="I47" s="6" t="s">
        <v>26</v>
      </c>
      <c r="J47" s="6" t="s">
        <v>19</v>
      </c>
      <c r="K47" s="6" t="s">
        <v>4</v>
      </c>
      <c r="L47" s="6"/>
      <c r="M47" s="6">
        <f>IF(I48=C11,IF(H48=D3,VLOOKUP(J48,BB3:BI202,7,FALSE), IF(I48=C11,IF(H48=D4,VLOOKUP(J48,BK3:BR202,7,FALSE)))))</f>
        <v>1384.1</v>
      </c>
      <c r="N47" s="6"/>
      <c r="BB47" s="10">
        <v>45</v>
      </c>
      <c r="BC47" s="10" t="s">
        <v>6</v>
      </c>
      <c r="BD47" s="12">
        <v>601.48</v>
      </c>
      <c r="BE47" s="12">
        <v>311.51600000000008</v>
      </c>
      <c r="BF47" s="12">
        <v>696.65999999999985</v>
      </c>
      <c r="BG47" s="12">
        <v>488.48</v>
      </c>
      <c r="BH47" s="12">
        <v>804.84000000000015</v>
      </c>
      <c r="BI47" s="12">
        <v>745.07999999999993</v>
      </c>
      <c r="BK47" s="10">
        <v>45</v>
      </c>
      <c r="BL47" s="10" t="s">
        <v>24</v>
      </c>
      <c r="BM47" s="12">
        <v>784.23999999999978</v>
      </c>
      <c r="BN47" s="12">
        <v>405.12799999999993</v>
      </c>
      <c r="BO47" s="12">
        <v>1019.6959999999999</v>
      </c>
      <c r="BP47" s="12">
        <v>712.404</v>
      </c>
      <c r="BQ47" s="12">
        <v>1213.6000000000004</v>
      </c>
      <c r="BR47" s="12">
        <v>1134.5200000000004</v>
      </c>
      <c r="BS47" s="6"/>
      <c r="BT47" s="10">
        <v>45</v>
      </c>
      <c r="BU47" s="10"/>
      <c r="BV47" s="12">
        <v>915.10800000000017</v>
      </c>
      <c r="BW47" s="12">
        <v>567.52</v>
      </c>
      <c r="BX47" s="12">
        <v>1430</v>
      </c>
      <c r="BY47" s="12">
        <v>1005.7359999999999</v>
      </c>
      <c r="BZ47" s="12">
        <v>1699.3639999999996</v>
      </c>
      <c r="CA47" s="12">
        <v>1527.268</v>
      </c>
      <c r="CB47" s="6"/>
      <c r="CC47" s="10">
        <v>45</v>
      </c>
      <c r="CD47" s="10"/>
      <c r="CE47" s="12">
        <v>1383.92</v>
      </c>
      <c r="CF47" s="12">
        <v>763</v>
      </c>
      <c r="CG47" s="12">
        <v>2127.84</v>
      </c>
      <c r="CH47" s="12">
        <v>1631.4799999999996</v>
      </c>
      <c r="CI47" s="12">
        <v>2443.0079999999998</v>
      </c>
      <c r="CJ47" s="12">
        <v>2302.42</v>
      </c>
    </row>
    <row r="48" spans="1:88" ht="15.75" customHeight="1">
      <c r="A48" s="6"/>
      <c r="B48" s="10">
        <v>46</v>
      </c>
      <c r="G48" s="6" t="s">
        <v>10</v>
      </c>
      <c r="H48" s="6" t="str">
        <f>'Tensile Pass Fail'!C15</f>
        <v>LWT320 6.4mm (1/4")</v>
      </c>
      <c r="I48" s="15">
        <v>10</v>
      </c>
      <c r="J48" s="6">
        <f>'Tensile Pass Fail'!E15</f>
        <v>50</v>
      </c>
      <c r="K48" s="6"/>
      <c r="L48" s="6"/>
      <c r="M48" s="6" t="str">
        <f>IF(H48=D4,IF(J48&lt;=50,"PASS","FAIL"), IF(H48=D3,IF(J48&lt;=55, "PASS","FAIL")))</f>
        <v>PASS</v>
      </c>
      <c r="N48" s="6"/>
      <c r="BB48" s="10">
        <v>46</v>
      </c>
      <c r="BC48" s="10" t="s">
        <v>6</v>
      </c>
      <c r="BD48" s="12">
        <v>618.61</v>
      </c>
      <c r="BE48" s="12">
        <v>318.63700000000006</v>
      </c>
      <c r="BF48" s="12">
        <v>714.99499999999989</v>
      </c>
      <c r="BG48" s="12">
        <v>501.36</v>
      </c>
      <c r="BH48" s="12">
        <v>828.63000000000011</v>
      </c>
      <c r="BI48" s="12">
        <v>766.31</v>
      </c>
      <c r="BK48" s="10">
        <v>46</v>
      </c>
      <c r="BL48" s="10" t="s">
        <v>24</v>
      </c>
      <c r="BM48" s="12">
        <v>813.17999999999984</v>
      </c>
      <c r="BN48" s="12">
        <v>416.34599999999995</v>
      </c>
      <c r="BO48" s="12">
        <v>1047.2719999999999</v>
      </c>
      <c r="BP48" s="12">
        <v>731.803</v>
      </c>
      <c r="BQ48" s="12">
        <v>1247.7000000000003</v>
      </c>
      <c r="BR48" s="12">
        <v>1165.8900000000003</v>
      </c>
      <c r="BS48" s="6"/>
      <c r="BT48" s="10">
        <v>46</v>
      </c>
      <c r="BU48" s="10"/>
      <c r="BV48" s="12">
        <v>966.33100000000013</v>
      </c>
      <c r="BW48" s="12">
        <v>593.14</v>
      </c>
      <c r="BX48" s="12">
        <v>1495</v>
      </c>
      <c r="BY48" s="12">
        <v>1051.8019999999999</v>
      </c>
      <c r="BZ48" s="12">
        <v>1779.5229999999997</v>
      </c>
      <c r="CA48" s="12">
        <v>1600.451</v>
      </c>
      <c r="CB48" s="6"/>
      <c r="CC48" s="10">
        <v>46</v>
      </c>
      <c r="CD48" s="10"/>
      <c r="CE48" s="12">
        <v>1460.44</v>
      </c>
      <c r="CF48" s="12">
        <v>802.25</v>
      </c>
      <c r="CG48" s="12">
        <v>2225.88</v>
      </c>
      <c r="CH48" s="12">
        <v>1668.6099999999997</v>
      </c>
      <c r="CI48" s="12">
        <v>2562.2559999999999</v>
      </c>
      <c r="CJ48" s="12">
        <v>2411.8150000000001</v>
      </c>
    </row>
    <row r="49" spans="1:88" ht="15.75" customHeight="1">
      <c r="A49" s="6"/>
      <c r="B49" s="10">
        <v>47</v>
      </c>
      <c r="G49" s="6"/>
      <c r="H49" s="6"/>
      <c r="I49" s="6"/>
      <c r="J49" s="6"/>
      <c r="K49" s="6"/>
      <c r="L49" s="6"/>
      <c r="M49" s="6"/>
      <c r="N49" s="6"/>
      <c r="BB49" s="10">
        <v>47</v>
      </c>
      <c r="BC49" s="10" t="s">
        <v>6</v>
      </c>
      <c r="BD49" s="12">
        <v>635.74</v>
      </c>
      <c r="BE49" s="12">
        <v>325.75800000000004</v>
      </c>
      <c r="BF49" s="12">
        <v>733.32999999999993</v>
      </c>
      <c r="BG49" s="12">
        <v>514.24</v>
      </c>
      <c r="BH49" s="12">
        <v>852.42000000000007</v>
      </c>
      <c r="BI49" s="12">
        <v>787.54</v>
      </c>
      <c r="BK49" s="10">
        <v>47</v>
      </c>
      <c r="BL49" s="10" t="s">
        <v>24</v>
      </c>
      <c r="BM49" s="12">
        <v>842.11999999999989</v>
      </c>
      <c r="BN49" s="12">
        <v>427.56399999999996</v>
      </c>
      <c r="BO49" s="12">
        <v>1074.848</v>
      </c>
      <c r="BP49" s="12">
        <v>751.202</v>
      </c>
      <c r="BQ49" s="12">
        <v>1281.8000000000002</v>
      </c>
      <c r="BR49" s="12">
        <v>1197.2600000000002</v>
      </c>
      <c r="BS49" s="6"/>
      <c r="BT49" s="10">
        <v>47</v>
      </c>
      <c r="BU49" s="10"/>
      <c r="BV49" s="12">
        <v>1017.5540000000001</v>
      </c>
      <c r="BW49" s="12">
        <v>618.76</v>
      </c>
      <c r="BX49" s="12">
        <v>1560</v>
      </c>
      <c r="BY49" s="12">
        <v>1097.8679999999999</v>
      </c>
      <c r="BZ49" s="12">
        <v>1859.6819999999998</v>
      </c>
      <c r="CA49" s="12">
        <v>1673.634</v>
      </c>
      <c r="CB49" s="6"/>
      <c r="CC49" s="10">
        <v>47</v>
      </c>
      <c r="CD49" s="10"/>
      <c r="CE49" s="12">
        <v>1536.96</v>
      </c>
      <c r="CF49" s="12">
        <v>841.5</v>
      </c>
      <c r="CG49" s="12">
        <v>2323.92</v>
      </c>
      <c r="CH49" s="12">
        <v>1705.7399999999998</v>
      </c>
      <c r="CI49" s="12">
        <v>2681.5039999999999</v>
      </c>
      <c r="CJ49" s="12">
        <v>2521.21</v>
      </c>
    </row>
    <row r="50" spans="1:88" ht="15.75" customHeight="1">
      <c r="A50" s="6"/>
      <c r="B50" s="10">
        <v>48</v>
      </c>
      <c r="G50" s="6"/>
      <c r="H50" s="6"/>
      <c r="I50" s="6"/>
      <c r="J50" s="6"/>
      <c r="K50" s="6"/>
      <c r="L50" s="6"/>
      <c r="M50" s="6"/>
      <c r="N50" s="6"/>
      <c r="BB50" s="10">
        <v>48</v>
      </c>
      <c r="BC50" s="10" t="s">
        <v>6</v>
      </c>
      <c r="BD50" s="12">
        <v>652.87</v>
      </c>
      <c r="BE50" s="12">
        <v>332.87900000000002</v>
      </c>
      <c r="BF50" s="12">
        <v>751.66499999999996</v>
      </c>
      <c r="BG50" s="12">
        <v>527.12</v>
      </c>
      <c r="BH50" s="12">
        <v>876.21</v>
      </c>
      <c r="BI50" s="12">
        <v>808.77</v>
      </c>
      <c r="BK50" s="10">
        <v>48</v>
      </c>
      <c r="BL50" s="10" t="s">
        <v>24</v>
      </c>
      <c r="BM50" s="12">
        <v>871.06</v>
      </c>
      <c r="BN50" s="12">
        <v>438.78199999999998</v>
      </c>
      <c r="BO50" s="12">
        <v>1102.424</v>
      </c>
      <c r="BP50" s="12">
        <v>770.601</v>
      </c>
      <c r="BQ50" s="12">
        <v>1315.9</v>
      </c>
      <c r="BR50" s="12">
        <v>1228.6300000000001</v>
      </c>
      <c r="BS50" s="6"/>
      <c r="BT50" s="10">
        <v>48</v>
      </c>
      <c r="BU50" s="10"/>
      <c r="BV50" s="12">
        <v>1068.777</v>
      </c>
      <c r="BW50" s="12">
        <v>644.38</v>
      </c>
      <c r="BX50" s="12">
        <v>1625</v>
      </c>
      <c r="BY50" s="12">
        <v>1143.934</v>
      </c>
      <c r="BZ50" s="12">
        <v>1939.8409999999999</v>
      </c>
      <c r="CA50" s="12">
        <v>1746.817</v>
      </c>
      <c r="CB50" s="6"/>
      <c r="CC50" s="10">
        <v>48</v>
      </c>
      <c r="CD50" s="10"/>
      <c r="CE50" s="12">
        <v>1613.48</v>
      </c>
      <c r="CF50" s="12">
        <v>880.75</v>
      </c>
      <c r="CG50" s="12">
        <v>2421.96</v>
      </c>
      <c r="CH50" s="12">
        <v>1742.87</v>
      </c>
      <c r="CI50" s="12">
        <v>2800.752</v>
      </c>
      <c r="CJ50" s="12">
        <v>2630.605</v>
      </c>
    </row>
    <row r="51" spans="1:88" ht="15.75" customHeight="1">
      <c r="A51" s="6"/>
      <c r="B51" s="10">
        <v>49</v>
      </c>
      <c r="G51" s="6"/>
      <c r="H51" s="6"/>
      <c r="I51" s="6"/>
      <c r="J51" s="6"/>
      <c r="K51" s="6"/>
      <c r="L51" s="6"/>
      <c r="M51" s="6" t="s">
        <v>3</v>
      </c>
      <c r="N51" s="6"/>
      <c r="BB51" s="10">
        <v>49</v>
      </c>
      <c r="BC51" s="10" t="s">
        <v>6</v>
      </c>
      <c r="BD51" s="12">
        <v>670</v>
      </c>
      <c r="BE51" s="12">
        <v>340</v>
      </c>
      <c r="BF51" s="12">
        <v>770</v>
      </c>
      <c r="BG51" s="12">
        <v>540</v>
      </c>
      <c r="BH51" s="12">
        <v>900</v>
      </c>
      <c r="BI51" s="12">
        <v>830</v>
      </c>
      <c r="BK51" s="10">
        <v>49</v>
      </c>
      <c r="BL51" s="10" t="s">
        <v>24</v>
      </c>
      <c r="BM51" s="12">
        <v>900</v>
      </c>
      <c r="BN51" s="12">
        <v>450</v>
      </c>
      <c r="BO51" s="12">
        <v>1130</v>
      </c>
      <c r="BP51" s="12">
        <v>790</v>
      </c>
      <c r="BQ51" s="12">
        <v>1350</v>
      </c>
      <c r="BR51" s="12">
        <v>1260</v>
      </c>
      <c r="BS51" s="6"/>
      <c r="BT51" s="10">
        <v>49</v>
      </c>
      <c r="BU51" s="10"/>
      <c r="BV51" s="11">
        <v>1120</v>
      </c>
      <c r="BW51" s="11">
        <v>670</v>
      </c>
      <c r="BX51" s="11">
        <v>1690</v>
      </c>
      <c r="BY51" s="11">
        <v>1190</v>
      </c>
      <c r="BZ51" s="11">
        <v>2020</v>
      </c>
      <c r="CA51" s="11">
        <v>1820</v>
      </c>
      <c r="CB51" s="6"/>
      <c r="CC51" s="10">
        <v>49</v>
      </c>
      <c r="CD51" s="10"/>
      <c r="CE51" s="11">
        <v>1690</v>
      </c>
      <c r="CF51" s="11">
        <v>920</v>
      </c>
      <c r="CG51" s="11">
        <v>2520</v>
      </c>
      <c r="CH51" s="11">
        <v>1780</v>
      </c>
      <c r="CI51" s="11">
        <v>2920</v>
      </c>
      <c r="CJ51" s="11">
        <v>2740</v>
      </c>
    </row>
    <row r="52" spans="1:88" ht="15.75" customHeight="1">
      <c r="A52" s="6"/>
      <c r="B52" s="10">
        <v>50</v>
      </c>
      <c r="G52" s="6" t="s">
        <v>0</v>
      </c>
      <c r="H52" s="6" t="s">
        <v>1</v>
      </c>
      <c r="I52" s="6" t="s">
        <v>26</v>
      </c>
      <c r="J52" s="6" t="s">
        <v>19</v>
      </c>
      <c r="K52" s="6" t="s">
        <v>4</v>
      </c>
      <c r="L52" s="6"/>
      <c r="M52" s="6">
        <f>IF(I53=C40,IF(H53=D3,VLOOKUP(J53,BT3:CA202,7,FALSE), IF(I53=C40,IF(H53=D4,VLOOKUP(J53,CC3:CJ202,7,FALSE)))))</f>
        <v>3039.248</v>
      </c>
      <c r="N52" s="6"/>
      <c r="BB52" s="10">
        <v>50</v>
      </c>
      <c r="BC52" s="10" t="s">
        <v>6</v>
      </c>
      <c r="BD52" s="12">
        <v>687.13</v>
      </c>
      <c r="BE52" s="12">
        <v>347.12099999999998</v>
      </c>
      <c r="BF52" s="12">
        <v>788.33500000000004</v>
      </c>
      <c r="BG52" s="12">
        <v>552.88</v>
      </c>
      <c r="BH52" s="12">
        <v>923.79</v>
      </c>
      <c r="BI52" s="12">
        <v>851.23</v>
      </c>
      <c r="BK52" s="10">
        <v>50</v>
      </c>
      <c r="BL52" s="10" t="s">
        <v>24</v>
      </c>
      <c r="BM52" s="12">
        <v>928.94</v>
      </c>
      <c r="BN52" s="12">
        <v>461.21800000000002</v>
      </c>
      <c r="BO52" s="12">
        <v>1157.576</v>
      </c>
      <c r="BP52" s="12">
        <v>809.399</v>
      </c>
      <c r="BQ52" s="12">
        <v>1384.1</v>
      </c>
      <c r="BR52" s="12">
        <v>1291.3699999999999</v>
      </c>
      <c r="BS52" s="6"/>
      <c r="BT52" s="10">
        <v>50</v>
      </c>
      <c r="BU52" s="10"/>
      <c r="BV52" s="12">
        <v>1171.223</v>
      </c>
      <c r="BW52" s="12">
        <v>695.62</v>
      </c>
      <c r="BX52" s="12">
        <v>1755</v>
      </c>
      <c r="BY52" s="12">
        <v>1236.066</v>
      </c>
      <c r="BZ52" s="12">
        <v>2100.1590000000001</v>
      </c>
      <c r="CA52" s="12">
        <v>1893.183</v>
      </c>
      <c r="CB52" s="6"/>
      <c r="CC52" s="10">
        <v>50</v>
      </c>
      <c r="CD52" s="10"/>
      <c r="CE52" s="12">
        <v>1766.52</v>
      </c>
      <c r="CF52" s="12">
        <v>959.25</v>
      </c>
      <c r="CG52" s="12">
        <v>2618.04</v>
      </c>
      <c r="CH52" s="12">
        <v>1817.13</v>
      </c>
      <c r="CI52" s="12">
        <v>3039.248</v>
      </c>
      <c r="CJ52" s="12">
        <v>2849.395</v>
      </c>
    </row>
    <row r="53" spans="1:88" ht="15.75" customHeight="1">
      <c r="A53" s="6"/>
      <c r="B53" s="10">
        <v>51</v>
      </c>
      <c r="G53" s="6" t="s">
        <v>10</v>
      </c>
      <c r="H53" s="6" t="str">
        <f>'Tensile Pass Fail'!C15</f>
        <v>LWT320 6.4mm (1/4")</v>
      </c>
      <c r="I53" s="15">
        <v>39</v>
      </c>
      <c r="J53" s="6">
        <f>'Tensile Pass Fail'!E15</f>
        <v>50</v>
      </c>
      <c r="K53" s="6"/>
      <c r="L53" s="6"/>
      <c r="M53" s="6" t="str">
        <f>IF(H53=D4,IF(J53&lt;=36,"PASS","FAIL"), IF(H53=D3,IF(J53&lt;=36, "PASS","FAIL")))</f>
        <v>FAIL</v>
      </c>
      <c r="N53" s="6"/>
      <c r="BB53" s="10">
        <v>51</v>
      </c>
      <c r="BC53" s="10" t="s">
        <v>6</v>
      </c>
      <c r="BD53" s="12">
        <v>704.26</v>
      </c>
      <c r="BE53" s="12">
        <v>354.24199999999996</v>
      </c>
      <c r="BF53" s="12">
        <v>806.67000000000007</v>
      </c>
      <c r="BG53" s="12">
        <v>565.76</v>
      </c>
      <c r="BH53" s="12">
        <v>947.57999999999993</v>
      </c>
      <c r="BI53" s="12">
        <v>872.46</v>
      </c>
      <c r="BK53" s="10">
        <v>51</v>
      </c>
      <c r="BL53" s="10" t="s">
        <v>24</v>
      </c>
      <c r="BM53" s="12">
        <v>957.88000000000011</v>
      </c>
      <c r="BN53" s="12">
        <v>472.43600000000004</v>
      </c>
      <c r="BO53" s="12">
        <v>1185.152</v>
      </c>
      <c r="BP53" s="12">
        <v>828.798</v>
      </c>
      <c r="BQ53" s="12">
        <v>1418.1999999999998</v>
      </c>
      <c r="BR53" s="12">
        <v>1322.7399999999998</v>
      </c>
      <c r="BS53" s="6"/>
      <c r="BT53" s="10">
        <v>51</v>
      </c>
      <c r="BU53" s="10"/>
      <c r="BV53" s="12">
        <v>1222.4459999999999</v>
      </c>
      <c r="BW53" s="12">
        <v>721.24</v>
      </c>
      <c r="BX53" s="12">
        <v>1820</v>
      </c>
      <c r="BY53" s="12">
        <v>1282.1320000000001</v>
      </c>
      <c r="BZ53" s="12">
        <v>2180.3180000000002</v>
      </c>
      <c r="CA53" s="12">
        <v>1966.366</v>
      </c>
      <c r="CB53" s="6"/>
      <c r="CC53" s="10">
        <v>51</v>
      </c>
      <c r="CD53" s="10"/>
      <c r="CE53" s="12">
        <v>1843.04</v>
      </c>
      <c r="CF53" s="12">
        <v>998.5</v>
      </c>
      <c r="CG53" s="12">
        <v>2716.08</v>
      </c>
      <c r="CH53" s="12">
        <v>1854.2600000000002</v>
      </c>
      <c r="CI53" s="12">
        <v>3158.4960000000001</v>
      </c>
      <c r="CJ53" s="12">
        <v>2958.79</v>
      </c>
    </row>
    <row r="54" spans="1:88" ht="15.75" customHeight="1">
      <c r="A54" s="6"/>
      <c r="B54" s="10">
        <v>52</v>
      </c>
      <c r="N54" s="6"/>
      <c r="BB54" s="10">
        <v>52</v>
      </c>
      <c r="BC54" s="10" t="s">
        <v>6</v>
      </c>
      <c r="BD54" s="12">
        <v>721.39</v>
      </c>
      <c r="BE54" s="12">
        <v>361.36299999999994</v>
      </c>
      <c r="BF54" s="12">
        <v>825.00500000000011</v>
      </c>
      <c r="BG54" s="12">
        <v>578.64</v>
      </c>
      <c r="BH54" s="12">
        <v>971.36999999999989</v>
      </c>
      <c r="BI54" s="12">
        <v>893.69</v>
      </c>
      <c r="BK54" s="10">
        <v>52</v>
      </c>
      <c r="BL54" s="10" t="s">
        <v>24</v>
      </c>
      <c r="BM54" s="12">
        <v>986.82000000000016</v>
      </c>
      <c r="BN54" s="12">
        <v>483.65400000000005</v>
      </c>
      <c r="BO54" s="12">
        <v>1212.7280000000001</v>
      </c>
      <c r="BP54" s="12">
        <v>848.197</v>
      </c>
      <c r="BQ54" s="12">
        <v>1452.2999999999997</v>
      </c>
      <c r="BR54" s="12">
        <v>1354.1099999999997</v>
      </c>
      <c r="BS54" s="6"/>
      <c r="BT54" s="10">
        <v>52</v>
      </c>
      <c r="BU54" s="10"/>
      <c r="BV54" s="12">
        <v>1273.6689999999999</v>
      </c>
      <c r="BW54" s="12">
        <v>746.86</v>
      </c>
      <c r="BX54" s="12">
        <v>1885</v>
      </c>
      <c r="BY54" s="12">
        <v>1328.1980000000001</v>
      </c>
      <c r="BZ54" s="12">
        <v>2260.4770000000003</v>
      </c>
      <c r="CA54" s="12">
        <v>2039.549</v>
      </c>
      <c r="CB54" s="6"/>
      <c r="CC54" s="10">
        <v>52</v>
      </c>
      <c r="CD54" s="10"/>
      <c r="CE54" s="12">
        <v>1919.56</v>
      </c>
      <c r="CF54" s="12">
        <v>1037.75</v>
      </c>
      <c r="CG54" s="12">
        <v>2814.12</v>
      </c>
      <c r="CH54" s="12">
        <v>1891.3900000000003</v>
      </c>
      <c r="CI54" s="12">
        <v>3277.7440000000001</v>
      </c>
      <c r="CJ54" s="12">
        <v>3068.1849999999999</v>
      </c>
    </row>
    <row r="55" spans="1:88" ht="15.75" customHeight="1">
      <c r="A55" s="6"/>
      <c r="B55" s="10">
        <v>53</v>
      </c>
      <c r="N55" s="6"/>
      <c r="BB55" s="10">
        <v>53</v>
      </c>
      <c r="BC55" s="10" t="s">
        <v>6</v>
      </c>
      <c r="BD55" s="12">
        <v>738.52</v>
      </c>
      <c r="BE55" s="12">
        <v>368.48399999999992</v>
      </c>
      <c r="BF55" s="12">
        <v>843.34000000000015</v>
      </c>
      <c r="BG55" s="12">
        <v>591.52</v>
      </c>
      <c r="BH55" s="12">
        <v>995.15999999999985</v>
      </c>
      <c r="BI55" s="12">
        <v>914.92000000000007</v>
      </c>
      <c r="BK55" s="10">
        <v>53</v>
      </c>
      <c r="BL55" s="10" t="s">
        <v>24</v>
      </c>
      <c r="BM55" s="12">
        <v>1015.7600000000002</v>
      </c>
      <c r="BN55" s="12">
        <v>494.87200000000007</v>
      </c>
      <c r="BO55" s="12">
        <v>1240.3040000000001</v>
      </c>
      <c r="BP55" s="12">
        <v>867.596</v>
      </c>
      <c r="BQ55" s="12">
        <v>1486.3999999999996</v>
      </c>
      <c r="BR55" s="12">
        <v>1385.4799999999996</v>
      </c>
      <c r="BS55" s="6"/>
      <c r="BT55" s="10">
        <v>53</v>
      </c>
      <c r="BU55" s="10"/>
      <c r="BV55" s="12">
        <v>1324.8919999999998</v>
      </c>
      <c r="BW55" s="12">
        <v>772.48</v>
      </c>
      <c r="BX55" s="12">
        <v>1950</v>
      </c>
      <c r="BY55" s="12">
        <v>1374.2640000000001</v>
      </c>
      <c r="BZ55" s="12">
        <v>2340.6360000000004</v>
      </c>
      <c r="CA55" s="12">
        <v>2112.732</v>
      </c>
      <c r="CB55" s="6"/>
      <c r="CC55" s="10">
        <v>53</v>
      </c>
      <c r="CD55" s="10"/>
      <c r="CE55" s="12">
        <v>1996.08</v>
      </c>
      <c r="CF55" s="12">
        <v>1077</v>
      </c>
      <c r="CG55" s="12">
        <v>2912.16</v>
      </c>
      <c r="CH55" s="12">
        <v>1928.5200000000004</v>
      </c>
      <c r="CI55" s="12">
        <v>3396.9920000000002</v>
      </c>
      <c r="CJ55" s="12">
        <v>3177.58</v>
      </c>
    </row>
    <row r="56" spans="1:88" ht="15.75" customHeight="1">
      <c r="A56" s="6"/>
      <c r="B56" s="10">
        <v>54</v>
      </c>
      <c r="G56" s="6"/>
      <c r="H56" s="6"/>
      <c r="I56" s="6"/>
      <c r="J56" s="6"/>
      <c r="K56" s="6"/>
      <c r="L56" s="6"/>
      <c r="M56" s="6" t="s">
        <v>3</v>
      </c>
      <c r="N56" s="6"/>
      <c r="BB56" s="10">
        <v>54</v>
      </c>
      <c r="BC56" s="10" t="s">
        <v>6</v>
      </c>
      <c r="BD56" s="12">
        <v>755.65</v>
      </c>
      <c r="BE56" s="12">
        <v>375.6049999999999</v>
      </c>
      <c r="BF56" s="12">
        <v>861.67500000000018</v>
      </c>
      <c r="BG56" s="12">
        <v>604.4</v>
      </c>
      <c r="BH56" s="12">
        <v>1018.9499999999998</v>
      </c>
      <c r="BI56" s="12">
        <v>936.15000000000009</v>
      </c>
      <c r="BK56" s="10">
        <v>54</v>
      </c>
      <c r="BL56" s="10" t="s">
        <v>24</v>
      </c>
      <c r="BM56" s="12">
        <v>1044.7000000000003</v>
      </c>
      <c r="BN56" s="12">
        <v>506.09000000000009</v>
      </c>
      <c r="BO56" s="12">
        <v>1267.8800000000001</v>
      </c>
      <c r="BP56" s="12">
        <v>886.995</v>
      </c>
      <c r="BQ56" s="12">
        <v>1520.4999999999995</v>
      </c>
      <c r="BR56" s="12">
        <v>1416.8499999999995</v>
      </c>
      <c r="BS56" s="6"/>
      <c r="BT56" s="10">
        <v>54</v>
      </c>
      <c r="BU56" s="10"/>
      <c r="BV56" s="12">
        <v>1376.1149999999998</v>
      </c>
      <c r="BW56" s="12">
        <v>798.1</v>
      </c>
      <c r="BX56" s="12">
        <v>2015</v>
      </c>
      <c r="BY56" s="12">
        <v>1420.3300000000002</v>
      </c>
      <c r="BZ56" s="12">
        <v>2420.7950000000005</v>
      </c>
      <c r="CA56" s="12">
        <v>2185.915</v>
      </c>
      <c r="CB56" s="6"/>
      <c r="CC56" s="10">
        <v>54</v>
      </c>
      <c r="CD56" s="10"/>
      <c r="CE56" s="12">
        <v>2072.6</v>
      </c>
      <c r="CF56" s="12">
        <v>1116.25</v>
      </c>
      <c r="CG56" s="12">
        <v>3010.2</v>
      </c>
      <c r="CH56" s="12">
        <v>1965.6500000000005</v>
      </c>
      <c r="CI56" s="12">
        <v>3516.2400000000002</v>
      </c>
      <c r="CJ56" s="12">
        <v>3286.9749999999999</v>
      </c>
    </row>
    <row r="57" spans="1:88" ht="15.75" customHeight="1">
      <c r="A57" s="6"/>
      <c r="B57" s="10">
        <v>55</v>
      </c>
      <c r="G57" s="6" t="s">
        <v>0</v>
      </c>
      <c r="H57" s="6" t="s">
        <v>1</v>
      </c>
      <c r="I57" s="6" t="s">
        <v>26</v>
      </c>
      <c r="J57" s="6" t="s">
        <v>19</v>
      </c>
      <c r="K57" s="6" t="s">
        <v>4</v>
      </c>
      <c r="L57" s="6"/>
      <c r="M57" s="6">
        <f>IF(I58=C11,IF(H58=D3,VLOOKUP(J58,BB3:BI202,8,FALSE), IF(I58=C11,IF(H58=D4,VLOOKUP(J58,BK3:BR202,8,FALSE)))))</f>
        <v>851.23</v>
      </c>
      <c r="N57" s="6"/>
      <c r="BB57" s="10">
        <v>55</v>
      </c>
      <c r="BC57" s="10" t="s">
        <v>6</v>
      </c>
      <c r="BD57" s="12">
        <v>772.78</v>
      </c>
      <c r="BE57" s="12">
        <v>382.72599999999989</v>
      </c>
      <c r="BF57" s="12">
        <v>880.01000000000022</v>
      </c>
      <c r="BG57" s="12">
        <v>617.28</v>
      </c>
      <c r="BH57" s="12">
        <v>1042.7399999999998</v>
      </c>
      <c r="BI57" s="12">
        <v>957.38000000000011</v>
      </c>
      <c r="BK57" s="10">
        <v>55</v>
      </c>
      <c r="BL57" s="10" t="s">
        <v>24</v>
      </c>
      <c r="BM57" s="12">
        <v>1073.6400000000003</v>
      </c>
      <c r="BN57" s="12">
        <v>517.30800000000011</v>
      </c>
      <c r="BO57" s="12">
        <v>1295.4560000000001</v>
      </c>
      <c r="BP57" s="12">
        <v>906.39400000000001</v>
      </c>
      <c r="BQ57" s="12">
        <v>1554.5999999999995</v>
      </c>
      <c r="BR57" s="12">
        <v>1448.2199999999993</v>
      </c>
      <c r="BS57" s="6"/>
      <c r="BT57" s="10">
        <v>55</v>
      </c>
      <c r="BU57" s="10"/>
      <c r="BV57" s="12">
        <v>1427.3379999999997</v>
      </c>
      <c r="BW57" s="12">
        <v>823.72</v>
      </c>
      <c r="BX57" s="12">
        <v>2080</v>
      </c>
      <c r="BY57" s="12">
        <v>1466.3960000000002</v>
      </c>
      <c r="BZ57" s="12">
        <v>2500.9540000000006</v>
      </c>
      <c r="CA57" s="12">
        <v>2259.098</v>
      </c>
      <c r="CB57" s="6"/>
      <c r="CC57" s="10">
        <v>55</v>
      </c>
      <c r="CD57" s="10"/>
      <c r="CE57" s="12">
        <v>2149.12</v>
      </c>
      <c r="CF57" s="12">
        <v>1155.5</v>
      </c>
      <c r="CG57" s="12">
        <v>3108.24</v>
      </c>
      <c r="CH57" s="12">
        <v>2002.7800000000007</v>
      </c>
      <c r="CI57" s="12">
        <v>3635.4880000000003</v>
      </c>
      <c r="CJ57" s="12">
        <v>3396.37</v>
      </c>
    </row>
    <row r="58" spans="1:88" ht="15.75" customHeight="1">
      <c r="A58" s="6"/>
      <c r="B58" s="10">
        <v>56</v>
      </c>
      <c r="G58" s="6" t="s">
        <v>11</v>
      </c>
      <c r="H58" s="6" t="str">
        <f>'Tensile Pass Fail'!C18</f>
        <v>LWT310 4.8mm (3/16")</v>
      </c>
      <c r="I58" s="15">
        <v>10</v>
      </c>
      <c r="J58" s="6">
        <f>'Tensile Pass Fail'!E18</f>
        <v>50</v>
      </c>
      <c r="K58" s="6"/>
      <c r="L58" s="6"/>
      <c r="M58" s="6" t="str">
        <f>IF(H58=D4,IF(J58&lt;=53,"PASS","FAIL"), IF(H58=D3,IF(J58&lt;=57, "PASS","FAIL")))</f>
        <v>PASS</v>
      </c>
      <c r="N58" s="6"/>
      <c r="BB58" s="10">
        <v>56</v>
      </c>
      <c r="BC58" s="10" t="s">
        <v>6</v>
      </c>
      <c r="BD58" s="12">
        <v>789.91</v>
      </c>
      <c r="BE58" s="12">
        <v>389.84699999999987</v>
      </c>
      <c r="BF58" s="12">
        <v>898.34500000000025</v>
      </c>
      <c r="BG58" s="12">
        <v>630.16</v>
      </c>
      <c r="BH58" s="12">
        <v>1066.5299999999997</v>
      </c>
      <c r="BI58" s="12">
        <v>978.61000000000013</v>
      </c>
      <c r="BK58" s="10">
        <v>56</v>
      </c>
      <c r="BL58" s="10" t="s">
        <v>24</v>
      </c>
      <c r="BM58" s="12">
        <v>1102.5800000000004</v>
      </c>
      <c r="BN58" s="12">
        <v>528.52600000000007</v>
      </c>
      <c r="BO58" s="12">
        <v>1323.0320000000002</v>
      </c>
      <c r="BP58" s="12">
        <v>925.79300000000001</v>
      </c>
      <c r="BQ58" s="12">
        <v>1588.6999999999994</v>
      </c>
      <c r="BR58" s="12">
        <v>1479.5899999999992</v>
      </c>
      <c r="BS58" s="6"/>
      <c r="BT58" s="10">
        <v>56</v>
      </c>
      <c r="BU58" s="10"/>
      <c r="BV58" s="12">
        <v>1478.5609999999997</v>
      </c>
      <c r="BW58" s="12">
        <v>849.34</v>
      </c>
      <c r="BX58" s="12">
        <v>2145</v>
      </c>
      <c r="BY58" s="12">
        <v>1512.4620000000002</v>
      </c>
      <c r="BZ58" s="12">
        <v>2581.1130000000007</v>
      </c>
      <c r="CA58" s="12">
        <v>2332.2809999999999</v>
      </c>
      <c r="CB58" s="6"/>
      <c r="CC58" s="10">
        <v>56</v>
      </c>
      <c r="CD58" s="10"/>
      <c r="CE58" s="12">
        <v>2225.64</v>
      </c>
      <c r="CF58" s="12">
        <v>1194.75</v>
      </c>
      <c r="CG58" s="12">
        <v>3206.2799999999997</v>
      </c>
      <c r="CH58" s="12">
        <v>2039.9100000000008</v>
      </c>
      <c r="CI58" s="12">
        <v>3754.7360000000003</v>
      </c>
      <c r="CJ58" s="12">
        <v>3505.7649999999999</v>
      </c>
    </row>
    <row r="59" spans="1:88" ht="15.75" customHeight="1">
      <c r="A59" s="6"/>
      <c r="B59" s="10">
        <v>57</v>
      </c>
      <c r="G59" s="6"/>
      <c r="H59" s="6"/>
      <c r="I59" s="6"/>
      <c r="J59" s="6"/>
      <c r="K59" s="6"/>
      <c r="L59" s="6"/>
      <c r="M59" s="6"/>
      <c r="N59" s="6"/>
      <c r="BB59" s="10">
        <v>57</v>
      </c>
      <c r="BC59" s="10" t="s">
        <v>6</v>
      </c>
      <c r="BD59" s="12">
        <v>807.04</v>
      </c>
      <c r="BE59" s="12">
        <v>396.96799999999985</v>
      </c>
      <c r="BF59" s="12">
        <v>916.68000000000029</v>
      </c>
      <c r="BG59" s="12">
        <v>643.04</v>
      </c>
      <c r="BH59" s="12">
        <v>1090.3199999999997</v>
      </c>
      <c r="BI59" s="12">
        <v>999.84000000000015</v>
      </c>
      <c r="BK59" s="10">
        <v>57</v>
      </c>
      <c r="BL59" s="10" t="s">
        <v>24</v>
      </c>
      <c r="BM59" s="12">
        <v>1131.5200000000004</v>
      </c>
      <c r="BN59" s="12">
        <v>539.74400000000003</v>
      </c>
      <c r="BO59" s="12">
        <v>1350.6080000000002</v>
      </c>
      <c r="BP59" s="12">
        <v>945.19200000000001</v>
      </c>
      <c r="BQ59" s="12">
        <v>1622.7999999999993</v>
      </c>
      <c r="BR59" s="12">
        <v>1510.9599999999991</v>
      </c>
      <c r="BS59" s="6"/>
      <c r="BT59" s="10">
        <v>57</v>
      </c>
      <c r="BU59" s="10"/>
      <c r="BV59" s="12">
        <v>1529.7839999999997</v>
      </c>
      <c r="BW59" s="12">
        <v>874.96</v>
      </c>
      <c r="BX59" s="12">
        <v>2210</v>
      </c>
      <c r="BY59" s="12">
        <v>1558.5280000000002</v>
      </c>
      <c r="BZ59" s="12">
        <v>2661.2720000000008</v>
      </c>
      <c r="CA59" s="12">
        <v>2405.4639999999999</v>
      </c>
      <c r="CB59" s="6"/>
      <c r="CC59" s="10">
        <v>57</v>
      </c>
      <c r="CD59" s="10"/>
      <c r="CE59" s="12">
        <v>2302.16</v>
      </c>
      <c r="CF59" s="12">
        <v>1234</v>
      </c>
      <c r="CG59" s="12">
        <v>3304.3199999999997</v>
      </c>
      <c r="CH59" s="12">
        <v>2077.0400000000009</v>
      </c>
      <c r="CI59" s="12">
        <v>3873.9840000000004</v>
      </c>
      <c r="CJ59" s="12">
        <v>3615.16</v>
      </c>
    </row>
    <row r="60" spans="1:88" ht="15.75" customHeight="1">
      <c r="A60" s="6"/>
      <c r="B60" s="10">
        <v>58</v>
      </c>
      <c r="G60" s="6"/>
      <c r="H60" s="6"/>
      <c r="I60" s="6"/>
      <c r="J60" s="6"/>
      <c r="K60" s="6"/>
      <c r="L60" s="6"/>
      <c r="M60" s="6"/>
      <c r="N60" s="6"/>
      <c r="BB60" s="10">
        <v>58</v>
      </c>
      <c r="BC60" s="10" t="s">
        <v>6</v>
      </c>
      <c r="BD60" s="12">
        <v>824.17</v>
      </c>
      <c r="BE60" s="12">
        <v>404.08899999999983</v>
      </c>
      <c r="BF60" s="12">
        <v>935.01500000000033</v>
      </c>
      <c r="BG60" s="12">
        <v>655.92</v>
      </c>
      <c r="BH60" s="12">
        <v>1114.1099999999997</v>
      </c>
      <c r="BI60" s="12">
        <v>1021.0700000000002</v>
      </c>
      <c r="BK60" s="10">
        <v>58</v>
      </c>
      <c r="BL60" s="10" t="s">
        <v>24</v>
      </c>
      <c r="BM60" s="12">
        <v>1160.4600000000005</v>
      </c>
      <c r="BN60" s="12">
        <v>550.96199999999999</v>
      </c>
      <c r="BO60" s="12">
        <v>1378.1840000000002</v>
      </c>
      <c r="BP60" s="12">
        <v>964.59100000000001</v>
      </c>
      <c r="BQ60" s="12">
        <v>1656.8999999999992</v>
      </c>
      <c r="BR60" s="12">
        <v>1542.329999999999</v>
      </c>
      <c r="BS60" s="6"/>
      <c r="BT60" s="10">
        <v>58</v>
      </c>
      <c r="BU60" s="10"/>
      <c r="BV60" s="12">
        <v>1581.0069999999996</v>
      </c>
      <c r="BW60" s="12">
        <v>900.58</v>
      </c>
      <c r="BX60" s="12">
        <v>2275</v>
      </c>
      <c r="BY60" s="12">
        <v>1604.5940000000003</v>
      </c>
      <c r="BZ60" s="12">
        <v>2741.4310000000009</v>
      </c>
      <c r="CA60" s="12">
        <v>2478.6469999999999</v>
      </c>
      <c r="CB60" s="6"/>
      <c r="CC60" s="10">
        <v>58</v>
      </c>
      <c r="CD60" s="10"/>
      <c r="CE60" s="12">
        <v>2378.6799999999998</v>
      </c>
      <c r="CF60" s="12">
        <v>1273.25</v>
      </c>
      <c r="CG60" s="12">
        <v>3402.3599999999997</v>
      </c>
      <c r="CH60" s="12">
        <v>2114.170000000001</v>
      </c>
      <c r="CI60" s="12">
        <v>3993.2320000000004</v>
      </c>
      <c r="CJ60" s="12">
        <v>3724.5549999999998</v>
      </c>
    </row>
    <row r="61" spans="1:88" ht="15.75" customHeight="1">
      <c r="A61" s="6"/>
      <c r="B61" s="10">
        <v>59</v>
      </c>
      <c r="G61" s="6"/>
      <c r="H61" s="6"/>
      <c r="I61" s="6"/>
      <c r="J61" s="6"/>
      <c r="K61" s="6"/>
      <c r="L61" s="6"/>
      <c r="M61" s="6" t="s">
        <v>3</v>
      </c>
      <c r="N61" s="6"/>
      <c r="BB61" s="10">
        <v>59</v>
      </c>
      <c r="BC61" s="10" t="s">
        <v>6</v>
      </c>
      <c r="BD61" s="12">
        <v>841.3</v>
      </c>
      <c r="BE61" s="12">
        <v>411.20999999999981</v>
      </c>
      <c r="BF61" s="12">
        <v>953.35000000000036</v>
      </c>
      <c r="BG61" s="12">
        <v>668.8</v>
      </c>
      <c r="BH61" s="12">
        <v>1137.8999999999996</v>
      </c>
      <c r="BI61" s="12">
        <v>1042.3000000000002</v>
      </c>
      <c r="BK61" s="10">
        <v>59</v>
      </c>
      <c r="BL61" s="10" t="s">
        <v>24</v>
      </c>
      <c r="BM61" s="12">
        <v>1189.4000000000005</v>
      </c>
      <c r="BN61" s="12">
        <v>562.17999999999995</v>
      </c>
      <c r="BO61" s="12">
        <v>1405.7600000000002</v>
      </c>
      <c r="BP61" s="12">
        <v>983.99</v>
      </c>
      <c r="BQ61" s="12">
        <v>1690.9999999999991</v>
      </c>
      <c r="BR61" s="12">
        <v>1573.6999999999989</v>
      </c>
      <c r="BS61" s="6"/>
      <c r="BT61" s="10">
        <v>59</v>
      </c>
      <c r="BU61" s="10"/>
      <c r="BV61" s="12">
        <v>1632.2299999999996</v>
      </c>
      <c r="BW61" s="12">
        <v>926.2</v>
      </c>
      <c r="BX61" s="12">
        <v>2340</v>
      </c>
      <c r="BY61" s="12">
        <v>1650.6600000000003</v>
      </c>
      <c r="BZ61" s="12">
        <v>2821.5900000000011</v>
      </c>
      <c r="CA61" s="12">
        <v>2551.83</v>
      </c>
      <c r="CB61" s="6"/>
      <c r="CC61" s="10">
        <v>59</v>
      </c>
      <c r="CD61" s="10"/>
      <c r="CE61" s="12">
        <v>2455.1999999999998</v>
      </c>
      <c r="CF61" s="12">
        <v>1312.5</v>
      </c>
      <c r="CG61" s="12">
        <v>3500.3999999999996</v>
      </c>
      <c r="CH61" s="12">
        <v>2151.3000000000011</v>
      </c>
      <c r="CI61" s="12">
        <v>4112.4800000000005</v>
      </c>
      <c r="CJ61" s="12">
        <v>3833.95</v>
      </c>
    </row>
    <row r="62" spans="1:88" ht="15.75" customHeight="1">
      <c r="A62" s="6"/>
      <c r="B62" s="10">
        <v>60</v>
      </c>
      <c r="G62" s="6" t="s">
        <v>0</v>
      </c>
      <c r="H62" s="6" t="s">
        <v>1</v>
      </c>
      <c r="I62" s="6" t="s">
        <v>26</v>
      </c>
      <c r="J62" s="6" t="s">
        <v>19</v>
      </c>
      <c r="K62" s="6" t="s">
        <v>4</v>
      </c>
      <c r="L62" s="6"/>
      <c r="M62" s="6">
        <f>IF(I63=C40,IF(H63=D3,VLOOKUP(J63,BT3:CA202,8,FALSE), IF(I63=C40,IF(H63=D4,VLOOKUP(J63,CC3:CJ202,8,FALSE)))))</f>
        <v>1893.183</v>
      </c>
      <c r="N62" s="6"/>
      <c r="BB62" s="10">
        <v>60</v>
      </c>
      <c r="BC62" s="10" t="s">
        <v>6</v>
      </c>
      <c r="BD62" s="12">
        <v>858.43</v>
      </c>
      <c r="BE62" s="12">
        <v>418.33099999999979</v>
      </c>
      <c r="BF62" s="12">
        <v>971.6850000000004</v>
      </c>
      <c r="BG62" s="12">
        <v>681.68</v>
      </c>
      <c r="BH62" s="12">
        <v>1161.6899999999996</v>
      </c>
      <c r="BI62" s="12">
        <v>1063.5300000000002</v>
      </c>
      <c r="BK62" s="10">
        <v>60</v>
      </c>
      <c r="BL62" s="10" t="s">
        <v>24</v>
      </c>
      <c r="BM62" s="12">
        <v>1218.3400000000006</v>
      </c>
      <c r="BN62" s="12">
        <v>573.39799999999991</v>
      </c>
      <c r="BO62" s="12">
        <v>1433.3360000000002</v>
      </c>
      <c r="BP62" s="12">
        <v>1003.389</v>
      </c>
      <c r="BQ62" s="12">
        <v>1725.099999999999</v>
      </c>
      <c r="BR62" s="12">
        <v>1605.0699999999988</v>
      </c>
      <c r="BS62" s="6"/>
      <c r="BT62" s="10">
        <v>60</v>
      </c>
      <c r="BU62" s="10"/>
      <c r="BV62" s="12">
        <v>1683.4529999999995</v>
      </c>
      <c r="BW62" s="12">
        <v>951.82</v>
      </c>
      <c r="BX62" s="12">
        <v>2405</v>
      </c>
      <c r="BY62" s="12">
        <v>1696.7260000000003</v>
      </c>
      <c r="BZ62" s="12">
        <v>2901.7490000000012</v>
      </c>
      <c r="CA62" s="12">
        <v>2625.0129999999999</v>
      </c>
      <c r="CB62" s="6"/>
      <c r="CC62" s="10">
        <v>60</v>
      </c>
      <c r="CD62" s="10"/>
      <c r="CE62" s="12">
        <v>2531.7199999999998</v>
      </c>
      <c r="CF62" s="12">
        <v>1351.75</v>
      </c>
      <c r="CG62" s="12">
        <v>3598.4399999999996</v>
      </c>
      <c r="CH62" s="12">
        <v>2188.4300000000012</v>
      </c>
      <c r="CI62" s="12">
        <v>4231.7280000000001</v>
      </c>
      <c r="CJ62" s="12">
        <v>3943.3449999999998</v>
      </c>
    </row>
    <row r="63" spans="1:88" ht="15.75" customHeight="1">
      <c r="A63" s="6"/>
      <c r="B63" s="10">
        <v>61</v>
      </c>
      <c r="G63" s="6" t="s">
        <v>11</v>
      </c>
      <c r="H63" s="6" t="str">
        <f>'Tensile Pass Fail'!C18</f>
        <v>LWT310 4.8mm (3/16")</v>
      </c>
      <c r="I63" s="15">
        <v>39</v>
      </c>
      <c r="J63" s="6">
        <f>'Tensile Pass Fail'!E18</f>
        <v>50</v>
      </c>
      <c r="K63" s="6"/>
      <c r="L63" s="6"/>
      <c r="M63" s="6" t="str">
        <f>IF(H63=D4,IF(J63&lt;=36,"PASS","FAIL"), IF(H63=D3,IF(J63&lt;=37, "PASS","FAIL")))</f>
        <v>FAIL</v>
      </c>
      <c r="N63" s="6"/>
      <c r="BB63" s="10">
        <v>61</v>
      </c>
      <c r="BC63" s="10" t="s">
        <v>6</v>
      </c>
      <c r="BD63" s="12">
        <v>875.56</v>
      </c>
      <c r="BE63" s="12">
        <v>425.45199999999977</v>
      </c>
      <c r="BF63" s="12">
        <v>990.02000000000044</v>
      </c>
      <c r="BG63" s="12">
        <v>694.56</v>
      </c>
      <c r="BH63" s="12">
        <v>1185.4799999999996</v>
      </c>
      <c r="BI63" s="12">
        <v>1084.7600000000002</v>
      </c>
      <c r="BK63" s="10">
        <v>61</v>
      </c>
      <c r="BL63" s="10" t="s">
        <v>24</v>
      </c>
      <c r="BM63" s="12">
        <v>1247.2800000000007</v>
      </c>
      <c r="BN63" s="12">
        <v>584.61599999999987</v>
      </c>
      <c r="BO63" s="12">
        <v>1460.9120000000003</v>
      </c>
      <c r="BP63" s="12">
        <v>1022.788</v>
      </c>
      <c r="BQ63" s="12">
        <v>1759.1999999999989</v>
      </c>
      <c r="BR63" s="12">
        <v>1636.4399999999987</v>
      </c>
      <c r="BS63" s="6"/>
      <c r="BT63" s="10">
        <v>61</v>
      </c>
      <c r="BU63" s="10"/>
      <c r="BV63" s="12">
        <v>1734.6759999999995</v>
      </c>
      <c r="BW63" s="12">
        <v>977.44</v>
      </c>
      <c r="BX63" s="12">
        <v>2470</v>
      </c>
      <c r="BY63" s="12">
        <v>1742.7920000000004</v>
      </c>
      <c r="BZ63" s="12">
        <v>2981.9080000000013</v>
      </c>
      <c r="CA63" s="12">
        <v>2698.1959999999999</v>
      </c>
      <c r="CB63" s="6"/>
      <c r="CC63" s="10">
        <v>61</v>
      </c>
      <c r="CD63" s="10"/>
      <c r="CE63" s="12">
        <v>2608.2399999999998</v>
      </c>
      <c r="CF63" s="12">
        <v>1391</v>
      </c>
      <c r="CG63" s="12">
        <v>3696.4799999999996</v>
      </c>
      <c r="CH63" s="12">
        <v>2225.5600000000013</v>
      </c>
      <c r="CI63" s="12">
        <v>4350.9759999999997</v>
      </c>
      <c r="CJ63" s="12">
        <v>4052.74</v>
      </c>
    </row>
    <row r="64" spans="1:88" ht="15.75" customHeight="1">
      <c r="A64" s="6"/>
      <c r="B64" s="10">
        <v>62</v>
      </c>
      <c r="BB64" s="10">
        <v>62</v>
      </c>
      <c r="BC64" s="10" t="s">
        <v>6</v>
      </c>
      <c r="BD64" s="12">
        <v>892.68999999999994</v>
      </c>
      <c r="BE64" s="12">
        <v>432.57299999999975</v>
      </c>
      <c r="BF64" s="12">
        <v>1008.3550000000005</v>
      </c>
      <c r="BG64" s="12">
        <v>707.43999999999994</v>
      </c>
      <c r="BH64" s="12">
        <v>1209.2699999999995</v>
      </c>
      <c r="BI64" s="12">
        <v>1105.9900000000002</v>
      </c>
      <c r="BK64" s="10">
        <v>62</v>
      </c>
      <c r="BL64" s="10" t="s">
        <v>24</v>
      </c>
      <c r="BM64" s="12">
        <v>1276.2200000000007</v>
      </c>
      <c r="BN64" s="12">
        <v>595.83399999999983</v>
      </c>
      <c r="BO64" s="12">
        <v>1488.4880000000003</v>
      </c>
      <c r="BP64" s="12">
        <v>1042.1869999999999</v>
      </c>
      <c r="BQ64" s="12">
        <v>1793.2999999999988</v>
      </c>
      <c r="BR64" s="12">
        <v>1667.8099999999986</v>
      </c>
      <c r="BS64" s="6"/>
      <c r="BT64" s="10">
        <v>62</v>
      </c>
      <c r="BU64" s="10"/>
      <c r="BV64" s="12">
        <v>1785.8989999999994</v>
      </c>
      <c r="BW64" s="12">
        <v>1003.0600000000001</v>
      </c>
      <c r="BX64" s="12">
        <v>2535</v>
      </c>
      <c r="BY64" s="12">
        <v>1788.8580000000004</v>
      </c>
      <c r="BZ64" s="12">
        <v>3062.0670000000014</v>
      </c>
      <c r="CA64" s="12">
        <v>2771.3789999999999</v>
      </c>
      <c r="CB64" s="6"/>
      <c r="CC64" s="10">
        <v>62</v>
      </c>
      <c r="CD64" s="10"/>
      <c r="CE64" s="12">
        <v>2684.7599999999998</v>
      </c>
      <c r="CF64" s="12">
        <v>1430.25</v>
      </c>
      <c r="CG64" s="12">
        <v>3794.5199999999995</v>
      </c>
      <c r="CH64" s="12">
        <v>2262.6900000000014</v>
      </c>
      <c r="CI64" s="12">
        <v>4470.2239999999993</v>
      </c>
      <c r="CJ64" s="12">
        <v>4162.1350000000002</v>
      </c>
    </row>
    <row r="65" spans="1:88" ht="15.75" customHeight="1">
      <c r="A65" s="6"/>
      <c r="B65" s="10">
        <v>63</v>
      </c>
      <c r="BB65" s="10">
        <v>63</v>
      </c>
      <c r="BC65" s="10" t="s">
        <v>6</v>
      </c>
      <c r="BD65" s="12">
        <v>909.81999999999994</v>
      </c>
      <c r="BE65" s="12">
        <v>439.69399999999973</v>
      </c>
      <c r="BF65" s="12">
        <v>1026.6900000000005</v>
      </c>
      <c r="BG65" s="12">
        <v>720.31999999999994</v>
      </c>
      <c r="BH65" s="12">
        <v>1233.0599999999995</v>
      </c>
      <c r="BI65" s="12">
        <v>1127.2200000000003</v>
      </c>
      <c r="BK65" s="10">
        <v>63</v>
      </c>
      <c r="BL65" s="10" t="s">
        <v>24</v>
      </c>
      <c r="BM65" s="12">
        <v>1305.1600000000008</v>
      </c>
      <c r="BN65" s="12">
        <v>607.05199999999979</v>
      </c>
      <c r="BO65" s="12">
        <v>1516.0640000000003</v>
      </c>
      <c r="BP65" s="12">
        <v>1061.5859999999998</v>
      </c>
      <c r="BQ65" s="12">
        <v>1827.3999999999987</v>
      </c>
      <c r="BR65" s="12">
        <v>1699.1799999999985</v>
      </c>
      <c r="BS65" s="6"/>
      <c r="BT65" s="10">
        <v>63</v>
      </c>
      <c r="BU65" s="10"/>
      <c r="BV65" s="12">
        <v>1837.1219999999994</v>
      </c>
      <c r="BW65" s="12">
        <v>1028.68</v>
      </c>
      <c r="BX65" s="12">
        <v>2600</v>
      </c>
      <c r="BY65" s="12">
        <v>1834.9240000000004</v>
      </c>
      <c r="BZ65" s="12">
        <v>3142.2260000000015</v>
      </c>
      <c r="CA65" s="12">
        <v>2844.5619999999999</v>
      </c>
      <c r="CB65" s="6"/>
      <c r="CC65" s="10">
        <v>63</v>
      </c>
      <c r="CD65" s="10"/>
      <c r="CE65" s="12">
        <v>2761.2799999999997</v>
      </c>
      <c r="CF65" s="12">
        <v>1469.5</v>
      </c>
      <c r="CG65" s="12">
        <v>3892.5599999999995</v>
      </c>
      <c r="CH65" s="12">
        <v>2299.8200000000015</v>
      </c>
      <c r="CI65" s="12">
        <v>4589.4719999999988</v>
      </c>
      <c r="CJ65" s="12">
        <v>4271.5300000000007</v>
      </c>
    </row>
    <row r="66" spans="1:88" ht="15.75" customHeight="1">
      <c r="A66" s="6"/>
      <c r="B66" s="10">
        <v>64</v>
      </c>
      <c r="BB66" s="10">
        <v>64</v>
      </c>
      <c r="BC66" s="10" t="s">
        <v>6</v>
      </c>
      <c r="BD66" s="12">
        <v>926.94999999999993</v>
      </c>
      <c r="BE66" s="12">
        <v>446.81499999999971</v>
      </c>
      <c r="BF66" s="12">
        <v>1045.0250000000005</v>
      </c>
      <c r="BG66" s="12">
        <v>733.19999999999993</v>
      </c>
      <c r="BH66" s="12">
        <v>1256.8499999999995</v>
      </c>
      <c r="BI66" s="12">
        <v>1148.4500000000003</v>
      </c>
      <c r="BK66" s="10">
        <v>64</v>
      </c>
      <c r="BL66" s="10" t="s">
        <v>24</v>
      </c>
      <c r="BM66" s="12">
        <v>1334.1000000000008</v>
      </c>
      <c r="BN66" s="12">
        <v>618.26999999999975</v>
      </c>
      <c r="BO66" s="12">
        <v>1543.6400000000003</v>
      </c>
      <c r="BP66" s="12">
        <v>1080.9849999999997</v>
      </c>
      <c r="BQ66" s="12">
        <v>1861.4999999999986</v>
      </c>
      <c r="BR66" s="12">
        <v>1730.5499999999984</v>
      </c>
      <c r="BS66" s="6"/>
      <c r="BT66" s="10">
        <v>64</v>
      </c>
      <c r="BU66" s="10"/>
      <c r="BV66" s="12">
        <v>1888.3449999999993</v>
      </c>
      <c r="BW66" s="12">
        <v>1054.3</v>
      </c>
      <c r="BX66" s="12">
        <v>2665</v>
      </c>
      <c r="BY66" s="12">
        <v>1880.9900000000005</v>
      </c>
      <c r="BZ66" s="12">
        <v>3222.3850000000016</v>
      </c>
      <c r="CA66" s="12">
        <v>2917.7449999999999</v>
      </c>
      <c r="CB66" s="6"/>
      <c r="CC66" s="10">
        <v>64</v>
      </c>
      <c r="CD66" s="10"/>
      <c r="CE66" s="12">
        <v>2837.7999999999997</v>
      </c>
      <c r="CF66" s="12">
        <v>1508.75</v>
      </c>
      <c r="CG66" s="12">
        <v>3990.5999999999995</v>
      </c>
      <c r="CH66" s="12">
        <v>2336.9500000000016</v>
      </c>
      <c r="CI66" s="12">
        <v>4708.7199999999984</v>
      </c>
      <c r="CJ66" s="12">
        <v>4380.9250000000011</v>
      </c>
    </row>
    <row r="67" spans="1:88" ht="15.75" customHeight="1">
      <c r="A67" s="6"/>
      <c r="B67" s="10">
        <v>65</v>
      </c>
      <c r="H67" s="6" t="s">
        <v>1</v>
      </c>
      <c r="I67" s="7" t="s">
        <v>26</v>
      </c>
      <c r="J67" s="7" t="s">
        <v>19</v>
      </c>
      <c r="L67" s="7" t="s">
        <v>63</v>
      </c>
      <c r="M67" s="7" t="s">
        <v>64</v>
      </c>
      <c r="N67" s="7" t="s">
        <v>65</v>
      </c>
      <c r="O67" s="7" t="s">
        <v>66</v>
      </c>
      <c r="P67" s="7" t="s">
        <v>62</v>
      </c>
      <c r="Q67" s="7" t="s">
        <v>31</v>
      </c>
      <c r="R67" s="7" t="s">
        <v>32</v>
      </c>
      <c r="S67" s="7" t="s">
        <v>33</v>
      </c>
      <c r="T67" s="7" t="s">
        <v>34</v>
      </c>
      <c r="U67" s="7" t="s">
        <v>35</v>
      </c>
      <c r="V67" s="7" t="s">
        <v>36</v>
      </c>
      <c r="W67" s="7" t="s">
        <v>37</v>
      </c>
      <c r="X67" s="7" t="s">
        <v>38</v>
      </c>
      <c r="Y67" s="7" t="s">
        <v>39</v>
      </c>
      <c r="Z67" s="7" t="s">
        <v>40</v>
      </c>
      <c r="AA67" s="7" t="s">
        <v>41</v>
      </c>
      <c r="AB67" s="7" t="s">
        <v>42</v>
      </c>
      <c r="AC67" s="7" t="s">
        <v>43</v>
      </c>
      <c r="AD67" s="7" t="s">
        <v>44</v>
      </c>
      <c r="AE67" s="7" t="s">
        <v>45</v>
      </c>
      <c r="AF67" s="7" t="s">
        <v>46</v>
      </c>
      <c r="AG67" s="7" t="s">
        <v>47</v>
      </c>
      <c r="AH67" s="7" t="s">
        <v>48</v>
      </c>
      <c r="AI67" s="7" t="s">
        <v>49</v>
      </c>
      <c r="AJ67" s="7" t="s">
        <v>50</v>
      </c>
      <c r="AK67" s="7" t="s">
        <v>51</v>
      </c>
      <c r="AL67" s="7" t="s">
        <v>52</v>
      </c>
      <c r="AM67" s="7" t="s">
        <v>53</v>
      </c>
      <c r="AN67" s="7" t="s">
        <v>54</v>
      </c>
      <c r="AO67" s="7" t="s">
        <v>55</v>
      </c>
      <c r="AP67" s="7" t="s">
        <v>56</v>
      </c>
      <c r="AQ67" s="7" t="s">
        <v>57</v>
      </c>
      <c r="AR67" s="7" t="s">
        <v>58</v>
      </c>
      <c r="AS67" s="7" t="s">
        <v>3</v>
      </c>
      <c r="BB67" s="10">
        <v>65</v>
      </c>
      <c r="BC67" s="10" t="s">
        <v>6</v>
      </c>
      <c r="BD67" s="12">
        <v>944.07999999999993</v>
      </c>
      <c r="BE67" s="12">
        <v>453.93599999999969</v>
      </c>
      <c r="BF67" s="12">
        <v>1063.3600000000006</v>
      </c>
      <c r="BG67" s="12">
        <v>746.07999999999993</v>
      </c>
      <c r="BH67" s="12">
        <v>1280.6399999999994</v>
      </c>
      <c r="BI67" s="12">
        <v>1169.6800000000003</v>
      </c>
      <c r="BK67" s="10">
        <v>65</v>
      </c>
      <c r="BL67" s="10" t="s">
        <v>24</v>
      </c>
      <c r="BM67" s="12">
        <v>1363.0400000000009</v>
      </c>
      <c r="BN67" s="12">
        <v>629.48799999999972</v>
      </c>
      <c r="BO67" s="12">
        <v>1571.2160000000003</v>
      </c>
      <c r="BP67" s="12">
        <v>1100.3839999999996</v>
      </c>
      <c r="BQ67" s="12">
        <v>1895.5999999999985</v>
      </c>
      <c r="BR67" s="12">
        <v>1761.9199999999983</v>
      </c>
      <c r="BS67" s="6"/>
      <c r="BT67" s="10">
        <v>65</v>
      </c>
      <c r="BU67" s="10"/>
      <c r="BV67" s="12">
        <v>1939.5679999999993</v>
      </c>
      <c r="BW67" s="12">
        <v>1079.9199999999998</v>
      </c>
      <c r="BX67" s="12">
        <v>2730</v>
      </c>
      <c r="BY67" s="12">
        <v>1927.0560000000005</v>
      </c>
      <c r="BZ67" s="12">
        <v>3302.5440000000017</v>
      </c>
      <c r="CA67" s="12">
        <v>2990.9279999999999</v>
      </c>
      <c r="CB67" s="6"/>
      <c r="CC67" s="10">
        <v>65</v>
      </c>
      <c r="CD67" s="10"/>
      <c r="CE67" s="12">
        <v>2914.3199999999997</v>
      </c>
      <c r="CF67" s="12">
        <v>1548</v>
      </c>
      <c r="CG67" s="12">
        <v>4088.6399999999994</v>
      </c>
      <c r="CH67" s="12">
        <v>2374.0800000000017</v>
      </c>
      <c r="CI67" s="12">
        <v>4827.967999999998</v>
      </c>
      <c r="CJ67" s="12">
        <v>4490.3200000000015</v>
      </c>
    </row>
    <row r="68" spans="1:88" ht="15.75" customHeight="1">
      <c r="A68" s="6"/>
      <c r="B68" s="10">
        <v>66</v>
      </c>
      <c r="G68" s="7" t="s">
        <v>61</v>
      </c>
      <c r="H68" s="6" t="str">
        <f>'Tensile Pass Fail'!C3</f>
        <v>LWT310 4.8mm (3/16")</v>
      </c>
      <c r="I68" s="24">
        <f>'Tensile Pass Fail'!D3</f>
        <v>10</v>
      </c>
      <c r="J68" s="7">
        <f>'Tensile Pass Fail'!E3</f>
        <v>50</v>
      </c>
      <c r="L68" s="7">
        <f>IF(J68&gt;=6,L80-((49-J68)*G72),IF(J68&lt;=6,"No Data"))</f>
        <v>603.63600000000008</v>
      </c>
      <c r="M68" s="7">
        <f>IF(J68&gt;=6,M80-((49-J68)*G73),IF(J68&lt;=6,"No Data"))</f>
        <v>620.33200000000011</v>
      </c>
      <c r="N68" s="7">
        <f>IF(J68&gt;=8,N80-((49-J68)*G74),IF(J68&lt;=8,"No Data"))</f>
        <v>637.02700000000004</v>
      </c>
      <c r="O68" s="7">
        <f>IF(J68&gt;=8,O80-((49-J68)*G75),IF(J68&lt;=8,"No Data"))</f>
        <v>653.72700000000009</v>
      </c>
      <c r="P68" s="7">
        <f>IF(J68&gt;=13,P80-((49-J68)*G76),IF(J68&lt;=13,"No Data"))</f>
        <v>670.42200000000003</v>
      </c>
      <c r="Q68" s="7">
        <f>IF(J68&gt;=13,R80-((49-J68)*G78),IF(J68&lt;=13,"No Data"))</f>
        <v>703.82499999999993</v>
      </c>
      <c r="R68" s="7">
        <f>IF(J68&gt;=15,S80-((49-J68)*G79),IF(J68&lt;=15,"No Data"))</f>
        <v>720.51</v>
      </c>
      <c r="S68" s="7">
        <f>IF(J68&gt;=17,T80-((49-J68)*G80),IF(J68&lt;=17,"No Data"))</f>
        <v>737.20399999999995</v>
      </c>
      <c r="T68" s="7">
        <f>IF(J68&gt;=17,U80-((49-J68)*G81),IF(J68&lt;=17,"No Data"))</f>
        <v>753.9</v>
      </c>
      <c r="U68" s="7">
        <f>IF(J68&gt;=18,V80-((49-J68)*G82),IF(J68&lt;=18,"No Data"))</f>
        <v>770.59899999999993</v>
      </c>
      <c r="V68" s="7">
        <f>IF(J68&gt;=21,W80-((49-J68)*G83),IF(J68&lt;=21,"No Data"))</f>
        <v>787.29199999999992</v>
      </c>
      <c r="W68" s="7">
        <f>IF(J68&gt;=23,X80-((49-J68)*G84),IF(J68&lt;=23,"No Data"))</f>
        <v>803.98399999999992</v>
      </c>
      <c r="X68" s="7">
        <f>IF(J68&gt;=23,Y80-((49-J68)*G85),IF(J68&lt;=23,"No Data"))</f>
        <v>820.67699999999991</v>
      </c>
      <c r="Y68" s="7">
        <f>IF(J68&gt;=23,Z80-((49-J68)*G86),IF(J68&lt;=23,"No Data"))</f>
        <v>837.37099999999987</v>
      </c>
      <c r="Z68" s="7">
        <f>IF(J68&gt;=24,AA80-((49-J68)*G87),IF(J68&lt;=24,"No Data"))</f>
        <v>854.06699999999978</v>
      </c>
      <c r="AA68">
        <f>IF(J68&gt;=24,AB80-((49-J68)*G88),IF(J68&lt;=24,"No Data"))</f>
        <v>870.76299999999981</v>
      </c>
      <c r="AB68">
        <f>IF(J68&gt;=25,AC80-((49-J68)*G89),IF(J68&lt;=25,"No Data"))</f>
        <v>887.45899999999983</v>
      </c>
      <c r="AC68">
        <f>IF(J68&gt;=26,AD80-((49-J68)*G90),IF(J68&lt;=26,"No Data"))</f>
        <v>904.15499999999975</v>
      </c>
      <c r="AD68">
        <f>IF(J68&gt;=26,AE80-((49-J68)*G91),IF(J68&lt;=26,"No Data"))</f>
        <v>920.85099999999977</v>
      </c>
      <c r="AE68">
        <f>IF(J68&gt;=27,AF80-((49-J68)*G92),IF(J68&lt;=27,"No Data"))</f>
        <v>937.54699999999968</v>
      </c>
      <c r="AF68">
        <f>IF(J68&gt;=27,AG80-((49-J68)*G93),IF(J68&lt;=27,"No Data"))</f>
        <v>954.24299999999971</v>
      </c>
      <c r="AG68">
        <f>IF(J68&gt;=27,AH80-((49-J68)*G94),IF(J68&lt;=27,"No Data"))</f>
        <v>970.93899999999974</v>
      </c>
      <c r="AH68">
        <f>IF(J68&gt;=27,AI80-((49-J68)*G95),IF(J68&lt;=27,"No Data"))</f>
        <v>987.63499999999965</v>
      </c>
      <c r="AI68">
        <f>IF(J68&gt;=28,AJ80-((49-J68)*G96),IF(J68&lt;=28,"No Data"))</f>
        <v>1004.3309999999997</v>
      </c>
      <c r="AJ68">
        <f>IF(J68&gt;=28,AK80-((49-J68)*G97),IF(J68&lt;=28,"No Data"))</f>
        <v>1021.0269999999996</v>
      </c>
      <c r="AK68">
        <f>IF(J68&gt;=28,AL80-((49-J68)*G98),IF(J68&lt;=28,"No Data"))</f>
        <v>1037.7229999999997</v>
      </c>
      <c r="AL68">
        <f>IF(J68&gt;=28,AM80-((49-J68)*G99),IF(J68&lt;=28,"No Data"))</f>
        <v>1054.4189999999996</v>
      </c>
      <c r="AM68">
        <f>IF(J68&gt;=29,AN80-((49-J68)*G100),IF(J68&lt;=29,"No Data"))</f>
        <v>1071.1149999999996</v>
      </c>
      <c r="AN68">
        <f>IF(J68&gt;=29,AO80-((49-J68)*G101),IF(J68&lt;=29,"No Data"))</f>
        <v>1087.8109999999997</v>
      </c>
      <c r="AO68">
        <f>IF(J68&gt;=29,AP80-((49-J68)*G102),IF(J68&lt;=29,"No Data"))</f>
        <v>1104.5069999999996</v>
      </c>
      <c r="AP68">
        <f>IF(J68&gt;=29,AQ80-((49-J68)*G103),IF(J68&lt;=29,"No Data"))</f>
        <v>1121.2029999999995</v>
      </c>
      <c r="AQ68">
        <f>IF(J68&gt;=29,AR80-((49-J68)*G104),IF(J68&lt;=29,"No Data"))</f>
        <v>1137.8989999999994</v>
      </c>
      <c r="AR68">
        <f>IF(J68&gt;=29,AS80-((49-J68)*G105),IF(J68&lt;=29,"No Data"))</f>
        <v>1154.5949999999996</v>
      </c>
      <c r="AS68" s="7" t="b">
        <f>IF(I68=5,IF(H68=D3,L68),IF(I68=6,IF(H68=D3,M68),IF(I68=7,IF(H68=D3,N68),IF(I68=8,IF(H68=D3,O68),IF(I68=9,IF(H68=D3,P68),IF(I68=11,IF(H68=D3,Q68),IF(I68=12,IF(H68=D3,R68), IF(I68=13,IF(H68=D3,S68), IF(I68=14,IF(H68=D3,T68), IF(I68=15,IF(H68=D3,U68),IF(I68=16,IF(H68=D3,V68),IF(I68=17,IF(H68=D3,W68), IF(I68=18,IF(H68=D3,X68), IF(I68=19,IF(H68=D3,Y68),IF(I68=20,IF(H68=D3,Z68), IF(I68=21,IF(H68=D3,AA68),IF(I68=22,IF(H68=D3,AB68),IF(I68=23,IF(H68=D3,AC68),IF(I68=24,IF(H68=D3,AD68), IF(I68=25,IF(H68=D3,AE68), IF(I68=26,IF(H68=D3,AF68),IF(I68=27,IF(H68=D3,AG68),IF(I68=28,IF(H68=D3,AH68),IF(I68=29,IF(H68=D3,AI68), IF(I68=30,IF(H68=D3,AJ68), IF(I68=31,IF(H68=D3,AK68), IF(I68=32,IF(H68=D3,AL68),IF(I68=33,IF(H68=D3,AM68),IF(I68=34,IF(H68=D3,AN68),IF(I68=35,IF(H68=D3,AO68),IF(I68=36,IF(H68=D3,AP68),IF(I68=37,IF(H68=D3,AQ68),IF(I68=38,IF(H68=D3,AR68))))))))))))))))))))))))))))))))))</f>
        <v>0</v>
      </c>
      <c r="BB68" s="10">
        <v>66</v>
      </c>
      <c r="BC68" s="10" t="s">
        <v>6</v>
      </c>
      <c r="BD68" s="12">
        <v>961.20999999999992</v>
      </c>
      <c r="BE68" s="12">
        <v>461.05699999999968</v>
      </c>
      <c r="BF68" s="12">
        <v>1081.6950000000006</v>
      </c>
      <c r="BG68" s="12">
        <v>758.95999999999992</v>
      </c>
      <c r="BH68" s="12">
        <v>1304.4299999999994</v>
      </c>
      <c r="BI68" s="12">
        <v>1190.9100000000003</v>
      </c>
      <c r="BK68" s="10">
        <v>66</v>
      </c>
      <c r="BL68" s="10" t="s">
        <v>24</v>
      </c>
      <c r="BM68" s="12">
        <v>1391.9800000000009</v>
      </c>
      <c r="BN68" s="12">
        <v>640.70599999999968</v>
      </c>
      <c r="BO68" s="12">
        <v>1598.7920000000004</v>
      </c>
      <c r="BP68" s="12">
        <v>1119.7829999999994</v>
      </c>
      <c r="BQ68" s="12">
        <v>1929.6999999999985</v>
      </c>
      <c r="BR68" s="12">
        <v>1793.2899999999981</v>
      </c>
      <c r="BS68" s="6"/>
      <c r="BT68" s="10">
        <v>66</v>
      </c>
      <c r="BU68" s="10"/>
      <c r="BV68" s="12">
        <v>1990.7909999999993</v>
      </c>
      <c r="BW68" s="12">
        <v>1105.5399999999997</v>
      </c>
      <c r="BX68" s="12">
        <v>2795</v>
      </c>
      <c r="BY68" s="12">
        <v>1973.1220000000005</v>
      </c>
      <c r="BZ68" s="12">
        <v>3382.7030000000018</v>
      </c>
      <c r="CA68" s="12">
        <v>3064.1109999999999</v>
      </c>
      <c r="CB68" s="6"/>
      <c r="CC68" s="10">
        <v>66</v>
      </c>
      <c r="CD68" s="10"/>
      <c r="CE68" s="12">
        <v>2990.8399999999997</v>
      </c>
      <c r="CF68" s="12">
        <v>1587.25</v>
      </c>
      <c r="CG68" s="12">
        <v>4186.6799999999994</v>
      </c>
      <c r="CH68" s="12">
        <v>2411.2100000000019</v>
      </c>
      <c r="CI68" s="12">
        <v>4947.2159999999976</v>
      </c>
      <c r="CJ68" s="12">
        <v>4599.715000000002</v>
      </c>
    </row>
    <row r="69" spans="1:88" ht="15.75" customHeight="1">
      <c r="A69" s="6"/>
      <c r="B69" s="10">
        <v>67</v>
      </c>
      <c r="L69" s="7" t="str">
        <f>IF(H68=D3,IF(J68&lt;=85,"PASS","FAIL"))</f>
        <v>PASS</v>
      </c>
      <c r="M69" s="7" t="str">
        <f>IF(H68=D4,IF(J68&lt;=36,"PASS","FAIL"), IF(H68=D3,IF(J68&lt;=80, "PASS","FAIL")))</f>
        <v>PASS</v>
      </c>
      <c r="N69" s="7" t="str">
        <f>IF(H68=D4,IF(J68&lt;=36,"PASS","FAIL"), IF(H68=D3,IF(J68&lt;=76, "PASS","FAIL")))</f>
        <v>PASS</v>
      </c>
      <c r="O69" s="7" t="str">
        <f>IF(H68=D4,IF(J68&lt;=36,"PASS","FAIL"), IF(H68=D3,IF(J68&lt;=73, "PASS","FAIL")))</f>
        <v>PASS</v>
      </c>
      <c r="P69" s="7" t="str">
        <f>IF(H68=D4,IF(J68&lt;=36,"PASS","FAIL"), IF(H68=D3,IF(J68&lt;=70, "PASS","FAIL")))</f>
        <v>PASS</v>
      </c>
      <c r="Q69" s="7" t="str">
        <f>IF(H68=D4,IF(J68&lt;=36,"PASS","FAIL"), IF(H68=D3,IF(J68&lt;=66, "PASS","FAIL")))</f>
        <v>PASS</v>
      </c>
      <c r="R69" s="6" t="str">
        <f>IF(H68=D4,IF(J68&lt;=36,"PASS","FAIL"), IF(H68=D3,IF(J68&lt;=64, "PASS","FAIL")))</f>
        <v>PASS</v>
      </c>
      <c r="S69" s="7" t="str">
        <f>IF(H68=D4,IF(J68&lt;=36,"PASS","FAIL"), IF(H68=D3,IF(J68&lt;=62, "PASS","FAIL")))</f>
        <v>PASS</v>
      </c>
      <c r="T69" s="7" t="str">
        <f>IF(H68=D4,IF(J68&lt;=36,"PASS","FAIL"), IF(H68=D3,IF(J68&lt;=61, "PASS","FAIL")))</f>
        <v>PASS</v>
      </c>
      <c r="U69" s="7" t="str">
        <f>IF(H68=D4,IF(J68&lt;=36,"PASS","FAIL"), IF(H68=D3,IF(J68&lt;=60, "PASS","FAIL")))</f>
        <v>PASS</v>
      </c>
      <c r="V69" s="7" t="str">
        <f>IF(H68=D4,IF(J68&lt;=36,"PASS","FAIL"), IF(H68=D3,IF(J68&lt;=58, "PASS","FAIL")))</f>
        <v>PASS</v>
      </c>
      <c r="W69" s="7" t="str">
        <f>IF(H68=D4,IF(J68&lt;=36,"PASS","FAIL"), IF(H68=D3,IF(J68&lt;=57, "PASS","FAIL")))</f>
        <v>PASS</v>
      </c>
      <c r="X69" s="7" t="str">
        <f>IF(H68=D4,IF(J68&lt;=36,"PASS","FAIL"), IF(H68=D3,IF(J68&lt;=56, "PASS","FAIL")))</f>
        <v>PASS</v>
      </c>
      <c r="Y69" s="7" t="str">
        <f>IF(H68=D4,IF(J68&lt;=36,"PASS","FAIL"), IF(H68=D3,IF(J68&lt;=55, "PASS","FAIL")))</f>
        <v>PASS</v>
      </c>
      <c r="Z69" s="7" t="str">
        <f>IF(H68=D4,IF(J68&lt;=36,"PASS","FAIL"), IF(H68=D3,IF(J68&lt;=55, "PASS","FAIL")))</f>
        <v>PASS</v>
      </c>
      <c r="AA69" t="str">
        <f>IF(H68=D4,IF(J68&lt;=36,"PASS","FAIL"), IF(H68=D3,IF(J68&lt;=54, "PASS","FAIL")))</f>
        <v>PASS</v>
      </c>
      <c r="AB69" t="str">
        <f>IF(H68=D4,IF(J68&lt;=36,"PASS","FAIL"), IF(H68=D3,IF(J68&lt;=53, "PASS","FAIL")))</f>
        <v>PASS</v>
      </c>
      <c r="AC69" t="str">
        <f>IF(H68=D4,IF(J68&lt;=36,"PASS","FAIL"), IF(H68=D3,IF(J68&lt;=53, "PASS","FAIL")))</f>
        <v>PASS</v>
      </c>
      <c r="AD69" t="str">
        <f>IF(H68=D4,IF(J68&lt;=36,"PASS","FAIL"), IF(H68=D3,IF(J68&lt;=52, "PASS","FAIL")))</f>
        <v>PASS</v>
      </c>
      <c r="AE69" t="str">
        <f>IF(H68=D4,IF(J68&lt;=36,"PASS","FAIL"), IF(H68=D3,IF(J68&lt;=51, "PASS","FAIL")))</f>
        <v>PASS</v>
      </c>
      <c r="AF69" t="str">
        <f>IF(H68=D4,IF(J68&lt;=36,"PASS","FAIL"), IF(H68=D3,IF(J68&lt;=51, "PASS","FAIL")))</f>
        <v>PASS</v>
      </c>
      <c r="AG69" t="str">
        <f>IF(H68=D4,IF(J68&lt;=36,"PASS","FAIL"), IF(H68=D3,IF(J68&lt;=50, "PASS","FAIL")))</f>
        <v>PASS</v>
      </c>
      <c r="AH69" t="str">
        <f>IF(H68=D4,IF(J68&lt;=36,"PASS","FAIL"), IF(H68=D3,IF(J68&lt;=50, "PASS","FAIL")))</f>
        <v>PASS</v>
      </c>
      <c r="AI69" t="str">
        <f>IF(H68=D4,IF(J68&lt;=36,"PASS","FAIL"), IF(H68=D3,IF(J68&lt;=49, "PASS","FAIL")))</f>
        <v>FAIL</v>
      </c>
      <c r="AJ69" t="str">
        <f>IF(H68=D4,IF(J68&lt;=36,"PASS","FAIL"), IF(H68=D3,IF(J68&lt;=49, "PASS","FAIL")))</f>
        <v>FAIL</v>
      </c>
      <c r="AK69" t="str">
        <f>IF(H68=D4,IF(J68&lt;=36,"PASS","FAIL"), IF(H68=D3,IF(J68&lt;=49, "PASS","FAIL")))</f>
        <v>FAIL</v>
      </c>
      <c r="AL69" t="str">
        <f>IF(H68=D4,IF(J68&lt;=36,"PASS","FAIL"), IF(H68=D3,IF(J68&lt;=48, "PASS","FAIL")))</f>
        <v>FAIL</v>
      </c>
      <c r="AM69" t="str">
        <f>IF(H68=D4,IF(J68&lt;=36,"PASS","FAIL"), IF(H68=D3,IF(J68&lt;=48, "PASS","FAIL")))</f>
        <v>FAIL</v>
      </c>
      <c r="AN69" t="str">
        <f>IF(H68=D4,IF(J68&lt;=36,"PASS","FAIL"), IF(H68=D3,IF(J68&lt;=48, "PASS","FAIL")))</f>
        <v>FAIL</v>
      </c>
      <c r="AO69" t="str">
        <f>IF(H68=D4,IF(J68&lt;=36,"PASS","FAIL"), IF(H68=D3,IF(J68&lt;=47, "PASS","FAIL")))</f>
        <v>FAIL</v>
      </c>
      <c r="AP69" t="str">
        <f>IF(H68=D4,IF(J68&lt;=36,"PASS","FAIL"), IF(H68=D3,IF(J68&lt;=47, "PASS","FAIL")))</f>
        <v>FAIL</v>
      </c>
      <c r="AQ69" t="str">
        <f>IF(H68=D4,IF(J68&lt;=36,"PASS","FAIL"), IF(H68=D3,IF(J68&lt;=47, "PASS","FAIL")))</f>
        <v>FAIL</v>
      </c>
      <c r="AR69" t="str">
        <f>IF(H68=D4,IF(J68&lt;=36,"PASS","FAIL"), IF(H68=D3,IF(J68&lt;=46, "PASS","FAIL")))</f>
        <v>FAIL</v>
      </c>
      <c r="AS69" s="7" t="b">
        <f>IF(I68=5,IF(J68&lt;=85,"PASS","FAIL"),IF(I68=6,IF(J68&lt;=80,"PASS","FAIL"),IF(I68=7,IF(J68&lt;=76,"PASS","FAIL"),IF(I68=8,IF(J68&lt;=73,"PASS","FAIL"),IF(I68=9,IF(J68&lt;=70,"PASS","FAIL"),IF(I68=11,IF(J68&lt;=66,"PASS","FAIL"),IF(I68=12,IF(J68&lt;=64,"PASS","FAIL"),IF(I68=13,IF(J68&lt;=62,"PASS","FAIL"),IF(I68=14,IF(J68&lt;=61,"PASS","FAIL"),IF(I68=15,IF(J68&lt;=60,"PASS","FAIL"),IF(I68=16,IF(J68&lt;=58,"PASS","FAIL"),IF(I68=17,IF(J68&lt;=57,"PASS","FAIL"),IF(I68=18,IF(J68&lt;=56,"PASS","FAIL"),IF(I68=19,IF(J68&lt;=55,"PASS","FAIL"),IF(I68=20,IF(J68&lt;=55,"PASS","FAIL"),IF(I68=21,IF(J68&lt;=54,"PASS","FAIL"),IF(I68=22,IF(J68&lt;=53,"PASS","FAIL"),IF(I68=23,IF(J68&lt;=53,"PASS","FAIL"),IF(I68=24,IF(J68&lt;=52,"PASS","FAIL"),IF(I68=25,IF(J68&lt;=51,"PASS","FAIL"),IF(I68=26,IF(J68&lt;=51,"PASS","FAIL"),IF(I68=27,IF(J68&lt;=50,"PASS","FAIL"),IF(I68=28,IF(J68&lt;=50,"PASS","FAIL"),IF(I68=29,IF(J68&lt;=49,"PASS","FAIL"),IF(I68=30,IF(J68&lt;=49,"PASS","FAIL"),IF(I68=31,IF(J68&lt;=49,"PASS","FAIL"),IF(I68=32,IF(J68&lt;=48,"PASS","FAIL"),IF(I68=33,IF(J68&lt;=48,"PASS","FAIL"),IF(I68=34,IF(J68&lt;=48,"PASS","FAIL"),IF(I68=35,IF(J68&lt;=47,"PASS","FAIL"),IF(I68=36,IF(J68&lt;=47,"PASS","FAIL"),IF(I68=37,IF(J68&lt;=47,"PASS","FAIL"),IF(I68=38,IF(J68&lt;=46,"PASS","FAIL"))))))))))))))))))))))))))))))))))</f>
        <v>0</v>
      </c>
      <c r="AT69" s="23" t="s">
        <v>101</v>
      </c>
      <c r="BB69" s="10">
        <v>67</v>
      </c>
      <c r="BC69" s="10" t="s">
        <v>6</v>
      </c>
      <c r="BD69" s="12">
        <v>978.33999999999992</v>
      </c>
      <c r="BE69" s="12">
        <v>468.17799999999966</v>
      </c>
      <c r="BF69" s="12">
        <v>1100.0300000000007</v>
      </c>
      <c r="BG69" s="12">
        <v>771.83999999999992</v>
      </c>
      <c r="BH69" s="12">
        <v>1328.2199999999993</v>
      </c>
      <c r="BI69" s="12">
        <v>1212.1400000000003</v>
      </c>
      <c r="BK69" s="10">
        <v>67</v>
      </c>
      <c r="BL69" s="10" t="s">
        <v>24</v>
      </c>
      <c r="BM69" s="12">
        <v>1420.920000000001</v>
      </c>
      <c r="BN69" s="12">
        <v>651.92399999999964</v>
      </c>
      <c r="BO69" s="12">
        <v>1626.3680000000004</v>
      </c>
      <c r="BP69" s="12">
        <v>1139.1819999999993</v>
      </c>
      <c r="BQ69" s="12">
        <v>1963.7999999999984</v>
      </c>
      <c r="BR69" s="12">
        <v>1824.659999999998</v>
      </c>
      <c r="BS69" s="6"/>
      <c r="BT69" s="10">
        <v>67</v>
      </c>
      <c r="BU69" s="10"/>
      <c r="BV69" s="12">
        <v>2042.0139999999992</v>
      </c>
      <c r="BW69" s="12">
        <v>1131.1599999999996</v>
      </c>
      <c r="BX69" s="12">
        <v>2860</v>
      </c>
      <c r="BY69" s="12">
        <v>2019.1880000000006</v>
      </c>
      <c r="BZ69" s="12">
        <v>3462.8620000000019</v>
      </c>
      <c r="CA69" s="12">
        <v>3137.2939999999999</v>
      </c>
      <c r="CB69" s="6"/>
      <c r="CC69" s="10">
        <v>67</v>
      </c>
      <c r="CD69" s="10"/>
      <c r="CE69" s="12">
        <v>3067.3599999999997</v>
      </c>
      <c r="CF69" s="12">
        <v>1626.5</v>
      </c>
      <c r="CG69" s="12">
        <v>4284.7199999999993</v>
      </c>
      <c r="CH69" s="12">
        <v>2448.340000000002</v>
      </c>
      <c r="CI69" s="12">
        <v>5066.4639999999972</v>
      </c>
      <c r="CJ69" s="12">
        <v>4709.1100000000024</v>
      </c>
    </row>
    <row r="70" spans="1:88" ht="15.75" customHeight="1">
      <c r="A70" s="6"/>
      <c r="B70" s="10">
        <v>68</v>
      </c>
      <c r="G70" s="7" t="s">
        <v>59</v>
      </c>
      <c r="H70" s="7" t="s">
        <v>60</v>
      </c>
      <c r="R70" s="6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T70" t="b">
        <f>IF(AS68=FALSE(),AS73,AS68)</f>
        <v>0</v>
      </c>
      <c r="BB70" s="10">
        <v>68</v>
      </c>
      <c r="BC70" s="10" t="s">
        <v>6</v>
      </c>
      <c r="BD70" s="12">
        <v>995.46999999999991</v>
      </c>
      <c r="BE70" s="12">
        <v>475.29899999999964</v>
      </c>
      <c r="BF70" s="12">
        <v>1118.3650000000007</v>
      </c>
      <c r="BG70" s="12">
        <v>784.71999999999991</v>
      </c>
      <c r="BH70" s="12">
        <v>1352.0099999999993</v>
      </c>
      <c r="BI70" s="12">
        <v>1233.3700000000003</v>
      </c>
      <c r="BK70" s="10">
        <v>68</v>
      </c>
      <c r="BL70" s="10" t="s">
        <v>24</v>
      </c>
      <c r="BM70" s="12">
        <v>1449.860000000001</v>
      </c>
      <c r="BN70" s="12">
        <v>663.1419999999996</v>
      </c>
      <c r="BO70" s="12">
        <v>1653.9440000000004</v>
      </c>
      <c r="BP70" s="12">
        <v>1158.5809999999992</v>
      </c>
      <c r="BQ70" s="12">
        <v>1997.8999999999983</v>
      </c>
      <c r="BR70" s="12">
        <v>1856.0299999999979</v>
      </c>
      <c r="BS70" s="6"/>
      <c r="BT70" s="10">
        <v>68</v>
      </c>
      <c r="BU70" s="10"/>
      <c r="BV70" s="12">
        <v>2093.2369999999992</v>
      </c>
      <c r="BW70" s="12">
        <v>1156.7799999999995</v>
      </c>
      <c r="BX70" s="12">
        <v>2925</v>
      </c>
      <c r="BY70" s="12">
        <v>2065.2540000000004</v>
      </c>
      <c r="BZ70" s="12">
        <v>3543.021000000002</v>
      </c>
      <c r="CA70" s="12">
        <v>3210.4769999999999</v>
      </c>
      <c r="CB70" s="6"/>
      <c r="CC70" s="10">
        <v>68</v>
      </c>
      <c r="CD70" s="10"/>
      <c r="CE70" s="12">
        <v>3143.8799999999997</v>
      </c>
      <c r="CF70" s="12">
        <v>1665.75</v>
      </c>
      <c r="CG70" s="12">
        <v>4382.7599999999993</v>
      </c>
      <c r="CH70" s="12">
        <v>2485.4700000000021</v>
      </c>
      <c r="CI70" s="12">
        <v>5185.7119999999968</v>
      </c>
      <c r="CJ70" s="12">
        <v>4818.5050000000028</v>
      </c>
    </row>
    <row r="71" spans="1:88" ht="15.75" customHeight="1">
      <c r="A71" s="6"/>
      <c r="B71" s="10">
        <v>69</v>
      </c>
      <c r="C71" s="6"/>
      <c r="AT71" t="b">
        <f>IF(AS69=FALSE(),AS74,AS69)</f>
        <v>0</v>
      </c>
      <c r="BB71" s="10">
        <v>69</v>
      </c>
      <c r="BC71" s="10" t="s">
        <v>6</v>
      </c>
      <c r="BD71" s="12">
        <v>1012.5999999999999</v>
      </c>
      <c r="BE71" s="12">
        <v>482.41999999999962</v>
      </c>
      <c r="BF71" s="12">
        <v>1136.7000000000007</v>
      </c>
      <c r="BG71" s="12">
        <v>797.59999999999991</v>
      </c>
      <c r="BH71" s="12">
        <v>1375.7999999999993</v>
      </c>
      <c r="BI71" s="12">
        <v>1254.6000000000004</v>
      </c>
      <c r="BK71" s="10">
        <v>69</v>
      </c>
      <c r="BL71" s="10" t="s">
        <v>24</v>
      </c>
      <c r="BM71" s="12">
        <v>1478.8000000000011</v>
      </c>
      <c r="BN71" s="12">
        <v>674.35999999999956</v>
      </c>
      <c r="BO71" s="12">
        <v>1681.5200000000004</v>
      </c>
      <c r="BP71" s="12">
        <v>1177.9799999999991</v>
      </c>
      <c r="BQ71" s="12">
        <v>2031.9999999999982</v>
      </c>
      <c r="BR71" s="12">
        <v>1887.3999999999978</v>
      </c>
      <c r="BS71" s="6"/>
      <c r="BT71" s="10">
        <v>69</v>
      </c>
      <c r="BU71" s="10"/>
      <c r="BV71" s="12">
        <v>2144.4599999999991</v>
      </c>
      <c r="BW71" s="12">
        <v>1182.3999999999994</v>
      </c>
      <c r="BX71" s="12">
        <v>2990</v>
      </c>
      <c r="BY71" s="12">
        <v>2111.3200000000002</v>
      </c>
      <c r="BZ71" s="12">
        <v>3623.1800000000021</v>
      </c>
      <c r="CA71" s="12">
        <v>3283.66</v>
      </c>
      <c r="CB71" s="6"/>
      <c r="CC71" s="10">
        <v>69</v>
      </c>
      <c r="CD71" s="10"/>
      <c r="CE71" s="12">
        <v>3220.3999999999996</v>
      </c>
      <c r="CF71" s="12">
        <v>1705</v>
      </c>
      <c r="CG71" s="12">
        <v>4480.7999999999993</v>
      </c>
      <c r="CH71" s="12">
        <v>2522.6000000000022</v>
      </c>
      <c r="CI71" s="12">
        <v>5304.9599999999964</v>
      </c>
      <c r="CJ71" s="12">
        <v>4927.9000000000033</v>
      </c>
    </row>
    <row r="72" spans="1:88" ht="15.75" customHeight="1">
      <c r="A72" s="6"/>
      <c r="B72" s="10">
        <v>70</v>
      </c>
      <c r="C72" s="6"/>
      <c r="G72" s="7">
        <v>11.236000000000001</v>
      </c>
      <c r="H72" s="7">
        <v>20.475999999999999</v>
      </c>
      <c r="L72" s="7" t="s">
        <v>68</v>
      </c>
      <c r="M72" s="7" t="s">
        <v>69</v>
      </c>
      <c r="N72" s="7" t="s">
        <v>70</v>
      </c>
      <c r="O72" s="7" t="s">
        <v>71</v>
      </c>
      <c r="P72" s="7" t="s">
        <v>72</v>
      </c>
      <c r="Q72" s="7" t="s">
        <v>73</v>
      </c>
      <c r="R72" s="7" t="s">
        <v>74</v>
      </c>
      <c r="S72" s="7" t="s">
        <v>75</v>
      </c>
      <c r="T72" s="7" t="s">
        <v>76</v>
      </c>
      <c r="U72" s="7" t="s">
        <v>77</v>
      </c>
      <c r="V72" s="7" t="s">
        <v>78</v>
      </c>
      <c r="W72" s="7" t="s">
        <v>79</v>
      </c>
      <c r="X72" s="7" t="s">
        <v>80</v>
      </c>
      <c r="Y72" s="7" t="s">
        <v>81</v>
      </c>
      <c r="Z72" s="7" t="s">
        <v>82</v>
      </c>
      <c r="AA72" s="7" t="s">
        <v>83</v>
      </c>
      <c r="AB72" s="7" t="s">
        <v>84</v>
      </c>
      <c r="AC72" s="7" t="s">
        <v>85</v>
      </c>
      <c r="AD72" s="7" t="s">
        <v>86</v>
      </c>
      <c r="AE72" s="7" t="s">
        <v>87</v>
      </c>
      <c r="AF72" s="7" t="s">
        <v>88</v>
      </c>
      <c r="AG72" s="7" t="s">
        <v>89</v>
      </c>
      <c r="AH72" s="7" t="s">
        <v>90</v>
      </c>
      <c r="AI72" s="7" t="s">
        <v>91</v>
      </c>
      <c r="AJ72" s="7" t="s">
        <v>92</v>
      </c>
      <c r="AK72" s="7" t="s">
        <v>93</v>
      </c>
      <c r="AL72" s="7" t="s">
        <v>94</v>
      </c>
      <c r="AM72" s="7" t="s">
        <v>95</v>
      </c>
      <c r="AN72" s="7" t="s">
        <v>96</v>
      </c>
      <c r="AO72" s="7" t="s">
        <v>97</v>
      </c>
      <c r="AP72" s="7" t="s">
        <v>98</v>
      </c>
      <c r="AQ72" s="7" t="s">
        <v>99</v>
      </c>
      <c r="AR72" s="7" t="s">
        <v>100</v>
      </c>
      <c r="AS72" s="7" t="s">
        <v>3</v>
      </c>
      <c r="BB72" s="10">
        <v>70</v>
      </c>
      <c r="BC72" s="10" t="s">
        <v>6</v>
      </c>
      <c r="BD72" s="12">
        <v>1029.73</v>
      </c>
      <c r="BE72" s="12">
        <v>489.5409999999996</v>
      </c>
      <c r="BF72" s="12">
        <v>1155.0350000000008</v>
      </c>
      <c r="BG72" s="12">
        <v>810.4799999999999</v>
      </c>
      <c r="BH72" s="12">
        <v>1399.5899999999992</v>
      </c>
      <c r="BI72" s="12">
        <v>1275.8300000000004</v>
      </c>
      <c r="BK72" s="10">
        <v>70</v>
      </c>
      <c r="BL72" s="10" t="s">
        <v>24</v>
      </c>
      <c r="BM72" s="12">
        <v>1507.7400000000011</v>
      </c>
      <c r="BN72" s="12">
        <v>685.57799999999952</v>
      </c>
      <c r="BO72" s="12">
        <v>1709.0960000000005</v>
      </c>
      <c r="BP72" s="12">
        <v>1197.378999999999</v>
      </c>
      <c r="BQ72" s="12">
        <v>2066.0999999999981</v>
      </c>
      <c r="BR72" s="12">
        <v>1918.7699999999977</v>
      </c>
      <c r="BS72" s="6"/>
      <c r="BT72" s="10">
        <v>70</v>
      </c>
      <c r="BU72" s="10"/>
      <c r="BV72" s="12">
        <v>2195.6829999999991</v>
      </c>
      <c r="BW72" s="12">
        <v>1208.0199999999993</v>
      </c>
      <c r="BX72" s="12">
        <v>3055</v>
      </c>
      <c r="BY72" s="12">
        <v>2157.386</v>
      </c>
      <c r="BZ72" s="12">
        <v>3703.3390000000022</v>
      </c>
      <c r="CA72" s="12">
        <v>3356.8429999999998</v>
      </c>
      <c r="CB72" s="6"/>
      <c r="CC72" s="10">
        <v>70</v>
      </c>
      <c r="CD72" s="10"/>
      <c r="CE72" s="12">
        <v>3296.9199999999996</v>
      </c>
      <c r="CF72" s="12">
        <v>1744.25</v>
      </c>
      <c r="CG72" s="12">
        <v>4578.8399999999992</v>
      </c>
      <c r="CH72" s="12">
        <v>2559.7300000000023</v>
      </c>
      <c r="CI72" s="12">
        <v>5424.207999999996</v>
      </c>
      <c r="CJ72" s="12">
        <v>5037.2950000000037</v>
      </c>
    </row>
    <row r="73" spans="1:88" ht="15.75" customHeight="1">
      <c r="A73" s="6"/>
      <c r="B73" s="10">
        <v>71</v>
      </c>
      <c r="C73" s="6"/>
      <c r="G73" s="7">
        <v>12.412000000000001</v>
      </c>
      <c r="H73" s="7">
        <v>22.155000000000001</v>
      </c>
      <c r="L73" s="7">
        <f>IF(J68&gt;=24,L89-((49-J68)*H72),IF(J68&lt;=24,"No Data"))</f>
        <v>801.48100000000011</v>
      </c>
      <c r="M73" s="7">
        <f>IF(J68&gt;=24,M89-((49-J68)*H73),IF(J68&lt;=24,"No Data"))</f>
        <v>826.95900000000006</v>
      </c>
      <c r="N73" s="7">
        <f>IF(J68&gt;=6,N89-((49-J68)*H74),IF(J68&lt;=6,"No Data"))</f>
        <v>852.46300000000008</v>
      </c>
      <c r="O73" s="7">
        <f>IF(J68&gt;=6,O89-((49-J68)*H75),IF(J68&lt;=6,"No Data"))</f>
        <v>877.952</v>
      </c>
      <c r="P73" s="7">
        <f>IF(J68&gt;=6,P89-((49-J68)*H76),IF(J68&lt;=6,"No Data"))</f>
        <v>903.44100000000003</v>
      </c>
      <c r="Q73" s="7">
        <f>IF(J68&gt;=6,R89-((49-J68)*H78),IF(J68&lt;=6,"No Data"))</f>
        <v>954.42899999999997</v>
      </c>
      <c r="R73" s="7">
        <f>IF(J68&gt;=6,S89-((49-J68)*H79),IF(J68&lt;=6,"No Data"))</f>
        <v>979.928</v>
      </c>
      <c r="S73" s="7">
        <f>IF(J68&gt;=6,T89-((49-J68)*H80),IF(J68&lt;=6,"No Data"))</f>
        <v>1005.3119999999999</v>
      </c>
      <c r="T73" s="7">
        <f>IF(J68&gt;=6,U89-((49-J68)*H81),IF(J68&lt;=6,"No Data"))</f>
        <v>1030.8079999999998</v>
      </c>
      <c r="U73" s="7">
        <f>IF(J68&gt;=6,V89-((49-J68)*H82),IF(J68&lt;=6,"No Data"))</f>
        <v>1056.3039999999999</v>
      </c>
      <c r="V73" s="7">
        <f>IF(J68&gt;=6,W89-((49-J68)*H83),IF(J68&lt;=6,"No Data"))</f>
        <v>1081.7999999999997</v>
      </c>
      <c r="W73" s="7">
        <f>IF(J68&gt;=6,X89-((49-J68)*H84),IF(J68&lt;=6,"No Data"))</f>
        <v>1107.2959999999998</v>
      </c>
      <c r="X73" s="7">
        <f>IF(J68&gt;=6,Y89-((49-J68)*H85),IF(J68&lt;=6,"No Data"))</f>
        <v>1132.7919999999997</v>
      </c>
      <c r="Y73" s="7">
        <f>IF(J68&gt;=6,Z89-((49-J68)*H86),IF(J68&lt;=6,"No Data"))</f>
        <v>1158.2879999999998</v>
      </c>
      <c r="Z73" s="7">
        <f>IF(J68&gt;=6,AA89-((49-J68)*H87),IF(J68&lt;=6,"No Data"))</f>
        <v>1183.7839999999997</v>
      </c>
      <c r="AA73">
        <f>IF(J68&gt;=6,AB89-((49-J68)*H88),IF(J68&lt;=6,"No Data"))</f>
        <v>1209.2799999999997</v>
      </c>
      <c r="AB73">
        <f>IF(J68&gt;=6,AC89-((49-J68)*H89),IF(J68&lt;=6,"No Data"))</f>
        <v>1234.7759999999996</v>
      </c>
      <c r="AC73">
        <f>IF(J68&gt;=6,AD89-((49-J68)*H90),IF(J68&lt;=6,"No Data"))</f>
        <v>1260.2719999999997</v>
      </c>
      <c r="AD73">
        <f>IF(J68&gt;=6,AE89-((49-J68)*H91),IF(J68&lt;=6,"No Data"))</f>
        <v>1285.7679999999996</v>
      </c>
      <c r="AE73">
        <f>IF(J68&gt;=6,AF89-((49-J68)*H92),IF(J68&lt;=6,"No Data"))</f>
        <v>1311.2639999999997</v>
      </c>
      <c r="AF73">
        <f>IF(J68&gt;=6,AG89-((49-J68)*H93),IF(J68&lt;=6,"No Data"))</f>
        <v>1336.7599999999995</v>
      </c>
      <c r="AG73">
        <f>IF(J68&gt;=6,AH89-((49-J68)*H94),IF(J68&lt;=6,"No Data"))</f>
        <v>1362.2559999999996</v>
      </c>
      <c r="AH73">
        <f>IF(J68&gt;=6,AI89-((49-J68)*H95),IF(J68&lt;=6,"No Data"))</f>
        <v>1387.7519999999995</v>
      </c>
      <c r="AI73">
        <f>IF(J68&gt;=6,AJ89-((49-J68)*H96),IF(J68&lt;=6,"No Data"))</f>
        <v>1413.2479999999996</v>
      </c>
      <c r="AJ73">
        <f>IF(J68&gt;=6,AK89-((49-J68)*H97),IF(J68&lt;=6,"No Data"))</f>
        <v>1438.7439999999995</v>
      </c>
      <c r="AK73">
        <f>IF(J68&gt;=6,AL89-((49-J68)*H98),IF(J68&lt;=6,"No Data"))</f>
        <v>1464.2399999999996</v>
      </c>
      <c r="AL73">
        <f>IF(J68&gt;=6,AM89-((49-J68)*H99),IF(J68&lt;=6,"No Data"))</f>
        <v>1489.7359999999994</v>
      </c>
      <c r="AM73">
        <f>IF(J68&gt;=6,AN89-((49-J68)*H100),IF(J68&lt;=6,"No Data"))</f>
        <v>1515.2319999999995</v>
      </c>
      <c r="AN73">
        <f>IF(J68&gt;=6,AO89-((49-J68)*H101),IF(J68&lt;=6,"No Data"))</f>
        <v>1540.7279999999994</v>
      </c>
      <c r="AO73">
        <f>IF(J68&gt;=6,AP89-((49-J68)*H102),IF(J68&lt;=6,"No Data"))</f>
        <v>1566.2239999999995</v>
      </c>
      <c r="AP73">
        <f>IF(J68&gt;=6,AQ89-((49-J68)*H103),IF(J68&lt;=6,"No Data"))</f>
        <v>1591.7199999999993</v>
      </c>
      <c r="AQ73">
        <f>IF(J68&gt;=6,AR89-((49-J68)*H104),IF(J68&lt;=6,"No Data"))</f>
        <v>1617.2159999999994</v>
      </c>
      <c r="AR73">
        <f>IF(J68&gt;=6,AS89-((49-J68)*H105),IF(J68&lt;=6,"No Data"))</f>
        <v>1642.7019999999993</v>
      </c>
      <c r="AS73" s="7" t="b">
        <f>IF(I68=5,IF(H68=D4,L73),IF(I68=6,IF(H68=D4,M73),IF(I68=7,IF(H68=D4,N73),IF(I68=8,IF(H68=D4,O73),IF(I68=9,IF(H68=D4,P73),IF(I68=11,IF(H68=D4,Q73),IF(I68=12,IF(H68=D4,R73),IF(I68=13,IF(H68=D4,S73),IF(I68=14,IF(H68=D4,T73),IF(I68=15,IF(H68=D4,U73),IF(I68=16,IF(H68=D4,V73),IF(I68=17,IF(H68=D4,W73),IF(I68=18,IF(H68=D4,X73),IF(I68=19,IF(H68=D4,Y73),IF(I68=20,IF(H68=D4,Z73),IF(I68=21,IF(H68=D4,AA73),IF(I68=22,IF(H68=D4,AB73),IF(I68=23,IF(H68=D4,AC73),IF(I68=24,IF(H68=D4,AD73),IF(I68=25,IF(H68=D4,AE73),IF(I68=26,IF(H68=D4,AF73),IF(I68=27,IF(H68=D4,AG73),IF(I68=28,IF(H68=D4,AH73),IF(I68=29,IF(H68=D4,AI73),IF(I68=30,IF(H68=D4,AJ73),IF(I68=31,IF(H68=D4,AK73),IF(I68=32,IF(H68=D4,AL73),IF(I68=33,IF(H68=D4,AM73),IF(I68=34,IF(H68=D4,AN73),IF(I68=35,IF(H68=D4,AO73),IF(I68=36,IF(H68=D4,AP73),IF(I68=37,IF(H68=D4,AQ73),IF(I68=38,IF(H68=D4,AR73))))))))))))))))))))))))))))))))))</f>
        <v>0</v>
      </c>
      <c r="BB73" s="10">
        <v>71</v>
      </c>
      <c r="BC73" s="10" t="s">
        <v>6</v>
      </c>
      <c r="BD73" s="12">
        <v>1046.8600000000001</v>
      </c>
      <c r="BE73" s="12">
        <v>496.66199999999958</v>
      </c>
      <c r="BF73" s="12">
        <v>1173.3700000000008</v>
      </c>
      <c r="BG73" s="12">
        <v>823.3599999999999</v>
      </c>
      <c r="BH73" s="12">
        <v>1423.3799999999992</v>
      </c>
      <c r="BI73" s="12">
        <v>1297.0600000000004</v>
      </c>
      <c r="BK73" s="10">
        <v>71</v>
      </c>
      <c r="BL73" s="10" t="s">
        <v>24</v>
      </c>
      <c r="BM73" s="12">
        <v>1536.6800000000012</v>
      </c>
      <c r="BN73" s="12">
        <v>696.79599999999948</v>
      </c>
      <c r="BO73" s="12">
        <v>1736.6720000000005</v>
      </c>
      <c r="BP73" s="12">
        <v>1216.7779999999989</v>
      </c>
      <c r="BQ73" s="12">
        <v>2100.199999999998</v>
      </c>
      <c r="BR73" s="12">
        <v>1950.1399999999976</v>
      </c>
      <c r="BS73" s="6"/>
      <c r="BT73" s="10">
        <v>71</v>
      </c>
      <c r="BU73" s="10"/>
      <c r="BV73" s="12">
        <v>2246.905999999999</v>
      </c>
      <c r="BW73" s="12">
        <v>1233.6399999999992</v>
      </c>
      <c r="BX73" s="12">
        <v>3120</v>
      </c>
      <c r="BY73" s="12">
        <v>2203.4519999999998</v>
      </c>
      <c r="BZ73" s="12">
        <v>3783.4980000000023</v>
      </c>
      <c r="CA73" s="12">
        <v>3430.0259999999998</v>
      </c>
      <c r="CB73" s="6"/>
      <c r="CC73" s="10">
        <v>71</v>
      </c>
      <c r="CD73" s="10"/>
      <c r="CE73" s="12">
        <v>3373.4399999999996</v>
      </c>
      <c r="CF73" s="12">
        <v>1783.5</v>
      </c>
      <c r="CG73" s="12">
        <v>4676.8799999999992</v>
      </c>
      <c r="CH73" s="12">
        <v>2596.8600000000024</v>
      </c>
      <c r="CI73" s="12">
        <v>5543.4559999999956</v>
      </c>
      <c r="CJ73" s="12">
        <v>5146.6900000000041</v>
      </c>
    </row>
    <row r="74" spans="1:88" ht="15.75" customHeight="1">
      <c r="A74" s="6"/>
      <c r="B74" s="10">
        <v>72</v>
      </c>
      <c r="C74" s="6"/>
      <c r="G74" s="7">
        <v>13.587</v>
      </c>
      <c r="H74" s="6">
        <v>23.86</v>
      </c>
      <c r="I74" s="6"/>
      <c r="J74" s="6"/>
      <c r="K74" s="6"/>
      <c r="L74" s="7" t="b">
        <f>IF(H68=D4,IF(J68&lt;=79,"PASS","FAIL"))</f>
        <v>0</v>
      </c>
      <c r="M74" s="7" t="b">
        <f>IF(H68=D4,IF(J68&lt;=75,"PASS","FAIL"))</f>
        <v>0</v>
      </c>
      <c r="N74" s="7" t="b">
        <f>IF(H68=D4,IF(J68&lt;=72,"PASS","FAIL"))</f>
        <v>0</v>
      </c>
      <c r="O74" s="7" t="b">
        <f>IF(H68=D4,IF(J68&lt;=70,"PASS","FAIL"))</f>
        <v>0</v>
      </c>
      <c r="P74" s="7" t="b">
        <f>IF(H68=D4,IF(J68&lt;=68,"PASS","FAIL"))</f>
        <v>0</v>
      </c>
      <c r="Q74" s="7" t="b">
        <f>IF(H68=D4,IF(J68&lt;=64,"PASS","FAIL"))</f>
        <v>0</v>
      </c>
      <c r="R74" s="6" t="b">
        <f>IF(H68=D4,IF(J68&lt;=63,"PASS","FAIL"))</f>
        <v>0</v>
      </c>
      <c r="S74" s="7" t="b">
        <f>IF(H68=D4,IF(J68&lt;=61,"PASS","FAIL"))</f>
        <v>0</v>
      </c>
      <c r="T74" s="7" t="b">
        <f>IF(H68=D4,IF(J68&lt;=60,"PASS","FAIL"))</f>
        <v>0</v>
      </c>
      <c r="U74" s="7" t="b">
        <f>IF(H68=D4,IF(J68&lt;=59,"PASS","FAIL"))</f>
        <v>0</v>
      </c>
      <c r="V74" s="7" t="b">
        <f>IF(H68=D4,IF(J68&lt;=58,"PASS","FAIL"))</f>
        <v>0</v>
      </c>
      <c r="W74" s="7" t="b">
        <f>IF(H68=D4,IF(J68&lt;=57,"PASS","FAIL"))</f>
        <v>0</v>
      </c>
      <c r="X74" s="7" t="b">
        <f>IF(H68=D4,IF(J68&lt;=56,"PASS","FAIL"))</f>
        <v>0</v>
      </c>
      <c r="Y74" s="7" t="b">
        <f>IF(H68=D4,IF(J68&lt;=55,"PASS","FAIL"))</f>
        <v>0</v>
      </c>
      <c r="Z74" s="7" t="b">
        <f>IF(H68=D4,IF(J68&lt;=54,"PASS","FAIL"))</f>
        <v>0</v>
      </c>
      <c r="AA74" s="7" t="b">
        <f>IF(H68=D4,IF(J68&lt;=54,"PASS","FAIL"))</f>
        <v>0</v>
      </c>
      <c r="AB74" t="b">
        <f>IF(H68=D4,IF(J68&lt;=53,"PASS","FAIL"))</f>
        <v>0</v>
      </c>
      <c r="AC74" t="b">
        <f>IF(H68=D4,IF(J68&lt;=52,"PASS","FAIL"))</f>
        <v>0</v>
      </c>
      <c r="AD74" t="b">
        <f>IF(H68=D4,IF(J68&lt;=52,"PASS","FAIL"))</f>
        <v>0</v>
      </c>
      <c r="AE74" t="b">
        <f>IF(H68=D4,IF(J68&lt;=51,"PASS","FAIL"))</f>
        <v>0</v>
      </c>
      <c r="AF74" t="b">
        <f>IF(H68=D4,IF(J68&lt;=51,"PASS","FAIL"))</f>
        <v>0</v>
      </c>
      <c r="AG74" t="b">
        <f>IF(H68=D4,IF(J68&lt;=50,"PASS","FAIL"))</f>
        <v>0</v>
      </c>
      <c r="AH74" t="b">
        <f>IF(H68=D4,IF(J68&lt;=50,"PASS","FAIL"))</f>
        <v>0</v>
      </c>
      <c r="AI74" t="b">
        <f>IF(H68=D4,IF(J68&lt;=49,"PASS","FAIL"))</f>
        <v>0</v>
      </c>
      <c r="AJ74" t="b">
        <f>IF(H68=D4,IF(J68&lt;=49,"PASS","FAIL"))</f>
        <v>0</v>
      </c>
      <c r="AK74" t="b">
        <f>IF(H68=D4,IF(J68&lt;=49,"PASS","FAIL"))</f>
        <v>0</v>
      </c>
      <c r="AL74" t="b">
        <f>IF(H68=D4,IF(J68&lt;=48,"PASS","FAIL"))</f>
        <v>0</v>
      </c>
      <c r="AM74" t="b">
        <f>IF(H68=D4,IF(J68&lt;=48,"PASS","FAIL"))</f>
        <v>0</v>
      </c>
      <c r="AN74" t="b">
        <f>IF(H68=D4,IF(J68&lt;=47,"PASS","FAIL"))</f>
        <v>0</v>
      </c>
      <c r="AO74" t="b">
        <f>IF(H68=D4,IF(J68&lt;=47,"PASS","FAIL"))</f>
        <v>0</v>
      </c>
      <c r="AP74" t="b">
        <f>IF(H68=D4,IF(J68&lt;=47,"PASS","FAIL"))</f>
        <v>0</v>
      </c>
      <c r="AQ74" t="b">
        <f>IF(H68=D4,IF(J68&lt;=47,"PASS","FAIL"))</f>
        <v>0</v>
      </c>
      <c r="AR74" t="b">
        <f>IF(H68=D4,IF(J68&lt;=46,"PASS","FAIL"))</f>
        <v>0</v>
      </c>
      <c r="AS74" s="7" t="b">
        <f>IF(I68=5,IF(J68&lt;=79,"PASS","FAIL"),IF(I68=6,IF(J68&lt;=75,"PASS","FAIL"),IF(I68=7,IF(J68&lt;=72,"PASS","FAIL"),IF(I68=8,IF(J68&lt;=70,"PASS","FAIL"),IF(I68=9,IF(J68&lt;=68,"PASS","FAIL"),IF(I68=11,IF(J68&lt;=64,"PASS","FAIL"),IF(I68=12,IF(J68&lt;=63,"PASS","FAIL"),IF(I68=13,IF(J68&lt;=61,"PASS","FAIL"),IF(I68=14,IF(J68&lt;=60,"PASS","FAIL"),IF(I68=15,IF(J68&lt;=59,"PASS","FAIL"),IF(I68=16,IF(J68&lt;=58,"PASS","FAIL"),IF(I68=17,IF(J68&lt;=57,"PASS","FAIL"),IF(I68=18,IF(J68&lt;=56,"PASS","FAIL"),IF(I68=19,IF(J68&lt;=55,"PASS","FAIL"),IF(I68=20,IF(J68&lt;=54,"PASS","FAIL"),IF(I68=21,IF(J68&lt;=54,"PASS","FAIL"),IF(I68=22,IF(J68&lt;=53,"PASS","FAIL"),IF(I68=23,IF(J68&lt;=52,"PASS","FAIL"),IF(I68=24,IF(J68&lt;=52,"PASS","FAIL"),IF(I68=25,IF(J68&lt;=51,"PASS","FAIL"),IF(I68=26,IF(J68&lt;=51,"PASS","FAIL"),IF(I68=27,IF(J68&lt;=50,"PASS","FAIL"),IF(I68=28,IF(J68&lt;=50,"PASS","FAIL"),IF(I68=29,IF(J68&lt;=49,"PASS","FAIL"),IF(I68=30,IF(J68&lt;=49,"PASS","FAIL"),IF(I68=31,IF(J68&lt;=49,"PASS","FAIL"),IF(I68=32,IF(J68&lt;=48,"PASS","FAIL"),IF(I68=33,IF(J68&lt;=48,"PASS","FAIL"),IF(I68=34,IF(J68&lt;=47,"PASS","FAIL"),IF(I68=35,IF(J68&lt;=47,"PASS","FAIL"),IF(I68=36,IF(J68&lt;=47,"PASS","FAIL"),IF(I68=37,IF(J68&lt;=47,"PASS","FAIL"),IF(I68=38,IF(J68&lt;=47,"PASS","FAIL"))))))))))))))))))))))))))))))))))</f>
        <v>0</v>
      </c>
      <c r="BB74" s="10">
        <v>72</v>
      </c>
      <c r="BC74" s="10" t="s">
        <v>6</v>
      </c>
      <c r="BD74" s="12">
        <v>1063.9900000000002</v>
      </c>
      <c r="BE74" s="12">
        <v>503.78299999999956</v>
      </c>
      <c r="BF74" s="12">
        <v>1191.7050000000008</v>
      </c>
      <c r="BG74" s="12">
        <v>836.2399999999999</v>
      </c>
      <c r="BH74" s="12">
        <v>1447.1699999999992</v>
      </c>
      <c r="BI74" s="12">
        <v>1318.2900000000004</v>
      </c>
      <c r="BK74" s="10">
        <v>72</v>
      </c>
      <c r="BL74" s="10" t="s">
        <v>24</v>
      </c>
      <c r="BM74" s="12">
        <v>1565.6200000000013</v>
      </c>
      <c r="BN74" s="12">
        <v>708.01399999999944</v>
      </c>
      <c r="BO74" s="12">
        <v>1764.2480000000005</v>
      </c>
      <c r="BP74" s="12">
        <v>1236.1769999999988</v>
      </c>
      <c r="BQ74" s="12">
        <v>2134.2999999999979</v>
      </c>
      <c r="BR74" s="12">
        <v>1981.5099999999975</v>
      </c>
      <c r="BS74" s="6"/>
      <c r="BT74" s="10">
        <v>72</v>
      </c>
      <c r="BU74" s="10"/>
      <c r="BV74" s="12">
        <v>2298.128999999999</v>
      </c>
      <c r="BW74" s="12">
        <v>1259.2599999999991</v>
      </c>
      <c r="BX74" s="12">
        <v>3185</v>
      </c>
      <c r="BY74" s="12">
        <v>2249.5179999999996</v>
      </c>
      <c r="BZ74" s="12">
        <v>3863.6570000000024</v>
      </c>
      <c r="CA74" s="12">
        <v>3503.2089999999998</v>
      </c>
      <c r="CB74" s="6"/>
      <c r="CC74" s="10">
        <v>72</v>
      </c>
      <c r="CD74" s="10"/>
      <c r="CE74" s="12">
        <v>3449.9599999999996</v>
      </c>
      <c r="CF74" s="12">
        <v>1822.75</v>
      </c>
      <c r="CG74" s="12">
        <v>4774.9199999999992</v>
      </c>
      <c r="CH74" s="12">
        <v>2633.9900000000025</v>
      </c>
      <c r="CI74" s="12">
        <v>5662.7039999999952</v>
      </c>
      <c r="CJ74" s="12">
        <v>5256.0850000000046</v>
      </c>
    </row>
    <row r="75" spans="1:88" ht="15.75" customHeight="1">
      <c r="A75" s="6"/>
      <c r="B75" s="10">
        <v>73</v>
      </c>
      <c r="C75" s="6"/>
      <c r="G75" s="7">
        <v>14.766999999999999</v>
      </c>
      <c r="H75" s="6">
        <v>25.55</v>
      </c>
      <c r="I75" s="6"/>
      <c r="J75" s="6"/>
      <c r="K75" s="6"/>
      <c r="L75" s="6"/>
      <c r="M75" s="6"/>
      <c r="N75" s="6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BB75" s="10">
        <v>73</v>
      </c>
      <c r="BC75" s="10" t="s">
        <v>6</v>
      </c>
      <c r="BD75" s="12">
        <v>1081.1200000000003</v>
      </c>
      <c r="BE75" s="12">
        <v>510.90399999999954</v>
      </c>
      <c r="BF75" s="12">
        <v>1210.0400000000009</v>
      </c>
      <c r="BG75" s="12">
        <v>849.11999999999989</v>
      </c>
      <c r="BH75" s="12">
        <v>1470.9599999999991</v>
      </c>
      <c r="BI75" s="12">
        <v>1339.5200000000004</v>
      </c>
      <c r="BK75" s="10">
        <v>73</v>
      </c>
      <c r="BL75" s="10" t="s">
        <v>24</v>
      </c>
      <c r="BM75" s="12">
        <v>1594.5600000000013</v>
      </c>
      <c r="BN75" s="12">
        <v>719.2319999999994</v>
      </c>
      <c r="BO75" s="12">
        <v>1791.8240000000005</v>
      </c>
      <c r="BP75" s="12">
        <v>1255.5759999999987</v>
      </c>
      <c r="BQ75" s="12">
        <v>2168.3999999999978</v>
      </c>
      <c r="BR75" s="12">
        <v>2012.8799999999974</v>
      </c>
      <c r="BS75" s="6"/>
      <c r="BT75" s="10">
        <v>73</v>
      </c>
      <c r="BU75" s="10"/>
      <c r="BV75" s="12">
        <v>2349.351999999999</v>
      </c>
      <c r="BW75" s="12">
        <v>1284.879999999999</v>
      </c>
      <c r="BX75" s="12">
        <v>3250</v>
      </c>
      <c r="BY75" s="12">
        <v>2295.5839999999994</v>
      </c>
      <c r="BZ75" s="12">
        <v>3943.8160000000025</v>
      </c>
      <c r="CA75" s="12">
        <v>3576.3919999999998</v>
      </c>
      <c r="CB75" s="6"/>
      <c r="CC75" s="10">
        <v>73</v>
      </c>
      <c r="CD75" s="10"/>
      <c r="CE75" s="12">
        <v>3526.4799999999996</v>
      </c>
      <c r="CF75" s="12">
        <v>1862</v>
      </c>
      <c r="CG75" s="12">
        <v>4872.9599999999991</v>
      </c>
      <c r="CH75" s="12">
        <v>2671.1200000000026</v>
      </c>
      <c r="CI75" s="12">
        <v>5781.9519999999948</v>
      </c>
      <c r="CJ75" s="12">
        <v>5365.480000000005</v>
      </c>
    </row>
    <row r="76" spans="1:88" ht="15.75" customHeight="1">
      <c r="A76" s="6"/>
      <c r="B76" s="10">
        <v>74</v>
      </c>
      <c r="C76" s="6"/>
      <c r="G76" s="7">
        <v>15.942</v>
      </c>
      <c r="H76" s="7">
        <v>27.24</v>
      </c>
      <c r="N76" s="6"/>
      <c r="BB76" s="10">
        <v>74</v>
      </c>
      <c r="BC76" s="10" t="s">
        <v>6</v>
      </c>
      <c r="BD76" s="12">
        <v>1098.2500000000005</v>
      </c>
      <c r="BE76" s="12">
        <v>518.02499999999952</v>
      </c>
      <c r="BF76" s="12">
        <v>1228.3750000000009</v>
      </c>
      <c r="BG76" s="12">
        <v>861.99999999999989</v>
      </c>
      <c r="BH76" s="12">
        <v>1494.7499999999991</v>
      </c>
      <c r="BI76" s="12">
        <v>1360.7500000000005</v>
      </c>
      <c r="BK76" s="10">
        <v>74</v>
      </c>
      <c r="BL76" s="10" t="s">
        <v>24</v>
      </c>
      <c r="BM76" s="12">
        <v>1623.5000000000014</v>
      </c>
      <c r="BN76" s="12">
        <v>730.44999999999936</v>
      </c>
      <c r="BO76" s="12">
        <v>1819.4000000000005</v>
      </c>
      <c r="BP76" s="12">
        <v>1274.9749999999985</v>
      </c>
      <c r="BQ76" s="12">
        <v>2202.4999999999977</v>
      </c>
      <c r="BR76" s="12">
        <v>2044.2499999999973</v>
      </c>
      <c r="BS76" s="6"/>
      <c r="BT76" s="10">
        <v>74</v>
      </c>
      <c r="BU76" s="10"/>
      <c r="BV76" s="12">
        <v>2400.5749999999989</v>
      </c>
      <c r="BW76" s="12">
        <v>1310.4999999999989</v>
      </c>
      <c r="BX76" s="12">
        <v>3315</v>
      </c>
      <c r="BY76" s="12">
        <v>2341.6499999999992</v>
      </c>
      <c r="BZ76" s="12">
        <v>4023.9750000000026</v>
      </c>
      <c r="CA76" s="12">
        <v>3649.5749999999998</v>
      </c>
      <c r="CB76" s="6"/>
      <c r="CC76" s="10">
        <v>74</v>
      </c>
      <c r="CD76" s="10"/>
      <c r="CE76" s="12">
        <v>3602.9999999999995</v>
      </c>
      <c r="CF76" s="12">
        <v>1901.25</v>
      </c>
      <c r="CG76" s="12">
        <v>4970.9999999999991</v>
      </c>
      <c r="CH76" s="12">
        <v>2708.2500000000027</v>
      </c>
      <c r="CI76" s="12">
        <v>5901.1999999999944</v>
      </c>
      <c r="CJ76" s="12">
        <v>5474.8750000000055</v>
      </c>
    </row>
    <row r="77" spans="1:88" ht="15.75" customHeight="1">
      <c r="A77" s="6"/>
      <c r="B77" s="10">
        <v>75</v>
      </c>
      <c r="C77" s="6"/>
      <c r="G77" s="22">
        <f>G78-(1+1.756)</f>
        <v>15.548999999999999</v>
      </c>
      <c r="N77" s="6"/>
      <c r="BB77" s="10">
        <v>75</v>
      </c>
      <c r="BC77" s="10" t="s">
        <v>6</v>
      </c>
      <c r="BD77" s="12">
        <v>1115.3800000000006</v>
      </c>
      <c r="BE77" s="12">
        <v>525.1459999999995</v>
      </c>
      <c r="BF77" s="12">
        <v>1246.7100000000009</v>
      </c>
      <c r="BG77" s="12">
        <v>874.87999999999988</v>
      </c>
      <c r="BH77" s="12">
        <v>1518.5399999999991</v>
      </c>
      <c r="BI77" s="12">
        <v>1381.9800000000005</v>
      </c>
      <c r="BK77" s="10">
        <v>75</v>
      </c>
      <c r="BL77" s="10" t="s">
        <v>24</v>
      </c>
      <c r="BM77" s="12">
        <v>1652.4400000000014</v>
      </c>
      <c r="BN77" s="12">
        <v>741.66799999999932</v>
      </c>
      <c r="BO77" s="12">
        <v>1846.9760000000006</v>
      </c>
      <c r="BP77" s="12">
        <v>1294.3739999999984</v>
      </c>
      <c r="BQ77" s="12">
        <v>2236.5999999999976</v>
      </c>
      <c r="BR77" s="12">
        <v>2075.6199999999972</v>
      </c>
      <c r="BS77" s="6"/>
      <c r="BT77" s="10">
        <v>75</v>
      </c>
      <c r="BU77" s="10"/>
      <c r="BV77" s="12">
        <v>2451.7979999999989</v>
      </c>
      <c r="BW77" s="12">
        <v>1336.1199999999988</v>
      </c>
      <c r="BX77" s="12">
        <v>3380</v>
      </c>
      <c r="BY77" s="12">
        <v>2387.715999999999</v>
      </c>
      <c r="BZ77" s="12">
        <v>4104.1340000000027</v>
      </c>
      <c r="CA77" s="12">
        <v>3722.7579999999998</v>
      </c>
      <c r="CB77" s="6"/>
      <c r="CC77" s="10">
        <v>75</v>
      </c>
      <c r="CD77" s="10"/>
      <c r="CE77" s="12">
        <v>3679.5199999999995</v>
      </c>
      <c r="CF77" s="12">
        <v>1940.5</v>
      </c>
      <c r="CG77" s="12">
        <v>5069.0399999999991</v>
      </c>
      <c r="CH77" s="12">
        <v>2745.3800000000028</v>
      </c>
      <c r="CI77" s="12">
        <v>6020.447999999994</v>
      </c>
      <c r="CJ77" s="12">
        <v>5584.2700000000059</v>
      </c>
    </row>
    <row r="78" spans="1:88" ht="15.75" customHeight="1">
      <c r="A78" s="6"/>
      <c r="B78" s="10">
        <v>76</v>
      </c>
      <c r="C78" s="6"/>
      <c r="G78" s="7">
        <v>18.305</v>
      </c>
      <c r="H78" s="7">
        <v>30.63</v>
      </c>
      <c r="N78" s="6"/>
      <c r="Q78" s="7" t="s">
        <v>28</v>
      </c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BB78" s="10">
        <v>76</v>
      </c>
      <c r="BC78" s="10" t="s">
        <v>6</v>
      </c>
      <c r="BD78" s="12">
        <v>1132.5100000000007</v>
      </c>
      <c r="BE78" s="12">
        <v>532.26699999999948</v>
      </c>
      <c r="BF78" s="12">
        <v>1265.045000000001</v>
      </c>
      <c r="BG78" s="12">
        <v>887.75999999999988</v>
      </c>
      <c r="BH78" s="12">
        <v>1542.329999999999</v>
      </c>
      <c r="BI78" s="12">
        <v>1403.2100000000005</v>
      </c>
      <c r="BK78" s="10">
        <v>76</v>
      </c>
      <c r="BL78" s="10" t="s">
        <v>24</v>
      </c>
      <c r="BM78" s="12">
        <v>1681.3800000000015</v>
      </c>
      <c r="BN78" s="12">
        <v>752.88599999999929</v>
      </c>
      <c r="BO78" s="12">
        <v>1874.5520000000006</v>
      </c>
      <c r="BP78" s="12">
        <v>1313.7729999999983</v>
      </c>
      <c r="BQ78" s="12">
        <v>2270.6999999999975</v>
      </c>
      <c r="BR78" s="12">
        <v>2106.9899999999971</v>
      </c>
      <c r="BS78" s="6"/>
      <c r="BT78" s="10">
        <v>76</v>
      </c>
      <c r="BU78" s="10"/>
      <c r="BV78" s="12">
        <v>2503.0209999999988</v>
      </c>
      <c r="BW78" s="12">
        <v>1361.7399999999986</v>
      </c>
      <c r="BX78" s="12">
        <v>3445</v>
      </c>
      <c r="BY78" s="12">
        <v>2433.7819999999988</v>
      </c>
      <c r="BZ78" s="12">
        <v>4184.2930000000024</v>
      </c>
      <c r="CA78" s="12">
        <v>3795.9409999999998</v>
      </c>
      <c r="CB78" s="6"/>
      <c r="CC78" s="10">
        <v>76</v>
      </c>
      <c r="CD78" s="10"/>
      <c r="CE78" s="12">
        <v>3756.0399999999995</v>
      </c>
      <c r="CF78" s="12">
        <v>1979.75</v>
      </c>
      <c r="CG78" s="12">
        <v>5167.079999999999</v>
      </c>
      <c r="CH78" s="12">
        <v>2782.5100000000029</v>
      </c>
      <c r="CI78" s="12">
        <v>6139.6959999999935</v>
      </c>
      <c r="CJ78" s="12">
        <v>5693.6650000000063</v>
      </c>
    </row>
    <row r="79" spans="1:88" ht="15.75" customHeight="1">
      <c r="A79" s="6"/>
      <c r="B79" s="10">
        <v>77</v>
      </c>
      <c r="C79" s="6"/>
      <c r="G79" s="7">
        <v>19.47</v>
      </c>
      <c r="H79" s="7">
        <v>32.33</v>
      </c>
      <c r="I79" s="6"/>
      <c r="J79" s="7" t="s">
        <v>22</v>
      </c>
      <c r="K79" s="7">
        <v>4.8</v>
      </c>
      <c r="L79" s="7">
        <v>5</v>
      </c>
      <c r="M79" s="7">
        <v>6</v>
      </c>
      <c r="N79" s="7">
        <v>7</v>
      </c>
      <c r="O79" s="7">
        <v>8</v>
      </c>
      <c r="P79" s="7">
        <v>9</v>
      </c>
      <c r="Q79" s="20">
        <v>10</v>
      </c>
      <c r="R79" s="20">
        <v>11</v>
      </c>
      <c r="S79" s="20">
        <v>12</v>
      </c>
      <c r="T79" s="20">
        <v>13</v>
      </c>
      <c r="U79" s="20">
        <v>14</v>
      </c>
      <c r="V79" s="20">
        <v>15</v>
      </c>
      <c r="W79" s="20">
        <v>16</v>
      </c>
      <c r="X79" s="20">
        <v>17</v>
      </c>
      <c r="Y79" s="20">
        <v>18</v>
      </c>
      <c r="Z79" s="20">
        <v>19</v>
      </c>
      <c r="AA79" s="20">
        <v>20</v>
      </c>
      <c r="AB79" s="20">
        <v>21</v>
      </c>
      <c r="AC79" s="20">
        <v>22</v>
      </c>
      <c r="AD79" s="20">
        <v>23</v>
      </c>
      <c r="AE79" s="7">
        <v>24</v>
      </c>
      <c r="AF79" s="21">
        <v>25</v>
      </c>
      <c r="AG79" s="21">
        <v>26</v>
      </c>
      <c r="AH79" s="21">
        <v>27</v>
      </c>
      <c r="AI79" s="21">
        <v>28</v>
      </c>
      <c r="AJ79" s="21">
        <v>29</v>
      </c>
      <c r="AK79" s="21">
        <v>30</v>
      </c>
      <c r="AL79" s="21">
        <v>31</v>
      </c>
      <c r="AM79" s="21">
        <v>32</v>
      </c>
      <c r="AN79" s="21">
        <v>33</v>
      </c>
      <c r="AO79" s="21">
        <v>34</v>
      </c>
      <c r="AP79" s="21">
        <v>35</v>
      </c>
      <c r="AQ79" s="21">
        <v>36</v>
      </c>
      <c r="AR79" s="21">
        <v>37</v>
      </c>
      <c r="AS79" s="21">
        <v>38</v>
      </c>
      <c r="AT79" s="21">
        <v>39</v>
      </c>
      <c r="AU79" s="7"/>
      <c r="BB79" s="10">
        <v>77</v>
      </c>
      <c r="BC79" s="10" t="s">
        <v>6</v>
      </c>
      <c r="BD79" s="12">
        <v>1149.6400000000008</v>
      </c>
      <c r="BE79" s="12">
        <v>539.38799999999947</v>
      </c>
      <c r="BF79" s="12">
        <v>1283.380000000001</v>
      </c>
      <c r="BG79" s="12">
        <v>900.63999999999987</v>
      </c>
      <c r="BH79" s="12">
        <v>1566.119999999999</v>
      </c>
      <c r="BI79" s="12">
        <v>1424.4400000000005</v>
      </c>
      <c r="BK79" s="10">
        <v>77</v>
      </c>
      <c r="BL79" s="10" t="s">
        <v>24</v>
      </c>
      <c r="BM79" s="12">
        <v>1710.3200000000015</v>
      </c>
      <c r="BN79" s="12">
        <v>764.10399999999925</v>
      </c>
      <c r="BO79" s="12">
        <v>1902.1280000000006</v>
      </c>
      <c r="BP79" s="12">
        <v>1333.1719999999982</v>
      </c>
      <c r="BQ79" s="12">
        <v>2304.7999999999975</v>
      </c>
      <c r="BR79" s="12">
        <v>2138.3599999999969</v>
      </c>
      <c r="BS79" s="6"/>
      <c r="BT79" s="10">
        <v>77</v>
      </c>
      <c r="BU79" s="10"/>
      <c r="BV79" s="12">
        <v>2554.2439999999988</v>
      </c>
      <c r="BW79" s="12">
        <v>1387.3599999999985</v>
      </c>
      <c r="BX79" s="12">
        <v>3510</v>
      </c>
      <c r="BY79" s="12">
        <v>2479.8479999999986</v>
      </c>
      <c r="BZ79" s="12">
        <v>4264.452000000002</v>
      </c>
      <c r="CA79" s="12">
        <v>3869.1239999999998</v>
      </c>
      <c r="CB79" s="6"/>
      <c r="CC79" s="10">
        <v>77</v>
      </c>
      <c r="CD79" s="10"/>
      <c r="CE79" s="12">
        <v>3832.5599999999995</v>
      </c>
      <c r="CF79" s="12">
        <v>2019</v>
      </c>
      <c r="CG79" s="12">
        <v>5265.119999999999</v>
      </c>
      <c r="CH79" s="12">
        <v>2819.6400000000031</v>
      </c>
      <c r="CI79" s="12">
        <v>6258.9439999999931</v>
      </c>
      <c r="CJ79" s="12">
        <v>5803.0600000000068</v>
      </c>
    </row>
    <row r="80" spans="1:88" ht="15.75" customHeight="1">
      <c r="A80" s="6"/>
      <c r="B80" s="10">
        <v>78</v>
      </c>
      <c r="C80" s="6"/>
      <c r="G80" s="7">
        <v>20.643999999999998</v>
      </c>
      <c r="H80" s="7">
        <f t="shared" ref="H80:H99" si="0">H81-1.697</f>
        <v>33.914999999999949</v>
      </c>
      <c r="I80" s="6"/>
      <c r="L80" s="7">
        <f t="shared" ref="L80:O80" si="1">M80-M81</f>
        <v>592.40000000000009</v>
      </c>
      <c r="M80" s="7">
        <f t="shared" si="1"/>
        <v>607.92000000000007</v>
      </c>
      <c r="N80" s="7">
        <f t="shared" si="1"/>
        <v>623.44000000000005</v>
      </c>
      <c r="O80" s="7">
        <f t="shared" si="1"/>
        <v>638.96</v>
      </c>
      <c r="P80" s="7">
        <f>Q80-Q81</f>
        <v>654.48</v>
      </c>
      <c r="Q80" s="20">
        <v>670</v>
      </c>
      <c r="R80" s="7">
        <f>Q80+Q81</f>
        <v>685.52</v>
      </c>
      <c r="S80" s="7">
        <f t="shared" ref="S80:AS80" si="2">R80+R81</f>
        <v>701.04</v>
      </c>
      <c r="T80" s="7">
        <f t="shared" si="2"/>
        <v>716.56</v>
      </c>
      <c r="U80" s="7">
        <f t="shared" si="2"/>
        <v>732.07999999999993</v>
      </c>
      <c r="V80" s="7">
        <f t="shared" si="2"/>
        <v>747.59999999999991</v>
      </c>
      <c r="W80" s="7">
        <f t="shared" si="2"/>
        <v>763.11999999999989</v>
      </c>
      <c r="X80" s="7">
        <f t="shared" si="2"/>
        <v>778.63999999999987</v>
      </c>
      <c r="Y80" s="7">
        <f t="shared" si="2"/>
        <v>794.15999999999985</v>
      </c>
      <c r="Z80" s="7">
        <f t="shared" si="2"/>
        <v>809.67999999999984</v>
      </c>
      <c r="AA80" s="7">
        <f t="shared" si="2"/>
        <v>825.19999999999982</v>
      </c>
      <c r="AB80" s="7">
        <f t="shared" si="2"/>
        <v>840.7199999999998</v>
      </c>
      <c r="AC80" s="7">
        <f t="shared" si="2"/>
        <v>856.23999999999978</v>
      </c>
      <c r="AD80" s="7">
        <f t="shared" si="2"/>
        <v>871.75999999999976</v>
      </c>
      <c r="AE80" s="7">
        <f t="shared" si="2"/>
        <v>887.27999999999975</v>
      </c>
      <c r="AF80" s="7">
        <f t="shared" si="2"/>
        <v>902.79999999999973</v>
      </c>
      <c r="AG80" s="7">
        <f t="shared" si="2"/>
        <v>918.31999999999971</v>
      </c>
      <c r="AH80" s="7">
        <f t="shared" si="2"/>
        <v>933.83999999999969</v>
      </c>
      <c r="AI80" s="7">
        <f t="shared" si="2"/>
        <v>949.35999999999967</v>
      </c>
      <c r="AJ80" s="7">
        <f t="shared" si="2"/>
        <v>964.87999999999965</v>
      </c>
      <c r="AK80" s="7">
        <f t="shared" si="2"/>
        <v>980.39999999999964</v>
      </c>
      <c r="AL80" s="7">
        <f t="shared" si="2"/>
        <v>995.91999999999962</v>
      </c>
      <c r="AM80" s="7">
        <f t="shared" si="2"/>
        <v>1011.4399999999996</v>
      </c>
      <c r="AN80" s="7">
        <f t="shared" si="2"/>
        <v>1026.9599999999996</v>
      </c>
      <c r="AO80" s="7">
        <f t="shared" si="2"/>
        <v>1042.4799999999996</v>
      </c>
      <c r="AP80" s="7">
        <f t="shared" si="2"/>
        <v>1057.9999999999995</v>
      </c>
      <c r="AQ80" s="7">
        <f t="shared" si="2"/>
        <v>1073.5199999999995</v>
      </c>
      <c r="AR80" s="7">
        <f t="shared" si="2"/>
        <v>1089.0399999999995</v>
      </c>
      <c r="AS80" s="7">
        <f t="shared" si="2"/>
        <v>1104.5599999999995</v>
      </c>
      <c r="AT80" s="7">
        <f>AS80+AS81</f>
        <v>1120.0799999999995</v>
      </c>
      <c r="AU80" s="7"/>
      <c r="BB80" s="10">
        <v>78</v>
      </c>
      <c r="BC80" s="10" t="s">
        <v>6</v>
      </c>
      <c r="BD80" s="12">
        <v>1166.7700000000009</v>
      </c>
      <c r="BE80" s="12">
        <v>546.50899999999945</v>
      </c>
      <c r="BF80" s="12">
        <v>1301.7150000000011</v>
      </c>
      <c r="BG80" s="12">
        <v>913.51999999999987</v>
      </c>
      <c r="BH80" s="12">
        <v>1589.9099999999989</v>
      </c>
      <c r="BI80" s="12">
        <v>1445.6700000000005</v>
      </c>
      <c r="BK80" s="10">
        <v>78</v>
      </c>
      <c r="BL80" s="10" t="s">
        <v>24</v>
      </c>
      <c r="BM80" s="12">
        <v>1739.2600000000016</v>
      </c>
      <c r="BN80" s="12">
        <v>775.32199999999921</v>
      </c>
      <c r="BO80" s="12">
        <v>1929.7040000000006</v>
      </c>
      <c r="BP80" s="12">
        <v>1352.5709999999981</v>
      </c>
      <c r="BQ80" s="12">
        <v>2338.8999999999974</v>
      </c>
      <c r="BR80" s="12">
        <v>2169.7299999999968</v>
      </c>
      <c r="BS80" s="6"/>
      <c r="BT80" s="10">
        <v>78</v>
      </c>
      <c r="BU80" s="10"/>
      <c r="BV80" s="12">
        <v>2605.4669999999987</v>
      </c>
      <c r="BW80" s="12">
        <v>1412.9799999999984</v>
      </c>
      <c r="BX80" s="12">
        <v>3575</v>
      </c>
      <c r="BY80" s="12">
        <v>2525.9139999999984</v>
      </c>
      <c r="BZ80" s="12">
        <v>4344.6110000000017</v>
      </c>
      <c r="CA80" s="12">
        <v>3942.3069999999998</v>
      </c>
      <c r="CB80" s="6"/>
      <c r="CC80" s="10">
        <v>78</v>
      </c>
      <c r="CD80" s="10"/>
      <c r="CE80" s="12">
        <v>3909.0799999999995</v>
      </c>
      <c r="CF80" s="12">
        <v>2058.25</v>
      </c>
      <c r="CG80" s="12">
        <v>5363.1599999999989</v>
      </c>
      <c r="CH80" s="12">
        <v>2856.7700000000032</v>
      </c>
      <c r="CI80" s="12">
        <v>6378.1919999999927</v>
      </c>
      <c r="CJ80" s="12">
        <v>5912.4550000000072</v>
      </c>
    </row>
    <row r="81" spans="1:88" ht="15.75" customHeight="1">
      <c r="A81" s="6"/>
      <c r="B81" s="10">
        <v>79</v>
      </c>
      <c r="C81" s="6"/>
      <c r="G81" s="7">
        <v>21.82</v>
      </c>
      <c r="H81" s="7">
        <f t="shared" si="0"/>
        <v>35.611999999999952</v>
      </c>
      <c r="I81" s="6"/>
      <c r="L81" s="20">
        <v>15.52</v>
      </c>
      <c r="M81" s="20">
        <v>15.52</v>
      </c>
      <c r="N81" s="20">
        <v>15.52</v>
      </c>
      <c r="O81" s="20">
        <v>15.52</v>
      </c>
      <c r="P81" s="20">
        <v>15.52</v>
      </c>
      <c r="Q81" s="20">
        <v>15.52</v>
      </c>
      <c r="R81" s="20">
        <v>15.52</v>
      </c>
      <c r="S81" s="20">
        <v>15.52</v>
      </c>
      <c r="T81" s="20">
        <v>15.52</v>
      </c>
      <c r="U81" s="20">
        <v>15.52</v>
      </c>
      <c r="V81" s="20">
        <v>15.52</v>
      </c>
      <c r="W81" s="20">
        <v>15.52</v>
      </c>
      <c r="X81" s="20">
        <v>15.52</v>
      </c>
      <c r="Y81" s="20">
        <v>15.52</v>
      </c>
      <c r="Z81" s="20">
        <v>15.52</v>
      </c>
      <c r="AA81" s="20">
        <v>15.52</v>
      </c>
      <c r="AB81" s="20">
        <v>15.52</v>
      </c>
      <c r="AC81" s="20">
        <v>15.52</v>
      </c>
      <c r="AD81" s="20">
        <v>15.52</v>
      </c>
      <c r="AE81" s="20">
        <v>15.52</v>
      </c>
      <c r="AF81" s="20">
        <v>15.52</v>
      </c>
      <c r="AG81" s="20">
        <v>15.52</v>
      </c>
      <c r="AH81" s="20">
        <v>15.52</v>
      </c>
      <c r="AI81" s="20">
        <v>15.52</v>
      </c>
      <c r="AJ81" s="20">
        <v>15.52</v>
      </c>
      <c r="AK81" s="20">
        <v>15.52</v>
      </c>
      <c r="AL81" s="20">
        <v>15.52</v>
      </c>
      <c r="AM81" s="20">
        <v>15.52</v>
      </c>
      <c r="AN81" s="20">
        <v>15.52</v>
      </c>
      <c r="AO81" s="20">
        <v>15.52</v>
      </c>
      <c r="AP81" s="20">
        <v>15.52</v>
      </c>
      <c r="AQ81" s="20">
        <v>15.52</v>
      </c>
      <c r="AR81" s="20">
        <v>15.52</v>
      </c>
      <c r="AS81" s="20">
        <v>15.52</v>
      </c>
      <c r="AT81" s="20">
        <v>15.52</v>
      </c>
      <c r="AU81" s="7"/>
      <c r="BB81" s="10">
        <v>79</v>
      </c>
      <c r="BC81" s="10" t="s">
        <v>6</v>
      </c>
      <c r="BD81" s="12">
        <v>1183.900000000001</v>
      </c>
      <c r="BE81" s="12">
        <v>553.62999999999943</v>
      </c>
      <c r="BF81" s="12">
        <v>1320.0500000000011</v>
      </c>
      <c r="BG81" s="12">
        <v>926.39999999999986</v>
      </c>
      <c r="BH81" s="12">
        <v>1613.6999999999989</v>
      </c>
      <c r="BI81" s="12">
        <v>1466.9000000000005</v>
      </c>
      <c r="BK81" s="10">
        <v>79</v>
      </c>
      <c r="BL81" s="10" t="s">
        <v>24</v>
      </c>
      <c r="BM81" s="12">
        <v>1768.2000000000016</v>
      </c>
      <c r="BN81" s="12">
        <v>786.53999999999917</v>
      </c>
      <c r="BO81" s="12">
        <v>1957.2800000000007</v>
      </c>
      <c r="BP81" s="12">
        <v>1371.969999999998</v>
      </c>
      <c r="BQ81" s="12">
        <v>2372.9999999999973</v>
      </c>
      <c r="BR81" s="12">
        <v>2201.0999999999967</v>
      </c>
      <c r="BS81" s="6"/>
      <c r="BT81" s="10">
        <v>79</v>
      </c>
      <c r="BU81" s="10"/>
      <c r="BV81" s="12">
        <v>2656.6899999999987</v>
      </c>
      <c r="BW81" s="12">
        <v>1438.5999999999983</v>
      </c>
      <c r="BX81" s="12">
        <v>3640</v>
      </c>
      <c r="BY81" s="12">
        <v>2571.9799999999982</v>
      </c>
      <c r="BZ81" s="12">
        <v>4424.7700000000013</v>
      </c>
      <c r="CA81" s="12">
        <v>4015.49</v>
      </c>
      <c r="CB81" s="6"/>
      <c r="CC81" s="10">
        <v>79</v>
      </c>
      <c r="CD81" s="10"/>
      <c r="CE81" s="12">
        <v>3985.5999999999995</v>
      </c>
      <c r="CF81" s="12">
        <v>2097.5</v>
      </c>
      <c r="CG81" s="12">
        <v>5461.1999999999989</v>
      </c>
      <c r="CH81" s="12">
        <v>2893.9000000000033</v>
      </c>
      <c r="CI81" s="12">
        <v>6497.4399999999923</v>
      </c>
      <c r="CJ81" s="12">
        <v>6021.8500000000076</v>
      </c>
    </row>
    <row r="82" spans="1:88" ht="15.75" customHeight="1">
      <c r="A82" s="6"/>
      <c r="B82" s="10">
        <v>80</v>
      </c>
      <c r="C82" s="6"/>
      <c r="G82" s="6">
        <v>22.998999999999999</v>
      </c>
      <c r="H82" s="7">
        <f t="shared" si="0"/>
        <v>37.308999999999955</v>
      </c>
      <c r="I82" s="6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BB82" s="10">
        <v>80</v>
      </c>
      <c r="BC82" s="10" t="s">
        <v>6</v>
      </c>
      <c r="BD82" s="12">
        <v>1201.0300000000011</v>
      </c>
      <c r="BE82" s="12">
        <v>560.75099999999941</v>
      </c>
      <c r="BF82" s="12">
        <v>1338.3850000000011</v>
      </c>
      <c r="BG82" s="12">
        <v>939.27999999999986</v>
      </c>
      <c r="BH82" s="12">
        <v>1637.4899999999989</v>
      </c>
      <c r="BI82" s="12">
        <v>1488.1300000000006</v>
      </c>
      <c r="BK82" s="10">
        <v>80</v>
      </c>
      <c r="BL82" s="10" t="s">
        <v>24</v>
      </c>
      <c r="BM82" s="12">
        <v>1797.1400000000017</v>
      </c>
      <c r="BN82" s="12">
        <v>797.75799999999913</v>
      </c>
      <c r="BO82" s="12">
        <v>1984.8560000000007</v>
      </c>
      <c r="BP82" s="12">
        <v>1391.3689999999979</v>
      </c>
      <c r="BQ82" s="12">
        <v>2407.0999999999972</v>
      </c>
      <c r="BR82" s="12">
        <v>2232.4699999999966</v>
      </c>
      <c r="BS82" s="6"/>
      <c r="BT82" s="10">
        <v>80</v>
      </c>
      <c r="BU82" s="10"/>
      <c r="BV82" s="12">
        <v>2707.9129999999986</v>
      </c>
      <c r="BW82" s="12">
        <v>1464.2199999999982</v>
      </c>
      <c r="BX82" s="12">
        <v>3705</v>
      </c>
      <c r="BY82" s="12">
        <v>2618.045999999998</v>
      </c>
      <c r="BZ82" s="12">
        <v>4504.929000000001</v>
      </c>
      <c r="CA82" s="12">
        <v>4088.6729999999998</v>
      </c>
      <c r="CB82" s="6"/>
      <c r="CC82" s="10">
        <v>80</v>
      </c>
      <c r="CD82" s="10"/>
      <c r="CE82" s="12">
        <v>4062.1199999999994</v>
      </c>
      <c r="CF82" s="12">
        <v>2136.75</v>
      </c>
      <c r="CG82" s="12">
        <v>5559.2399999999989</v>
      </c>
      <c r="CH82" s="12">
        <v>2931.0300000000034</v>
      </c>
      <c r="CI82" s="12">
        <v>6616.6879999999919</v>
      </c>
      <c r="CJ82" s="12">
        <v>6131.2450000000081</v>
      </c>
    </row>
    <row r="83" spans="1:88" ht="15.75" customHeight="1">
      <c r="A83" s="6"/>
      <c r="B83" s="10">
        <v>81</v>
      </c>
      <c r="C83" s="6"/>
      <c r="G83" s="6">
        <v>24.172000000000001</v>
      </c>
      <c r="H83" s="7">
        <f t="shared" si="0"/>
        <v>39.005999999999958</v>
      </c>
      <c r="I83" s="6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10">
        <v>81</v>
      </c>
      <c r="BC83" s="10" t="s">
        <v>6</v>
      </c>
      <c r="BD83" s="12">
        <v>1218.1600000000012</v>
      </c>
      <c r="BE83" s="12">
        <v>567.87199999999939</v>
      </c>
      <c r="BF83" s="12">
        <v>1356.7200000000012</v>
      </c>
      <c r="BG83" s="12">
        <v>952.15999999999985</v>
      </c>
      <c r="BH83" s="12">
        <v>1661.2799999999988</v>
      </c>
      <c r="BI83" s="12">
        <v>1509.3600000000006</v>
      </c>
      <c r="BK83" s="10">
        <v>81</v>
      </c>
      <c r="BL83" s="10" t="s">
        <v>24</v>
      </c>
      <c r="BM83" s="12">
        <v>1826.0800000000017</v>
      </c>
      <c r="BN83" s="12">
        <v>808.97599999999909</v>
      </c>
      <c r="BO83" s="12">
        <v>2012.4320000000007</v>
      </c>
      <c r="BP83" s="12">
        <v>1410.7679999999978</v>
      </c>
      <c r="BQ83" s="12">
        <v>2441.1999999999971</v>
      </c>
      <c r="BR83" s="12">
        <v>2263.8399999999965</v>
      </c>
      <c r="BS83" s="6"/>
      <c r="BT83" s="10">
        <v>81</v>
      </c>
      <c r="BU83" s="10"/>
      <c r="BV83" s="12">
        <v>2759.1359999999986</v>
      </c>
      <c r="BW83" s="12">
        <v>1489.8399999999981</v>
      </c>
      <c r="BX83" s="12">
        <v>3770</v>
      </c>
      <c r="BY83" s="12">
        <v>2664.1119999999978</v>
      </c>
      <c r="BZ83" s="12">
        <v>4585.0880000000006</v>
      </c>
      <c r="CA83" s="12">
        <v>4161.8559999999998</v>
      </c>
      <c r="CB83" s="6"/>
      <c r="CC83" s="10">
        <v>81</v>
      </c>
      <c r="CD83" s="10"/>
      <c r="CE83" s="12">
        <v>4138.6399999999994</v>
      </c>
      <c r="CF83" s="12">
        <v>2176</v>
      </c>
      <c r="CG83" s="12">
        <v>5657.2799999999988</v>
      </c>
      <c r="CH83" s="12">
        <v>2968.1600000000035</v>
      </c>
      <c r="CI83" s="12">
        <v>6735.9359999999915</v>
      </c>
      <c r="CJ83" s="12">
        <v>6240.6400000000085</v>
      </c>
    </row>
    <row r="84" spans="1:88" ht="15.75" customHeight="1">
      <c r="A84" s="6"/>
      <c r="B84" s="10">
        <v>82</v>
      </c>
      <c r="C84" s="6"/>
      <c r="G84" s="7">
        <v>25.344000000000001</v>
      </c>
      <c r="H84" s="7">
        <f t="shared" si="0"/>
        <v>40.70299999999996</v>
      </c>
      <c r="I84" s="6"/>
      <c r="K84" s="22"/>
      <c r="L84" s="22"/>
      <c r="M84" s="22"/>
      <c r="N84" s="22"/>
      <c r="O84" s="22"/>
      <c r="P84" s="22"/>
      <c r="Q84" s="22" t="s">
        <v>29</v>
      </c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7"/>
      <c r="AW84" s="7"/>
      <c r="AX84" s="7"/>
      <c r="AY84" s="7"/>
      <c r="AZ84" s="7"/>
      <c r="BA84" s="7"/>
      <c r="BB84" s="10">
        <v>82</v>
      </c>
      <c r="BC84" s="10" t="s">
        <v>6</v>
      </c>
      <c r="BD84" s="12">
        <v>1235.2900000000013</v>
      </c>
      <c r="BE84" s="12">
        <v>574.99299999999937</v>
      </c>
      <c r="BF84" s="12">
        <v>1375.0550000000012</v>
      </c>
      <c r="BG84" s="12">
        <v>965.03999999999985</v>
      </c>
      <c r="BH84" s="12">
        <v>1685.0699999999988</v>
      </c>
      <c r="BI84" s="12">
        <v>1530.5900000000006</v>
      </c>
      <c r="BK84" s="10">
        <v>82</v>
      </c>
      <c r="BL84" s="10" t="s">
        <v>24</v>
      </c>
      <c r="BM84" s="12">
        <v>1855.0200000000018</v>
      </c>
      <c r="BN84" s="12">
        <v>820.19399999999905</v>
      </c>
      <c r="BO84" s="12">
        <v>2040.0080000000007</v>
      </c>
      <c r="BP84" s="12">
        <v>1430.1669999999976</v>
      </c>
      <c r="BQ84" s="12">
        <v>2475.299999999997</v>
      </c>
      <c r="BR84" s="12">
        <v>2295.2099999999964</v>
      </c>
      <c r="BS84" s="6"/>
      <c r="BT84" s="10">
        <v>82</v>
      </c>
      <c r="BU84" s="10"/>
      <c r="BV84" s="12">
        <v>2810.3589999999986</v>
      </c>
      <c r="BW84" s="12">
        <v>1515.459999999998</v>
      </c>
      <c r="BX84" s="12">
        <v>3835</v>
      </c>
      <c r="BY84" s="12">
        <v>2710.1779999999976</v>
      </c>
      <c r="BZ84" s="12">
        <v>4665.2470000000003</v>
      </c>
      <c r="CA84" s="12">
        <v>4235.0389999999998</v>
      </c>
      <c r="CB84" s="6"/>
      <c r="CC84" s="10">
        <v>82</v>
      </c>
      <c r="CD84" s="10"/>
      <c r="CE84" s="12">
        <v>4215.16</v>
      </c>
      <c r="CF84" s="12">
        <v>2215.25</v>
      </c>
      <c r="CG84" s="12">
        <v>5755.3199999999988</v>
      </c>
      <c r="CH84" s="12">
        <v>3005.2900000000036</v>
      </c>
      <c r="CI84" s="12">
        <v>6855.1839999999911</v>
      </c>
      <c r="CJ84" s="12">
        <v>6350.0350000000089</v>
      </c>
    </row>
    <row r="85" spans="1:88" ht="15.75" customHeight="1">
      <c r="A85" s="6"/>
      <c r="B85" s="10">
        <v>83</v>
      </c>
      <c r="C85" s="6"/>
      <c r="G85" s="7">
        <v>26.516999999999999</v>
      </c>
      <c r="H85" s="7">
        <f t="shared" si="0"/>
        <v>42.399999999999963</v>
      </c>
      <c r="I85" s="6"/>
      <c r="K85" s="22">
        <v>4.8</v>
      </c>
      <c r="L85" s="22">
        <v>5</v>
      </c>
      <c r="M85" s="22">
        <v>6</v>
      </c>
      <c r="N85" s="22">
        <v>7</v>
      </c>
      <c r="O85" s="22">
        <v>8</v>
      </c>
      <c r="P85" s="22">
        <v>9</v>
      </c>
      <c r="Q85" s="26">
        <v>10</v>
      </c>
      <c r="R85" s="26">
        <v>11</v>
      </c>
      <c r="S85" s="26">
        <v>12</v>
      </c>
      <c r="T85" s="26">
        <v>13</v>
      </c>
      <c r="U85" s="26">
        <v>14</v>
      </c>
      <c r="V85" s="26">
        <v>15</v>
      </c>
      <c r="W85" s="26">
        <v>16</v>
      </c>
      <c r="X85" s="26">
        <v>17</v>
      </c>
      <c r="Y85" s="26">
        <v>18</v>
      </c>
      <c r="Z85" s="26">
        <v>19</v>
      </c>
      <c r="AA85" s="26">
        <v>20</v>
      </c>
      <c r="AB85" s="26">
        <v>21</v>
      </c>
      <c r="AC85" s="26">
        <v>22</v>
      </c>
      <c r="AD85" s="26">
        <v>23</v>
      </c>
      <c r="AE85" s="22">
        <v>24</v>
      </c>
      <c r="AF85" s="27">
        <v>25</v>
      </c>
      <c r="AG85" s="27">
        <v>26</v>
      </c>
      <c r="AH85" s="27">
        <v>27</v>
      </c>
      <c r="AI85" s="27">
        <v>28</v>
      </c>
      <c r="AJ85" s="27">
        <v>29</v>
      </c>
      <c r="AK85" s="27">
        <v>30</v>
      </c>
      <c r="AL85" s="27">
        <v>31</v>
      </c>
      <c r="AM85" s="27">
        <v>32</v>
      </c>
      <c r="AN85" s="27">
        <v>33</v>
      </c>
      <c r="AO85" s="27">
        <v>34</v>
      </c>
      <c r="AP85" s="27">
        <v>35</v>
      </c>
      <c r="AQ85" s="27">
        <v>36</v>
      </c>
      <c r="AR85" s="27">
        <v>37</v>
      </c>
      <c r="AS85" s="27">
        <v>38</v>
      </c>
      <c r="AT85" s="27">
        <v>39</v>
      </c>
      <c r="AU85" s="22"/>
      <c r="BA85" s="7"/>
      <c r="BB85" s="10">
        <v>83</v>
      </c>
      <c r="BC85" s="10" t="s">
        <v>6</v>
      </c>
      <c r="BD85" s="12">
        <v>1252.4200000000014</v>
      </c>
      <c r="BE85" s="12">
        <v>582.11399999999935</v>
      </c>
      <c r="BF85" s="12">
        <v>1393.3900000000012</v>
      </c>
      <c r="BG85" s="12">
        <v>977.91999999999985</v>
      </c>
      <c r="BH85" s="12">
        <v>1708.8599999999988</v>
      </c>
      <c r="BI85" s="12">
        <v>1551.8200000000006</v>
      </c>
      <c r="BK85" s="10">
        <v>83</v>
      </c>
      <c r="BL85" s="10" t="s">
        <v>24</v>
      </c>
      <c r="BM85" s="12">
        <v>1883.9600000000019</v>
      </c>
      <c r="BN85" s="12">
        <v>831.41199999999901</v>
      </c>
      <c r="BO85" s="12">
        <v>2067.5840000000007</v>
      </c>
      <c r="BP85" s="12">
        <v>1449.5659999999975</v>
      </c>
      <c r="BQ85" s="12">
        <v>2509.3999999999969</v>
      </c>
      <c r="BR85" s="12">
        <v>2326.5799999999963</v>
      </c>
      <c r="BS85" s="6"/>
      <c r="BT85" s="10">
        <v>83</v>
      </c>
      <c r="BU85" s="10"/>
      <c r="BV85" s="12">
        <v>2861.5819999999985</v>
      </c>
      <c r="BW85" s="12">
        <v>1541.0799999999979</v>
      </c>
      <c r="BX85" s="12">
        <v>3900</v>
      </c>
      <c r="BY85" s="12">
        <v>2756.2439999999974</v>
      </c>
      <c r="BZ85" s="12">
        <v>4745.4059999999999</v>
      </c>
      <c r="CA85" s="12">
        <v>4308.2219999999998</v>
      </c>
      <c r="CB85" s="6"/>
      <c r="CC85" s="10">
        <v>83</v>
      </c>
      <c r="CD85" s="10"/>
      <c r="CE85" s="12">
        <v>4291.68</v>
      </c>
      <c r="CF85" s="12">
        <v>2254.5</v>
      </c>
      <c r="CG85" s="12">
        <v>5853.3599999999988</v>
      </c>
      <c r="CH85" s="12">
        <v>3042.4200000000037</v>
      </c>
      <c r="CI85" s="12">
        <v>6974.4319999999907</v>
      </c>
      <c r="CJ85" s="12">
        <v>6459.4300000000094</v>
      </c>
    </row>
    <row r="86" spans="1:88" ht="15.75" customHeight="1">
      <c r="A86" s="6"/>
      <c r="B86" s="10">
        <v>84</v>
      </c>
      <c r="C86" s="6"/>
      <c r="G86" s="7">
        <v>27.690999999999999</v>
      </c>
      <c r="H86" s="7">
        <f t="shared" si="0"/>
        <v>44.096999999999966</v>
      </c>
      <c r="I86" s="6"/>
      <c r="K86" s="22"/>
      <c r="L86" s="22">
        <f t="shared" ref="L86:O86" si="3">M86-M87</f>
        <v>1334.4500000000005</v>
      </c>
      <c r="M86" s="22">
        <f t="shared" si="3"/>
        <v>1427.5600000000004</v>
      </c>
      <c r="N86" s="22">
        <f t="shared" si="3"/>
        <v>1520.6700000000003</v>
      </c>
      <c r="O86" s="22">
        <f t="shared" si="3"/>
        <v>1613.7800000000002</v>
      </c>
      <c r="P86" s="22">
        <f>Q86-Q87</f>
        <v>1706.89</v>
      </c>
      <c r="Q86" s="26">
        <v>1800</v>
      </c>
      <c r="R86" s="22">
        <f>Q86+Q87</f>
        <v>1893.11</v>
      </c>
      <c r="S86" s="22">
        <f t="shared" ref="S86:AT86" si="4">R86+R87</f>
        <v>1986.2199999999998</v>
      </c>
      <c r="T86" s="22">
        <f t="shared" si="4"/>
        <v>2079.33</v>
      </c>
      <c r="U86" s="22">
        <f t="shared" si="4"/>
        <v>2172.44</v>
      </c>
      <c r="V86" s="22">
        <f t="shared" si="4"/>
        <v>2265.5500000000002</v>
      </c>
      <c r="W86" s="22">
        <f t="shared" si="4"/>
        <v>2358.6600000000003</v>
      </c>
      <c r="X86" s="22">
        <f t="shared" si="4"/>
        <v>2451.7700000000004</v>
      </c>
      <c r="Y86" s="22">
        <f t="shared" si="4"/>
        <v>2544.8800000000006</v>
      </c>
      <c r="Z86" s="22">
        <f t="shared" si="4"/>
        <v>2637.9900000000007</v>
      </c>
      <c r="AA86" s="22">
        <f t="shared" si="4"/>
        <v>2731.1000000000008</v>
      </c>
      <c r="AB86" s="22">
        <f t="shared" si="4"/>
        <v>2824.2100000000009</v>
      </c>
      <c r="AC86" s="22">
        <f t="shared" si="4"/>
        <v>2917.3200000000011</v>
      </c>
      <c r="AD86" s="22">
        <f t="shared" si="4"/>
        <v>3010.4300000000012</v>
      </c>
      <c r="AE86" s="22">
        <f t="shared" si="4"/>
        <v>3103.5400000000013</v>
      </c>
      <c r="AF86" s="22">
        <f t="shared" si="4"/>
        <v>3196.6500000000015</v>
      </c>
      <c r="AG86" s="22">
        <f t="shared" si="4"/>
        <v>3289.7600000000016</v>
      </c>
      <c r="AH86" s="22">
        <f t="shared" si="4"/>
        <v>3382.8700000000017</v>
      </c>
      <c r="AI86" s="22">
        <f t="shared" si="4"/>
        <v>3475.9800000000018</v>
      </c>
      <c r="AJ86" s="22">
        <f t="shared" si="4"/>
        <v>3569.090000000002</v>
      </c>
      <c r="AK86" s="22">
        <f t="shared" si="4"/>
        <v>3662.2000000000021</v>
      </c>
      <c r="AL86" s="22">
        <f t="shared" si="4"/>
        <v>3755.3100000000022</v>
      </c>
      <c r="AM86" s="22">
        <f t="shared" si="4"/>
        <v>3848.4200000000023</v>
      </c>
      <c r="AN86" s="22">
        <f t="shared" si="4"/>
        <v>3941.5300000000025</v>
      </c>
      <c r="AO86" s="22">
        <f t="shared" si="4"/>
        <v>4034.6400000000026</v>
      </c>
      <c r="AP86" s="22">
        <f t="shared" si="4"/>
        <v>4127.7500000000027</v>
      </c>
      <c r="AQ86" s="22">
        <f t="shared" si="4"/>
        <v>4220.8600000000024</v>
      </c>
      <c r="AR86" s="22">
        <f t="shared" si="4"/>
        <v>4313.9700000000021</v>
      </c>
      <c r="AS86" s="22">
        <f t="shared" si="4"/>
        <v>4407.0800000000017</v>
      </c>
      <c r="AT86" s="22">
        <f t="shared" si="4"/>
        <v>4500.1900000000014</v>
      </c>
      <c r="AU86" s="22">
        <v>4500</v>
      </c>
      <c r="BA86" s="7"/>
      <c r="BB86" s="10">
        <v>84</v>
      </c>
      <c r="BC86" s="10" t="s">
        <v>6</v>
      </c>
      <c r="BD86" s="12">
        <v>1269.5500000000015</v>
      </c>
      <c r="BE86" s="12">
        <v>589.23499999999933</v>
      </c>
      <c r="BF86" s="12">
        <v>1411.7250000000013</v>
      </c>
      <c r="BG86" s="12">
        <v>990.79999999999984</v>
      </c>
      <c r="BH86" s="12">
        <v>1732.6499999999987</v>
      </c>
      <c r="BI86" s="12">
        <v>1573.0500000000006</v>
      </c>
      <c r="BK86" s="10">
        <v>84</v>
      </c>
      <c r="BL86" s="10" t="s">
        <v>24</v>
      </c>
      <c r="BM86" s="12">
        <v>1912.9000000000019</v>
      </c>
      <c r="BN86" s="12">
        <v>842.62999999999897</v>
      </c>
      <c r="BO86" s="12">
        <v>2095.1600000000008</v>
      </c>
      <c r="BP86" s="12">
        <v>1468.9649999999974</v>
      </c>
      <c r="BQ86" s="12">
        <v>2543.4999999999968</v>
      </c>
      <c r="BR86" s="12">
        <v>2357.9499999999962</v>
      </c>
      <c r="BS86" s="6"/>
      <c r="BT86" s="10">
        <v>84</v>
      </c>
      <c r="BU86" s="10"/>
      <c r="BV86" s="12">
        <v>2912.8049999999985</v>
      </c>
      <c r="BW86" s="12">
        <v>1566.6999999999978</v>
      </c>
      <c r="BX86" s="12">
        <v>3965</v>
      </c>
      <c r="BY86" s="12">
        <v>2802.3099999999972</v>
      </c>
      <c r="BZ86" s="12">
        <v>4825.5649999999996</v>
      </c>
      <c r="CA86" s="12">
        <v>4381.4049999999997</v>
      </c>
      <c r="CB86" s="6"/>
      <c r="CC86" s="10">
        <v>84</v>
      </c>
      <c r="CD86" s="10"/>
      <c r="CE86" s="12">
        <v>4368.2000000000007</v>
      </c>
      <c r="CF86" s="12">
        <v>2293.75</v>
      </c>
      <c r="CG86" s="12">
        <v>5951.3999999999987</v>
      </c>
      <c r="CH86" s="12">
        <v>3079.5500000000038</v>
      </c>
      <c r="CI86" s="12">
        <v>7093.6799999999903</v>
      </c>
      <c r="CJ86" s="12">
        <v>6568.8250000000098</v>
      </c>
    </row>
    <row r="87" spans="1:88" ht="15.75" customHeight="1">
      <c r="A87" s="6"/>
      <c r="B87" s="10">
        <v>85</v>
      </c>
      <c r="C87" s="6"/>
      <c r="G87" s="7">
        <f>G86+(1.176)</f>
        <v>28.866999999999997</v>
      </c>
      <c r="H87" s="7">
        <f t="shared" si="0"/>
        <v>45.793999999999969</v>
      </c>
      <c r="I87" s="6"/>
      <c r="K87" s="22"/>
      <c r="L87" s="26">
        <v>93.11</v>
      </c>
      <c r="M87" s="26">
        <v>93.11</v>
      </c>
      <c r="N87" s="26">
        <v>93.11</v>
      </c>
      <c r="O87" s="26">
        <v>93.11</v>
      </c>
      <c r="P87" s="26">
        <v>93.11</v>
      </c>
      <c r="Q87" s="26">
        <v>93.11</v>
      </c>
      <c r="R87" s="26">
        <v>93.11</v>
      </c>
      <c r="S87" s="26">
        <v>93.11</v>
      </c>
      <c r="T87" s="26">
        <v>93.11</v>
      </c>
      <c r="U87" s="26">
        <v>93.11</v>
      </c>
      <c r="V87" s="26">
        <v>93.11</v>
      </c>
      <c r="W87" s="26">
        <v>93.11</v>
      </c>
      <c r="X87" s="26">
        <v>93.11</v>
      </c>
      <c r="Y87" s="26">
        <v>93.11</v>
      </c>
      <c r="Z87" s="26">
        <v>93.11</v>
      </c>
      <c r="AA87" s="26">
        <v>93.11</v>
      </c>
      <c r="AB87" s="26">
        <v>93.11</v>
      </c>
      <c r="AC87" s="26">
        <v>93.11</v>
      </c>
      <c r="AD87" s="26">
        <v>93.11</v>
      </c>
      <c r="AE87" s="26">
        <v>93.11</v>
      </c>
      <c r="AF87" s="26">
        <v>93.11</v>
      </c>
      <c r="AG87" s="26">
        <v>93.11</v>
      </c>
      <c r="AH87" s="26">
        <v>93.11</v>
      </c>
      <c r="AI87" s="26">
        <v>93.11</v>
      </c>
      <c r="AJ87" s="26">
        <v>93.11</v>
      </c>
      <c r="AK87" s="26">
        <v>93.11</v>
      </c>
      <c r="AL87" s="26">
        <v>93.11</v>
      </c>
      <c r="AM87" s="26">
        <v>93.11</v>
      </c>
      <c r="AN87" s="26">
        <v>93.11</v>
      </c>
      <c r="AO87" s="26">
        <v>93.11</v>
      </c>
      <c r="AP87" s="26">
        <v>93.11</v>
      </c>
      <c r="AQ87" s="26">
        <v>93.11</v>
      </c>
      <c r="AR87" s="26">
        <v>93.11</v>
      </c>
      <c r="AS87" s="26">
        <v>93.11</v>
      </c>
      <c r="AT87" s="26">
        <v>93.11</v>
      </c>
      <c r="AU87" s="22"/>
      <c r="BA87" s="7"/>
      <c r="BB87" s="10">
        <v>85</v>
      </c>
      <c r="BC87" s="10" t="s">
        <v>6</v>
      </c>
      <c r="BD87" s="12">
        <v>1286.6800000000017</v>
      </c>
      <c r="BE87" s="12">
        <v>596.35599999999931</v>
      </c>
      <c r="BF87" s="12">
        <v>1430.0600000000013</v>
      </c>
      <c r="BG87" s="12">
        <v>1003.6799999999998</v>
      </c>
      <c r="BH87" s="12">
        <v>1756.4399999999987</v>
      </c>
      <c r="BI87" s="12">
        <v>1594.2800000000007</v>
      </c>
      <c r="BK87" s="10">
        <v>85</v>
      </c>
      <c r="BL87" s="10" t="s">
        <v>24</v>
      </c>
      <c r="BM87" s="12">
        <v>1941.840000000002</v>
      </c>
      <c r="BN87" s="12">
        <v>853.84799999999893</v>
      </c>
      <c r="BO87" s="12">
        <v>2122.7360000000008</v>
      </c>
      <c r="BP87" s="12">
        <v>1488.3639999999973</v>
      </c>
      <c r="BQ87" s="12">
        <v>2577.5999999999967</v>
      </c>
      <c r="BR87" s="12">
        <v>2389.3199999999961</v>
      </c>
      <c r="BS87" s="6"/>
      <c r="BT87" s="10">
        <v>85</v>
      </c>
      <c r="BU87" s="10"/>
      <c r="BV87" s="12">
        <v>2964.0279999999984</v>
      </c>
      <c r="BW87" s="12">
        <v>1592.3199999999977</v>
      </c>
      <c r="BX87" s="12">
        <v>4030</v>
      </c>
      <c r="BY87" s="12">
        <v>2848.375999999997</v>
      </c>
      <c r="BZ87" s="12">
        <v>4905.7239999999993</v>
      </c>
      <c r="CA87" s="12">
        <v>4454.5879999999997</v>
      </c>
      <c r="CB87" s="6"/>
      <c r="CC87" s="10">
        <v>85</v>
      </c>
      <c r="CD87" s="10"/>
      <c r="CE87" s="12">
        <v>4444.7200000000012</v>
      </c>
      <c r="CF87" s="12">
        <v>2333</v>
      </c>
      <c r="CG87" s="12">
        <v>6049.4399999999987</v>
      </c>
      <c r="CH87" s="12">
        <v>3116.6800000000039</v>
      </c>
      <c r="CI87" s="12">
        <v>7212.9279999999899</v>
      </c>
      <c r="CJ87" s="12">
        <v>6678.2200000000103</v>
      </c>
    </row>
    <row r="88" spans="1:88" ht="15.75" customHeight="1">
      <c r="A88" s="6"/>
      <c r="B88" s="10">
        <v>86</v>
      </c>
      <c r="C88" s="6"/>
      <c r="G88" s="7">
        <f t="shared" ref="G88:G105" si="5">G87+(1.176)</f>
        <v>30.042999999999996</v>
      </c>
      <c r="H88" s="7">
        <f t="shared" si="0"/>
        <v>47.490999999999971</v>
      </c>
      <c r="I88" s="6"/>
      <c r="Q88" s="7" t="s">
        <v>67</v>
      </c>
      <c r="BA88" s="7"/>
      <c r="BB88" s="10">
        <v>86</v>
      </c>
      <c r="BC88" s="10" t="s">
        <v>6</v>
      </c>
      <c r="BD88" s="12">
        <v>1303.8100000000018</v>
      </c>
      <c r="BE88" s="12">
        <v>603.47699999999929</v>
      </c>
      <c r="BF88" s="12">
        <v>1448.3950000000013</v>
      </c>
      <c r="BG88" s="12">
        <v>1016.5599999999998</v>
      </c>
      <c r="BH88" s="12">
        <v>1780.2299999999987</v>
      </c>
      <c r="BI88" s="12">
        <v>1615.5100000000007</v>
      </c>
      <c r="BK88" s="10">
        <v>86</v>
      </c>
      <c r="BL88" s="10" t="s">
        <v>24</v>
      </c>
      <c r="BM88" s="12">
        <v>1970.780000000002</v>
      </c>
      <c r="BN88" s="12">
        <v>865.06599999999889</v>
      </c>
      <c r="BO88" s="12">
        <v>2150.3120000000008</v>
      </c>
      <c r="BP88" s="12">
        <v>1507.7629999999972</v>
      </c>
      <c r="BQ88" s="12">
        <v>2611.6999999999966</v>
      </c>
      <c r="BR88" s="12">
        <v>2420.689999999996</v>
      </c>
      <c r="BS88" s="6"/>
      <c r="BT88" s="10">
        <v>86</v>
      </c>
      <c r="BU88" s="10"/>
      <c r="BV88" s="12">
        <v>3015.2509999999984</v>
      </c>
      <c r="BW88" s="12">
        <v>1617.9399999999976</v>
      </c>
      <c r="BX88" s="12">
        <v>4095</v>
      </c>
      <c r="BY88" s="12">
        <v>2894.4419999999968</v>
      </c>
      <c r="BZ88" s="12">
        <v>4985.8829999999989</v>
      </c>
      <c r="CA88" s="12">
        <v>4527.7709999999997</v>
      </c>
      <c r="CB88" s="6"/>
      <c r="CC88" s="10">
        <v>86</v>
      </c>
      <c r="CD88" s="10"/>
      <c r="CE88" s="12">
        <v>4521.2400000000016</v>
      </c>
      <c r="CF88" s="12">
        <v>2372.25</v>
      </c>
      <c r="CG88" s="12">
        <v>6147.4799999999987</v>
      </c>
      <c r="CH88" s="12">
        <v>3153.810000000004</v>
      </c>
      <c r="CI88" s="12">
        <v>7332.1759999999895</v>
      </c>
      <c r="CJ88" s="12">
        <v>6787.6150000000107</v>
      </c>
    </row>
    <row r="89" spans="1:88" ht="15.75" customHeight="1">
      <c r="A89" s="6"/>
      <c r="B89" s="10">
        <v>87</v>
      </c>
      <c r="C89" s="6"/>
      <c r="G89" s="7">
        <f t="shared" si="5"/>
        <v>31.218999999999994</v>
      </c>
      <c r="H89" s="7">
        <f t="shared" si="0"/>
        <v>49.187999999999974</v>
      </c>
      <c r="K89" s="7">
        <v>6.4</v>
      </c>
      <c r="L89" s="7">
        <f t="shared" ref="L89:O89" si="6">M89-L90</f>
        <v>781.00500000000011</v>
      </c>
      <c r="M89" s="7">
        <f t="shared" si="6"/>
        <v>804.80400000000009</v>
      </c>
      <c r="N89" s="7">
        <f t="shared" si="6"/>
        <v>828.60300000000007</v>
      </c>
      <c r="O89" s="7">
        <f t="shared" si="6"/>
        <v>852.40200000000004</v>
      </c>
      <c r="P89" s="7">
        <f>Q89-P90</f>
        <v>876.20100000000002</v>
      </c>
      <c r="Q89" s="7">
        <v>900</v>
      </c>
      <c r="R89" s="7">
        <f>Q89+Q90</f>
        <v>923.79899999999998</v>
      </c>
      <c r="S89" s="7">
        <f t="shared" ref="S89:AT89" si="7">R89+R90</f>
        <v>947.59799999999996</v>
      </c>
      <c r="T89" s="7">
        <f t="shared" si="7"/>
        <v>971.39699999999993</v>
      </c>
      <c r="U89" s="7">
        <f t="shared" si="7"/>
        <v>995.19599999999991</v>
      </c>
      <c r="V89" s="7">
        <f t="shared" si="7"/>
        <v>1018.9949999999999</v>
      </c>
      <c r="W89" s="7">
        <f t="shared" si="7"/>
        <v>1042.7939999999999</v>
      </c>
      <c r="X89" s="7">
        <f t="shared" si="7"/>
        <v>1066.5929999999998</v>
      </c>
      <c r="Y89" s="7">
        <f t="shared" si="7"/>
        <v>1090.3919999999998</v>
      </c>
      <c r="Z89" s="7">
        <f t="shared" si="7"/>
        <v>1114.1909999999998</v>
      </c>
      <c r="AA89" s="7">
        <f t="shared" si="7"/>
        <v>1137.9899999999998</v>
      </c>
      <c r="AB89" s="7">
        <f t="shared" si="7"/>
        <v>1161.7889999999998</v>
      </c>
      <c r="AC89" s="7">
        <f t="shared" si="7"/>
        <v>1185.5879999999997</v>
      </c>
      <c r="AD89" s="7">
        <f t="shared" si="7"/>
        <v>1209.3869999999997</v>
      </c>
      <c r="AE89" s="7">
        <f t="shared" si="7"/>
        <v>1233.1859999999997</v>
      </c>
      <c r="AF89" s="7">
        <f t="shared" si="7"/>
        <v>1256.9849999999997</v>
      </c>
      <c r="AG89" s="7">
        <f t="shared" si="7"/>
        <v>1280.7839999999997</v>
      </c>
      <c r="AH89" s="7">
        <f t="shared" si="7"/>
        <v>1304.5829999999996</v>
      </c>
      <c r="AI89" s="7">
        <f t="shared" si="7"/>
        <v>1328.3819999999996</v>
      </c>
      <c r="AJ89" s="7">
        <f t="shared" si="7"/>
        <v>1352.1809999999996</v>
      </c>
      <c r="AK89" s="7">
        <f t="shared" si="7"/>
        <v>1375.9799999999996</v>
      </c>
      <c r="AL89" s="7">
        <f t="shared" si="7"/>
        <v>1399.7789999999995</v>
      </c>
      <c r="AM89" s="7">
        <f t="shared" si="7"/>
        <v>1423.5779999999995</v>
      </c>
      <c r="AN89" s="7">
        <f t="shared" si="7"/>
        <v>1447.3769999999995</v>
      </c>
      <c r="AO89" s="7">
        <f t="shared" si="7"/>
        <v>1471.1759999999995</v>
      </c>
      <c r="AP89" s="7">
        <f t="shared" si="7"/>
        <v>1494.9749999999995</v>
      </c>
      <c r="AQ89" s="7">
        <f t="shared" si="7"/>
        <v>1518.7739999999994</v>
      </c>
      <c r="AR89" s="7">
        <f t="shared" si="7"/>
        <v>1542.5729999999994</v>
      </c>
      <c r="AS89" s="7">
        <f t="shared" si="7"/>
        <v>1566.3719999999994</v>
      </c>
      <c r="AT89" s="7">
        <f t="shared" si="7"/>
        <v>1590.1709999999994</v>
      </c>
      <c r="AU89">
        <v>1690</v>
      </c>
      <c r="BA89" s="7"/>
      <c r="BB89" s="10">
        <v>87</v>
      </c>
      <c r="BC89" s="10" t="s">
        <v>6</v>
      </c>
      <c r="BD89" s="12">
        <v>1320.9400000000019</v>
      </c>
      <c r="BE89" s="12">
        <v>610.59799999999927</v>
      </c>
      <c r="BF89" s="12">
        <v>1466.7300000000014</v>
      </c>
      <c r="BG89" s="12">
        <v>1029.4399999999998</v>
      </c>
      <c r="BH89" s="12">
        <v>1804.0199999999986</v>
      </c>
      <c r="BI89" s="12">
        <v>1636.7400000000007</v>
      </c>
      <c r="BK89" s="10">
        <v>87</v>
      </c>
      <c r="BL89" s="10" t="s">
        <v>24</v>
      </c>
      <c r="BM89" s="12">
        <v>1999.7200000000021</v>
      </c>
      <c r="BN89" s="12">
        <v>876.28399999999885</v>
      </c>
      <c r="BO89" s="12">
        <v>2177.8880000000008</v>
      </c>
      <c r="BP89" s="12">
        <v>1527.1619999999971</v>
      </c>
      <c r="BQ89" s="12">
        <v>2645.7999999999965</v>
      </c>
      <c r="BR89" s="12">
        <v>2452.0599999999959</v>
      </c>
      <c r="BS89" s="6"/>
      <c r="BT89" s="10">
        <v>87</v>
      </c>
      <c r="BU89" s="10"/>
      <c r="BV89" s="12">
        <v>3066.4739999999983</v>
      </c>
      <c r="BW89" s="12">
        <v>1643.5599999999974</v>
      </c>
      <c r="BX89" s="12">
        <v>4160</v>
      </c>
      <c r="BY89" s="12">
        <v>2940.5079999999966</v>
      </c>
      <c r="BZ89" s="12">
        <v>5066.0419999999986</v>
      </c>
      <c r="CA89" s="12">
        <v>4600.9539999999997</v>
      </c>
      <c r="CB89" s="6"/>
      <c r="CC89" s="10">
        <v>87</v>
      </c>
      <c r="CD89" s="10"/>
      <c r="CE89" s="12">
        <v>4597.760000000002</v>
      </c>
      <c r="CF89" s="12">
        <v>2411.5</v>
      </c>
      <c r="CG89" s="12">
        <v>6245.5199999999986</v>
      </c>
      <c r="CH89" s="12">
        <v>3190.9400000000041</v>
      </c>
      <c r="CI89" s="12">
        <v>7451.4239999999891</v>
      </c>
      <c r="CJ89" s="12">
        <v>6897.0100000000111</v>
      </c>
    </row>
    <row r="90" spans="1:88" ht="15.75" customHeight="1">
      <c r="A90" s="6"/>
      <c r="B90" s="10">
        <v>88</v>
      </c>
      <c r="C90" s="6"/>
      <c r="G90" s="7">
        <f t="shared" si="5"/>
        <v>32.394999999999996</v>
      </c>
      <c r="H90" s="7">
        <f t="shared" si="0"/>
        <v>50.884999999999977</v>
      </c>
      <c r="L90" s="7">
        <v>23.798999999999999</v>
      </c>
      <c r="M90" s="7">
        <v>23.798999999999999</v>
      </c>
      <c r="N90" s="7">
        <v>23.798999999999999</v>
      </c>
      <c r="O90" s="7">
        <v>23.798999999999999</v>
      </c>
      <c r="P90" s="7">
        <v>23.798999999999999</v>
      </c>
      <c r="Q90" s="7">
        <v>23.798999999999999</v>
      </c>
      <c r="R90" s="7">
        <v>23.798999999999999</v>
      </c>
      <c r="S90" s="7">
        <v>23.798999999999999</v>
      </c>
      <c r="T90" s="7">
        <v>23.798999999999999</v>
      </c>
      <c r="U90" s="7">
        <v>23.798999999999999</v>
      </c>
      <c r="V90" s="7">
        <v>23.798999999999999</v>
      </c>
      <c r="W90" s="7">
        <v>23.798999999999999</v>
      </c>
      <c r="X90" s="7">
        <v>23.798999999999999</v>
      </c>
      <c r="Y90" s="7">
        <v>23.798999999999999</v>
      </c>
      <c r="Z90" s="7">
        <v>23.798999999999999</v>
      </c>
      <c r="AA90" s="7">
        <v>23.798999999999999</v>
      </c>
      <c r="AB90" s="7">
        <v>23.798999999999999</v>
      </c>
      <c r="AC90" s="7">
        <v>23.798999999999999</v>
      </c>
      <c r="AD90" s="7">
        <v>23.798999999999999</v>
      </c>
      <c r="AE90" s="7">
        <v>23.798999999999999</v>
      </c>
      <c r="AF90" s="7">
        <v>23.798999999999999</v>
      </c>
      <c r="AG90" s="7">
        <v>23.798999999999999</v>
      </c>
      <c r="AH90" s="7">
        <v>23.798999999999999</v>
      </c>
      <c r="AI90" s="7">
        <v>23.798999999999999</v>
      </c>
      <c r="AJ90" s="7">
        <v>23.798999999999999</v>
      </c>
      <c r="AK90" s="7">
        <v>23.798999999999999</v>
      </c>
      <c r="AL90" s="7">
        <v>23.798999999999999</v>
      </c>
      <c r="AM90" s="7">
        <v>23.798999999999999</v>
      </c>
      <c r="AN90" s="7">
        <v>23.798999999999999</v>
      </c>
      <c r="AO90" s="7">
        <v>23.798999999999999</v>
      </c>
      <c r="AP90" s="7">
        <v>23.798999999999999</v>
      </c>
      <c r="AQ90" s="7">
        <v>23.798999999999999</v>
      </c>
      <c r="AR90" s="7">
        <v>23.798999999999999</v>
      </c>
      <c r="AS90" s="7">
        <v>23.798999999999999</v>
      </c>
      <c r="AT90" s="7">
        <v>23.798999999999999</v>
      </c>
      <c r="BA90" s="7"/>
      <c r="BB90" s="10">
        <v>88</v>
      </c>
      <c r="BC90" s="10" t="s">
        <v>6</v>
      </c>
      <c r="BD90" s="12">
        <v>1338.070000000002</v>
      </c>
      <c r="BE90" s="12">
        <v>617.71899999999926</v>
      </c>
      <c r="BF90" s="12">
        <v>1485.0650000000014</v>
      </c>
      <c r="BG90" s="12">
        <v>1042.32</v>
      </c>
      <c r="BH90" s="12">
        <v>1827.8099999999986</v>
      </c>
      <c r="BI90" s="12">
        <v>1657.9700000000007</v>
      </c>
      <c r="BK90" s="10">
        <v>88</v>
      </c>
      <c r="BL90" s="10" t="s">
        <v>24</v>
      </c>
      <c r="BM90" s="12">
        <v>2028.6600000000021</v>
      </c>
      <c r="BN90" s="12">
        <v>887.50199999999882</v>
      </c>
      <c r="BO90" s="12">
        <v>2205.4640000000009</v>
      </c>
      <c r="BP90" s="12">
        <v>1546.560999999997</v>
      </c>
      <c r="BQ90" s="12">
        <v>2679.8999999999965</v>
      </c>
      <c r="BR90" s="12">
        <v>2483.4299999999957</v>
      </c>
      <c r="BS90" s="6"/>
      <c r="BT90" s="10">
        <v>88</v>
      </c>
      <c r="BU90" s="10"/>
      <c r="BV90" s="12">
        <v>3117.6969999999983</v>
      </c>
      <c r="BW90" s="12">
        <v>1669.1799999999973</v>
      </c>
      <c r="BX90" s="12">
        <v>4225</v>
      </c>
      <c r="BY90" s="12">
        <v>2986.5739999999964</v>
      </c>
      <c r="BZ90" s="12">
        <v>5146.2009999999982</v>
      </c>
      <c r="CA90" s="12">
        <v>4674.1369999999997</v>
      </c>
      <c r="CB90" s="6"/>
      <c r="CC90" s="10">
        <v>88</v>
      </c>
      <c r="CD90" s="10"/>
      <c r="CE90" s="12">
        <v>4674.2800000000025</v>
      </c>
      <c r="CF90" s="12">
        <v>2450.75</v>
      </c>
      <c r="CG90" s="12">
        <v>6343.5599999999986</v>
      </c>
      <c r="CH90" s="12">
        <v>3228.0700000000043</v>
      </c>
      <c r="CI90" s="12">
        <v>7570.6719999999887</v>
      </c>
      <c r="CJ90" s="12">
        <v>7006.4050000000116</v>
      </c>
    </row>
    <row r="91" spans="1:88" ht="15.75" customHeight="1">
      <c r="A91" s="6"/>
      <c r="B91" s="10">
        <v>89</v>
      </c>
      <c r="C91" s="6"/>
      <c r="G91" s="7">
        <f t="shared" si="5"/>
        <v>33.570999999999998</v>
      </c>
      <c r="H91" s="7">
        <f t="shared" si="0"/>
        <v>52.581999999999979</v>
      </c>
      <c r="K91" s="22"/>
      <c r="L91" s="22"/>
      <c r="M91" s="22"/>
      <c r="N91" s="22"/>
      <c r="O91" s="22"/>
      <c r="P91" s="22"/>
      <c r="Q91" s="22" t="s">
        <v>29</v>
      </c>
      <c r="R91" s="22"/>
      <c r="S91" s="22"/>
      <c r="T91" s="22"/>
      <c r="U91" s="22"/>
      <c r="V91" s="22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BA91" s="7"/>
      <c r="BB91" s="10">
        <v>89</v>
      </c>
      <c r="BC91" s="10" t="s">
        <v>6</v>
      </c>
      <c r="BD91" s="12">
        <v>1355.2000000000021</v>
      </c>
      <c r="BE91" s="12">
        <v>624.83999999999924</v>
      </c>
      <c r="BF91" s="12">
        <v>1503.4000000000015</v>
      </c>
      <c r="BG91" s="12">
        <v>1055.2</v>
      </c>
      <c r="BH91" s="12">
        <v>1851.5999999999985</v>
      </c>
      <c r="BI91" s="12">
        <v>1679.2000000000007</v>
      </c>
      <c r="BK91" s="10">
        <v>89</v>
      </c>
      <c r="BL91" s="10" t="s">
        <v>24</v>
      </c>
      <c r="BM91" s="12">
        <v>2057.6000000000022</v>
      </c>
      <c r="BN91" s="12">
        <v>898.71999999999878</v>
      </c>
      <c r="BO91" s="12">
        <v>2233.0400000000009</v>
      </c>
      <c r="BP91" s="12">
        <v>1565.9599999999969</v>
      </c>
      <c r="BQ91" s="12">
        <v>2713.9999999999964</v>
      </c>
      <c r="BR91" s="12">
        <v>2514.7999999999956</v>
      </c>
      <c r="BS91" s="6"/>
      <c r="BT91" s="10">
        <v>89</v>
      </c>
      <c r="BU91" s="10"/>
      <c r="BV91" s="12">
        <v>3168.9199999999983</v>
      </c>
      <c r="BW91" s="12">
        <v>1694.7999999999972</v>
      </c>
      <c r="BX91" s="12">
        <v>4290</v>
      </c>
      <c r="BY91" s="12">
        <v>3032.6399999999962</v>
      </c>
      <c r="BZ91" s="12">
        <v>5226.3599999999979</v>
      </c>
      <c r="CA91" s="12">
        <v>4747.32</v>
      </c>
      <c r="CB91" s="6"/>
      <c r="CC91" s="10">
        <v>89</v>
      </c>
      <c r="CD91" s="10"/>
      <c r="CE91" s="12">
        <v>4750.8000000000029</v>
      </c>
      <c r="CF91" s="12">
        <v>2490</v>
      </c>
      <c r="CG91" s="12">
        <v>6441.5999999999985</v>
      </c>
      <c r="CH91" s="12">
        <v>3265.2000000000044</v>
      </c>
      <c r="CI91" s="12">
        <v>7689.9199999999882</v>
      </c>
      <c r="CJ91" s="12">
        <v>7115.800000000012</v>
      </c>
    </row>
    <row r="92" spans="1:88" ht="15.75" customHeight="1">
      <c r="A92" s="6"/>
      <c r="B92" s="10">
        <v>90</v>
      </c>
      <c r="C92" s="6"/>
      <c r="G92" s="7">
        <f t="shared" si="5"/>
        <v>34.747</v>
      </c>
      <c r="H92" s="7">
        <f t="shared" si="0"/>
        <v>54.278999999999982</v>
      </c>
      <c r="K92" s="22"/>
      <c r="L92" s="22">
        <f t="shared" ref="L92:O92" si="8">M92-L93</f>
        <v>2132.4</v>
      </c>
      <c r="M92" s="22">
        <f t="shared" si="8"/>
        <v>2267.92</v>
      </c>
      <c r="N92" s="22">
        <f t="shared" si="8"/>
        <v>2403.44</v>
      </c>
      <c r="O92" s="22">
        <f t="shared" si="8"/>
        <v>2538.96</v>
      </c>
      <c r="P92" s="22">
        <f>Q92-P93</f>
        <v>2674.48</v>
      </c>
      <c r="Q92" s="22">
        <v>2810</v>
      </c>
      <c r="R92" s="22">
        <f>Q92+Q93</f>
        <v>2945.52</v>
      </c>
      <c r="S92" s="22">
        <f t="shared" ref="S92:AT92" si="9">R92+R93</f>
        <v>3081.04</v>
      </c>
      <c r="T92" s="22">
        <f t="shared" si="9"/>
        <v>3216.56</v>
      </c>
      <c r="U92" s="22">
        <f t="shared" si="9"/>
        <v>3352.08</v>
      </c>
      <c r="V92" s="22">
        <f t="shared" si="9"/>
        <v>3487.6</v>
      </c>
      <c r="W92" s="22">
        <f t="shared" si="9"/>
        <v>3623.12</v>
      </c>
      <c r="X92" s="22">
        <f t="shared" si="9"/>
        <v>3758.64</v>
      </c>
      <c r="Y92" s="22">
        <f t="shared" si="9"/>
        <v>3894.16</v>
      </c>
      <c r="Z92" s="22">
        <f t="shared" si="9"/>
        <v>4029.68</v>
      </c>
      <c r="AA92" s="22">
        <f t="shared" si="9"/>
        <v>4165.2</v>
      </c>
      <c r="AB92" s="22">
        <f t="shared" si="9"/>
        <v>4300.72</v>
      </c>
      <c r="AC92" s="22">
        <f t="shared" si="9"/>
        <v>4436.2400000000007</v>
      </c>
      <c r="AD92" s="22">
        <f t="shared" si="9"/>
        <v>4571.7600000000011</v>
      </c>
      <c r="AE92" s="22">
        <f t="shared" si="9"/>
        <v>4707.2800000000016</v>
      </c>
      <c r="AF92" s="22">
        <f t="shared" si="9"/>
        <v>4842.800000000002</v>
      </c>
      <c r="AG92" s="22">
        <f t="shared" si="9"/>
        <v>4978.3200000000024</v>
      </c>
      <c r="AH92" s="22">
        <f t="shared" si="9"/>
        <v>5113.8400000000029</v>
      </c>
      <c r="AI92" s="22">
        <f t="shared" si="9"/>
        <v>5249.3600000000033</v>
      </c>
      <c r="AJ92" s="22">
        <f t="shared" si="9"/>
        <v>5384.8800000000037</v>
      </c>
      <c r="AK92" s="22">
        <f t="shared" si="9"/>
        <v>5520.4000000000042</v>
      </c>
      <c r="AL92" s="22">
        <f t="shared" si="9"/>
        <v>5655.9200000000046</v>
      </c>
      <c r="AM92" s="22">
        <f t="shared" si="9"/>
        <v>5791.4400000000051</v>
      </c>
      <c r="AN92" s="22">
        <f t="shared" si="9"/>
        <v>5926.9600000000055</v>
      </c>
      <c r="AO92" s="22">
        <f t="shared" si="9"/>
        <v>6062.4800000000059</v>
      </c>
      <c r="AP92" s="22">
        <f t="shared" si="9"/>
        <v>6198.0000000000064</v>
      </c>
      <c r="AQ92" s="22">
        <f t="shared" si="9"/>
        <v>6333.5200000000068</v>
      </c>
      <c r="AR92" s="22">
        <f t="shared" si="9"/>
        <v>6469.0400000000072</v>
      </c>
      <c r="AS92" s="22">
        <f t="shared" si="9"/>
        <v>6604.5600000000077</v>
      </c>
      <c r="AT92" s="22">
        <f t="shared" si="9"/>
        <v>6740.0800000000081</v>
      </c>
      <c r="AU92" s="25">
        <v>6740</v>
      </c>
      <c r="BA92" s="7"/>
      <c r="BB92" s="10">
        <v>90</v>
      </c>
      <c r="BC92" s="10" t="s">
        <v>6</v>
      </c>
      <c r="BD92" s="12">
        <v>1372.3300000000022</v>
      </c>
      <c r="BE92" s="12">
        <v>631.96099999999922</v>
      </c>
      <c r="BF92" s="12">
        <v>1521.7350000000015</v>
      </c>
      <c r="BG92" s="12">
        <v>1068.0800000000002</v>
      </c>
      <c r="BH92" s="12">
        <v>1875.3899999999985</v>
      </c>
      <c r="BI92" s="12">
        <v>1700.4300000000007</v>
      </c>
      <c r="BK92" s="10">
        <v>90</v>
      </c>
      <c r="BL92" s="10" t="s">
        <v>24</v>
      </c>
      <c r="BM92" s="12">
        <v>2086.5400000000022</v>
      </c>
      <c r="BN92" s="12">
        <v>909.93799999999874</v>
      </c>
      <c r="BO92" s="12">
        <v>2260.6160000000009</v>
      </c>
      <c r="BP92" s="12">
        <v>1585.3589999999967</v>
      </c>
      <c r="BQ92" s="12">
        <v>2748.0999999999963</v>
      </c>
      <c r="BR92" s="12">
        <v>2546.1699999999955</v>
      </c>
      <c r="BS92" s="6"/>
      <c r="BT92" s="10">
        <v>90</v>
      </c>
      <c r="BU92" s="10"/>
      <c r="BV92" s="12">
        <v>3220.1429999999982</v>
      </c>
      <c r="BW92" s="12">
        <v>1720.4199999999971</v>
      </c>
      <c r="BX92" s="12">
        <v>4355</v>
      </c>
      <c r="BY92" s="12">
        <v>3078.705999999996</v>
      </c>
      <c r="BZ92" s="12">
        <v>5306.5189999999975</v>
      </c>
      <c r="CA92" s="12">
        <v>4820.5029999999997</v>
      </c>
      <c r="CB92" s="6"/>
      <c r="CC92" s="10">
        <v>90</v>
      </c>
      <c r="CD92" s="10"/>
      <c r="CE92" s="12">
        <v>4827.3200000000033</v>
      </c>
      <c r="CF92" s="12">
        <v>2529.25</v>
      </c>
      <c r="CG92" s="12">
        <v>6539.6399999999985</v>
      </c>
      <c r="CH92" s="12">
        <v>3302.3300000000045</v>
      </c>
      <c r="CI92" s="12">
        <v>7809.1679999999878</v>
      </c>
      <c r="CJ92" s="12">
        <v>7225.1950000000124</v>
      </c>
    </row>
    <row r="93" spans="1:88" ht="15.75" customHeight="1">
      <c r="A93" s="6"/>
      <c r="B93" s="10">
        <v>91</v>
      </c>
      <c r="C93" s="6"/>
      <c r="G93" s="7">
        <f t="shared" si="5"/>
        <v>35.923000000000002</v>
      </c>
      <c r="H93" s="7">
        <f t="shared" si="0"/>
        <v>55.975999999999985</v>
      </c>
      <c r="K93" s="22">
        <v>6.4</v>
      </c>
      <c r="L93" s="22">
        <v>135.52000000000001</v>
      </c>
      <c r="M93" s="22">
        <v>135.52000000000001</v>
      </c>
      <c r="N93" s="22">
        <v>135.52000000000001</v>
      </c>
      <c r="O93" s="22">
        <v>135.52000000000001</v>
      </c>
      <c r="P93" s="22">
        <v>135.52000000000001</v>
      </c>
      <c r="Q93" s="22">
        <v>135.52000000000001</v>
      </c>
      <c r="R93" s="22">
        <v>135.52000000000001</v>
      </c>
      <c r="S93" s="22">
        <v>135.52000000000001</v>
      </c>
      <c r="T93" s="22">
        <v>135.52000000000001</v>
      </c>
      <c r="U93" s="22">
        <v>135.52000000000001</v>
      </c>
      <c r="V93" s="22">
        <v>135.52000000000001</v>
      </c>
      <c r="W93" s="22">
        <v>135.52000000000001</v>
      </c>
      <c r="X93" s="22">
        <v>135.52000000000001</v>
      </c>
      <c r="Y93" s="22">
        <v>135.52000000000001</v>
      </c>
      <c r="Z93" s="22">
        <v>135.52000000000001</v>
      </c>
      <c r="AA93" s="22">
        <v>135.52000000000001</v>
      </c>
      <c r="AB93" s="22">
        <v>135.52000000000001</v>
      </c>
      <c r="AC93" s="22">
        <v>135.52000000000001</v>
      </c>
      <c r="AD93" s="22">
        <v>135.52000000000001</v>
      </c>
      <c r="AE93" s="22">
        <v>135.52000000000001</v>
      </c>
      <c r="AF93" s="22">
        <v>135.52000000000001</v>
      </c>
      <c r="AG93" s="22">
        <v>135.52000000000001</v>
      </c>
      <c r="AH93" s="22">
        <v>135.52000000000001</v>
      </c>
      <c r="AI93" s="22">
        <v>135.52000000000001</v>
      </c>
      <c r="AJ93" s="22">
        <v>135.52000000000001</v>
      </c>
      <c r="AK93" s="22">
        <v>135.52000000000001</v>
      </c>
      <c r="AL93" s="22">
        <v>135.52000000000001</v>
      </c>
      <c r="AM93" s="22">
        <v>135.52000000000001</v>
      </c>
      <c r="AN93" s="22">
        <v>135.52000000000001</v>
      </c>
      <c r="AO93" s="22">
        <v>135.52000000000001</v>
      </c>
      <c r="AP93" s="22">
        <v>135.52000000000001</v>
      </c>
      <c r="AQ93" s="22">
        <v>135.52000000000001</v>
      </c>
      <c r="AR93" s="22">
        <v>135.52000000000001</v>
      </c>
      <c r="AS93" s="22">
        <v>135.52000000000001</v>
      </c>
      <c r="AT93" s="22">
        <v>135.52000000000001</v>
      </c>
      <c r="AU93" s="25"/>
      <c r="BA93" s="7"/>
      <c r="BB93" s="10">
        <v>91</v>
      </c>
      <c r="BC93" s="10" t="s">
        <v>6</v>
      </c>
      <c r="BD93" s="12">
        <v>1389.4600000000023</v>
      </c>
      <c r="BE93" s="12">
        <v>639.0819999999992</v>
      </c>
      <c r="BF93" s="12">
        <v>1540.0700000000015</v>
      </c>
      <c r="BG93" s="12">
        <v>1080.9600000000003</v>
      </c>
      <c r="BH93" s="12">
        <v>1899.1799999999985</v>
      </c>
      <c r="BI93" s="12">
        <v>1721.6600000000008</v>
      </c>
      <c r="BK93" s="10">
        <v>91</v>
      </c>
      <c r="BL93" s="10" t="s">
        <v>24</v>
      </c>
      <c r="BM93" s="12">
        <v>2115.4800000000023</v>
      </c>
      <c r="BN93" s="12">
        <v>921.1559999999987</v>
      </c>
      <c r="BO93" s="12">
        <v>2288.1920000000009</v>
      </c>
      <c r="BP93" s="12">
        <v>1604.7579999999966</v>
      </c>
      <c r="BQ93" s="12">
        <v>2782.1999999999962</v>
      </c>
      <c r="BR93" s="12">
        <v>2577.5399999999954</v>
      </c>
      <c r="BS93" s="6"/>
      <c r="BT93" s="10">
        <v>91</v>
      </c>
      <c r="BU93" s="10"/>
      <c r="BV93" s="12">
        <v>3271.3659999999982</v>
      </c>
      <c r="BW93" s="12">
        <v>1746.039999999997</v>
      </c>
      <c r="BX93" s="12">
        <v>4420</v>
      </c>
      <c r="BY93" s="12">
        <v>3124.7719999999958</v>
      </c>
      <c r="BZ93" s="12">
        <v>5386.6779999999972</v>
      </c>
      <c r="CA93" s="12">
        <v>4893.6859999999997</v>
      </c>
      <c r="CB93" s="6"/>
      <c r="CC93" s="10">
        <v>91</v>
      </c>
      <c r="CD93" s="10"/>
      <c r="CE93" s="12">
        <v>4903.8400000000038</v>
      </c>
      <c r="CF93" s="12">
        <v>2568.5</v>
      </c>
      <c r="CG93" s="12">
        <v>6637.6799999999985</v>
      </c>
      <c r="CH93" s="12">
        <v>3339.4600000000046</v>
      </c>
      <c r="CI93" s="12">
        <v>7928.4159999999874</v>
      </c>
      <c r="CJ93" s="12">
        <v>7334.5900000000129</v>
      </c>
    </row>
    <row r="94" spans="1:88" ht="15.75" customHeight="1">
      <c r="A94" s="6"/>
      <c r="B94" s="10">
        <v>92</v>
      </c>
      <c r="C94" s="6"/>
      <c r="G94" s="7">
        <f t="shared" si="5"/>
        <v>37.099000000000004</v>
      </c>
      <c r="H94" s="7">
        <f t="shared" si="0"/>
        <v>57.672999999999988</v>
      </c>
      <c r="I94" s="6"/>
      <c r="J94" s="6"/>
      <c r="K94" s="6"/>
      <c r="L94" s="6"/>
      <c r="M94" s="6"/>
      <c r="N94" s="6"/>
      <c r="BA94" s="7"/>
      <c r="BB94" s="10">
        <v>92</v>
      </c>
      <c r="BC94" s="10" t="s">
        <v>6</v>
      </c>
      <c r="BD94" s="12">
        <v>1406.5900000000024</v>
      </c>
      <c r="BE94" s="12">
        <v>646.20299999999918</v>
      </c>
      <c r="BF94" s="12">
        <v>1558.4050000000016</v>
      </c>
      <c r="BG94" s="12">
        <v>1093.8400000000004</v>
      </c>
      <c r="BH94" s="12">
        <v>1922.9699999999984</v>
      </c>
      <c r="BI94" s="12">
        <v>1742.8900000000008</v>
      </c>
      <c r="BK94" s="10">
        <v>92</v>
      </c>
      <c r="BL94" s="10" t="s">
        <v>24</v>
      </c>
      <c r="BM94" s="12">
        <v>2144.4200000000023</v>
      </c>
      <c r="BN94" s="12">
        <v>932.37399999999866</v>
      </c>
      <c r="BO94" s="12">
        <v>2315.7680000000009</v>
      </c>
      <c r="BP94" s="12">
        <v>1624.1569999999965</v>
      </c>
      <c r="BQ94" s="12">
        <v>2816.2999999999961</v>
      </c>
      <c r="BR94" s="12">
        <v>2608.9099999999953</v>
      </c>
      <c r="BS94" s="6"/>
      <c r="BT94" s="10">
        <v>92</v>
      </c>
      <c r="BU94" s="10"/>
      <c r="BV94" s="12">
        <v>3322.5889999999981</v>
      </c>
      <c r="BW94" s="12">
        <v>1771.6599999999969</v>
      </c>
      <c r="BX94" s="12">
        <v>4485</v>
      </c>
      <c r="BY94" s="12">
        <v>3170.8379999999956</v>
      </c>
      <c r="BZ94" s="12">
        <v>5466.8369999999968</v>
      </c>
      <c r="CA94" s="12">
        <v>4966.8689999999997</v>
      </c>
      <c r="CB94" s="6"/>
      <c r="CC94" s="10">
        <v>92</v>
      </c>
      <c r="CD94" s="10"/>
      <c r="CE94" s="12">
        <v>4980.3600000000042</v>
      </c>
      <c r="CF94" s="12">
        <v>2607.75</v>
      </c>
      <c r="CG94" s="12">
        <v>6735.7199999999984</v>
      </c>
      <c r="CH94" s="12">
        <v>3376.5900000000047</v>
      </c>
      <c r="CI94" s="12">
        <v>8047.663999999987</v>
      </c>
      <c r="CJ94" s="12">
        <v>7443.9850000000133</v>
      </c>
    </row>
    <row r="95" spans="1:88" ht="15.75" customHeight="1">
      <c r="A95" s="6"/>
      <c r="B95" s="10">
        <v>93</v>
      </c>
      <c r="C95" s="6"/>
      <c r="G95" s="7">
        <f t="shared" si="5"/>
        <v>38.275000000000006</v>
      </c>
      <c r="H95" s="7">
        <f t="shared" si="0"/>
        <v>59.36999999999999</v>
      </c>
      <c r="I95" s="6"/>
      <c r="J95" s="6"/>
      <c r="K95" s="6"/>
      <c r="L95" s="6"/>
      <c r="M95" s="6"/>
      <c r="N95" s="6"/>
      <c r="BA95" s="7"/>
      <c r="BB95" s="10">
        <v>93</v>
      </c>
      <c r="BC95" s="10" t="s">
        <v>6</v>
      </c>
      <c r="BD95" s="12">
        <v>1423.7200000000025</v>
      </c>
      <c r="BE95" s="12">
        <v>653.32399999999916</v>
      </c>
      <c r="BF95" s="12">
        <v>1576.7400000000016</v>
      </c>
      <c r="BG95" s="12">
        <v>1106.7200000000005</v>
      </c>
      <c r="BH95" s="12">
        <v>1946.7599999999984</v>
      </c>
      <c r="BI95" s="12">
        <v>1764.1200000000008</v>
      </c>
      <c r="BK95" s="10">
        <v>93</v>
      </c>
      <c r="BL95" s="10" t="s">
        <v>24</v>
      </c>
      <c r="BM95" s="12">
        <v>2173.3600000000024</v>
      </c>
      <c r="BN95" s="12">
        <v>943.59199999999862</v>
      </c>
      <c r="BO95" s="12">
        <v>2343.344000000001</v>
      </c>
      <c r="BP95" s="12">
        <v>1643.5559999999964</v>
      </c>
      <c r="BQ95" s="12">
        <v>2850.399999999996</v>
      </c>
      <c r="BR95" s="12">
        <v>2640.2799999999952</v>
      </c>
      <c r="BS95" s="6"/>
      <c r="BT95" s="10">
        <v>93</v>
      </c>
      <c r="BU95" s="10"/>
      <c r="BV95" s="12">
        <v>3373.8119999999981</v>
      </c>
      <c r="BW95" s="12">
        <v>1797.2799999999968</v>
      </c>
      <c r="BX95" s="12">
        <v>4550</v>
      </c>
      <c r="BY95" s="12">
        <v>3216.9039999999954</v>
      </c>
      <c r="BZ95" s="12">
        <v>5546.9959999999965</v>
      </c>
      <c r="CA95" s="12">
        <v>5040.0519999999997</v>
      </c>
      <c r="CB95" s="6"/>
      <c r="CC95" s="10">
        <v>93</v>
      </c>
      <c r="CD95" s="10"/>
      <c r="CE95" s="12">
        <v>5056.8800000000047</v>
      </c>
      <c r="CF95" s="12">
        <v>2647</v>
      </c>
      <c r="CG95" s="12">
        <v>6833.7599999999984</v>
      </c>
      <c r="CH95" s="12">
        <v>3413.7200000000048</v>
      </c>
      <c r="CI95" s="12">
        <v>8166.9119999999866</v>
      </c>
      <c r="CJ95" s="12">
        <v>7553.3800000000138</v>
      </c>
    </row>
    <row r="96" spans="1:88" ht="15.75" customHeight="1">
      <c r="A96" s="6"/>
      <c r="B96" s="10">
        <v>94</v>
      </c>
      <c r="C96" s="6"/>
      <c r="G96" s="7">
        <f t="shared" si="5"/>
        <v>39.451000000000008</v>
      </c>
      <c r="H96" s="7">
        <f t="shared" si="0"/>
        <v>61.066999999999993</v>
      </c>
      <c r="I96" s="6"/>
      <c r="K96" s="6"/>
      <c r="L96" s="6"/>
      <c r="M96" s="6"/>
      <c r="N96" s="6"/>
      <c r="BA96" s="7"/>
      <c r="BB96" s="10">
        <v>94</v>
      </c>
      <c r="BC96" s="10" t="s">
        <v>6</v>
      </c>
      <c r="BD96" s="12">
        <v>1440.8500000000026</v>
      </c>
      <c r="BE96" s="12">
        <v>660.44499999999914</v>
      </c>
      <c r="BF96" s="12">
        <v>1595.0750000000016</v>
      </c>
      <c r="BG96" s="12">
        <v>1119.6000000000006</v>
      </c>
      <c r="BH96" s="12">
        <v>1970.5499999999984</v>
      </c>
      <c r="BI96" s="12">
        <v>1785.3500000000008</v>
      </c>
      <c r="BK96" s="10">
        <v>94</v>
      </c>
      <c r="BL96" s="10" t="s">
        <v>24</v>
      </c>
      <c r="BM96" s="12">
        <v>2202.3000000000025</v>
      </c>
      <c r="BN96" s="12">
        <v>954.80999999999858</v>
      </c>
      <c r="BO96" s="12">
        <v>2370.920000000001</v>
      </c>
      <c r="BP96" s="12">
        <v>1662.9549999999963</v>
      </c>
      <c r="BQ96" s="12">
        <v>2884.4999999999959</v>
      </c>
      <c r="BR96" s="12">
        <v>2671.6499999999951</v>
      </c>
      <c r="BS96" s="6"/>
      <c r="BT96" s="10">
        <v>94</v>
      </c>
      <c r="BU96" s="10"/>
      <c r="BV96" s="12">
        <v>3425.034999999998</v>
      </c>
      <c r="BW96" s="12">
        <v>1822.8999999999967</v>
      </c>
      <c r="BX96" s="12">
        <v>4615</v>
      </c>
      <c r="BY96" s="12">
        <v>3262.9699999999953</v>
      </c>
      <c r="BZ96" s="12">
        <v>5627.1549999999961</v>
      </c>
      <c r="CA96" s="12">
        <v>5113.2349999999997</v>
      </c>
      <c r="CB96" s="6"/>
      <c r="CC96" s="10">
        <v>94</v>
      </c>
      <c r="CD96" s="10"/>
      <c r="CE96" s="12">
        <v>5133.4000000000051</v>
      </c>
      <c r="CF96" s="12">
        <v>2686.25</v>
      </c>
      <c r="CG96" s="12">
        <v>6931.7999999999984</v>
      </c>
      <c r="CH96" s="12">
        <v>3450.8500000000049</v>
      </c>
      <c r="CI96" s="12">
        <v>8286.1599999999871</v>
      </c>
      <c r="CJ96" s="12">
        <v>7662.7750000000142</v>
      </c>
    </row>
    <row r="97" spans="1:88" ht="15.75" customHeight="1">
      <c r="A97" s="6"/>
      <c r="B97" s="10">
        <v>95</v>
      </c>
      <c r="C97" s="6"/>
      <c r="G97" s="7">
        <f t="shared" si="5"/>
        <v>40.62700000000001</v>
      </c>
      <c r="H97" s="7">
        <f t="shared" si="0"/>
        <v>62.763999999999996</v>
      </c>
      <c r="I97" s="6"/>
      <c r="J97" s="6"/>
      <c r="K97" s="6"/>
      <c r="L97" s="6"/>
      <c r="M97" s="6"/>
      <c r="N97" s="6"/>
      <c r="BA97" s="7"/>
      <c r="BB97" s="10">
        <v>95</v>
      </c>
      <c r="BC97" s="10" t="s">
        <v>6</v>
      </c>
      <c r="BD97" s="12">
        <v>1457.9800000000027</v>
      </c>
      <c r="BE97" s="12">
        <v>667.56599999999912</v>
      </c>
      <c r="BF97" s="12">
        <v>1613.4100000000017</v>
      </c>
      <c r="BG97" s="12">
        <v>1132.4800000000007</v>
      </c>
      <c r="BH97" s="12">
        <v>1994.3399999999983</v>
      </c>
      <c r="BI97" s="12">
        <v>1806.5800000000008</v>
      </c>
      <c r="BK97" s="10">
        <v>95</v>
      </c>
      <c r="BL97" s="10" t="s">
        <v>24</v>
      </c>
      <c r="BM97" s="12">
        <v>2231.2400000000025</v>
      </c>
      <c r="BN97" s="12">
        <v>966.02799999999854</v>
      </c>
      <c r="BO97" s="12">
        <v>2398.496000000001</v>
      </c>
      <c r="BP97" s="12">
        <v>1682.3539999999962</v>
      </c>
      <c r="BQ97" s="12">
        <v>2918.5999999999958</v>
      </c>
      <c r="BR97" s="12">
        <v>2703.019999999995</v>
      </c>
      <c r="BS97" s="6"/>
      <c r="BT97" s="10">
        <v>95</v>
      </c>
      <c r="BU97" s="10"/>
      <c r="BV97" s="12">
        <v>3476.257999999998</v>
      </c>
      <c r="BW97" s="12">
        <v>1848.5199999999966</v>
      </c>
      <c r="BX97" s="12">
        <v>4680</v>
      </c>
      <c r="BY97" s="12">
        <v>3309.0359999999951</v>
      </c>
      <c r="BZ97" s="12">
        <v>5707.3139999999958</v>
      </c>
      <c r="CA97" s="12">
        <v>5186.4179999999997</v>
      </c>
      <c r="CB97" s="6"/>
      <c r="CC97" s="10">
        <v>95</v>
      </c>
      <c r="CD97" s="10"/>
      <c r="CE97" s="12">
        <v>5209.9200000000055</v>
      </c>
      <c r="CF97" s="12">
        <v>2725.5</v>
      </c>
      <c r="CG97" s="12">
        <v>7029.8399999999983</v>
      </c>
      <c r="CH97" s="12">
        <v>3487.980000000005</v>
      </c>
      <c r="CI97" s="12">
        <v>8405.4079999999867</v>
      </c>
      <c r="CJ97" s="12">
        <v>7772.1700000000146</v>
      </c>
    </row>
    <row r="98" spans="1:88" ht="15.75" customHeight="1">
      <c r="A98" s="6"/>
      <c r="B98" s="10">
        <v>96</v>
      </c>
      <c r="C98" s="6"/>
      <c r="G98" s="7">
        <f t="shared" si="5"/>
        <v>41.803000000000011</v>
      </c>
      <c r="H98" s="7">
        <f t="shared" si="0"/>
        <v>64.460999999999999</v>
      </c>
      <c r="I98" s="6"/>
      <c r="J98" s="6"/>
      <c r="K98" s="6"/>
      <c r="L98" s="6"/>
      <c r="M98" s="6"/>
      <c r="N98" s="6"/>
      <c r="BB98" s="10">
        <v>96</v>
      </c>
      <c r="BC98" s="10" t="s">
        <v>6</v>
      </c>
      <c r="BD98" s="12">
        <v>1475.1100000000029</v>
      </c>
      <c r="BE98" s="12">
        <v>674.6869999999991</v>
      </c>
      <c r="BF98" s="12">
        <v>1631.7450000000017</v>
      </c>
      <c r="BG98" s="12">
        <v>1145.3600000000008</v>
      </c>
      <c r="BH98" s="12">
        <v>2018.1299999999983</v>
      </c>
      <c r="BI98" s="12">
        <v>1827.8100000000009</v>
      </c>
      <c r="BK98" s="10">
        <v>96</v>
      </c>
      <c r="BL98" s="10" t="s">
        <v>24</v>
      </c>
      <c r="BM98" s="12">
        <v>2260.1800000000026</v>
      </c>
      <c r="BN98" s="12">
        <v>977.2459999999985</v>
      </c>
      <c r="BO98" s="12">
        <v>2426.072000000001</v>
      </c>
      <c r="BP98" s="12">
        <v>1701.7529999999961</v>
      </c>
      <c r="BQ98" s="12">
        <v>2952.6999999999957</v>
      </c>
      <c r="BR98" s="12">
        <v>2734.3899999999949</v>
      </c>
      <c r="BS98" s="6"/>
      <c r="BT98" s="10">
        <v>96</v>
      </c>
      <c r="BU98" s="10"/>
      <c r="BV98" s="12">
        <v>3527.4809999999979</v>
      </c>
      <c r="BW98" s="12">
        <v>1874.1399999999965</v>
      </c>
      <c r="BX98" s="12">
        <v>4745</v>
      </c>
      <c r="BY98" s="12">
        <v>3355.1019999999949</v>
      </c>
      <c r="BZ98" s="12">
        <v>5787.4729999999954</v>
      </c>
      <c r="CA98" s="12">
        <v>5259.6009999999997</v>
      </c>
      <c r="CB98" s="6"/>
      <c r="CC98" s="10">
        <v>96</v>
      </c>
      <c r="CD98" s="10"/>
      <c r="CE98" s="12">
        <v>5286.440000000006</v>
      </c>
      <c r="CF98" s="12">
        <v>2764.75</v>
      </c>
      <c r="CG98" s="12">
        <v>7127.8799999999983</v>
      </c>
      <c r="CH98" s="12">
        <v>3525.1100000000051</v>
      </c>
      <c r="CI98" s="12">
        <v>8524.6559999999863</v>
      </c>
      <c r="CJ98" s="12">
        <v>7881.5650000000151</v>
      </c>
    </row>
    <row r="99" spans="1:88" ht="15.75" customHeight="1">
      <c r="A99" s="6"/>
      <c r="B99" s="10">
        <v>97</v>
      </c>
      <c r="C99" s="6"/>
      <c r="G99" s="7">
        <f t="shared" si="5"/>
        <v>42.979000000000013</v>
      </c>
      <c r="H99" s="7">
        <f t="shared" si="0"/>
        <v>66.158000000000001</v>
      </c>
      <c r="I99" s="6"/>
      <c r="J99" s="6"/>
      <c r="K99" s="6"/>
      <c r="L99" s="6"/>
      <c r="M99" s="6"/>
      <c r="N99" s="6"/>
      <c r="AS99" s="23" t="s">
        <v>27</v>
      </c>
      <c r="BB99" s="10">
        <v>97</v>
      </c>
      <c r="BC99" s="10" t="s">
        <v>6</v>
      </c>
      <c r="BD99" s="12">
        <v>1492.240000000003</v>
      </c>
      <c r="BE99" s="12">
        <v>681.80799999999908</v>
      </c>
      <c r="BF99" s="12">
        <v>1650.0800000000017</v>
      </c>
      <c r="BG99" s="12">
        <v>1158.2400000000009</v>
      </c>
      <c r="BH99" s="12">
        <v>2041.9199999999983</v>
      </c>
      <c r="BI99" s="12">
        <v>1849.0400000000009</v>
      </c>
      <c r="BK99" s="10">
        <v>97</v>
      </c>
      <c r="BL99" s="10" t="s">
        <v>24</v>
      </c>
      <c r="BM99" s="12">
        <v>2289.1200000000026</v>
      </c>
      <c r="BN99" s="12">
        <v>988.46399999999846</v>
      </c>
      <c r="BO99" s="12">
        <v>2453.648000000001</v>
      </c>
      <c r="BP99" s="12">
        <v>1721.151999999996</v>
      </c>
      <c r="BQ99" s="12">
        <v>2986.7999999999956</v>
      </c>
      <c r="BR99" s="12">
        <v>2765.7599999999948</v>
      </c>
      <c r="BS99" s="6"/>
      <c r="BT99" s="10">
        <v>97</v>
      </c>
      <c r="BU99" s="10"/>
      <c r="BV99" s="12">
        <v>3578.7039999999979</v>
      </c>
      <c r="BW99" s="12">
        <v>1899.7599999999964</v>
      </c>
      <c r="BX99" s="12">
        <v>4810</v>
      </c>
      <c r="BY99" s="12">
        <v>3401.1679999999947</v>
      </c>
      <c r="BZ99" s="12">
        <v>5867.6319999999951</v>
      </c>
      <c r="CA99" s="12">
        <v>5332.7839999999997</v>
      </c>
      <c r="CB99" s="6"/>
      <c r="CC99" s="10">
        <v>97</v>
      </c>
      <c r="CD99" s="10"/>
      <c r="CE99" s="12">
        <v>5362.9600000000064</v>
      </c>
      <c r="CF99" s="12">
        <v>2804</v>
      </c>
      <c r="CG99" s="12">
        <v>7225.9199999999983</v>
      </c>
      <c r="CH99" s="12">
        <v>3562.2400000000052</v>
      </c>
      <c r="CI99" s="12">
        <v>8643.9039999999859</v>
      </c>
      <c r="CJ99" s="12">
        <v>7990.9600000000155</v>
      </c>
    </row>
    <row r="100" spans="1:88" ht="15.75" customHeight="1">
      <c r="A100" s="6"/>
      <c r="B100" s="10">
        <v>98</v>
      </c>
      <c r="C100" s="6"/>
      <c r="G100" s="7">
        <f t="shared" si="5"/>
        <v>44.155000000000015</v>
      </c>
      <c r="H100" s="7">
        <f>H101-1.697</f>
        <v>67.855000000000004</v>
      </c>
      <c r="I100" s="6"/>
      <c r="J100" s="6"/>
      <c r="K100" s="6"/>
      <c r="L100" s="6"/>
      <c r="M100" s="6"/>
      <c r="N100" s="6"/>
      <c r="BB100" s="10">
        <v>98</v>
      </c>
      <c r="BC100" s="10" t="s">
        <v>6</v>
      </c>
      <c r="BD100" s="12">
        <v>1509.3700000000031</v>
      </c>
      <c r="BE100" s="12">
        <v>688.92899999999906</v>
      </c>
      <c r="BF100" s="12">
        <v>1668.4150000000018</v>
      </c>
      <c r="BG100" s="12">
        <v>1171.120000000001</v>
      </c>
      <c r="BH100" s="12">
        <v>2065.7099999999982</v>
      </c>
      <c r="BI100" s="12">
        <v>1870.2700000000009</v>
      </c>
      <c r="BK100" s="10">
        <v>98</v>
      </c>
      <c r="BL100" s="10" t="s">
        <v>24</v>
      </c>
      <c r="BM100" s="12">
        <v>2318.0600000000027</v>
      </c>
      <c r="BN100" s="12">
        <v>999.68199999999842</v>
      </c>
      <c r="BO100" s="12">
        <v>2481.2240000000011</v>
      </c>
      <c r="BP100" s="12">
        <v>1740.5509999999958</v>
      </c>
      <c r="BQ100" s="12">
        <v>3020.8999999999955</v>
      </c>
      <c r="BR100" s="12">
        <v>2797.1299999999947</v>
      </c>
      <c r="BS100" s="6"/>
      <c r="BT100" s="10">
        <v>98</v>
      </c>
      <c r="BU100" s="10"/>
      <c r="BV100" s="12">
        <v>3629.9269999999979</v>
      </c>
      <c r="BW100" s="12">
        <v>1925.3799999999962</v>
      </c>
      <c r="BX100" s="12">
        <v>4875</v>
      </c>
      <c r="BY100" s="12">
        <v>3447.2339999999945</v>
      </c>
      <c r="BZ100" s="12">
        <v>5947.7909999999947</v>
      </c>
      <c r="CA100" s="12">
        <v>5405.9669999999996</v>
      </c>
      <c r="CB100" s="6"/>
      <c r="CC100" s="10">
        <v>98</v>
      </c>
      <c r="CD100" s="10"/>
      <c r="CE100" s="12">
        <v>5439.4800000000068</v>
      </c>
      <c r="CF100" s="12">
        <v>2843.25</v>
      </c>
      <c r="CG100" s="12">
        <v>7323.9599999999982</v>
      </c>
      <c r="CH100" s="12">
        <v>3599.3700000000053</v>
      </c>
      <c r="CI100" s="12">
        <v>8763.1519999999855</v>
      </c>
      <c r="CJ100" s="12">
        <v>8100.3550000000159</v>
      </c>
    </row>
    <row r="101" spans="1:88" ht="15.75" customHeight="1">
      <c r="A101" s="6"/>
      <c r="B101" s="10">
        <v>99</v>
      </c>
      <c r="C101" s="6"/>
      <c r="G101" s="7">
        <f t="shared" si="5"/>
        <v>45.331000000000017</v>
      </c>
      <c r="H101" s="7">
        <v>69.552000000000007</v>
      </c>
      <c r="I101" s="6"/>
      <c r="J101" s="6"/>
      <c r="K101" s="6"/>
      <c r="L101" s="6"/>
      <c r="M101" s="6"/>
      <c r="N101" s="6"/>
      <c r="BB101" s="10">
        <v>99</v>
      </c>
      <c r="BC101" s="10" t="s">
        <v>6</v>
      </c>
      <c r="BD101" s="12">
        <v>1526.5000000000032</v>
      </c>
      <c r="BE101" s="12">
        <v>696.04999999999905</v>
      </c>
      <c r="BF101" s="12">
        <v>1686.7500000000018</v>
      </c>
      <c r="BG101" s="12">
        <v>1184.0000000000011</v>
      </c>
      <c r="BH101" s="12">
        <v>2089.4999999999982</v>
      </c>
      <c r="BI101" s="12">
        <v>1891.5000000000009</v>
      </c>
      <c r="BK101" s="10">
        <v>99</v>
      </c>
      <c r="BL101" s="10" t="s">
        <v>24</v>
      </c>
      <c r="BM101" s="12">
        <v>2347.0000000000027</v>
      </c>
      <c r="BN101" s="12">
        <v>1010.8999999999984</v>
      </c>
      <c r="BO101" s="12">
        <v>2508.8000000000011</v>
      </c>
      <c r="BP101" s="12">
        <v>1759.9499999999957</v>
      </c>
      <c r="BQ101" s="12">
        <v>3054.9999999999955</v>
      </c>
      <c r="BR101" s="12">
        <v>2828.4999999999945</v>
      </c>
      <c r="BS101" s="6"/>
      <c r="BT101" s="10">
        <v>99</v>
      </c>
      <c r="BU101" s="10"/>
      <c r="BV101" s="12">
        <v>3681.1499999999978</v>
      </c>
      <c r="BW101" s="12">
        <v>1950.9999999999961</v>
      </c>
      <c r="BX101" s="12">
        <v>4940</v>
      </c>
      <c r="BY101" s="12">
        <v>3493.2999999999943</v>
      </c>
      <c r="BZ101" s="12">
        <v>6027.9499999999944</v>
      </c>
      <c r="CA101" s="12">
        <v>5479.15</v>
      </c>
      <c r="CB101" s="6"/>
      <c r="CC101" s="10">
        <v>99</v>
      </c>
      <c r="CD101" s="10"/>
      <c r="CE101" s="12">
        <v>5516.0000000000073</v>
      </c>
      <c r="CF101" s="12">
        <v>2882.5</v>
      </c>
      <c r="CG101" s="12">
        <v>7421.9999999999982</v>
      </c>
      <c r="CH101" s="12">
        <v>3636.5000000000055</v>
      </c>
      <c r="CI101" s="12">
        <v>8882.3999999999851</v>
      </c>
      <c r="CJ101" s="12">
        <v>8209.7500000000164</v>
      </c>
    </row>
    <row r="102" spans="1:88" ht="15.75" customHeight="1">
      <c r="A102" s="6"/>
      <c r="B102" s="10">
        <v>100</v>
      </c>
      <c r="C102" s="6"/>
      <c r="G102" s="7">
        <f t="shared" si="5"/>
        <v>46.507000000000019</v>
      </c>
      <c r="H102" s="7">
        <v>71.248999999999995</v>
      </c>
      <c r="I102" s="6"/>
      <c r="J102" s="6"/>
      <c r="K102" s="6"/>
      <c r="L102" s="6"/>
      <c r="M102" s="6"/>
      <c r="N102" s="6"/>
      <c r="BB102" s="10">
        <v>100</v>
      </c>
      <c r="BC102" s="10" t="s">
        <v>6</v>
      </c>
      <c r="BD102" s="12">
        <v>1543.6300000000033</v>
      </c>
      <c r="BE102" s="12">
        <v>703.17099999999903</v>
      </c>
      <c r="BF102" s="12">
        <v>1705.0850000000019</v>
      </c>
      <c r="BG102" s="12">
        <v>1196.8800000000012</v>
      </c>
      <c r="BH102" s="12">
        <v>2113.2899999999981</v>
      </c>
      <c r="BI102" s="12">
        <v>1912.7300000000009</v>
      </c>
      <c r="BK102" s="10">
        <v>100</v>
      </c>
      <c r="BL102" s="10" t="s">
        <v>24</v>
      </c>
      <c r="BM102" s="12">
        <v>2375.9400000000028</v>
      </c>
      <c r="BN102" s="12">
        <v>1022.1179999999983</v>
      </c>
      <c r="BO102" s="12">
        <v>2536.3760000000011</v>
      </c>
      <c r="BP102" s="12">
        <v>1779.3489999999956</v>
      </c>
      <c r="BQ102" s="12">
        <v>3089.0999999999954</v>
      </c>
      <c r="BR102" s="12">
        <v>2859.8699999999944</v>
      </c>
      <c r="BS102" s="6"/>
      <c r="BT102" s="10">
        <v>100</v>
      </c>
      <c r="BU102" s="10"/>
      <c r="BV102" s="12">
        <v>3732.3729999999978</v>
      </c>
      <c r="BW102" s="12">
        <v>1976.619999999996</v>
      </c>
      <c r="BX102" s="12">
        <v>5005</v>
      </c>
      <c r="BY102" s="12">
        <v>3539.3659999999941</v>
      </c>
      <c r="BZ102" s="12">
        <v>6108.108999999994</v>
      </c>
      <c r="CA102" s="12">
        <v>5552.3329999999996</v>
      </c>
      <c r="CB102" s="6"/>
      <c r="CC102" s="10">
        <v>100</v>
      </c>
      <c r="CD102" s="10"/>
      <c r="CE102" s="12">
        <v>5592.5200000000077</v>
      </c>
      <c r="CF102" s="12">
        <v>2921.75</v>
      </c>
      <c r="CG102" s="12">
        <v>7520.0399999999981</v>
      </c>
      <c r="CH102" s="12">
        <v>3673.6300000000056</v>
      </c>
      <c r="CI102" s="12">
        <v>9001.6479999999847</v>
      </c>
      <c r="CJ102" s="12">
        <v>8319.1450000000168</v>
      </c>
    </row>
    <row r="103" spans="1:88" ht="15.75" customHeight="1">
      <c r="A103" s="6"/>
      <c r="B103" s="10">
        <v>101</v>
      </c>
      <c r="C103" s="6"/>
      <c r="G103" s="7">
        <f t="shared" si="5"/>
        <v>47.683000000000021</v>
      </c>
      <c r="H103" s="7">
        <v>72.945999999999998</v>
      </c>
      <c r="I103" s="6"/>
      <c r="J103" s="6"/>
      <c r="K103" s="6"/>
      <c r="L103" s="6"/>
      <c r="M103" s="6"/>
      <c r="N103" s="6"/>
      <c r="BB103" s="10">
        <v>101</v>
      </c>
      <c r="BC103" s="10" t="s">
        <v>6</v>
      </c>
      <c r="BD103" s="12">
        <v>1560.7600000000034</v>
      </c>
      <c r="BE103" s="12">
        <v>710.29199999999901</v>
      </c>
      <c r="BF103" s="12">
        <v>1723.4200000000019</v>
      </c>
      <c r="BG103" s="12">
        <v>1209.7600000000014</v>
      </c>
      <c r="BH103" s="12">
        <v>2137.0799999999981</v>
      </c>
      <c r="BI103" s="12">
        <v>1933.9600000000009</v>
      </c>
      <c r="BK103" s="10">
        <v>101</v>
      </c>
      <c r="BL103" s="10" t="s">
        <v>24</v>
      </c>
      <c r="BM103" s="12">
        <v>2404.8800000000028</v>
      </c>
      <c r="BN103" s="12">
        <v>1033.3359999999984</v>
      </c>
      <c r="BO103" s="12">
        <v>2563.9520000000011</v>
      </c>
      <c r="BP103" s="12">
        <v>1798.7479999999955</v>
      </c>
      <c r="BQ103" s="12">
        <v>3123.1999999999953</v>
      </c>
      <c r="BR103" s="12">
        <v>2891.2399999999943</v>
      </c>
      <c r="BS103" s="6"/>
      <c r="BT103" s="10">
        <v>101</v>
      </c>
      <c r="BU103" s="10"/>
      <c r="BV103" s="12">
        <v>3783.5959999999977</v>
      </c>
      <c r="BW103" s="12">
        <v>2002.2399999999959</v>
      </c>
      <c r="BX103" s="12">
        <v>5070</v>
      </c>
      <c r="BY103" s="12">
        <v>3585.4319999999939</v>
      </c>
      <c r="BZ103" s="12">
        <v>6188.2679999999937</v>
      </c>
      <c r="CA103" s="12">
        <v>5625.5159999999996</v>
      </c>
      <c r="CB103" s="6"/>
      <c r="CC103" s="10">
        <v>101</v>
      </c>
      <c r="CD103" s="10"/>
      <c r="CE103" s="12">
        <v>5669.0400000000081</v>
      </c>
      <c r="CF103" s="12">
        <v>2961</v>
      </c>
      <c r="CG103" s="12">
        <v>7618.0799999999981</v>
      </c>
      <c r="CH103" s="12">
        <v>3710.7600000000057</v>
      </c>
      <c r="CI103" s="12">
        <v>9120.8959999999843</v>
      </c>
      <c r="CJ103" s="12">
        <v>8428.5400000000172</v>
      </c>
    </row>
    <row r="104" spans="1:88" ht="15.75" customHeight="1">
      <c r="A104" s="6"/>
      <c r="B104" s="10">
        <v>102</v>
      </c>
      <c r="C104" s="6"/>
      <c r="G104" s="7">
        <f t="shared" si="5"/>
        <v>48.859000000000023</v>
      </c>
      <c r="H104" s="7">
        <v>74.643000000000001</v>
      </c>
      <c r="I104" s="6"/>
      <c r="J104" s="6"/>
      <c r="K104" s="6"/>
      <c r="L104" s="6"/>
      <c r="M104" s="6"/>
      <c r="N104" s="6"/>
      <c r="BB104" s="10">
        <v>102</v>
      </c>
      <c r="BC104" s="10" t="s">
        <v>6</v>
      </c>
      <c r="BD104" s="12">
        <v>1577.8900000000035</v>
      </c>
      <c r="BE104" s="12">
        <v>717.41299999999899</v>
      </c>
      <c r="BF104" s="12">
        <v>1741.7550000000019</v>
      </c>
      <c r="BG104" s="12">
        <v>1222.6400000000015</v>
      </c>
      <c r="BH104" s="12">
        <v>2160.8699999999981</v>
      </c>
      <c r="BI104" s="12">
        <v>1955.190000000001</v>
      </c>
      <c r="BK104" s="10">
        <v>102</v>
      </c>
      <c r="BL104" s="10" t="s">
        <v>24</v>
      </c>
      <c r="BM104" s="12">
        <v>2433.8200000000029</v>
      </c>
      <c r="BN104" s="12">
        <v>1044.5539999999985</v>
      </c>
      <c r="BO104" s="12">
        <v>2591.5280000000012</v>
      </c>
      <c r="BP104" s="12">
        <v>1818.1469999999954</v>
      </c>
      <c r="BQ104" s="12">
        <v>3157.2999999999952</v>
      </c>
      <c r="BR104" s="12">
        <v>2922.6099999999942</v>
      </c>
      <c r="BS104" s="6"/>
      <c r="BT104" s="10">
        <v>102</v>
      </c>
      <c r="BU104" s="10"/>
      <c r="BV104" s="12">
        <v>3834.8189999999977</v>
      </c>
      <c r="BW104" s="12">
        <v>2027.8599999999958</v>
      </c>
      <c r="BX104" s="12">
        <v>5135</v>
      </c>
      <c r="BY104" s="12">
        <v>3631.4979999999937</v>
      </c>
      <c r="BZ104" s="12">
        <v>6268.4269999999933</v>
      </c>
      <c r="CA104" s="12">
        <v>5698.6989999999996</v>
      </c>
      <c r="CB104" s="6"/>
      <c r="CC104" s="10">
        <v>102</v>
      </c>
      <c r="CD104" s="10"/>
      <c r="CE104" s="12">
        <v>5745.5600000000086</v>
      </c>
      <c r="CF104" s="12">
        <v>3000.25</v>
      </c>
      <c r="CG104" s="12">
        <v>7716.1199999999981</v>
      </c>
      <c r="CH104" s="12">
        <v>3747.8900000000058</v>
      </c>
      <c r="CI104" s="12">
        <v>9240.1439999999839</v>
      </c>
      <c r="CJ104" s="12">
        <v>8537.9350000000177</v>
      </c>
    </row>
    <row r="105" spans="1:88" ht="15.75" customHeight="1">
      <c r="A105" s="6"/>
      <c r="B105" s="10">
        <v>103</v>
      </c>
      <c r="C105" s="6"/>
      <c r="G105" s="7">
        <f t="shared" si="5"/>
        <v>50.035000000000025</v>
      </c>
      <c r="H105" s="7">
        <v>76.33</v>
      </c>
      <c r="I105" s="6"/>
      <c r="J105" s="6"/>
      <c r="K105" s="6"/>
      <c r="L105" s="6"/>
      <c r="M105" s="6"/>
      <c r="N105" s="6"/>
      <c r="BB105" s="10">
        <v>103</v>
      </c>
      <c r="BC105" s="10" t="s">
        <v>6</v>
      </c>
      <c r="BD105" s="12">
        <v>1595.0200000000036</v>
      </c>
      <c r="BE105" s="12">
        <v>724.53399999999897</v>
      </c>
      <c r="BF105" s="12">
        <v>1760.090000000002</v>
      </c>
      <c r="BG105" s="12">
        <v>1235.5200000000016</v>
      </c>
      <c r="BH105" s="12">
        <v>2184.659999999998</v>
      </c>
      <c r="BI105" s="12">
        <v>1976.420000000001</v>
      </c>
      <c r="BK105" s="10">
        <v>103</v>
      </c>
      <c r="BL105" s="10" t="s">
        <v>24</v>
      </c>
      <c r="BM105" s="12">
        <v>2462.7600000000029</v>
      </c>
      <c r="BN105" s="12">
        <v>1055.7719999999986</v>
      </c>
      <c r="BO105" s="12">
        <v>2619.1040000000012</v>
      </c>
      <c r="BP105" s="12">
        <v>1837.5459999999953</v>
      </c>
      <c r="BQ105" s="12">
        <v>3191.3999999999951</v>
      </c>
      <c r="BR105" s="12">
        <v>2953.9799999999941</v>
      </c>
      <c r="BS105" s="6"/>
      <c r="BT105" s="10">
        <v>103</v>
      </c>
      <c r="BU105" s="10"/>
      <c r="BV105" s="12">
        <v>3886.0419999999976</v>
      </c>
      <c r="BW105" s="12">
        <v>2053.4799999999959</v>
      </c>
      <c r="BX105" s="12">
        <v>5200</v>
      </c>
      <c r="BY105" s="12">
        <v>3677.5639999999935</v>
      </c>
      <c r="BZ105" s="12">
        <v>6348.585999999993</v>
      </c>
      <c r="CA105" s="12">
        <v>5771.8819999999996</v>
      </c>
      <c r="CB105" s="6"/>
      <c r="CC105" s="10">
        <v>103</v>
      </c>
      <c r="CD105" s="10"/>
      <c r="CE105" s="12">
        <v>5822.080000000009</v>
      </c>
      <c r="CF105" s="12">
        <v>3039.5</v>
      </c>
      <c r="CG105" s="12">
        <v>7814.159999999998</v>
      </c>
      <c r="CH105" s="12">
        <v>3785.0200000000059</v>
      </c>
      <c r="CI105" s="12">
        <v>9359.3919999999835</v>
      </c>
      <c r="CJ105" s="12">
        <v>8647.3300000000181</v>
      </c>
    </row>
    <row r="106" spans="1:88" ht="15.75" customHeight="1">
      <c r="A106" s="6"/>
      <c r="B106" s="10">
        <v>104</v>
      </c>
      <c r="C106" s="6"/>
      <c r="G106" s="6"/>
      <c r="H106" s="6"/>
      <c r="I106" s="6"/>
      <c r="J106" s="6"/>
      <c r="K106" s="6"/>
      <c r="L106" s="6"/>
      <c r="M106" s="6"/>
      <c r="N106" s="6"/>
      <c r="BB106" s="10">
        <v>104</v>
      </c>
      <c r="BC106" s="10" t="s">
        <v>6</v>
      </c>
      <c r="BD106" s="12">
        <v>1612.1500000000037</v>
      </c>
      <c r="BE106" s="12">
        <v>731.65499999999895</v>
      </c>
      <c r="BF106" s="12">
        <v>1778.425000000002</v>
      </c>
      <c r="BG106" s="12">
        <v>1248.4000000000017</v>
      </c>
      <c r="BH106" s="12">
        <v>2208.449999999998</v>
      </c>
      <c r="BI106" s="12">
        <v>1997.650000000001</v>
      </c>
      <c r="BK106" s="10">
        <v>104</v>
      </c>
      <c r="BL106" s="10" t="s">
        <v>24</v>
      </c>
      <c r="BM106" s="12">
        <v>2491.700000000003</v>
      </c>
      <c r="BN106" s="12">
        <v>1066.9899999999986</v>
      </c>
      <c r="BO106" s="12">
        <v>2646.6800000000012</v>
      </c>
      <c r="BP106" s="12">
        <v>1856.9449999999952</v>
      </c>
      <c r="BQ106" s="12">
        <v>3225.499999999995</v>
      </c>
      <c r="BR106" s="12">
        <v>2985.349999999994</v>
      </c>
      <c r="BS106" s="6"/>
      <c r="BT106" s="10">
        <v>104</v>
      </c>
      <c r="BU106" s="10"/>
      <c r="BV106" s="12">
        <v>3937.2649999999976</v>
      </c>
      <c r="BW106" s="12">
        <v>2079.0999999999958</v>
      </c>
      <c r="BX106" s="12">
        <v>5265</v>
      </c>
      <c r="BY106" s="12">
        <v>3723.6299999999933</v>
      </c>
      <c r="BZ106" s="12">
        <v>6428.7449999999926</v>
      </c>
      <c r="CA106" s="12">
        <v>5845.0649999999996</v>
      </c>
      <c r="CB106" s="6"/>
      <c r="CC106" s="10">
        <v>104</v>
      </c>
      <c r="CD106" s="10"/>
      <c r="CE106" s="12">
        <v>5898.6000000000095</v>
      </c>
      <c r="CF106" s="12">
        <v>3078.75</v>
      </c>
      <c r="CG106" s="12">
        <v>7912.199999999998</v>
      </c>
      <c r="CH106" s="12">
        <v>3822.150000000006</v>
      </c>
      <c r="CI106" s="12">
        <v>9478.639999999983</v>
      </c>
      <c r="CJ106" s="12">
        <v>8756.7250000000186</v>
      </c>
    </row>
    <row r="107" spans="1:88" ht="15.75" customHeight="1">
      <c r="A107" s="6"/>
      <c r="B107" s="10">
        <v>105</v>
      </c>
      <c r="C107" s="6"/>
      <c r="H107" s="6" t="s">
        <v>1</v>
      </c>
      <c r="I107" s="7" t="s">
        <v>26</v>
      </c>
      <c r="J107" s="7" t="s">
        <v>19</v>
      </c>
      <c r="K107" s="6"/>
      <c r="L107" s="7" t="s">
        <v>63</v>
      </c>
      <c r="M107" s="7" t="s">
        <v>64</v>
      </c>
      <c r="N107" s="7" t="s">
        <v>65</v>
      </c>
      <c r="O107" s="7" t="s">
        <v>66</v>
      </c>
      <c r="P107" s="7" t="s">
        <v>62</v>
      </c>
      <c r="Q107" s="7" t="s">
        <v>31</v>
      </c>
      <c r="R107" s="7" t="s">
        <v>32</v>
      </c>
      <c r="S107" s="7" t="s">
        <v>33</v>
      </c>
      <c r="T107" s="7" t="s">
        <v>34</v>
      </c>
      <c r="U107" s="7" t="s">
        <v>35</v>
      </c>
      <c r="V107" s="7" t="s">
        <v>36</v>
      </c>
      <c r="W107" s="7" t="s">
        <v>37</v>
      </c>
      <c r="X107" s="7" t="s">
        <v>38</v>
      </c>
      <c r="Y107" s="7" t="s">
        <v>39</v>
      </c>
      <c r="Z107" s="7" t="s">
        <v>40</v>
      </c>
      <c r="AA107" s="7" t="s">
        <v>41</v>
      </c>
      <c r="AB107" s="7" t="s">
        <v>42</v>
      </c>
      <c r="AC107" s="7" t="s">
        <v>43</v>
      </c>
      <c r="AD107" s="7" t="s">
        <v>44</v>
      </c>
      <c r="AE107" s="7" t="s">
        <v>45</v>
      </c>
      <c r="AF107" s="7" t="s">
        <v>46</v>
      </c>
      <c r="AG107" s="7" t="s">
        <v>47</v>
      </c>
      <c r="AH107" s="7" t="s">
        <v>48</v>
      </c>
      <c r="AI107" s="7" t="s">
        <v>49</v>
      </c>
      <c r="AJ107" s="7" t="s">
        <v>50</v>
      </c>
      <c r="AK107" s="7" t="s">
        <v>51</v>
      </c>
      <c r="AL107" s="7" t="s">
        <v>52</v>
      </c>
      <c r="AM107" s="7" t="s">
        <v>53</v>
      </c>
      <c r="AN107" s="7" t="s">
        <v>54</v>
      </c>
      <c r="AO107" s="7" t="s">
        <v>55</v>
      </c>
      <c r="AP107" s="7" t="s">
        <v>56</v>
      </c>
      <c r="AQ107" s="7" t="s">
        <v>57</v>
      </c>
      <c r="AR107" s="7" t="s">
        <v>58</v>
      </c>
      <c r="AS107" s="7" t="s">
        <v>3</v>
      </c>
      <c r="BB107" s="10">
        <v>105</v>
      </c>
      <c r="BC107" s="10" t="s">
        <v>6</v>
      </c>
      <c r="BD107" s="12">
        <v>1629.2800000000038</v>
      </c>
      <c r="BE107" s="12">
        <v>738.77599999999893</v>
      </c>
      <c r="BF107" s="12">
        <v>1796.760000000002</v>
      </c>
      <c r="BG107" s="12">
        <v>1261.2800000000018</v>
      </c>
      <c r="BH107" s="12">
        <v>2232.239999999998</v>
      </c>
      <c r="BI107" s="12">
        <v>2018.880000000001</v>
      </c>
      <c r="BK107" s="10">
        <v>105</v>
      </c>
      <c r="BL107" s="10" t="s">
        <v>24</v>
      </c>
      <c r="BM107" s="12">
        <v>2520.6400000000031</v>
      </c>
      <c r="BN107" s="12">
        <v>1078.2079999999987</v>
      </c>
      <c r="BO107" s="12">
        <v>2674.2560000000012</v>
      </c>
      <c r="BP107" s="12">
        <v>1876.343999999995</v>
      </c>
      <c r="BQ107" s="12">
        <v>3259.5999999999949</v>
      </c>
      <c r="BR107" s="12">
        <v>3016.7199999999939</v>
      </c>
      <c r="BS107" s="6"/>
      <c r="BT107" s="10">
        <v>105</v>
      </c>
      <c r="BU107" s="10"/>
      <c r="BV107" s="12">
        <v>3988.4879999999976</v>
      </c>
      <c r="BW107" s="12">
        <v>2104.7199999999957</v>
      </c>
      <c r="BX107" s="12">
        <v>5330</v>
      </c>
      <c r="BY107" s="12">
        <v>3769.6959999999931</v>
      </c>
      <c r="BZ107" s="12">
        <v>6508.9039999999923</v>
      </c>
      <c r="CA107" s="12">
        <v>5918.2479999999996</v>
      </c>
      <c r="CB107" s="6"/>
      <c r="CC107" s="10">
        <v>105</v>
      </c>
      <c r="CD107" s="10"/>
      <c r="CE107" s="12">
        <v>5975.1200000000099</v>
      </c>
      <c r="CF107" s="12">
        <v>3118</v>
      </c>
      <c r="CG107" s="12">
        <v>8010.239999999998</v>
      </c>
      <c r="CH107" s="12">
        <v>3859.2800000000061</v>
      </c>
      <c r="CI107" s="12">
        <v>9597.8879999999826</v>
      </c>
      <c r="CJ107" s="12">
        <v>8866.120000000019</v>
      </c>
    </row>
    <row r="108" spans="1:88" ht="15.75" customHeight="1">
      <c r="A108" s="6"/>
      <c r="B108" s="10">
        <v>106</v>
      </c>
      <c r="G108" s="7" t="s">
        <v>7</v>
      </c>
      <c r="H108" s="6" t="str">
        <f>'Tensile Pass Fail'!C6</f>
        <v>LWT310 4.8mm (3/16")</v>
      </c>
      <c r="I108" s="24">
        <f>'Tensile Pass Fail'!D6</f>
        <v>10</v>
      </c>
      <c r="J108" s="7">
        <f>'Tensile Pass Fail'!E6</f>
        <v>50</v>
      </c>
      <c r="K108" s="6"/>
      <c r="L108" s="6">
        <f>IF(J108&gt;=3,L116-((49-J108)*H110),IF(J108&lt;=3,"No Data"))</f>
        <v>287.03000000000003</v>
      </c>
      <c r="M108" s="6">
        <f>IF(J108&gt;=5,M116-((49-J108)*H111),IF(J108&lt;=5,"No Data"))</f>
        <v>299.05</v>
      </c>
      <c r="N108" s="6">
        <f>IF(J108&gt;=10,N116-((49-J108)*H112),IF(J108&lt;=10,"No Data"))</f>
        <v>311.28000000000003</v>
      </c>
      <c r="O108" s="7">
        <f>IF(J108&gt;=11,O116-((49-J108)*H113),IF(J108&lt;=11,"No Data"))</f>
        <v>323.29000000000002</v>
      </c>
      <c r="P108" s="7">
        <f>IF(J108&gt;=14,P116-((49-J108)*H114),IF(J108&lt;=14,"No Data"))</f>
        <v>335.3</v>
      </c>
      <c r="Q108" s="7">
        <f>IF(J108&gt;=16,Q116-((49-J108)*H116),IF(J108&lt;=16,"No Data"))</f>
        <v>359.32</v>
      </c>
      <c r="R108" s="7">
        <f>IF(J108&gt;=18,R116-((49-J108)*H117),IF(J108&lt;=18,"No Data"))</f>
        <v>371.33</v>
      </c>
      <c r="S108" s="7">
        <f>IF(J108&gt;=18,S116-((49-J108)*H118),IF(J108&lt;=18,"No Data"))</f>
        <v>383.34</v>
      </c>
      <c r="T108" s="7">
        <f>IF(J108&gt;=20,T116-((49-J108)*H119),IF(J108&lt;=20,"No Data"))</f>
        <v>395.34999999999997</v>
      </c>
      <c r="U108" s="7">
        <f>IF(J108&gt;=20,U116-((49-J108)*H120),IF(J108&lt;=20,"No Data"))</f>
        <v>407.35999999999996</v>
      </c>
      <c r="V108" s="7">
        <f>IF(J108&gt;=22,V116-((49-J108)*H121),IF(J108&lt;=22,"No Data"))</f>
        <v>419.37</v>
      </c>
      <c r="W108">
        <f>IF(J108&gt;=22,W116-((49-J108)*H122),IF(J108&lt;=22,"No Data"))</f>
        <v>431.38</v>
      </c>
      <c r="X108">
        <f>IF(J108&gt;=22,X116-((49-J108)*H123),IF(J108&lt;=22,"No Data"))</f>
        <v>443.39</v>
      </c>
      <c r="Y108">
        <f>IF(J108&gt;=23,Y116-((49-J108)*H124),IF(J108&lt;=23,"No Data"))</f>
        <v>455.4</v>
      </c>
      <c r="Z108">
        <f>IF(J108&gt;=22,Z116-((49-J108)*H125),IF(J108&lt;=22,"No Data"))</f>
        <v>467.40999999999997</v>
      </c>
      <c r="AA108">
        <f>IF(J108&gt;=23,AA116-((49-J108)*H126),IF(J108&lt;=23,"No Data"))</f>
        <v>479.41999999999996</v>
      </c>
      <c r="AB108">
        <f>IF(J108&gt;=23,AB116-((49-J108)*H127),IF(J108&lt;=23,"No Data"))</f>
        <v>491.42999999999995</v>
      </c>
      <c r="AC108">
        <f>IF(J108&gt;=24,AC116-((49-J108)*H128),IF(J108&lt;=24,"No Data"))</f>
        <v>503.43999999999994</v>
      </c>
      <c r="AD108">
        <f>IF(J108&gt;=25,AD116-((49-J108)*H129),IF(J108&lt;=25,"No Data"))</f>
        <v>515.44999999999993</v>
      </c>
      <c r="AE108">
        <f>IF(J108&gt;=25,AE116-((49-J108)*H130),IF(J108&lt;=25,"No Data"))</f>
        <v>527.45999999999992</v>
      </c>
      <c r="AF108">
        <f>IF(J108&gt;=25,AF116-((49-J108)*H131),IF(J108&lt;=25,"No Data"))</f>
        <v>539.46999999999991</v>
      </c>
      <c r="AG108">
        <f>IF(J108&gt;=25,AG116-((49-J108)*H132),IF(J108&lt;=25,"No Data"))</f>
        <v>551.4799999999999</v>
      </c>
      <c r="AH108">
        <f>IF(J108&gt;=26,AH116-((49-J108)*H133),IF(J108&lt;=26,"No Data"))</f>
        <v>563.4899999999999</v>
      </c>
      <c r="AI108">
        <f>IF(J108&gt;=26,AI116-((49-J108)*H134),IF(J108&lt;=26,"No Data"))</f>
        <v>575.49999999999989</v>
      </c>
      <c r="AJ108">
        <f>IF(J108&gt;=26,AJ116-((49-J108)*H135),IF(J108&lt;=26,"No Data"))</f>
        <v>587.50999999999988</v>
      </c>
      <c r="AK108">
        <f>IF(J108&gt;=26,AK116-((49-J108)*H136),IF(J108&lt;=26,"No Data"))</f>
        <v>599.51999999999987</v>
      </c>
      <c r="AL108">
        <f>IF(J108&gt;=26,AL116-((49-J108)*H137),IF(J108&lt;=26,"No Data"))</f>
        <v>611.52999999999986</v>
      </c>
      <c r="AM108">
        <f>IF(J108&gt;=26,AM116-((49-J108)*H138),IF(J108&lt;=26,"No Data"))</f>
        <v>623.53999999999985</v>
      </c>
      <c r="AN108">
        <f>IF(J108&gt;=26,AN116-((49-J108)*H139),IF(J108&lt;=26,"No Data"))</f>
        <v>635.54999999999984</v>
      </c>
      <c r="AO108">
        <f>IF(J108&gt;=27,AO116-((49-J108)*H140),IF(J108&lt;=27,"No Data"))</f>
        <v>647.55999999999983</v>
      </c>
      <c r="AP108">
        <f>IF(J108&gt;=27,AP116-((49-J108)*H141),IF(J108&lt;=27,"No Data"))</f>
        <v>659.56999999999994</v>
      </c>
      <c r="AQ108">
        <f>IF(J108&gt;=27,AQ116-((49-J108)*H142),IF(J108&lt;=27,"No Data"))</f>
        <v>671.58999999999992</v>
      </c>
      <c r="AR108">
        <f>IF(J108&gt;=27,AR116-((49-J108)*H143),IF(J108&lt;=27,"No Data"))</f>
        <v>683.59999999999991</v>
      </c>
      <c r="AS108" t="b">
        <f>IF(I108=5,IF(H108=D3,L108),IF(I108=6,IF(H108=D3,M108),IF(I108=7,IF(H108=D3,N108),IF(I108=8,IF(H108=D3,O108),IF(I108=9,IF(H108=D3,P108),IF(I108=11,IF(H108=D3,Q108),IF(I108=12,IF(H108=D3,R108),IF(I108=13,IF(H108=D3,S108),IF(I108=14,IF(H108=D3,T108),IF(I108=15,IF(H108=D3,U108),IF(I108=16,IF(H108=D3,V108),IF(I108=17,IF(H108=D3,W108),IF(I108=18,IF(H108=D3,X108),IF(I108=19,IF(H108=D3,Y108),IF(I108=20,IF(H108=D3,Z108),IF(I108=21,IF(H108=D3,AA108),IF(I108=22,IF(H108=D3,AB108),IF(I108=23,IF(H108=D3,AC108),IF(I108=24,IF(H108=D3,AD108),IF(I108=25,IF(H108=D3,AE108),IF(I108=26,IF(H108=D3,AF108),IF(I108=27,IF(H108=D3,AG108),IF(I108=28,IF(H108=D3,AH108),IF(I108=29,IF(H108=D3,AI108),IF(I108=30,IF(H108=D3,AJ108),IF(I108=31,IF(H108=D3,AK108),IF(I108=32,IF(H108=D3,AL108),IF(I108=33,IF(H108=D3,AM108),IF(I108=34,IF(H108=D3,AN108),IF(I108=35,IF(H108=D3,AO108),IF(I108=36,IF(H108=D3,AP108),IF(I108=37,IF(H108=D3,AQ108),IF(I108=38,IF(H108=D3,AR108))))))))))))))))))))))))))))))))))</f>
        <v>0</v>
      </c>
      <c r="BB108" s="10">
        <v>106</v>
      </c>
      <c r="BC108" s="10" t="s">
        <v>6</v>
      </c>
      <c r="BD108" s="12">
        <v>1646.4100000000039</v>
      </c>
      <c r="BE108" s="12">
        <v>745.89699999999891</v>
      </c>
      <c r="BF108" s="12">
        <v>1815.0950000000021</v>
      </c>
      <c r="BG108" s="12">
        <v>1274.1600000000019</v>
      </c>
      <c r="BH108" s="12">
        <v>2256.0299999999979</v>
      </c>
      <c r="BI108" s="12">
        <v>2040.110000000001</v>
      </c>
      <c r="BK108" s="10">
        <v>106</v>
      </c>
      <c r="BL108" s="10" t="s">
        <v>24</v>
      </c>
      <c r="BM108" s="12">
        <v>2549.5800000000031</v>
      </c>
      <c r="BN108" s="12">
        <v>1089.4259999999988</v>
      </c>
      <c r="BO108" s="12">
        <v>2701.8320000000012</v>
      </c>
      <c r="BP108" s="12">
        <v>1895.7429999999949</v>
      </c>
      <c r="BQ108" s="12">
        <v>3293.6999999999948</v>
      </c>
      <c r="BR108" s="12">
        <v>3048.0899999999938</v>
      </c>
      <c r="BS108" s="6"/>
      <c r="BT108" s="10">
        <v>106</v>
      </c>
      <c r="BU108" s="10"/>
      <c r="BV108" s="12">
        <v>4039.7109999999975</v>
      </c>
      <c r="BW108" s="12">
        <v>2130.3399999999956</v>
      </c>
      <c r="BX108" s="12">
        <v>5395</v>
      </c>
      <c r="BY108" s="12">
        <v>3815.7619999999929</v>
      </c>
      <c r="BZ108" s="12">
        <v>6589.0629999999919</v>
      </c>
      <c r="CA108" s="12">
        <v>5991.4309999999996</v>
      </c>
      <c r="CB108" s="6"/>
      <c r="CC108" s="10">
        <v>106</v>
      </c>
      <c r="CD108" s="10"/>
      <c r="CE108" s="12">
        <v>6051.6400000000103</v>
      </c>
      <c r="CF108" s="12">
        <v>3157.25</v>
      </c>
      <c r="CG108" s="12">
        <v>8108.2799999999979</v>
      </c>
      <c r="CH108" s="12">
        <v>3896.4100000000062</v>
      </c>
      <c r="CI108" s="12">
        <v>9717.1359999999822</v>
      </c>
      <c r="CJ108" s="12">
        <v>8975.5150000000194</v>
      </c>
    </row>
    <row r="109" spans="1:88" ht="15.75" customHeight="1">
      <c r="A109" s="6"/>
      <c r="B109" s="10">
        <v>107</v>
      </c>
      <c r="G109" s="6"/>
      <c r="H109" s="6" t="s">
        <v>59</v>
      </c>
      <c r="I109" s="6" t="s">
        <v>60</v>
      </c>
      <c r="J109" s="6"/>
      <c r="K109" s="6"/>
      <c r="L109" s="6" t="str">
        <f>IF(H108=D3,IF(J108&lt;=200,"PASS","FAIL"))</f>
        <v>PASS</v>
      </c>
      <c r="M109" s="6" t="str">
        <f>IF(H108=D3,IF(J108&lt;=200,"PASS","FAIL"))</f>
        <v>PASS</v>
      </c>
      <c r="N109" s="6" t="str">
        <f>IF(H108=D3,IF(J108&lt;=177,"PASS","FAIL"))</f>
        <v>PASS</v>
      </c>
      <c r="O109" s="7" t="str">
        <f>IF(H108=D3,IF(J108&lt;=162,"PASS","FAIL"))</f>
        <v>PASS</v>
      </c>
      <c r="P109" s="7" t="str">
        <f>IF(H108=D3,IF(J108&lt;=149,"PASS","FAIL"))</f>
        <v>PASS</v>
      </c>
      <c r="Q109" s="7" t="str">
        <f>IF(H108=D3,IF(J108&lt;=130,"PASS","FAIL"))</f>
        <v>PASS</v>
      </c>
      <c r="R109" s="7" t="str">
        <f>IF(H108=D3,IF(J108&lt;=123,"PASS","FAIL"))</f>
        <v>PASS</v>
      </c>
      <c r="S109" s="7" t="str">
        <f>IF(H108=D3,IF(J108&lt;=117,"PASS","FAIL"))</f>
        <v>PASS</v>
      </c>
      <c r="T109" s="7" t="str">
        <f>IF(H108=D3,IF(J108&lt;=111,"PASS","FAIL"))</f>
        <v>PASS</v>
      </c>
      <c r="U109" s="7" t="str">
        <f>IF(H108=D3,IF(J108&lt;=106,"PASS","FAIL"))</f>
        <v>PASS</v>
      </c>
      <c r="V109" s="7" t="str">
        <f>IF(H108=D3,IF(J108&lt;=102,"PASS","FAIL"))</f>
        <v>PASS</v>
      </c>
      <c r="W109" t="str">
        <f>IF(H108=D3,IF(J108&lt;=98,"PASS","FAIL"))</f>
        <v>PASS</v>
      </c>
      <c r="X109" t="str">
        <f>IF(H108=D3,IF(J108&lt;=95,"PASS","FAIL"))</f>
        <v>PASS</v>
      </c>
      <c r="Y109" t="str">
        <f>IF(H108=D3,IF(J108&lt;=92,"PASS","FAIL"))</f>
        <v>PASS</v>
      </c>
      <c r="Z109" t="str">
        <f>IF(H108=D3,IF(J108&lt;=89,"PASS","FAIL"))</f>
        <v>PASS</v>
      </c>
      <c r="AA109" t="str">
        <f>IF(H108=D3,IF(J108&lt;=86,"PASS","FAIL"))</f>
        <v>PASS</v>
      </c>
      <c r="AB109" t="str">
        <f>IF(H108=D3,IF(J108&lt;=84,"PASS","FAIL"))</f>
        <v>PASS</v>
      </c>
      <c r="AC109" t="str">
        <f>IF(H108=D3,IF(J108&lt;=82,"PASS","FAIL"))</f>
        <v>PASS</v>
      </c>
      <c r="AD109" t="str">
        <f>IF(H108=D3,IF(J108&lt;=80,"PASS","FAIL"))</f>
        <v>PASS</v>
      </c>
      <c r="AE109" t="str">
        <f>IF(H108=D3,IF(J108&lt;=78,"PASS","FAIL"))</f>
        <v>PASS</v>
      </c>
      <c r="AF109" t="str">
        <f>IF(H108=D3,IF(J108&lt;=76,"PASS","FAIL"))</f>
        <v>PASS</v>
      </c>
      <c r="AG109" t="str">
        <f>IF(H108=D3,IF(J108&lt;=74,"PASS","FAIL"))</f>
        <v>PASS</v>
      </c>
      <c r="AH109" t="str">
        <f>IF(H108=D3,IF(J108&lt;=73,"PASS","FAIL"))</f>
        <v>PASS</v>
      </c>
      <c r="AI109" t="str">
        <f>IF(H108=D3,IF(J108&lt;=72,"PASS","FAIL"))</f>
        <v>PASS</v>
      </c>
      <c r="AJ109" t="str">
        <f>IF(H108=D3,IF(J108&lt;=70,"PASS","FAIL"))</f>
        <v>PASS</v>
      </c>
      <c r="AK109" t="str">
        <f>IF(H108=D3,IF(J108&lt;=69,"PASS","FAIL"))</f>
        <v>PASS</v>
      </c>
      <c r="AL109" t="str">
        <f>IF(H108=D3,IF(J108&lt;=68,"PASS","FAIL"))</f>
        <v>PASS</v>
      </c>
      <c r="AM109" t="str">
        <f>IF(H108=D3,IF(J108&lt;=67,"PASS","FAIL"))</f>
        <v>PASS</v>
      </c>
      <c r="AN109" t="str">
        <f>IF(H108=D3,IF(J108&lt;=66,"PASS","FAIL"))</f>
        <v>PASS</v>
      </c>
      <c r="AO109" t="str">
        <f>IF(H108=D3,IF(J108&lt;=64,"PASS","FAIL"))</f>
        <v>PASS</v>
      </c>
      <c r="AP109" t="str">
        <f>IF(H108=D3,IF(J108&lt;=64,"PASS","FAIL"))</f>
        <v>PASS</v>
      </c>
      <c r="AQ109" t="str">
        <f>IF(H108=D3,IF(J108&lt;=63,"PASS","FAIL"))</f>
        <v>PASS</v>
      </c>
      <c r="AR109" t="str">
        <f>IF(H108=D3,IF(J108&lt;=62,"PASS","FAIL"))</f>
        <v>PASS</v>
      </c>
      <c r="AS109" t="b">
        <f>IF(I108=5,IF(J108&lt;=200,"PASS","FAIL"),IF(I108=6,IF(J108&lt;=200,"PASS","FAIL"),IF(I108=7,IF(J108&lt;=177,"PASS","FAIL"),IF(I108=8,IF(J108&lt;=162,"PASS","FAIL"),IF(I108=9,IF(J108&lt;=149,"PASS","FAIL"),IF(I108=11,IF(J108&lt;=130,"PASS","FAIL"),IF(I108=12,IF(J108&lt;=123,"PASS","FAIL"),IF(I108=13,IF(J108&lt;=117,"PASS","FAIL"),IF(I108=14,IF(J108&lt;=111,"PASS","FAIL"),IF(I108=15,IF(J108&lt;=106,"PASS","FAIL"),IF(I108=16,IF(J108&lt;=102,"PASS","FAIL"),IF(I108=17,IF(J108&lt;=98,"PASS","FAIL"),IF(I108=18,IF(J108&lt;=95,"PASS","FAIL"),IF(I108=19,IF(J108&lt;=92,"PASS","FAIL"),IF(I108=20,IF(J108&lt;=89,"PASS","FAIL"),IF(I108=21,IF(J108&lt;=86,"PASS","FAIL"),IF(I108=22,IF(J108&lt;=84,"PASS","FAIL"),IF(I108=23,IF(J108&lt;=82,"PASS","FAIL"),IF(I108=24,IF(J108&lt;=80,"PASS","FAIL"),IF(I108=25,IF(J108&lt;=78,"PASS","FAIL"),IF(I108=26,IF(J108&lt;=76,"PASS","FAIL"),IF(I108=27,IF(J108&lt;=74,"PASS","FAIL"),IF(I108=28,IF(J108&lt;=73,"PASS","FAIL"),IF(I108=29,IF(J108&lt;=72,"PASS","FAIL"),IF(I108=30,IF(J108&lt;=70,"PASS","FAIL"),IF(I108=31,IF(J108&lt;=69,"PASS","FAIL"),IF(I108=32,IF(J108&lt;=68,"PASS","FAIL"),IF(I108=33,IF(J108&lt;=67,"PASS","FAIL"),IF(I108=34,IF(J108&lt;=66,"PASS","FAIL"),IF(I108=35,IF(J108&lt;=64,"PASS","FAIL"),IF(I108=36,IF(J108&lt;=64,"PASS","FAIL"),IF(I108=37,IF(J108&lt;=63,"PASS","FAIL"),IF(I108=38,IF(J108&lt;=62,"PASS","FAIL"))))))))))))))))))))))))))))))))))</f>
        <v>0</v>
      </c>
      <c r="AT109" s="23" t="s">
        <v>101</v>
      </c>
      <c r="BB109" s="10">
        <v>107</v>
      </c>
      <c r="BC109" s="10" t="s">
        <v>6</v>
      </c>
      <c r="BD109" s="12">
        <v>1663.5400000000041</v>
      </c>
      <c r="BE109" s="12">
        <v>753.01799999999889</v>
      </c>
      <c r="BF109" s="12">
        <v>1833.4300000000021</v>
      </c>
      <c r="BG109" s="12">
        <v>1287.040000000002</v>
      </c>
      <c r="BH109" s="12">
        <v>2279.8199999999979</v>
      </c>
      <c r="BI109" s="12">
        <v>2061.3400000000011</v>
      </c>
      <c r="BK109" s="10">
        <v>107</v>
      </c>
      <c r="BL109" s="10" t="s">
        <v>24</v>
      </c>
      <c r="BM109" s="12">
        <v>2578.5200000000032</v>
      </c>
      <c r="BN109" s="12">
        <v>1100.6439999999989</v>
      </c>
      <c r="BO109" s="12">
        <v>2729.4080000000013</v>
      </c>
      <c r="BP109" s="12">
        <v>1915.1419999999948</v>
      </c>
      <c r="BQ109" s="12">
        <v>3327.7999999999947</v>
      </c>
      <c r="BR109" s="12">
        <v>3079.4599999999937</v>
      </c>
      <c r="BS109" s="6"/>
      <c r="BT109" s="10">
        <v>107</v>
      </c>
      <c r="BU109" s="10"/>
      <c r="BV109" s="12">
        <v>4090.9339999999975</v>
      </c>
      <c r="BW109" s="12">
        <v>2155.9599999999955</v>
      </c>
      <c r="BX109" s="12">
        <v>5460</v>
      </c>
      <c r="BY109" s="12">
        <v>3861.8279999999927</v>
      </c>
      <c r="BZ109" s="12">
        <v>6669.2219999999916</v>
      </c>
      <c r="CA109" s="12">
        <v>6064.6139999999996</v>
      </c>
      <c r="CB109" s="6"/>
      <c r="CC109" s="10">
        <v>107</v>
      </c>
      <c r="CD109" s="10"/>
      <c r="CE109" s="12">
        <v>6128.1600000000108</v>
      </c>
      <c r="CF109" s="12">
        <v>3196.5</v>
      </c>
      <c r="CG109" s="12">
        <v>8206.3199999999979</v>
      </c>
      <c r="CH109" s="12">
        <v>3933.5400000000063</v>
      </c>
      <c r="CI109" s="12">
        <v>9836.3839999999818</v>
      </c>
      <c r="CJ109" s="12">
        <v>9084.9100000000199</v>
      </c>
    </row>
    <row r="110" spans="1:88" ht="15.75" customHeight="1">
      <c r="A110" s="6"/>
      <c r="B110" s="10">
        <v>108</v>
      </c>
      <c r="G110" s="6"/>
      <c r="H110" s="6">
        <v>3.93</v>
      </c>
      <c r="I110" s="6">
        <v>6.38</v>
      </c>
      <c r="J110" s="6"/>
      <c r="K110" s="6"/>
      <c r="AT110" t="b">
        <f>IF(AS108=FALSE(),AS112,AS108)</f>
        <v>0</v>
      </c>
      <c r="BB110" s="10">
        <v>108</v>
      </c>
      <c r="BC110" s="10" t="s">
        <v>6</v>
      </c>
      <c r="BD110" s="12">
        <v>1680.6700000000042</v>
      </c>
      <c r="BE110" s="12">
        <v>760.13899999999887</v>
      </c>
      <c r="BF110" s="12">
        <v>1851.7650000000021</v>
      </c>
      <c r="BG110" s="12">
        <v>1299.9200000000021</v>
      </c>
      <c r="BH110" s="12">
        <v>2303.6099999999979</v>
      </c>
      <c r="BI110" s="12">
        <v>2082.5700000000011</v>
      </c>
      <c r="BK110" s="10">
        <v>108</v>
      </c>
      <c r="BL110" s="10" t="s">
        <v>24</v>
      </c>
      <c r="BM110" s="12">
        <v>2607.4600000000032</v>
      </c>
      <c r="BN110" s="12">
        <v>1111.8619999999989</v>
      </c>
      <c r="BO110" s="12">
        <v>2756.9840000000013</v>
      </c>
      <c r="BP110" s="12">
        <v>1934.5409999999947</v>
      </c>
      <c r="BQ110" s="12">
        <v>3361.8999999999946</v>
      </c>
      <c r="BR110" s="12">
        <v>3110.8299999999936</v>
      </c>
      <c r="BS110" s="6"/>
      <c r="BT110" s="10">
        <v>108</v>
      </c>
      <c r="BU110" s="10"/>
      <c r="BV110" s="12">
        <v>4142.1569999999974</v>
      </c>
      <c r="BW110" s="12">
        <v>2181.5799999999954</v>
      </c>
      <c r="BX110" s="12">
        <v>5525</v>
      </c>
      <c r="BY110" s="12">
        <v>3907.8939999999925</v>
      </c>
      <c r="BZ110" s="12">
        <v>6749.3809999999912</v>
      </c>
      <c r="CA110" s="12">
        <v>6137.7969999999996</v>
      </c>
      <c r="CB110" s="6"/>
      <c r="CC110" s="10">
        <v>108</v>
      </c>
      <c r="CD110" s="10"/>
      <c r="CE110" s="12">
        <v>6204.6800000000112</v>
      </c>
      <c r="CF110" s="12">
        <v>3235.75</v>
      </c>
      <c r="CG110" s="12">
        <v>8304.3599999999988</v>
      </c>
      <c r="CH110" s="12">
        <v>3970.6700000000064</v>
      </c>
      <c r="CI110" s="12">
        <v>9955.6319999999814</v>
      </c>
      <c r="CJ110" s="12">
        <v>9194.3050000000203</v>
      </c>
    </row>
    <row r="111" spans="1:88" ht="15.75" customHeight="1">
      <c r="A111" s="6"/>
      <c r="B111" s="10">
        <v>109</v>
      </c>
      <c r="G111" s="6"/>
      <c r="H111" s="6">
        <v>4.57</v>
      </c>
      <c r="I111" s="7">
        <v>7.3460000000000001</v>
      </c>
      <c r="L111" s="7" t="s">
        <v>68</v>
      </c>
      <c r="M111" s="7" t="s">
        <v>69</v>
      </c>
      <c r="N111" s="7" t="s">
        <v>70</v>
      </c>
      <c r="O111" s="7" t="s">
        <v>71</v>
      </c>
      <c r="P111" s="7" t="s">
        <v>72</v>
      </c>
      <c r="Q111" s="7" t="s">
        <v>73</v>
      </c>
      <c r="R111" s="7" t="s">
        <v>74</v>
      </c>
      <c r="S111" s="7" t="s">
        <v>75</v>
      </c>
      <c r="T111" s="7" t="s">
        <v>76</v>
      </c>
      <c r="U111" s="7" t="s">
        <v>77</v>
      </c>
      <c r="V111" s="7" t="s">
        <v>78</v>
      </c>
      <c r="W111" s="7" t="s">
        <v>79</v>
      </c>
      <c r="X111" s="7" t="s">
        <v>80</v>
      </c>
      <c r="Y111" s="7" t="s">
        <v>81</v>
      </c>
      <c r="Z111" s="7" t="s">
        <v>82</v>
      </c>
      <c r="AA111" s="7" t="s">
        <v>83</v>
      </c>
      <c r="AB111" s="7" t="s">
        <v>84</v>
      </c>
      <c r="AC111" s="7" t="s">
        <v>85</v>
      </c>
      <c r="AD111" s="7" t="s">
        <v>86</v>
      </c>
      <c r="AE111" s="7" t="s">
        <v>87</v>
      </c>
      <c r="AF111" s="7" t="s">
        <v>88</v>
      </c>
      <c r="AG111" s="7" t="s">
        <v>89</v>
      </c>
      <c r="AH111" s="7" t="s">
        <v>90</v>
      </c>
      <c r="AI111" s="7" t="s">
        <v>91</v>
      </c>
      <c r="AJ111" s="7" t="s">
        <v>92</v>
      </c>
      <c r="AK111" s="7" t="s">
        <v>93</v>
      </c>
      <c r="AL111" s="7" t="s">
        <v>94</v>
      </c>
      <c r="AM111" s="7" t="s">
        <v>95</v>
      </c>
      <c r="AN111" s="7" t="s">
        <v>96</v>
      </c>
      <c r="AO111" s="7" t="s">
        <v>97</v>
      </c>
      <c r="AP111" s="7" t="s">
        <v>98</v>
      </c>
      <c r="AQ111" s="7" t="s">
        <v>99</v>
      </c>
      <c r="AR111" s="7" t="s">
        <v>100</v>
      </c>
      <c r="AS111" s="7" t="s">
        <v>3</v>
      </c>
      <c r="AT111" t="b">
        <f>IF(AS109=FALSE(),AS113,AS109)</f>
        <v>0</v>
      </c>
      <c r="BB111" s="10">
        <v>109</v>
      </c>
      <c r="BC111" s="10" t="s">
        <v>6</v>
      </c>
      <c r="BD111" s="12">
        <v>1697.8000000000043</v>
      </c>
      <c r="BE111" s="12">
        <v>767.25999999999885</v>
      </c>
      <c r="BF111" s="12">
        <v>1870.1000000000022</v>
      </c>
      <c r="BG111" s="12">
        <v>1312.8000000000022</v>
      </c>
      <c r="BH111" s="12">
        <v>2327.3999999999978</v>
      </c>
      <c r="BI111" s="12">
        <v>2103.8000000000011</v>
      </c>
      <c r="BK111" s="10">
        <v>109</v>
      </c>
      <c r="BL111" s="10" t="s">
        <v>24</v>
      </c>
      <c r="BM111" s="12">
        <v>2636.4000000000033</v>
      </c>
      <c r="BN111" s="12">
        <v>1123.079999999999</v>
      </c>
      <c r="BO111" s="12">
        <v>2784.5600000000013</v>
      </c>
      <c r="BP111" s="12">
        <v>1953.9399999999946</v>
      </c>
      <c r="BQ111" s="12">
        <v>3395.9999999999945</v>
      </c>
      <c r="BR111" s="12">
        <v>3142.1999999999935</v>
      </c>
      <c r="BS111" s="6"/>
      <c r="BT111" s="10">
        <v>109</v>
      </c>
      <c r="BU111" s="10"/>
      <c r="BV111" s="12">
        <v>4193.3799999999974</v>
      </c>
      <c r="BW111" s="12">
        <v>2207.1999999999953</v>
      </c>
      <c r="BX111" s="12">
        <v>5590</v>
      </c>
      <c r="BY111" s="12">
        <v>3953.9599999999923</v>
      </c>
      <c r="BZ111" s="12">
        <v>6829.5399999999909</v>
      </c>
      <c r="CA111" s="12">
        <v>6210.98</v>
      </c>
      <c r="CB111" s="6"/>
      <c r="CC111" s="10">
        <v>109</v>
      </c>
      <c r="CD111" s="10"/>
      <c r="CE111" s="12">
        <v>6281.2000000000116</v>
      </c>
      <c r="CF111" s="12">
        <v>3275</v>
      </c>
      <c r="CG111" s="12">
        <v>8402.4</v>
      </c>
      <c r="CH111" s="12">
        <v>4007.8000000000065</v>
      </c>
      <c r="CI111" s="12">
        <v>10074.879999999981</v>
      </c>
      <c r="CJ111" s="12">
        <v>9303.7000000000207</v>
      </c>
    </row>
    <row r="112" spans="1:88" ht="15.75" customHeight="1">
      <c r="A112" s="6"/>
      <c r="B112" s="10">
        <v>110</v>
      </c>
      <c r="G112" s="6"/>
      <c r="H112" s="6">
        <f t="shared" ref="H112:H138" si="10">H113-0.63</f>
        <v>5.4200000000000008</v>
      </c>
      <c r="I112" s="6">
        <f t="shared" ref="I112:I140" si="11">I113-0.966</f>
        <v>8.3289999999999793</v>
      </c>
      <c r="L112" s="7">
        <f>IF(J108&gt;=3,L123-((49-J108)*I110),IF(J108&lt;=3,"No Data"))</f>
        <v>375.33499999999998</v>
      </c>
      <c r="M112" s="7">
        <f>IF(J108&gt;=4,M123-((49-J108)*I111),IF(J108&lt;=4,"No Data"))</f>
        <v>392.51</v>
      </c>
      <c r="N112" s="7">
        <f>IF(J108&gt;=11,N123-((49-J108)*I112),IF(J108&lt;=11,"No Data"))</f>
        <v>409.702</v>
      </c>
      <c r="O112" s="7">
        <f>IF(J108&gt;=14,O123-((49-J108)*I113),IF(J108&lt;=14,"No Data"))</f>
        <v>426.87699999999995</v>
      </c>
      <c r="P112" s="7">
        <f>IF(J108&gt;=16,P123-((49-J108)*I114),IF(J108&lt;=16,"No Data"))</f>
        <v>444.05199999999996</v>
      </c>
      <c r="Q112" s="7">
        <f>IF(J108&gt;=19,Q123-((49-J108)*I116),IF(J108&lt;=19,"No Data"))</f>
        <v>478.40199999999999</v>
      </c>
      <c r="R112" s="7">
        <f>IF(J108&gt;=20,R123-((49-J108)*I117),IF(J108&lt;=20,"No Data"))</f>
        <v>495.577</v>
      </c>
      <c r="S112" s="7">
        <f>IF(J108&gt;=21,S123-((49-J108)*I118),IF(J108&lt;=21,"No Data"))</f>
        <v>512.75199999999995</v>
      </c>
      <c r="T112" s="7">
        <f>IF(J108&gt;=23,T123-((49-J108)*I119),IF(J108&lt;=23,"No Data"))</f>
        <v>529.92700000000002</v>
      </c>
      <c r="U112" s="7">
        <f>IF(J108&gt;=22,U123-((49-J108)*I120),IF(J108&lt;=22,"No Data"))</f>
        <v>547.10199999999998</v>
      </c>
      <c r="V112" s="7">
        <f>IF(J108&gt;=23,V123-((49-J108)*I121),IF(J108&lt;=23,"No Data"))</f>
        <v>564.27699999999993</v>
      </c>
      <c r="W112">
        <f>IF(J108&gt;=23,W123-((49-J108)*I122),IF(J108&lt;=23,"No Data"))</f>
        <v>581.45199999999977</v>
      </c>
      <c r="X112">
        <f>IF(J108&gt;=24,X123-((49-J108)*I123),IF(J108&lt;=24,"No Data"))</f>
        <v>598.62699999999973</v>
      </c>
      <c r="Y112">
        <f>IF(J108&gt;=24,Y123-((49-J108)*I124),IF(J108&lt;=24,"No Data"))</f>
        <v>615.80199999999968</v>
      </c>
      <c r="Z112">
        <f>IF(J108&gt;=25,Z123-((49-J108)*I125),IF(J108&lt;=25,"No Data"))</f>
        <v>632.97699999999963</v>
      </c>
      <c r="AA112">
        <f>IF(J108&gt;=25,AA123-((49-J108)*I126),IF(J108&lt;=25,"No Data"))</f>
        <v>650.15199999999959</v>
      </c>
      <c r="AB112">
        <f>IF(J108&gt;=26,AB123-((49-J108)*I127),IF(J108&lt;=26,"No Data"))</f>
        <v>667.32699999999954</v>
      </c>
      <c r="AC112">
        <f>IF(J108&gt;=26,AC123-((49-J108)*I128),IF(J108&lt;=26,"No Data"))</f>
        <v>684.5019999999995</v>
      </c>
      <c r="AD112">
        <f>IF(J108&gt;=26,AD123-((49-J108)*I129),IF(J108&lt;=26,"No Data"))</f>
        <v>701.67699999999945</v>
      </c>
      <c r="AE112">
        <f>IF(J108&gt;=26,AE123-((49-J108)*I130),IF(J108&lt;=26,"No Data"))</f>
        <v>718.85199999999941</v>
      </c>
      <c r="AF112">
        <f>IF(J108&gt;=27,AF123-((49-J108)*I131),IF(J108&lt;=27,"No Data"))</f>
        <v>736.02699999999936</v>
      </c>
      <c r="AG112">
        <f>IF(J108&gt;=27,AG123-((49-J108)*I132),IF(J108&lt;=27,"No Data"))</f>
        <v>753.20199999999932</v>
      </c>
      <c r="AH112">
        <f>IF(J108&gt;=27,AH123-((49-J108)*I133),IF(J108&lt;=27,"No Data"))</f>
        <v>770.37699999999927</v>
      </c>
      <c r="AI112">
        <f>IF(J108&gt;=27,AI123-((49-J108)*I134),IF(J108&lt;=27,"No Data"))</f>
        <v>787.55199999999923</v>
      </c>
      <c r="AJ112">
        <f>IF(J108&gt;=27,AJ123-((49-J108)*I135),IF(J108&lt;=27,"No Data"))</f>
        <v>804.72699999999918</v>
      </c>
      <c r="AK112">
        <f>IF(J108&gt;=28,AK123-((49-J108)*I136),IF(J108&lt;=28,"No Data"))</f>
        <v>821.90199999999913</v>
      </c>
      <c r="AL112">
        <f>IF(J108&gt;=28,AL123-((49-J108)*I137),IF(J108&lt;=28,"No Data"))</f>
        <v>839.07699999999909</v>
      </c>
      <c r="AM112">
        <f>IF(J108&gt;=28,AM123-((49-J108)*I138),IF(J108&lt;=28,"No Data"))</f>
        <v>856.25199999999904</v>
      </c>
      <c r="AN112">
        <f>IF(J108&gt;=28,AN123-((49-J108)*I139),IF(J108&lt;=28,"No Data"))</f>
        <v>873.42699999999888</v>
      </c>
      <c r="AO112">
        <f>IF(J108&gt;=28,AO123-((49-J108)*I140),IF(J108&lt;=28,"No Data"))</f>
        <v>890.60199999999884</v>
      </c>
      <c r="AP112">
        <f>IF(J108&gt;=28,AP123-((49-J108)*I141),IF(J108&lt;=28,"No Data"))</f>
        <v>907.77699999999879</v>
      </c>
      <c r="AQ112">
        <f>IF(J108&gt;=28,AQ123-((49-J108)*I142),IF(J108&lt;=28,"No Data"))</f>
        <v>924.95199999999875</v>
      </c>
      <c r="AR112">
        <f>IF(J108&gt;=28,AR123-((49-J108)*I143),IF(J108&lt;=28,"No Data"))</f>
        <v>942.1269999999987</v>
      </c>
      <c r="AS112" t="b">
        <f>IF(I108=5,IF(H108=D4,L112),IF(I108=6,IF(H108=D4,M112),IF(I108=7,IF(H108=D4,N112),IF(I108=8,IF(H108=D4,O112),IF(I108=9,IF(H108=D4,P112),IF(I108=11,IF(H108=D4,Q112),IF(I108=12,IF(H108=D4,R112),IF(I108=13,IF(H108=D4,S112),IF(I108=14,IF(H108=D4,T112),IF(I108=15,IF(H108=D4,U112),IF(I108=16,IF(H108=D4,V112),IF(I108=17,IF(H108=D4,W112),IF(I108=18,IF(H108=D4,X112),IF(I108=19,IF(H108=D4,Y112),IF(I108=20,IF(H108=D4,Z112),IF(I108=21,IF(H108=D4,AA112),IF(I108=22,IF(H108=D4,AB112),IF(I108=23,IF(H108=D4,AC112),IF(I108=24,IF(H108=D4,AD112),IF(I108=25,IF(H108=D4,AE112),IF(I108=26,IF(H108=D4,AF112),IF(I108=27,IF(H108=D4,AG112),IF(I108=28,IF(H108=D4,AH112),IF(I108=29,IF(H108=D4,AI112),IF(I108=30,IF(H108=D4,AJ112),IF(I108=31,IF(H108=D4,AK112),IF(I108=32,IF(H108=D4,AL112),IF(I108=33,IF(H108=D4,AM112),IF(I108=34,IF(H108=D4,AN112),IF(I108=35,IF(H108=D4,AO112),IF(I108=36,IF(H108=D4,AP112),IF(I108=37,IF(H108=D4,AQ112),IF(I108=38,IF(H108=D4,AR112))))))))))))))))))))))))))))))))))</f>
        <v>0</v>
      </c>
      <c r="BB112" s="10">
        <v>110</v>
      </c>
      <c r="BC112" s="10" t="s">
        <v>6</v>
      </c>
      <c r="BD112" s="12">
        <v>1714.9300000000044</v>
      </c>
      <c r="BE112" s="12">
        <v>774.38099999999883</v>
      </c>
      <c r="BF112" s="12">
        <v>1888.4350000000022</v>
      </c>
      <c r="BG112" s="12">
        <v>1325.6800000000023</v>
      </c>
      <c r="BH112" s="12">
        <v>2351.1899999999978</v>
      </c>
      <c r="BI112" s="12">
        <v>2125.0300000000011</v>
      </c>
      <c r="BK112" s="10">
        <v>110</v>
      </c>
      <c r="BL112" s="10" t="s">
        <v>24</v>
      </c>
      <c r="BM112" s="12">
        <v>2665.3400000000033</v>
      </c>
      <c r="BN112" s="12">
        <v>1134.2979999999991</v>
      </c>
      <c r="BO112" s="12">
        <v>2812.1360000000013</v>
      </c>
      <c r="BP112" s="12">
        <v>1973.3389999999945</v>
      </c>
      <c r="BQ112" s="12">
        <v>3430.0999999999945</v>
      </c>
      <c r="BR112" s="12">
        <v>3173.5699999999933</v>
      </c>
      <c r="BS112" s="6"/>
      <c r="BT112" s="10">
        <v>110</v>
      </c>
      <c r="BU112" s="10"/>
      <c r="BV112" s="12">
        <v>4244.6029999999973</v>
      </c>
      <c r="BW112" s="12">
        <v>2232.8199999999952</v>
      </c>
      <c r="BX112" s="12">
        <v>5655</v>
      </c>
      <c r="BY112" s="12">
        <v>4000.0259999999921</v>
      </c>
      <c r="BZ112" s="12">
        <v>6909.6989999999905</v>
      </c>
      <c r="CA112" s="12">
        <v>6284.1629999999996</v>
      </c>
      <c r="CB112" s="6"/>
      <c r="CC112" s="10">
        <v>110</v>
      </c>
      <c r="CD112" s="10"/>
      <c r="CE112" s="12">
        <v>6357.7200000000121</v>
      </c>
      <c r="CF112" s="12">
        <v>3314.25</v>
      </c>
      <c r="CG112" s="12">
        <v>8500.44</v>
      </c>
      <c r="CH112" s="12">
        <v>4044.9300000000067</v>
      </c>
      <c r="CI112" s="12">
        <v>10194.127999999981</v>
      </c>
      <c r="CJ112" s="12">
        <v>9413.0950000000212</v>
      </c>
    </row>
    <row r="113" spans="1:88" ht="15.75" customHeight="1">
      <c r="A113" s="6"/>
      <c r="B113" s="10">
        <v>111</v>
      </c>
      <c r="G113" s="6"/>
      <c r="H113" s="6">
        <f t="shared" si="10"/>
        <v>6.0500000000000007</v>
      </c>
      <c r="I113" s="6">
        <f t="shared" si="11"/>
        <v>9.2949999999999786</v>
      </c>
      <c r="L113" s="7" t="b">
        <f>IF(H108=D4,IF(J108&lt;=200,"PASS","FAIL"))</f>
        <v>0</v>
      </c>
      <c r="M113" s="7" t="b">
        <f>IF(H108=D4,IF(J108&lt;=187,"PASS","FAIL"))</f>
        <v>0</v>
      </c>
      <c r="N113" s="7" t="b">
        <f>IF(H108=D4,IF(J108&lt;=169,"PASS","FAIL"))</f>
        <v>0</v>
      </c>
      <c r="O113" s="7" t="b">
        <f>IF(H108=D4,IF(J108&lt;=154,"PASS","FAIL"))</f>
        <v>0</v>
      </c>
      <c r="P113" s="7" t="b">
        <f>IF(H108=D4,IF(J108&lt;=143,"PASS","FAIL"))</f>
        <v>0</v>
      </c>
      <c r="Q113" s="7" t="b">
        <f>IF(H108=D4,IF(J108&lt;=125,"PASS","FAIL"))</f>
        <v>0</v>
      </c>
      <c r="R113" s="7" t="b">
        <f>IF(H108=D4,IF(J108&lt;=118,"PASS","FAIL"))</f>
        <v>0</v>
      </c>
      <c r="S113" s="7" t="b">
        <f>IF(H108=D4,IF(J108&lt;=112,"PASS","FAIL"))</f>
        <v>0</v>
      </c>
      <c r="T113" s="7" t="b">
        <f>IF(H108=D4,IF(J108&lt;=107,"PASS","FAIL"))</f>
        <v>0</v>
      </c>
      <c r="U113" s="7" t="b">
        <f>IF(H108=D4,IF(J108&lt;=103,"PASS","FAIL"))</f>
        <v>0</v>
      </c>
      <c r="V113" s="7" t="b">
        <f>IF(H108=D4,IF(J108&lt;=99,"PASS","FAIL"))</f>
        <v>0</v>
      </c>
      <c r="W113" t="b">
        <f>IF(H108=D4,IF(J108&lt;=95,"PASS","FAIL"))</f>
        <v>0</v>
      </c>
      <c r="X113" t="b">
        <f>IF(H108=D4,IF(J108&lt;=92,"PASS","FAIL"))</f>
        <v>0</v>
      </c>
      <c r="Y113" t="b">
        <f>IF(H108=D4,IF(J108&lt;=89,"PASS","FAIL"))</f>
        <v>0</v>
      </c>
      <c r="Z113" t="b">
        <f>IF(H108=D4,IF(J108&lt;=86,"PASS","FAIL"))</f>
        <v>0</v>
      </c>
      <c r="AA113" t="b">
        <f>IF(H108=D4,IF(J108&lt;=84,"PASS","FAIL"))</f>
        <v>0</v>
      </c>
      <c r="AB113" t="b">
        <f>IF(H108=D4,IF(J108&lt;=82,"PASS","FAIL"))</f>
        <v>0</v>
      </c>
      <c r="AC113" t="b">
        <f>IF(H108=D4,IF(J108&lt;=80,"PASS","FAIL"))</f>
        <v>0</v>
      </c>
      <c r="AD113" t="b">
        <f>IF(H108=D4,IF(J108&lt;=78,"PASS","FAIL"))</f>
        <v>0</v>
      </c>
      <c r="AE113" t="b">
        <f>IF(H108=D4,IF(J108&lt;=76,"PASS","FAIL"))</f>
        <v>0</v>
      </c>
      <c r="AF113" t="b">
        <f>IF(H108=D4,IF(J108&lt;=74,"PASS","FAIL"))</f>
        <v>0</v>
      </c>
      <c r="AG113" t="b">
        <f>IF(H108=D4,IF(J108&lt;=73,"PASS","FAIL"))</f>
        <v>0</v>
      </c>
      <c r="AH113" t="b">
        <f>IF(H108=D4,IF(J108&lt;=72,"PASS","FAIL"))</f>
        <v>0</v>
      </c>
      <c r="AI113" t="b">
        <f>IF(H108=D4,IF(J108&lt;=70,"PASS","FAIL"))</f>
        <v>0</v>
      </c>
      <c r="AJ113" t="b">
        <f>IF(H108=D4,IF(J108&lt;=69,"PASS","FAIL"))</f>
        <v>0</v>
      </c>
      <c r="AK113" t="b">
        <f>IF(H108=D4,IF(J108&lt;=68,"PASS","FAIL"))</f>
        <v>0</v>
      </c>
      <c r="AL113" t="b">
        <f>IF(H108=D4,IF(J108&lt;=67,"PASS","FAIL"))</f>
        <v>0</v>
      </c>
      <c r="AM113" t="b">
        <f>IF(H108=D4,IF(J108&lt;=66,"PASS","FAIL"))</f>
        <v>0</v>
      </c>
      <c r="AN113" t="b">
        <f>IF(H108=D4,IF(J108&lt;=65,"PASS","FAIL"))</f>
        <v>0</v>
      </c>
      <c r="AO113" t="b">
        <f>IF(H108=D4,IF(J108&lt;=64,"PASS","FAIL"))</f>
        <v>0</v>
      </c>
      <c r="AP113" t="b">
        <f>IF(H108=D4,IF(J108&lt;=63,"PASS","FAIL"))</f>
        <v>0</v>
      </c>
      <c r="AQ113" t="b">
        <f>IF(H108=D4,IF(J108&lt;=62,"PASS","FAIL"))</f>
        <v>0</v>
      </c>
      <c r="AR113" t="b">
        <f>IF(H108=D4,IF(J108&lt;=61,"PASS","FAIL"))</f>
        <v>0</v>
      </c>
      <c r="AS113" t="b">
        <f>IF(I108=5,IF(J108&lt;=200,"PASS","FAIL"),IF(I108=6,IF(J108&lt;=187,"PASS","FAIL"),IF(I108=7,IF(J108&lt;=169,"PASS","FAIL"),IF(I108=8,IF(J108&lt;=154,"PASS","FAIL"),IF(I108=9,IF(J108&lt;=143,"PASS","FAIL"),IF(I108=11,IF(J108&lt;=125,"PASS","FAIL"),IF(I108=12,IF(J108&lt;=118,"PASS","FAIL"),IF(I108=13,IF(J108&lt;=112,"PASS","FAIL"),IF(I108=14,IF(J108&lt;=107,"PASS","FAIL"),IF(I108=15,IF(J108&lt;=103,"PASS","FAIL"),IF(I108=16,IF(J108&lt;=99,"PASS","FAIL"),IF(I108=17,IF(J108&lt;=95,"PASS","FAIL"),IF(I108=18,IF(J108&lt;=92,"PASS","FAIL"),IF(I108=19,IF(J108&lt;=89,"PASS","FAIL"),IF(I108=20,IF(J108&lt;=86,"PASS","FAIL"),IF(I108=21,IF(J108&lt;=84,"PASS","FAIL"),IF(I108=22,IF(J108&lt;=82,"PASS","FAIL"),IF(I108=23,IF(J108&lt;=80,"PASS","FAIL"),IF(I108=24,IF(J108&lt;=78,"PASS","FAIL"),IF(I108=25,IF(J108&lt;=76,"PASS","FAIL"),IF(I108=26,IF(J108&lt;=74,"PASS","FAIL"),IF(I108=27,IF(J108&lt;=73,"PASS","FAIL"),IF(I108=28,IF(J108&lt;=72,"PASS","FAIL"),IF(I108=29,IF(J108&lt;=70,"PASS","FAIL"),IF(I108=30,IF(J108&lt;=69,"PASS","FAIL"),IF(I108=31,IF(J108&lt;=68,"PASS","FAIL"),IF(I108=32,IF(J108&lt;=67,"PASS","FAIL"),IF(I108=33,IF(J108&lt;=66,"PASS","FAIL"),IF(I108=34,IF(J108&lt;=65,"PASS","FAIL"),IF(I108=35,IF(J108&lt;=64,"PASS","FAIL"),IF(I108=36,IF(J108&lt;=63,"PASS","FAIL"),IF(I108=37,IF(J108&lt;=62,"PASS","FAIL"),IF(I108=38,IF(J108&lt;=61,"PASS","FAIL"))))))))))))))))))))))))))))))))))</f>
        <v>0</v>
      </c>
      <c r="BB113" s="10">
        <v>111</v>
      </c>
      <c r="BC113" s="10" t="s">
        <v>6</v>
      </c>
      <c r="BD113" s="12">
        <v>1732.0600000000045</v>
      </c>
      <c r="BE113" s="12">
        <v>781.50199999999882</v>
      </c>
      <c r="BF113" s="12">
        <v>1906.7700000000023</v>
      </c>
      <c r="BG113" s="12">
        <v>1338.5600000000024</v>
      </c>
      <c r="BH113" s="12">
        <v>2374.9799999999977</v>
      </c>
      <c r="BI113" s="12">
        <v>2146.2600000000011</v>
      </c>
      <c r="BK113" s="10">
        <v>111</v>
      </c>
      <c r="BL113" s="10" t="s">
        <v>24</v>
      </c>
      <c r="BM113" s="12">
        <v>2694.2800000000034</v>
      </c>
      <c r="BN113" s="12">
        <v>1145.5159999999992</v>
      </c>
      <c r="BO113" s="12">
        <v>2839.7120000000014</v>
      </c>
      <c r="BP113" s="12">
        <v>1992.7379999999944</v>
      </c>
      <c r="BQ113" s="12">
        <v>3464.1999999999944</v>
      </c>
      <c r="BR113" s="12">
        <v>3204.9399999999932</v>
      </c>
      <c r="BS113" s="6"/>
      <c r="BT113" s="10">
        <v>111</v>
      </c>
      <c r="BU113" s="10"/>
      <c r="BV113" s="12">
        <v>4295.8259999999973</v>
      </c>
      <c r="BW113" s="12">
        <v>2258.4399999999951</v>
      </c>
      <c r="BX113" s="12">
        <v>5720</v>
      </c>
      <c r="BY113" s="12">
        <v>4046.0919999999919</v>
      </c>
      <c r="BZ113" s="12">
        <v>6989.8579999999902</v>
      </c>
      <c r="CA113" s="12">
        <v>6357.3459999999995</v>
      </c>
      <c r="CB113" s="6"/>
      <c r="CC113" s="10">
        <v>111</v>
      </c>
      <c r="CD113" s="10"/>
      <c r="CE113" s="12">
        <v>6434.2400000000125</v>
      </c>
      <c r="CF113" s="12">
        <v>3353.5</v>
      </c>
      <c r="CG113" s="12">
        <v>8598.4800000000014</v>
      </c>
      <c r="CH113" s="12">
        <v>4082.0600000000068</v>
      </c>
      <c r="CI113" s="12">
        <v>10313.37599999998</v>
      </c>
      <c r="CJ113" s="12">
        <v>9522.4900000000216</v>
      </c>
    </row>
    <row r="114" spans="1:88" ht="15.75" customHeight="1">
      <c r="A114" s="6"/>
      <c r="B114" s="10">
        <v>112</v>
      </c>
      <c r="G114" s="6"/>
      <c r="H114" s="6">
        <f t="shared" si="10"/>
        <v>6.6800000000000006</v>
      </c>
      <c r="I114" s="6">
        <f t="shared" si="11"/>
        <v>10.260999999999978</v>
      </c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BB114" s="10">
        <v>112</v>
      </c>
      <c r="BC114" s="10" t="s">
        <v>6</v>
      </c>
      <c r="BD114" s="12">
        <v>1749.1900000000046</v>
      </c>
      <c r="BE114" s="12">
        <v>788.6229999999988</v>
      </c>
      <c r="BF114" s="12">
        <v>1925.1050000000023</v>
      </c>
      <c r="BG114" s="12">
        <v>1351.4400000000026</v>
      </c>
      <c r="BH114" s="12">
        <v>2398.7699999999977</v>
      </c>
      <c r="BI114" s="12">
        <v>2167.4900000000011</v>
      </c>
      <c r="BK114" s="10">
        <v>112</v>
      </c>
      <c r="BL114" s="10" t="s">
        <v>24</v>
      </c>
      <c r="BM114" s="12">
        <v>2723.2200000000034</v>
      </c>
      <c r="BN114" s="12">
        <v>1156.7339999999992</v>
      </c>
      <c r="BO114" s="12">
        <v>2867.2880000000014</v>
      </c>
      <c r="BP114" s="12">
        <v>2012.1369999999943</v>
      </c>
      <c r="BQ114" s="12">
        <v>3498.2999999999943</v>
      </c>
      <c r="BR114" s="12">
        <v>3236.3099999999931</v>
      </c>
      <c r="BS114" s="6"/>
      <c r="BT114" s="10">
        <v>112</v>
      </c>
      <c r="BU114" s="10"/>
      <c r="BV114" s="12">
        <v>4347.0489999999972</v>
      </c>
      <c r="BW114" s="12">
        <v>2284.0599999999949</v>
      </c>
      <c r="BX114" s="12">
        <v>5785</v>
      </c>
      <c r="BY114" s="12">
        <v>4092.1579999999917</v>
      </c>
      <c r="BZ114" s="12">
        <v>7070.0169999999898</v>
      </c>
      <c r="CA114" s="12">
        <v>6430.5289999999995</v>
      </c>
      <c r="CB114" s="6"/>
      <c r="CC114" s="10">
        <v>112</v>
      </c>
      <c r="CD114" s="10"/>
      <c r="CE114" s="12">
        <v>6510.760000000013</v>
      </c>
      <c r="CF114" s="12">
        <v>3392.75</v>
      </c>
      <c r="CG114" s="12">
        <v>8696.5200000000023</v>
      </c>
      <c r="CH114" s="12">
        <v>4119.1900000000069</v>
      </c>
      <c r="CI114" s="12">
        <v>10432.62399999998</v>
      </c>
      <c r="CJ114" s="12">
        <v>9631.885000000022</v>
      </c>
    </row>
    <row r="115" spans="1:88" ht="15.75" customHeight="1">
      <c r="A115" s="6"/>
      <c r="B115" s="10">
        <v>113</v>
      </c>
      <c r="G115" s="6"/>
      <c r="H115" s="28">
        <f t="shared" si="10"/>
        <v>7.3100000000000005</v>
      </c>
      <c r="I115" s="28">
        <f t="shared" si="11"/>
        <v>11.226999999999977</v>
      </c>
      <c r="J115" s="7">
        <v>49</v>
      </c>
      <c r="K115" s="7">
        <v>4.8</v>
      </c>
      <c r="L115" s="7">
        <v>5</v>
      </c>
      <c r="M115" s="7">
        <v>6</v>
      </c>
      <c r="N115" s="7">
        <v>7</v>
      </c>
      <c r="O115" s="7">
        <v>8</v>
      </c>
      <c r="P115" s="7">
        <v>9</v>
      </c>
      <c r="Q115" s="20">
        <v>11</v>
      </c>
      <c r="R115" s="20">
        <v>12</v>
      </c>
      <c r="S115" s="20">
        <v>13</v>
      </c>
      <c r="T115" s="20">
        <v>14</v>
      </c>
      <c r="U115" s="20">
        <v>15</v>
      </c>
      <c r="V115" s="20">
        <v>16</v>
      </c>
      <c r="W115" s="20">
        <v>17</v>
      </c>
      <c r="X115" s="20">
        <v>18</v>
      </c>
      <c r="Y115" s="20">
        <v>19</v>
      </c>
      <c r="Z115" s="20">
        <v>20</v>
      </c>
      <c r="AA115" s="20">
        <v>21</v>
      </c>
      <c r="AB115" s="20">
        <v>22</v>
      </c>
      <c r="AC115" s="20">
        <v>23</v>
      </c>
      <c r="AD115" s="7">
        <v>24</v>
      </c>
      <c r="AE115" s="21">
        <v>25</v>
      </c>
      <c r="AF115" s="21">
        <v>26</v>
      </c>
      <c r="AG115" s="21">
        <v>27</v>
      </c>
      <c r="AH115" s="21">
        <v>28</v>
      </c>
      <c r="AI115" s="21">
        <v>29</v>
      </c>
      <c r="AJ115" s="21">
        <v>30</v>
      </c>
      <c r="AK115" s="21">
        <v>31</v>
      </c>
      <c r="AL115" s="21">
        <v>32</v>
      </c>
      <c r="AM115" s="21">
        <v>33</v>
      </c>
      <c r="AN115" s="21">
        <v>34</v>
      </c>
      <c r="AO115" s="21">
        <v>35</v>
      </c>
      <c r="AP115" s="21">
        <v>36</v>
      </c>
      <c r="AQ115" s="21">
        <v>37</v>
      </c>
      <c r="AR115" s="21">
        <v>38</v>
      </c>
      <c r="AS115" s="21"/>
      <c r="BB115" s="10">
        <v>113</v>
      </c>
      <c r="BC115" s="10" t="s">
        <v>6</v>
      </c>
      <c r="BD115" s="12">
        <v>1766.3200000000047</v>
      </c>
      <c r="BE115" s="12">
        <v>795.74399999999878</v>
      </c>
      <c r="BF115" s="12">
        <v>1943.4400000000023</v>
      </c>
      <c r="BG115" s="12">
        <v>1364.3200000000027</v>
      </c>
      <c r="BH115" s="12">
        <v>2422.5599999999977</v>
      </c>
      <c r="BI115" s="12">
        <v>2188.7200000000012</v>
      </c>
      <c r="BK115" s="10">
        <v>113</v>
      </c>
      <c r="BL115" s="10" t="s">
        <v>24</v>
      </c>
      <c r="BM115" s="12">
        <v>2752.1600000000035</v>
      </c>
      <c r="BN115" s="12">
        <v>1167.9519999999993</v>
      </c>
      <c r="BO115" s="12">
        <v>2894.8640000000014</v>
      </c>
      <c r="BP115" s="12">
        <v>2031.5359999999941</v>
      </c>
      <c r="BQ115" s="12">
        <v>3532.3999999999942</v>
      </c>
      <c r="BR115" s="12">
        <v>3267.679999999993</v>
      </c>
      <c r="BS115" s="6"/>
      <c r="BT115" s="10">
        <v>113</v>
      </c>
      <c r="BU115" s="10"/>
      <c r="BV115" s="12">
        <v>4398.2719999999972</v>
      </c>
      <c r="BW115" s="12">
        <v>2309.6799999999948</v>
      </c>
      <c r="BX115" s="12">
        <v>5850</v>
      </c>
      <c r="BY115" s="12">
        <v>4138.223999999992</v>
      </c>
      <c r="BZ115" s="12">
        <v>7150.1759999999895</v>
      </c>
      <c r="CA115" s="12">
        <v>6503.7119999999995</v>
      </c>
      <c r="CB115" s="6"/>
      <c r="CC115" s="10">
        <v>113</v>
      </c>
      <c r="CD115" s="10"/>
      <c r="CE115" s="12">
        <v>6587.2800000000134</v>
      </c>
      <c r="CF115" s="12">
        <v>3432</v>
      </c>
      <c r="CG115" s="12">
        <v>8794.5600000000031</v>
      </c>
      <c r="CH115" s="12">
        <v>4156.320000000007</v>
      </c>
      <c r="CI115" s="12">
        <v>10551.871999999979</v>
      </c>
      <c r="CJ115" s="12">
        <v>9741.2800000000225</v>
      </c>
    </row>
    <row r="116" spans="1:88" ht="15.75" customHeight="1">
      <c r="A116" s="6"/>
      <c r="B116" s="10">
        <v>114</v>
      </c>
      <c r="G116" s="6"/>
      <c r="H116" s="6">
        <f t="shared" si="10"/>
        <v>7.94</v>
      </c>
      <c r="I116" s="6">
        <f t="shared" si="11"/>
        <v>12.192999999999977</v>
      </c>
      <c r="L116" s="7">
        <v>283.10000000000002</v>
      </c>
      <c r="M116" s="7">
        <v>294.48</v>
      </c>
      <c r="N116" s="7">
        <v>305.86</v>
      </c>
      <c r="O116" s="7">
        <v>317.24</v>
      </c>
      <c r="P116" s="7">
        <v>328.62</v>
      </c>
      <c r="Q116" s="7">
        <v>351.38</v>
      </c>
      <c r="R116" s="7">
        <v>362.76</v>
      </c>
      <c r="S116" s="7">
        <v>374.14</v>
      </c>
      <c r="T116" s="7">
        <v>385.52</v>
      </c>
      <c r="U116" s="7">
        <v>396.9</v>
      </c>
      <c r="V116" s="7">
        <v>408.28</v>
      </c>
      <c r="W116" s="23">
        <v>419.65999999999997</v>
      </c>
      <c r="X116" s="23">
        <v>431.03999999999996</v>
      </c>
      <c r="Y116" s="23">
        <v>442.41999999999996</v>
      </c>
      <c r="Z116" s="23">
        <v>453.79999999999995</v>
      </c>
      <c r="AA116" s="23">
        <v>465.17999999999995</v>
      </c>
      <c r="AB116" s="23">
        <v>476.55999999999995</v>
      </c>
      <c r="AC116" s="23">
        <v>487.93999999999994</v>
      </c>
      <c r="AD116" s="23">
        <v>499.31999999999994</v>
      </c>
      <c r="AE116" s="23">
        <v>510.69999999999993</v>
      </c>
      <c r="AF116" s="23">
        <v>522.07999999999993</v>
      </c>
      <c r="AG116" s="23">
        <v>533.45999999999992</v>
      </c>
      <c r="AH116" s="23">
        <v>544.83999999999992</v>
      </c>
      <c r="AI116" s="23">
        <v>556.21999999999991</v>
      </c>
      <c r="AJ116" s="23">
        <v>567.59999999999991</v>
      </c>
      <c r="AK116" s="23">
        <v>578.9799999999999</v>
      </c>
      <c r="AL116" s="23">
        <v>590.3599999999999</v>
      </c>
      <c r="AM116" s="23">
        <v>601.7399999999999</v>
      </c>
      <c r="AN116" s="23">
        <v>613.11999999999989</v>
      </c>
      <c r="AO116" s="23">
        <v>624.49999999999989</v>
      </c>
      <c r="AP116" s="23">
        <v>635.87999999999988</v>
      </c>
      <c r="AQ116" s="23">
        <v>647.25999999999988</v>
      </c>
      <c r="AR116" s="23">
        <v>658.63999999999987</v>
      </c>
      <c r="AS116" s="23"/>
      <c r="BB116" s="10">
        <v>114</v>
      </c>
      <c r="BC116" s="10" t="s">
        <v>6</v>
      </c>
      <c r="BD116" s="12">
        <v>1783.4500000000048</v>
      </c>
      <c r="BE116" s="12">
        <v>802.86499999999876</v>
      </c>
      <c r="BF116" s="12">
        <v>1961.7750000000024</v>
      </c>
      <c r="BG116" s="12">
        <v>1377.2000000000028</v>
      </c>
      <c r="BH116" s="12">
        <v>2446.3499999999976</v>
      </c>
      <c r="BI116" s="12">
        <v>2209.9500000000012</v>
      </c>
      <c r="BK116" s="10">
        <v>114</v>
      </c>
      <c r="BL116" s="10" t="s">
        <v>24</v>
      </c>
      <c r="BM116" s="12">
        <v>2781.1000000000035</v>
      </c>
      <c r="BN116" s="12">
        <v>1179.1699999999994</v>
      </c>
      <c r="BO116" s="12">
        <v>2922.4400000000014</v>
      </c>
      <c r="BP116" s="12">
        <v>2050.934999999994</v>
      </c>
      <c r="BQ116" s="12">
        <v>3566.4999999999941</v>
      </c>
      <c r="BR116" s="12">
        <v>3299.0499999999929</v>
      </c>
      <c r="BS116" s="6"/>
      <c r="BT116" s="10">
        <v>114</v>
      </c>
      <c r="BU116" s="10"/>
      <c r="BV116" s="12">
        <v>4449.4949999999972</v>
      </c>
      <c r="BW116" s="12">
        <v>2335.2999999999947</v>
      </c>
      <c r="BX116" s="12">
        <v>5915</v>
      </c>
      <c r="BY116" s="12">
        <v>4184.2899999999918</v>
      </c>
      <c r="BZ116" s="12">
        <v>7230.3349999999891</v>
      </c>
      <c r="CA116" s="12">
        <v>6576.8949999999995</v>
      </c>
      <c r="CB116" s="6"/>
      <c r="CC116" s="10">
        <v>114</v>
      </c>
      <c r="CD116" s="10"/>
      <c r="CE116" s="12">
        <v>6663.8000000000138</v>
      </c>
      <c r="CF116" s="12">
        <v>3471.25</v>
      </c>
      <c r="CG116" s="12">
        <v>8892.600000000004</v>
      </c>
      <c r="CH116" s="12">
        <v>4193.4500000000071</v>
      </c>
      <c r="CI116" s="12">
        <v>10671.119999999979</v>
      </c>
      <c r="CJ116" s="12">
        <v>9850.6750000000229</v>
      </c>
    </row>
    <row r="117" spans="1:88" ht="15.75" customHeight="1">
      <c r="A117" s="6"/>
      <c r="B117" s="10">
        <v>115</v>
      </c>
      <c r="G117" s="6"/>
      <c r="H117" s="6">
        <f t="shared" si="10"/>
        <v>8.57</v>
      </c>
      <c r="I117" s="6">
        <f t="shared" si="11"/>
        <v>13.158999999999976</v>
      </c>
      <c r="L117" s="7">
        <v>11.38</v>
      </c>
      <c r="M117" s="7">
        <v>11.38</v>
      </c>
      <c r="N117" s="7">
        <v>11.38</v>
      </c>
      <c r="O117" s="7">
        <v>11.38</v>
      </c>
      <c r="P117" s="7">
        <v>11.38</v>
      </c>
      <c r="Q117" s="7">
        <v>11.38</v>
      </c>
      <c r="R117" s="7">
        <v>11.38</v>
      </c>
      <c r="S117" s="7">
        <v>11.38</v>
      </c>
      <c r="T117" s="7">
        <v>11.38</v>
      </c>
      <c r="U117" s="7">
        <v>11.38</v>
      </c>
      <c r="V117" s="7">
        <v>11.38</v>
      </c>
      <c r="W117" s="23">
        <v>11.38</v>
      </c>
      <c r="X117" s="23">
        <v>11.38</v>
      </c>
      <c r="Y117" s="23">
        <v>11.38</v>
      </c>
      <c r="Z117" s="23">
        <v>11.38</v>
      </c>
      <c r="AA117" s="23">
        <v>11.38</v>
      </c>
      <c r="AB117" s="23">
        <v>11.38</v>
      </c>
      <c r="AC117" s="23">
        <v>11.38</v>
      </c>
      <c r="AD117" s="23">
        <v>11.38</v>
      </c>
      <c r="AE117" s="23">
        <v>11.38</v>
      </c>
      <c r="AF117" s="23">
        <v>11.38</v>
      </c>
      <c r="AG117" s="23">
        <v>11.38</v>
      </c>
      <c r="AH117" s="23">
        <v>11.38</v>
      </c>
      <c r="AI117" s="23">
        <v>11.38</v>
      </c>
      <c r="AJ117" s="23">
        <v>11.38</v>
      </c>
      <c r="AK117" s="23">
        <v>11.38</v>
      </c>
      <c r="AL117" s="23">
        <v>11.38</v>
      </c>
      <c r="AM117" s="23">
        <v>11.38</v>
      </c>
      <c r="AN117" s="23">
        <v>11.38</v>
      </c>
      <c r="AO117" s="23">
        <v>11.38</v>
      </c>
      <c r="AP117" s="23">
        <v>11.38</v>
      </c>
      <c r="AQ117" s="23">
        <v>11.38</v>
      </c>
      <c r="AR117" s="23">
        <v>11.38</v>
      </c>
      <c r="AS117" s="23"/>
      <c r="BB117" s="10">
        <v>115</v>
      </c>
      <c r="BC117" s="10" t="s">
        <v>6</v>
      </c>
      <c r="BD117" s="12">
        <v>1800</v>
      </c>
      <c r="BE117" s="12">
        <v>810</v>
      </c>
      <c r="BF117" s="12">
        <v>1980</v>
      </c>
      <c r="BG117" s="12">
        <v>1390.0800000000029</v>
      </c>
      <c r="BH117" s="12">
        <v>2470.1399999999976</v>
      </c>
      <c r="BI117" s="12">
        <v>2231.1800000000012</v>
      </c>
      <c r="BK117" s="10">
        <v>115</v>
      </c>
      <c r="BL117" s="10" t="s">
        <v>24</v>
      </c>
      <c r="BM117" s="12">
        <v>2810.0400000000036</v>
      </c>
      <c r="BN117" s="12">
        <v>1190.3879999999995</v>
      </c>
      <c r="BO117" s="12">
        <v>2950.0160000000014</v>
      </c>
      <c r="BP117" s="12">
        <v>2070.3339999999939</v>
      </c>
      <c r="BQ117" s="12">
        <v>3600.599999999994</v>
      </c>
      <c r="BR117" s="12">
        <v>3330.4199999999928</v>
      </c>
      <c r="BS117" s="6"/>
      <c r="BT117" s="10">
        <v>115</v>
      </c>
      <c r="BU117" s="10"/>
      <c r="BV117" s="12">
        <v>4500.7179999999971</v>
      </c>
      <c r="BW117" s="11">
        <v>2360</v>
      </c>
      <c r="BX117" s="11">
        <v>5980</v>
      </c>
      <c r="BY117" s="11">
        <v>4230.3559999999916</v>
      </c>
      <c r="BZ117" s="11">
        <v>7310.4939999999888</v>
      </c>
      <c r="CA117" s="11">
        <v>6650.0779999999995</v>
      </c>
      <c r="CB117" s="6"/>
      <c r="CC117" s="10">
        <v>115</v>
      </c>
      <c r="CD117" s="10"/>
      <c r="CE117" s="11">
        <v>6740</v>
      </c>
      <c r="CF117" s="11">
        <v>3510</v>
      </c>
      <c r="CG117" s="11">
        <v>8990.6400000000049</v>
      </c>
      <c r="CH117" s="11">
        <v>4230.5800000000072</v>
      </c>
      <c r="CI117" s="11">
        <v>10790.367999999979</v>
      </c>
      <c r="CJ117" s="11">
        <v>9960.0700000000234</v>
      </c>
    </row>
    <row r="118" spans="1:88" ht="15.75" customHeight="1">
      <c r="A118" s="6"/>
      <c r="B118" s="10">
        <v>116</v>
      </c>
      <c r="G118" s="6"/>
      <c r="H118" s="6">
        <f t="shared" si="10"/>
        <v>9.2000000000000011</v>
      </c>
      <c r="I118" s="6">
        <f t="shared" si="11"/>
        <v>14.124999999999975</v>
      </c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BB118" s="10">
        <v>116</v>
      </c>
      <c r="BC118" s="10" t="s">
        <v>6</v>
      </c>
      <c r="BD118" s="12">
        <v>1817.710000000005</v>
      </c>
      <c r="BE118" s="12">
        <v>817.10699999999872</v>
      </c>
      <c r="BF118" s="12">
        <v>1998.4450000000024</v>
      </c>
      <c r="BG118" s="12">
        <v>1402.960000000003</v>
      </c>
      <c r="BH118" s="12">
        <v>2493.9299999999976</v>
      </c>
      <c r="BI118" s="12">
        <v>2252.4100000000012</v>
      </c>
      <c r="BK118" s="10">
        <v>116</v>
      </c>
      <c r="BL118" s="10" t="s">
        <v>24</v>
      </c>
      <c r="BM118" s="12">
        <v>2838.9800000000037</v>
      </c>
      <c r="BN118" s="12">
        <v>1201.6059999999995</v>
      </c>
      <c r="BO118" s="12">
        <v>2977.5920000000015</v>
      </c>
      <c r="BP118" s="12">
        <v>2089.7329999999938</v>
      </c>
      <c r="BQ118" s="12">
        <v>3634.6999999999939</v>
      </c>
      <c r="BR118" s="12">
        <v>3361.7899999999927</v>
      </c>
      <c r="BS118" s="6"/>
      <c r="BT118" s="10">
        <v>116</v>
      </c>
      <c r="BU118" s="10"/>
      <c r="BV118" s="12">
        <v>4551.9409999999971</v>
      </c>
      <c r="BW118" s="12">
        <v>2386.5399999999945</v>
      </c>
      <c r="BX118" s="12">
        <v>6045</v>
      </c>
      <c r="BY118" s="12">
        <v>4276.4219999999914</v>
      </c>
      <c r="BZ118" s="12">
        <v>7390.6529999999884</v>
      </c>
      <c r="CA118" s="12">
        <v>6723.2609999999995</v>
      </c>
      <c r="CB118" s="6"/>
      <c r="CC118" s="10">
        <v>116</v>
      </c>
      <c r="CD118" s="10"/>
      <c r="CE118" s="12">
        <v>6816.8400000000147</v>
      </c>
      <c r="CF118" s="12">
        <v>3549.75</v>
      </c>
      <c r="CG118" s="12">
        <v>9088.6800000000057</v>
      </c>
      <c r="CH118" s="12">
        <v>4267.7100000000073</v>
      </c>
      <c r="CI118" s="12">
        <v>10909.615999999978</v>
      </c>
      <c r="CJ118" s="12">
        <v>10069.465000000024</v>
      </c>
    </row>
    <row r="119" spans="1:88" ht="15.75" customHeight="1">
      <c r="A119" s="6"/>
      <c r="B119" s="10">
        <v>117</v>
      </c>
      <c r="G119" s="6"/>
      <c r="H119" s="6">
        <f t="shared" si="10"/>
        <v>9.8300000000000018</v>
      </c>
      <c r="I119" s="6">
        <f t="shared" si="11"/>
        <v>15.090999999999974</v>
      </c>
      <c r="J119" s="22">
        <v>115</v>
      </c>
      <c r="K119" s="22">
        <v>4.8</v>
      </c>
      <c r="L119" s="22">
        <v>5</v>
      </c>
      <c r="M119" s="22">
        <v>6</v>
      </c>
      <c r="N119" s="22">
        <v>7</v>
      </c>
      <c r="O119" s="22">
        <v>8</v>
      </c>
      <c r="P119" s="22">
        <v>9</v>
      </c>
      <c r="Q119" s="26">
        <v>11</v>
      </c>
      <c r="R119" s="26">
        <v>12</v>
      </c>
      <c r="S119" s="26">
        <v>13</v>
      </c>
      <c r="T119" s="26">
        <v>14</v>
      </c>
      <c r="U119" s="26">
        <v>15</v>
      </c>
      <c r="V119" s="26">
        <v>16</v>
      </c>
      <c r="W119" s="26">
        <v>17</v>
      </c>
      <c r="X119" s="26">
        <v>18</v>
      </c>
      <c r="Y119" s="26">
        <v>19</v>
      </c>
      <c r="Z119" s="26">
        <v>20</v>
      </c>
      <c r="AA119" s="26">
        <v>21</v>
      </c>
      <c r="AB119" s="26">
        <v>22</v>
      </c>
      <c r="AC119" s="26">
        <v>23</v>
      </c>
      <c r="AD119" s="22">
        <v>24</v>
      </c>
      <c r="AE119" s="27">
        <v>25</v>
      </c>
      <c r="AF119" s="27">
        <v>26</v>
      </c>
      <c r="AG119" s="27">
        <v>27</v>
      </c>
      <c r="AH119" s="27">
        <v>28</v>
      </c>
      <c r="AI119" s="27">
        <v>29</v>
      </c>
      <c r="AJ119" s="27">
        <v>30</v>
      </c>
      <c r="AK119" s="27">
        <v>31</v>
      </c>
      <c r="AL119" s="27">
        <v>32</v>
      </c>
      <c r="AM119" s="27">
        <v>33</v>
      </c>
      <c r="AN119" s="27">
        <v>34</v>
      </c>
      <c r="AO119" s="27">
        <v>35</v>
      </c>
      <c r="AP119" s="27">
        <v>36</v>
      </c>
      <c r="AQ119" s="27">
        <v>37</v>
      </c>
      <c r="AR119" s="27">
        <v>38</v>
      </c>
      <c r="AS119" s="21"/>
      <c r="BB119" s="10">
        <v>117</v>
      </c>
      <c r="BC119" s="10" t="s">
        <v>6</v>
      </c>
      <c r="BD119" s="12">
        <v>1834.8400000000051</v>
      </c>
      <c r="BE119" s="12">
        <v>824.2279999999987</v>
      </c>
      <c r="BF119" s="12">
        <v>2016.7800000000025</v>
      </c>
      <c r="BG119" s="12">
        <v>1415.8400000000031</v>
      </c>
      <c r="BH119" s="12">
        <v>2517.7199999999975</v>
      </c>
      <c r="BI119" s="12">
        <v>2273.6400000000012</v>
      </c>
      <c r="BK119" s="10">
        <v>117</v>
      </c>
      <c r="BL119" s="10" t="s">
        <v>24</v>
      </c>
      <c r="BM119" s="12">
        <v>2867.9200000000037</v>
      </c>
      <c r="BN119" s="12">
        <v>1212.8239999999996</v>
      </c>
      <c r="BO119" s="12">
        <v>3005.1680000000015</v>
      </c>
      <c r="BP119" s="12">
        <v>2109.1319999999937</v>
      </c>
      <c r="BQ119" s="12">
        <v>3668.7999999999938</v>
      </c>
      <c r="BR119" s="12">
        <v>3393.1599999999926</v>
      </c>
      <c r="BS119" s="6"/>
      <c r="BT119" s="10">
        <v>117</v>
      </c>
      <c r="BU119" s="10"/>
      <c r="BV119" s="12">
        <v>4603.163999999997</v>
      </c>
      <c r="BW119" s="12">
        <v>2412.1599999999944</v>
      </c>
      <c r="BX119" s="12">
        <v>6110</v>
      </c>
      <c r="BY119" s="12">
        <v>4322.4879999999912</v>
      </c>
      <c r="BZ119" s="12">
        <v>7470.8119999999881</v>
      </c>
      <c r="CA119" s="12">
        <v>6796.4439999999995</v>
      </c>
      <c r="CB119" s="6"/>
      <c r="CC119" s="10">
        <v>117</v>
      </c>
      <c r="CD119" s="10"/>
      <c r="CE119" s="12">
        <v>6893.3600000000151</v>
      </c>
      <c r="CF119" s="12">
        <v>3589</v>
      </c>
      <c r="CG119" s="12">
        <v>9186.7200000000066</v>
      </c>
      <c r="CH119" s="12">
        <v>4304.8400000000074</v>
      </c>
      <c r="CI119" s="12">
        <v>11028.863999999978</v>
      </c>
      <c r="CJ119" s="12">
        <v>10178.860000000024</v>
      </c>
    </row>
    <row r="120" spans="1:88" ht="15.75" customHeight="1">
      <c r="A120" s="6"/>
      <c r="B120" s="10">
        <v>118</v>
      </c>
      <c r="G120" s="6"/>
      <c r="H120" s="6">
        <f t="shared" si="10"/>
        <v>10.460000000000003</v>
      </c>
      <c r="I120" s="6">
        <f t="shared" si="11"/>
        <v>16.056999999999974</v>
      </c>
      <c r="J120" s="22"/>
      <c r="K120" s="22"/>
      <c r="L120" s="22">
        <v>542.74999999999977</v>
      </c>
      <c r="M120" s="22">
        <v>596.19999999999982</v>
      </c>
      <c r="N120" s="22">
        <v>649.64999999999986</v>
      </c>
      <c r="O120" s="22">
        <v>703.09999999999991</v>
      </c>
      <c r="P120" s="22">
        <v>756.55</v>
      </c>
      <c r="Q120" s="22">
        <v>863.45</v>
      </c>
      <c r="R120" s="22">
        <v>916.90000000000009</v>
      </c>
      <c r="S120" s="22">
        <v>970.35000000000014</v>
      </c>
      <c r="T120" s="22">
        <v>1023.8000000000002</v>
      </c>
      <c r="U120" s="22">
        <v>1077.2500000000002</v>
      </c>
      <c r="V120" s="22">
        <v>1130.7000000000003</v>
      </c>
      <c r="W120" s="25">
        <v>1184.1500000000003</v>
      </c>
      <c r="X120" s="25">
        <v>1237.6000000000004</v>
      </c>
      <c r="Y120" s="25">
        <v>1291.0500000000004</v>
      </c>
      <c r="Z120" s="25">
        <v>1344.5000000000005</v>
      </c>
      <c r="AA120" s="25">
        <v>1397.9500000000005</v>
      </c>
      <c r="AB120" s="25">
        <v>1451.4000000000005</v>
      </c>
      <c r="AC120" s="25">
        <v>1504.8500000000006</v>
      </c>
      <c r="AD120" s="25">
        <v>1558.3000000000006</v>
      </c>
      <c r="AE120" s="25">
        <v>1611.7500000000007</v>
      </c>
      <c r="AF120" s="25">
        <v>1665.2000000000007</v>
      </c>
      <c r="AG120" s="25">
        <v>1718.6500000000008</v>
      </c>
      <c r="AH120" s="25">
        <v>1772.1000000000008</v>
      </c>
      <c r="AI120" s="25">
        <v>1825.5500000000009</v>
      </c>
      <c r="AJ120" s="25">
        <v>1879.0000000000009</v>
      </c>
      <c r="AK120" s="25">
        <v>1932.450000000001</v>
      </c>
      <c r="AL120" s="25">
        <v>1985.900000000001</v>
      </c>
      <c r="AM120" s="25">
        <v>2039.350000000001</v>
      </c>
      <c r="AN120" s="25">
        <v>2092.8000000000011</v>
      </c>
      <c r="AO120" s="25">
        <v>2146.2500000000009</v>
      </c>
      <c r="AP120" s="25">
        <v>2199.7000000000007</v>
      </c>
      <c r="AQ120" s="25">
        <v>2253.1500000000005</v>
      </c>
      <c r="AR120" s="25">
        <v>2306.6000000000004</v>
      </c>
      <c r="AS120" s="23"/>
      <c r="BB120" s="10">
        <v>118</v>
      </c>
      <c r="BC120" s="10" t="s">
        <v>6</v>
      </c>
      <c r="BD120" s="12">
        <v>1851.9700000000053</v>
      </c>
      <c r="BE120" s="12">
        <v>831.34899999999868</v>
      </c>
      <c r="BF120" s="12">
        <v>2035.1150000000025</v>
      </c>
      <c r="BG120" s="12">
        <v>1428.7200000000032</v>
      </c>
      <c r="BH120" s="12">
        <v>2541.5099999999975</v>
      </c>
      <c r="BI120" s="12">
        <v>2294.8700000000013</v>
      </c>
      <c r="BK120" s="10">
        <v>118</v>
      </c>
      <c r="BL120" s="10" t="s">
        <v>24</v>
      </c>
      <c r="BM120" s="12">
        <v>2896.8600000000038</v>
      </c>
      <c r="BN120" s="12">
        <v>1224.0419999999997</v>
      </c>
      <c r="BO120" s="12">
        <v>3032.7440000000015</v>
      </c>
      <c r="BP120" s="12">
        <v>2128.5309999999936</v>
      </c>
      <c r="BQ120" s="12">
        <v>3702.8999999999937</v>
      </c>
      <c r="BR120" s="12">
        <v>3424.5299999999925</v>
      </c>
      <c r="BS120" s="6"/>
      <c r="BT120" s="10">
        <v>118</v>
      </c>
      <c r="BU120" s="10"/>
      <c r="BV120" s="12">
        <v>4654.386999999997</v>
      </c>
      <c r="BW120" s="12">
        <v>2437.7799999999943</v>
      </c>
      <c r="BX120" s="12">
        <v>6175</v>
      </c>
      <c r="BY120" s="12">
        <v>4368.553999999991</v>
      </c>
      <c r="BZ120" s="12">
        <v>7550.9709999999877</v>
      </c>
      <c r="CA120" s="12">
        <v>6869.6269999999995</v>
      </c>
      <c r="CB120" s="6"/>
      <c r="CC120" s="10">
        <v>118</v>
      </c>
      <c r="CD120" s="10"/>
      <c r="CE120" s="12">
        <v>6969.8800000000156</v>
      </c>
      <c r="CF120" s="12">
        <v>3628.25</v>
      </c>
      <c r="CG120" s="12">
        <v>9284.7600000000075</v>
      </c>
      <c r="CH120" s="12">
        <v>4341.9700000000075</v>
      </c>
      <c r="CI120" s="12">
        <v>11148.111999999977</v>
      </c>
      <c r="CJ120" s="12">
        <v>10288.255000000025</v>
      </c>
    </row>
    <row r="121" spans="1:88" ht="15.75" customHeight="1">
      <c r="A121" s="6"/>
      <c r="B121" s="10">
        <v>119</v>
      </c>
      <c r="G121" s="6"/>
      <c r="H121" s="6">
        <f t="shared" si="10"/>
        <v>11.090000000000003</v>
      </c>
      <c r="I121" s="6">
        <f t="shared" si="11"/>
        <v>17.022999999999975</v>
      </c>
      <c r="J121" s="22"/>
      <c r="K121" s="22"/>
      <c r="L121" s="22">
        <v>53.45</v>
      </c>
      <c r="M121" s="22">
        <v>53.45</v>
      </c>
      <c r="N121" s="22">
        <v>53.45</v>
      </c>
      <c r="O121" s="22">
        <v>53.45</v>
      </c>
      <c r="P121" s="22">
        <v>53.45</v>
      </c>
      <c r="Q121" s="22">
        <v>53.45</v>
      </c>
      <c r="R121" s="22">
        <v>53.45</v>
      </c>
      <c r="S121" s="22">
        <v>53.45</v>
      </c>
      <c r="T121" s="22">
        <v>53.45</v>
      </c>
      <c r="U121" s="22">
        <v>53.45</v>
      </c>
      <c r="V121" s="22">
        <v>53.45</v>
      </c>
      <c r="W121" s="25">
        <v>53.45</v>
      </c>
      <c r="X121" s="25">
        <v>53.45</v>
      </c>
      <c r="Y121" s="25">
        <v>53.45</v>
      </c>
      <c r="Z121" s="25">
        <v>53.45</v>
      </c>
      <c r="AA121" s="25">
        <v>53.45</v>
      </c>
      <c r="AB121" s="25">
        <v>53.45</v>
      </c>
      <c r="AC121" s="25">
        <v>53.45</v>
      </c>
      <c r="AD121" s="25">
        <v>53.45</v>
      </c>
      <c r="AE121" s="25">
        <v>53.45</v>
      </c>
      <c r="AF121" s="25">
        <v>53.45</v>
      </c>
      <c r="AG121" s="25">
        <v>53.45</v>
      </c>
      <c r="AH121" s="25">
        <v>53.45</v>
      </c>
      <c r="AI121" s="25">
        <v>53.45</v>
      </c>
      <c r="AJ121" s="25">
        <v>53.45</v>
      </c>
      <c r="AK121" s="25">
        <v>53.45</v>
      </c>
      <c r="AL121" s="25">
        <v>53.45</v>
      </c>
      <c r="AM121" s="25">
        <v>53.45</v>
      </c>
      <c r="AN121" s="25">
        <v>53.45</v>
      </c>
      <c r="AO121" s="25">
        <v>53.45</v>
      </c>
      <c r="AP121" s="25">
        <v>53.45</v>
      </c>
      <c r="AQ121" s="25">
        <v>53.45</v>
      </c>
      <c r="AR121" s="25">
        <v>53.45</v>
      </c>
      <c r="AS121" s="23"/>
      <c r="BB121" s="10">
        <v>119</v>
      </c>
      <c r="BC121" s="10" t="s">
        <v>6</v>
      </c>
      <c r="BD121" s="12">
        <v>1869.1000000000054</v>
      </c>
      <c r="BE121" s="12">
        <v>838.46999999999866</v>
      </c>
      <c r="BF121" s="12">
        <v>2053.4500000000025</v>
      </c>
      <c r="BG121" s="12">
        <v>1441.6000000000033</v>
      </c>
      <c r="BH121" s="12">
        <v>2565.2999999999975</v>
      </c>
      <c r="BI121" s="12">
        <v>2316.1000000000013</v>
      </c>
      <c r="BK121" s="10">
        <v>119</v>
      </c>
      <c r="BL121" s="10" t="s">
        <v>24</v>
      </c>
      <c r="BM121" s="12">
        <v>2925.8000000000038</v>
      </c>
      <c r="BN121" s="12">
        <v>1235.2599999999998</v>
      </c>
      <c r="BO121" s="12">
        <v>3060.3200000000015</v>
      </c>
      <c r="BP121" s="12">
        <v>2147.9299999999935</v>
      </c>
      <c r="BQ121" s="12">
        <v>3736.9999999999936</v>
      </c>
      <c r="BR121" s="12">
        <v>3455.8999999999924</v>
      </c>
      <c r="BS121" s="6"/>
      <c r="BT121" s="10">
        <v>119</v>
      </c>
      <c r="BU121" s="10"/>
      <c r="BV121" s="12">
        <v>4705.6099999999969</v>
      </c>
      <c r="BW121" s="12">
        <v>2463.3999999999942</v>
      </c>
      <c r="BX121" s="12">
        <v>6240</v>
      </c>
      <c r="BY121" s="12">
        <v>4414.6199999999908</v>
      </c>
      <c r="BZ121" s="12">
        <v>7631.1299999999874</v>
      </c>
      <c r="CA121" s="12">
        <v>6942.8099999999995</v>
      </c>
      <c r="CB121" s="6"/>
      <c r="CC121" s="10">
        <v>119</v>
      </c>
      <c r="CD121" s="10"/>
      <c r="CE121" s="12">
        <v>7046.400000000016</v>
      </c>
      <c r="CF121" s="12">
        <v>3667.5</v>
      </c>
      <c r="CG121" s="12">
        <v>9382.8000000000084</v>
      </c>
      <c r="CH121" s="12">
        <v>4379.1000000000076</v>
      </c>
      <c r="CI121" s="12">
        <v>11267.359999999977</v>
      </c>
      <c r="CJ121" s="12">
        <v>10397.650000000025</v>
      </c>
    </row>
    <row r="122" spans="1:88" ht="15.75" customHeight="1">
      <c r="A122" s="6"/>
      <c r="B122" s="10">
        <v>120</v>
      </c>
      <c r="G122" s="6"/>
      <c r="H122" s="6">
        <f t="shared" si="10"/>
        <v>11.720000000000004</v>
      </c>
      <c r="I122" s="6">
        <f t="shared" si="11"/>
        <v>17.988999999999976</v>
      </c>
      <c r="J122" s="7">
        <v>49</v>
      </c>
      <c r="K122" s="7">
        <v>6.4</v>
      </c>
      <c r="L122" s="7">
        <v>5</v>
      </c>
      <c r="M122" s="7">
        <v>6</v>
      </c>
      <c r="N122" s="7">
        <v>7</v>
      </c>
      <c r="O122" s="7">
        <v>8</v>
      </c>
      <c r="P122" s="7">
        <v>9</v>
      </c>
      <c r="Q122" s="20">
        <v>11</v>
      </c>
      <c r="R122" s="20">
        <v>12</v>
      </c>
      <c r="S122" s="20">
        <v>13</v>
      </c>
      <c r="T122" s="20">
        <v>14</v>
      </c>
      <c r="U122" s="20">
        <v>15</v>
      </c>
      <c r="V122" s="20">
        <v>16</v>
      </c>
      <c r="W122" s="20">
        <v>17</v>
      </c>
      <c r="X122" s="20">
        <v>18</v>
      </c>
      <c r="Y122" s="20">
        <v>19</v>
      </c>
      <c r="Z122" s="20">
        <v>20</v>
      </c>
      <c r="AA122" s="20">
        <v>21</v>
      </c>
      <c r="AB122" s="20">
        <v>22</v>
      </c>
      <c r="AC122" s="20">
        <v>23</v>
      </c>
      <c r="AD122" s="7">
        <v>24</v>
      </c>
      <c r="AE122" s="21">
        <v>25</v>
      </c>
      <c r="AF122" s="21">
        <v>26</v>
      </c>
      <c r="AG122" s="21">
        <v>27</v>
      </c>
      <c r="AH122" s="21">
        <v>28</v>
      </c>
      <c r="AI122" s="21">
        <v>29</v>
      </c>
      <c r="AJ122" s="21">
        <v>30</v>
      </c>
      <c r="AK122" s="21">
        <v>31</v>
      </c>
      <c r="AL122" s="21">
        <v>32</v>
      </c>
      <c r="AM122" s="21">
        <v>33</v>
      </c>
      <c r="AN122" s="21">
        <v>34</v>
      </c>
      <c r="AO122" s="21">
        <v>35</v>
      </c>
      <c r="AP122" s="21">
        <v>36</v>
      </c>
      <c r="AQ122" s="21">
        <v>37</v>
      </c>
      <c r="AR122" s="21">
        <v>38</v>
      </c>
      <c r="AS122" s="21"/>
      <c r="BB122" s="10">
        <v>120</v>
      </c>
      <c r="BC122" s="10" t="s">
        <v>6</v>
      </c>
      <c r="BD122" s="12">
        <v>1886.2300000000055</v>
      </c>
      <c r="BE122" s="12">
        <v>845.59099999999864</v>
      </c>
      <c r="BF122" s="12">
        <v>2071.7850000000026</v>
      </c>
      <c r="BG122" s="12">
        <v>1454.4800000000034</v>
      </c>
      <c r="BH122" s="12">
        <v>2589.0899999999974</v>
      </c>
      <c r="BI122" s="12">
        <v>2337.3300000000013</v>
      </c>
      <c r="BK122" s="10">
        <v>120</v>
      </c>
      <c r="BL122" s="10" t="s">
        <v>24</v>
      </c>
      <c r="BM122" s="12">
        <v>2954.7400000000039</v>
      </c>
      <c r="BN122" s="12">
        <v>1246.4779999999998</v>
      </c>
      <c r="BO122" s="12">
        <v>3087.8960000000015</v>
      </c>
      <c r="BP122" s="12">
        <v>2167.3289999999934</v>
      </c>
      <c r="BQ122" s="12">
        <v>3771.0999999999935</v>
      </c>
      <c r="BR122" s="12">
        <v>3487.2699999999923</v>
      </c>
      <c r="BS122" s="6"/>
      <c r="BT122" s="10">
        <v>120</v>
      </c>
      <c r="BU122" s="10"/>
      <c r="BV122" s="12">
        <v>4756.8329999999969</v>
      </c>
      <c r="BW122" s="12">
        <v>2489.0199999999941</v>
      </c>
      <c r="BX122" s="12">
        <v>6305</v>
      </c>
      <c r="BY122" s="12">
        <v>4460.6859999999906</v>
      </c>
      <c r="BZ122" s="12">
        <v>7711.288999999987</v>
      </c>
      <c r="CA122" s="12">
        <v>7015.9929999999995</v>
      </c>
      <c r="CB122" s="6"/>
      <c r="CC122" s="10">
        <v>120</v>
      </c>
      <c r="CD122" s="10"/>
      <c r="CE122" s="12">
        <v>7122.9200000000164</v>
      </c>
      <c r="CF122" s="12">
        <v>3706.75</v>
      </c>
      <c r="CG122" s="12">
        <v>9480.8400000000092</v>
      </c>
      <c r="CH122" s="12">
        <v>4416.2300000000077</v>
      </c>
      <c r="CI122" s="12">
        <v>11386.607999999977</v>
      </c>
      <c r="CJ122" s="12">
        <v>10507.045000000026</v>
      </c>
    </row>
    <row r="123" spans="1:88" ht="15.75" customHeight="1">
      <c r="A123" s="6"/>
      <c r="B123" s="10">
        <v>121</v>
      </c>
      <c r="G123" s="6" t="s">
        <v>27</v>
      </c>
      <c r="H123" s="6">
        <f t="shared" si="10"/>
        <v>12.350000000000005</v>
      </c>
      <c r="I123" s="6">
        <f t="shared" si="11"/>
        <v>18.954999999999977</v>
      </c>
      <c r="L123" s="7">
        <v>368.95499999999998</v>
      </c>
      <c r="M123" s="7">
        <v>385.16399999999999</v>
      </c>
      <c r="N123" s="7">
        <v>401.37299999999999</v>
      </c>
      <c r="O123" s="7">
        <v>417.58199999999999</v>
      </c>
      <c r="P123" s="7">
        <v>433.791</v>
      </c>
      <c r="Q123" s="7">
        <v>466.209</v>
      </c>
      <c r="R123" s="7">
        <v>482.41800000000001</v>
      </c>
      <c r="S123" s="7">
        <v>498.62700000000001</v>
      </c>
      <c r="T123" s="7">
        <v>514.83600000000001</v>
      </c>
      <c r="U123" s="7">
        <v>531.04499999999996</v>
      </c>
      <c r="V123" s="7">
        <v>547.25399999999991</v>
      </c>
      <c r="W123" s="23">
        <v>563.46299999999985</v>
      </c>
      <c r="X123" s="23">
        <v>579.6719999999998</v>
      </c>
      <c r="Y123" s="23">
        <v>595.88099999999974</v>
      </c>
      <c r="Z123" s="23">
        <v>612.08999999999969</v>
      </c>
      <c r="AA123" s="23">
        <v>628.29899999999964</v>
      </c>
      <c r="AB123" s="23">
        <v>644.50799999999958</v>
      </c>
      <c r="AC123" s="23">
        <v>660.71699999999953</v>
      </c>
      <c r="AD123" s="23">
        <v>676.92599999999948</v>
      </c>
      <c r="AE123" s="23">
        <v>693.13499999999942</v>
      </c>
      <c r="AF123" s="23">
        <v>709.34399999999937</v>
      </c>
      <c r="AG123" s="23">
        <v>725.55299999999932</v>
      </c>
      <c r="AH123" s="23">
        <v>741.76199999999926</v>
      </c>
      <c r="AI123" s="23">
        <v>757.97099999999921</v>
      </c>
      <c r="AJ123" s="23">
        <v>774.17999999999915</v>
      </c>
      <c r="AK123" s="23">
        <v>790.3889999999991</v>
      </c>
      <c r="AL123" s="23">
        <v>806.59799999999905</v>
      </c>
      <c r="AM123" s="23">
        <v>822.80699999999899</v>
      </c>
      <c r="AN123" s="23">
        <v>839.01599999999894</v>
      </c>
      <c r="AO123" s="23">
        <v>855.22499999999889</v>
      </c>
      <c r="AP123" s="23">
        <v>871.43399999999883</v>
      </c>
      <c r="AQ123" s="23">
        <v>887.64299999999878</v>
      </c>
      <c r="AR123" s="23">
        <v>903.85199999999872</v>
      </c>
      <c r="AS123" s="23"/>
      <c r="BB123" s="10">
        <v>121</v>
      </c>
      <c r="BC123" s="10" t="s">
        <v>6</v>
      </c>
      <c r="BD123" s="12">
        <v>1903.3600000000056</v>
      </c>
      <c r="BE123" s="12">
        <v>852.71199999999862</v>
      </c>
      <c r="BF123" s="12">
        <v>2090.1200000000026</v>
      </c>
      <c r="BG123" s="12">
        <v>1467.3600000000035</v>
      </c>
      <c r="BH123" s="12">
        <v>2612.8799999999974</v>
      </c>
      <c r="BI123" s="12">
        <v>2358.5600000000013</v>
      </c>
      <c r="BK123" s="10">
        <v>121</v>
      </c>
      <c r="BL123" s="10" t="s">
        <v>24</v>
      </c>
      <c r="BM123" s="12">
        <v>2983.6800000000039</v>
      </c>
      <c r="BN123" s="12">
        <v>1257.6959999999999</v>
      </c>
      <c r="BO123" s="12">
        <v>3115.4720000000016</v>
      </c>
      <c r="BP123" s="12">
        <v>2186.7279999999932</v>
      </c>
      <c r="BQ123" s="12">
        <v>3805.1999999999935</v>
      </c>
      <c r="BR123" s="12">
        <v>3518.6399999999921</v>
      </c>
      <c r="BS123" s="6"/>
      <c r="BT123" s="10">
        <v>121</v>
      </c>
      <c r="BU123" s="10"/>
      <c r="BV123" s="12">
        <v>4808.0559999999969</v>
      </c>
      <c r="BW123" s="12">
        <v>2514.639999999994</v>
      </c>
      <c r="BX123" s="12">
        <v>6370</v>
      </c>
      <c r="BY123" s="12">
        <v>4506.7519999999904</v>
      </c>
      <c r="BZ123" s="12">
        <v>7791.4479999999867</v>
      </c>
      <c r="CA123" s="12">
        <v>7089.1759999999995</v>
      </c>
      <c r="CB123" s="6"/>
      <c r="CC123" s="10">
        <v>121</v>
      </c>
      <c r="CD123" s="10"/>
      <c r="CE123" s="12">
        <v>7199.4400000000169</v>
      </c>
      <c r="CF123" s="12">
        <v>3746</v>
      </c>
      <c r="CG123" s="12">
        <v>9578.8800000000101</v>
      </c>
      <c r="CH123" s="12">
        <v>4453.3600000000079</v>
      </c>
      <c r="CI123" s="12">
        <v>11505.855999999976</v>
      </c>
      <c r="CJ123" s="12">
        <v>10616.440000000026</v>
      </c>
    </row>
    <row r="124" spans="1:88" ht="15.75" customHeight="1">
      <c r="A124" s="6"/>
      <c r="B124" s="10">
        <v>122</v>
      </c>
      <c r="G124" s="6"/>
      <c r="H124" s="6">
        <f t="shared" si="10"/>
        <v>12.980000000000006</v>
      </c>
      <c r="I124" s="6">
        <f t="shared" si="11"/>
        <v>19.920999999999978</v>
      </c>
      <c r="L124" s="7">
        <v>16.209</v>
      </c>
      <c r="M124" s="7">
        <v>16.209</v>
      </c>
      <c r="N124" s="7">
        <v>16.209</v>
      </c>
      <c r="O124" s="7">
        <v>16.209</v>
      </c>
      <c r="P124" s="7">
        <v>16.209</v>
      </c>
      <c r="Q124" s="7">
        <v>16.209</v>
      </c>
      <c r="R124" s="7">
        <v>16.209</v>
      </c>
      <c r="S124" s="7">
        <v>16.209</v>
      </c>
      <c r="T124" s="7">
        <v>16.209</v>
      </c>
      <c r="U124" s="7">
        <v>16.209</v>
      </c>
      <c r="V124" s="7">
        <v>16.209</v>
      </c>
      <c r="W124" s="23">
        <v>16.209</v>
      </c>
      <c r="X124" s="23">
        <v>16.209</v>
      </c>
      <c r="Y124" s="23">
        <v>16.209</v>
      </c>
      <c r="Z124" s="23">
        <v>16.209</v>
      </c>
      <c r="AA124" s="23">
        <v>16.209</v>
      </c>
      <c r="AB124" s="23">
        <v>16.209</v>
      </c>
      <c r="AC124" s="23">
        <v>16.209</v>
      </c>
      <c r="AD124" s="23">
        <v>16.209</v>
      </c>
      <c r="AE124" s="23">
        <v>16.209</v>
      </c>
      <c r="AF124" s="23">
        <v>16.209</v>
      </c>
      <c r="AG124" s="23">
        <v>16.209</v>
      </c>
      <c r="AH124" s="23">
        <v>16.209</v>
      </c>
      <c r="AI124" s="23">
        <v>16.209</v>
      </c>
      <c r="AJ124" s="23">
        <v>16.209</v>
      </c>
      <c r="AK124" s="23">
        <v>16.209</v>
      </c>
      <c r="AL124" s="23">
        <v>16.209</v>
      </c>
      <c r="AM124" s="23">
        <v>16.209</v>
      </c>
      <c r="AN124" s="23">
        <v>16.209</v>
      </c>
      <c r="AO124" s="23">
        <v>16.209</v>
      </c>
      <c r="AP124" s="23">
        <v>16.209</v>
      </c>
      <c r="AQ124" s="23">
        <v>16.209</v>
      </c>
      <c r="AR124" s="23">
        <v>16.209</v>
      </c>
      <c r="AS124" s="23"/>
      <c r="BB124" s="10">
        <v>122</v>
      </c>
      <c r="BC124" s="10" t="s">
        <v>6</v>
      </c>
      <c r="BD124" s="12">
        <v>1920.4900000000057</v>
      </c>
      <c r="BE124" s="12">
        <v>859.83299999999861</v>
      </c>
      <c r="BF124" s="12">
        <v>2108.4550000000027</v>
      </c>
      <c r="BG124" s="12">
        <v>1480.2400000000036</v>
      </c>
      <c r="BH124" s="12">
        <v>2636.6699999999973</v>
      </c>
      <c r="BI124" s="12">
        <v>2379.7900000000013</v>
      </c>
      <c r="BK124" s="10">
        <v>122</v>
      </c>
      <c r="BL124" s="10" t="s">
        <v>24</v>
      </c>
      <c r="BM124" s="12">
        <v>3012.620000000004</v>
      </c>
      <c r="BN124" s="12">
        <v>1268.914</v>
      </c>
      <c r="BO124" s="12">
        <v>3143.0480000000016</v>
      </c>
      <c r="BP124" s="12">
        <v>2206.1269999999931</v>
      </c>
      <c r="BQ124" s="12">
        <v>3839.2999999999934</v>
      </c>
      <c r="BR124" s="12">
        <v>3550.009999999992</v>
      </c>
      <c r="BS124" s="6"/>
      <c r="BT124" s="10">
        <v>122</v>
      </c>
      <c r="BU124" s="10"/>
      <c r="BV124" s="12">
        <v>4859.2789999999968</v>
      </c>
      <c r="BW124" s="12">
        <v>2540.2599999999939</v>
      </c>
      <c r="BX124" s="12">
        <v>6435</v>
      </c>
      <c r="BY124" s="12">
        <v>4552.8179999999902</v>
      </c>
      <c r="BZ124" s="12">
        <v>7871.6069999999863</v>
      </c>
      <c r="CA124" s="12">
        <v>7162.3589999999995</v>
      </c>
      <c r="CB124" s="6"/>
      <c r="CC124" s="10">
        <v>122</v>
      </c>
      <c r="CD124" s="10"/>
      <c r="CE124" s="12">
        <v>7275.9600000000173</v>
      </c>
      <c r="CF124" s="12">
        <v>3785.25</v>
      </c>
      <c r="CG124" s="12">
        <v>9676.920000000011</v>
      </c>
      <c r="CH124" s="12">
        <v>4490.490000000008</v>
      </c>
      <c r="CI124" s="12">
        <v>11625.103999999976</v>
      </c>
      <c r="CJ124" s="12">
        <v>10725.835000000026</v>
      </c>
    </row>
    <row r="125" spans="1:88" ht="15.75" customHeight="1">
      <c r="A125" s="6"/>
      <c r="B125" s="10">
        <v>123</v>
      </c>
      <c r="G125" s="6"/>
      <c r="H125" s="6">
        <f t="shared" si="10"/>
        <v>13.610000000000007</v>
      </c>
      <c r="I125" s="6">
        <f t="shared" si="11"/>
        <v>20.886999999999979</v>
      </c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BB125" s="10">
        <v>123</v>
      </c>
      <c r="BC125" s="10" t="s">
        <v>6</v>
      </c>
      <c r="BD125" s="12">
        <v>1937.6200000000058</v>
      </c>
      <c r="BE125" s="12">
        <v>866.95399999999859</v>
      </c>
      <c r="BF125" s="12">
        <v>2126.7900000000027</v>
      </c>
      <c r="BG125" s="12">
        <v>1493.1200000000038</v>
      </c>
      <c r="BH125" s="12">
        <v>2660.4599999999973</v>
      </c>
      <c r="BI125" s="12">
        <v>2401.0200000000013</v>
      </c>
      <c r="BK125" s="10">
        <v>123</v>
      </c>
      <c r="BL125" s="10" t="s">
        <v>24</v>
      </c>
      <c r="BM125" s="12">
        <v>3041.560000000004</v>
      </c>
      <c r="BN125" s="12">
        <v>1280.1320000000001</v>
      </c>
      <c r="BO125" s="12">
        <v>3170.6240000000016</v>
      </c>
      <c r="BP125" s="12">
        <v>2225.525999999993</v>
      </c>
      <c r="BQ125" s="12">
        <v>3873.3999999999933</v>
      </c>
      <c r="BR125" s="12">
        <v>3581.3799999999919</v>
      </c>
      <c r="BS125" s="6"/>
      <c r="BT125" s="10">
        <v>123</v>
      </c>
      <c r="BU125" s="10"/>
      <c r="BV125" s="12">
        <v>4910.5019999999968</v>
      </c>
      <c r="BW125" s="12">
        <v>2565.8799999999937</v>
      </c>
      <c r="BX125" s="12">
        <v>6500</v>
      </c>
      <c r="BY125" s="12">
        <v>4598.88399999999</v>
      </c>
      <c r="BZ125" s="12">
        <v>7951.765999999986</v>
      </c>
      <c r="CA125" s="12">
        <v>7235.5419999999995</v>
      </c>
      <c r="CB125" s="6"/>
      <c r="CC125" s="10">
        <v>123</v>
      </c>
      <c r="CD125" s="10"/>
      <c r="CE125" s="12">
        <v>7352.4800000000178</v>
      </c>
      <c r="CF125" s="12">
        <v>3824.5</v>
      </c>
      <c r="CG125" s="12">
        <v>9774.9600000000119</v>
      </c>
      <c r="CH125" s="12">
        <v>4527.6200000000081</v>
      </c>
      <c r="CI125" s="12">
        <v>11744.351999999975</v>
      </c>
      <c r="CJ125" s="12">
        <v>10835.230000000027</v>
      </c>
    </row>
    <row r="126" spans="1:88" ht="15.75" customHeight="1">
      <c r="A126" s="6"/>
      <c r="B126" s="10">
        <v>124</v>
      </c>
      <c r="G126" s="6"/>
      <c r="H126" s="6">
        <f t="shared" si="10"/>
        <v>14.240000000000007</v>
      </c>
      <c r="I126" s="6">
        <f t="shared" si="11"/>
        <v>21.85299999999998</v>
      </c>
      <c r="J126" s="22">
        <v>115</v>
      </c>
      <c r="K126" s="22">
        <v>6.4</v>
      </c>
      <c r="L126" s="22">
        <v>5</v>
      </c>
      <c r="M126" s="22">
        <v>6</v>
      </c>
      <c r="N126" s="22">
        <v>7</v>
      </c>
      <c r="O126" s="22">
        <v>8</v>
      </c>
      <c r="P126" s="22">
        <v>9</v>
      </c>
      <c r="Q126" s="26">
        <v>11</v>
      </c>
      <c r="R126" s="26">
        <v>12</v>
      </c>
      <c r="S126" s="26">
        <v>13</v>
      </c>
      <c r="T126" s="26">
        <v>14</v>
      </c>
      <c r="U126" s="26">
        <v>15</v>
      </c>
      <c r="V126" s="26">
        <v>16</v>
      </c>
      <c r="W126" s="26">
        <v>17</v>
      </c>
      <c r="X126" s="26">
        <v>18</v>
      </c>
      <c r="Y126" s="26">
        <v>19</v>
      </c>
      <c r="Z126" s="26">
        <v>20</v>
      </c>
      <c r="AA126" s="26">
        <v>21</v>
      </c>
      <c r="AB126" s="26">
        <v>22</v>
      </c>
      <c r="AC126" s="26">
        <v>23</v>
      </c>
      <c r="AD126" s="22">
        <v>24</v>
      </c>
      <c r="AE126" s="27">
        <v>25</v>
      </c>
      <c r="AF126" s="27">
        <v>26</v>
      </c>
      <c r="AG126" s="27">
        <v>27</v>
      </c>
      <c r="AH126" s="27">
        <v>28</v>
      </c>
      <c r="AI126" s="27">
        <v>29</v>
      </c>
      <c r="AJ126" s="27">
        <v>30</v>
      </c>
      <c r="AK126" s="27">
        <v>31</v>
      </c>
      <c r="AL126" s="27">
        <v>32</v>
      </c>
      <c r="AM126" s="27">
        <v>33</v>
      </c>
      <c r="AN126" s="27">
        <v>34</v>
      </c>
      <c r="AO126" s="27">
        <v>35</v>
      </c>
      <c r="AP126" s="27">
        <v>36</v>
      </c>
      <c r="AQ126" s="27">
        <v>37</v>
      </c>
      <c r="AR126" s="27">
        <v>38</v>
      </c>
      <c r="AS126" s="21"/>
      <c r="BB126" s="10">
        <v>124</v>
      </c>
      <c r="BC126" s="10" t="s">
        <v>6</v>
      </c>
      <c r="BD126" s="12">
        <v>1954.7500000000059</v>
      </c>
      <c r="BE126" s="12">
        <v>874.07499999999857</v>
      </c>
      <c r="BF126" s="12">
        <v>2145.1250000000027</v>
      </c>
      <c r="BG126" s="12">
        <v>1506.0000000000039</v>
      </c>
      <c r="BH126" s="12">
        <v>2684.2499999999973</v>
      </c>
      <c r="BI126" s="12">
        <v>2422.2500000000014</v>
      </c>
      <c r="BK126" s="10">
        <v>124</v>
      </c>
      <c r="BL126" s="10" t="s">
        <v>24</v>
      </c>
      <c r="BM126" s="12">
        <v>3070.5000000000041</v>
      </c>
      <c r="BN126" s="12">
        <v>1291.3500000000001</v>
      </c>
      <c r="BO126" s="12">
        <v>3198.2000000000016</v>
      </c>
      <c r="BP126" s="12">
        <v>2244.9249999999929</v>
      </c>
      <c r="BQ126" s="12">
        <v>3907.4999999999932</v>
      </c>
      <c r="BR126" s="12">
        <v>3612.7499999999918</v>
      </c>
      <c r="BS126" s="6"/>
      <c r="BT126" s="10">
        <v>124</v>
      </c>
      <c r="BU126" s="10"/>
      <c r="BV126" s="12">
        <v>4961.7249999999967</v>
      </c>
      <c r="BW126" s="12">
        <v>2591.4999999999936</v>
      </c>
      <c r="BX126" s="12">
        <v>6565</v>
      </c>
      <c r="BY126" s="12">
        <v>4644.9499999999898</v>
      </c>
      <c r="BZ126" s="12">
        <v>8031.9249999999856</v>
      </c>
      <c r="CA126" s="12">
        <v>7308.7249999999995</v>
      </c>
      <c r="CB126" s="6"/>
      <c r="CC126" s="10">
        <v>124</v>
      </c>
      <c r="CD126" s="10"/>
      <c r="CE126" s="12">
        <v>7429.0000000000182</v>
      </c>
      <c r="CF126" s="12">
        <v>3863.75</v>
      </c>
      <c r="CG126" s="12">
        <v>9873.0000000000127</v>
      </c>
      <c r="CH126" s="12">
        <v>4564.7500000000082</v>
      </c>
      <c r="CI126" s="12">
        <v>11863.599999999975</v>
      </c>
      <c r="CJ126" s="12">
        <v>10944.625000000027</v>
      </c>
    </row>
    <row r="127" spans="1:88" ht="15.75" customHeight="1">
      <c r="A127" s="6"/>
      <c r="B127" s="10">
        <v>125</v>
      </c>
      <c r="G127" s="6"/>
      <c r="H127" s="6">
        <f t="shared" si="10"/>
        <v>14.870000000000008</v>
      </c>
      <c r="I127" s="6">
        <f t="shared" si="11"/>
        <v>22.818999999999981</v>
      </c>
      <c r="J127" s="28"/>
      <c r="K127" s="28"/>
      <c r="L127" s="28">
        <v>790</v>
      </c>
      <c r="M127" s="28">
        <v>870</v>
      </c>
      <c r="N127" s="28">
        <v>950</v>
      </c>
      <c r="O127" s="22">
        <v>1030</v>
      </c>
      <c r="P127" s="22">
        <v>1110</v>
      </c>
      <c r="Q127" s="22">
        <v>1270</v>
      </c>
      <c r="R127" s="22">
        <v>1350</v>
      </c>
      <c r="S127" s="22">
        <v>1430</v>
      </c>
      <c r="T127" s="22">
        <v>1510</v>
      </c>
      <c r="U127" s="22">
        <v>1590</v>
      </c>
      <c r="V127" s="22">
        <v>1670</v>
      </c>
      <c r="W127" s="25">
        <v>1750</v>
      </c>
      <c r="X127" s="25">
        <v>1830</v>
      </c>
      <c r="Y127" s="25">
        <v>1910</v>
      </c>
      <c r="Z127" s="25">
        <v>1990</v>
      </c>
      <c r="AA127" s="25">
        <v>2070</v>
      </c>
      <c r="AB127" s="25">
        <v>2150</v>
      </c>
      <c r="AC127" s="25">
        <v>2230</v>
      </c>
      <c r="AD127" s="25">
        <v>2310</v>
      </c>
      <c r="AE127" s="25">
        <v>2390</v>
      </c>
      <c r="AF127" s="25">
        <v>2470</v>
      </c>
      <c r="AG127" s="25">
        <v>2550</v>
      </c>
      <c r="AH127" s="25">
        <v>2630</v>
      </c>
      <c r="AI127" s="25">
        <v>2710</v>
      </c>
      <c r="AJ127" s="25">
        <v>2790</v>
      </c>
      <c r="AK127" s="25">
        <v>2870</v>
      </c>
      <c r="AL127" s="25">
        <v>2950</v>
      </c>
      <c r="AM127" s="25">
        <v>3030</v>
      </c>
      <c r="AN127" s="25">
        <v>3110</v>
      </c>
      <c r="AO127" s="25">
        <v>3190</v>
      </c>
      <c r="AP127" s="25">
        <v>3270</v>
      </c>
      <c r="AQ127" s="25">
        <v>3350</v>
      </c>
      <c r="AR127" s="25">
        <v>3430</v>
      </c>
      <c r="AS127" s="23"/>
      <c r="BB127" s="10">
        <v>125</v>
      </c>
      <c r="BC127" s="10" t="s">
        <v>6</v>
      </c>
      <c r="BD127" s="12">
        <v>1971.880000000006</v>
      </c>
      <c r="BE127" s="12">
        <v>881.19599999999855</v>
      </c>
      <c r="BF127" s="12">
        <v>2163.4600000000028</v>
      </c>
      <c r="BG127" s="12">
        <v>1518.880000000004</v>
      </c>
      <c r="BH127" s="12">
        <v>2708.0399999999972</v>
      </c>
      <c r="BI127" s="12">
        <v>2443.4800000000014</v>
      </c>
      <c r="BK127" s="10">
        <v>125</v>
      </c>
      <c r="BL127" s="10" t="s">
        <v>24</v>
      </c>
      <c r="BM127" s="12">
        <v>3099.4400000000041</v>
      </c>
      <c r="BN127" s="12">
        <v>1302.5680000000002</v>
      </c>
      <c r="BO127" s="12">
        <v>3225.7760000000017</v>
      </c>
      <c r="BP127" s="12">
        <v>2264.3239999999928</v>
      </c>
      <c r="BQ127" s="12">
        <v>3941.5999999999931</v>
      </c>
      <c r="BR127" s="12">
        <v>3644.1199999999917</v>
      </c>
      <c r="BS127" s="6"/>
      <c r="BT127" s="10">
        <v>125</v>
      </c>
      <c r="BU127" s="10"/>
      <c r="BV127" s="12">
        <v>5012.9479999999967</v>
      </c>
      <c r="BW127" s="12">
        <v>2617.1199999999935</v>
      </c>
      <c r="BX127" s="12">
        <v>6630</v>
      </c>
      <c r="BY127" s="12">
        <v>4691.0159999999896</v>
      </c>
      <c r="BZ127" s="12">
        <v>8112.0839999999853</v>
      </c>
      <c r="CA127" s="12">
        <v>7381.9079999999994</v>
      </c>
      <c r="CB127" s="6"/>
      <c r="CC127" s="10">
        <v>125</v>
      </c>
      <c r="CD127" s="10"/>
      <c r="CE127" s="12">
        <v>7505.5200000000186</v>
      </c>
      <c r="CF127" s="12">
        <v>3903</v>
      </c>
      <c r="CG127" s="12">
        <v>9971.0400000000136</v>
      </c>
      <c r="CH127" s="12">
        <v>4601.8800000000083</v>
      </c>
      <c r="CI127" s="12">
        <v>11982.847999999974</v>
      </c>
      <c r="CJ127" s="12">
        <v>11054.020000000028</v>
      </c>
    </row>
    <row r="128" spans="1:88" ht="15.75" customHeight="1">
      <c r="A128" s="6"/>
      <c r="B128" s="10">
        <v>126</v>
      </c>
      <c r="G128" s="16"/>
      <c r="H128" s="6">
        <f t="shared" si="10"/>
        <v>15.500000000000009</v>
      </c>
      <c r="I128" s="6">
        <f t="shared" si="11"/>
        <v>23.784999999999982</v>
      </c>
      <c r="J128" s="28"/>
      <c r="K128" s="28"/>
      <c r="L128" s="28">
        <v>80</v>
      </c>
      <c r="M128" s="28">
        <v>80</v>
      </c>
      <c r="N128" s="28">
        <v>80</v>
      </c>
      <c r="O128" s="22">
        <v>80</v>
      </c>
      <c r="P128" s="22">
        <v>80</v>
      </c>
      <c r="Q128" s="22">
        <v>80</v>
      </c>
      <c r="R128" s="22">
        <v>80</v>
      </c>
      <c r="S128" s="22">
        <v>80</v>
      </c>
      <c r="T128" s="22">
        <v>80</v>
      </c>
      <c r="U128" s="22">
        <v>80</v>
      </c>
      <c r="V128" s="22">
        <v>80</v>
      </c>
      <c r="W128" s="25">
        <v>80</v>
      </c>
      <c r="X128" s="25">
        <v>80</v>
      </c>
      <c r="Y128" s="25">
        <v>80</v>
      </c>
      <c r="Z128" s="25">
        <v>80</v>
      </c>
      <c r="AA128" s="25">
        <v>80</v>
      </c>
      <c r="AB128" s="25">
        <v>80</v>
      </c>
      <c r="AC128" s="25">
        <v>80</v>
      </c>
      <c r="AD128" s="25">
        <v>80</v>
      </c>
      <c r="AE128" s="25">
        <v>80</v>
      </c>
      <c r="AF128" s="25">
        <v>80</v>
      </c>
      <c r="AG128" s="25">
        <v>80</v>
      </c>
      <c r="AH128" s="25">
        <v>80</v>
      </c>
      <c r="AI128" s="25">
        <v>80</v>
      </c>
      <c r="AJ128" s="25">
        <v>80</v>
      </c>
      <c r="AK128" s="25">
        <v>80</v>
      </c>
      <c r="AL128" s="25">
        <v>80</v>
      </c>
      <c r="AM128" s="25">
        <v>80</v>
      </c>
      <c r="AN128" s="25">
        <v>80</v>
      </c>
      <c r="AO128" s="25">
        <v>80</v>
      </c>
      <c r="AP128" s="25">
        <v>80</v>
      </c>
      <c r="AQ128" s="25">
        <v>80</v>
      </c>
      <c r="AR128" s="25">
        <v>80</v>
      </c>
      <c r="AS128" s="23"/>
      <c r="BB128" s="10">
        <v>126</v>
      </c>
      <c r="BC128" s="10" t="s">
        <v>6</v>
      </c>
      <c r="BD128" s="12">
        <v>1989.0100000000061</v>
      </c>
      <c r="BE128" s="12">
        <v>888.31699999999853</v>
      </c>
      <c r="BF128" s="12">
        <v>2181.7950000000028</v>
      </c>
      <c r="BG128" s="12">
        <v>1531.7600000000041</v>
      </c>
      <c r="BH128" s="12">
        <v>2731.8299999999972</v>
      </c>
      <c r="BI128" s="12">
        <v>2464.7100000000014</v>
      </c>
      <c r="BK128" s="10">
        <v>126</v>
      </c>
      <c r="BL128" s="10" t="s">
        <v>24</v>
      </c>
      <c r="BM128" s="12">
        <v>3128.3800000000042</v>
      </c>
      <c r="BN128" s="12">
        <v>1313.7860000000003</v>
      </c>
      <c r="BO128" s="12">
        <v>3253.3520000000017</v>
      </c>
      <c r="BP128" s="12">
        <v>2283.7229999999927</v>
      </c>
      <c r="BQ128" s="12">
        <v>3975.699999999993</v>
      </c>
      <c r="BR128" s="12">
        <v>3675.4899999999916</v>
      </c>
      <c r="BS128" s="6"/>
      <c r="BT128" s="10">
        <v>126</v>
      </c>
      <c r="BU128" s="10"/>
      <c r="BV128" s="12">
        <v>5064.1709999999966</v>
      </c>
      <c r="BW128" s="12">
        <v>2642.7399999999934</v>
      </c>
      <c r="BX128" s="12">
        <v>6695</v>
      </c>
      <c r="BY128" s="12">
        <v>4737.0819999999894</v>
      </c>
      <c r="BZ128" s="12">
        <v>8192.2429999999858</v>
      </c>
      <c r="CA128" s="12">
        <v>7455.0909999999994</v>
      </c>
      <c r="CB128" s="6"/>
      <c r="CC128" s="10">
        <v>126</v>
      </c>
      <c r="CD128" s="10"/>
      <c r="CE128" s="12">
        <v>7582.0400000000191</v>
      </c>
      <c r="CF128" s="12">
        <v>3942.25</v>
      </c>
      <c r="CG128" s="12">
        <v>10069.080000000014</v>
      </c>
      <c r="CH128" s="12">
        <v>4639.0100000000084</v>
      </c>
      <c r="CI128" s="12">
        <v>12102.095999999974</v>
      </c>
      <c r="CJ128" s="12">
        <v>11163.415000000028</v>
      </c>
    </row>
    <row r="129" spans="1:88" ht="15.75" customHeight="1">
      <c r="A129" s="6"/>
      <c r="B129" s="10">
        <v>127</v>
      </c>
      <c r="G129" s="7">
        <v>8365.2279999999992</v>
      </c>
      <c r="H129" s="6">
        <f t="shared" si="10"/>
        <v>16.13000000000001</v>
      </c>
      <c r="I129" s="6">
        <f t="shared" si="11"/>
        <v>24.750999999999983</v>
      </c>
      <c r="J129" s="6"/>
      <c r="K129" s="6"/>
      <c r="L129" s="6"/>
      <c r="M129" s="6"/>
      <c r="N129" s="6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BB129" s="10">
        <v>127</v>
      </c>
      <c r="BC129" s="10" t="s">
        <v>6</v>
      </c>
      <c r="BD129" s="12">
        <v>2006.1400000000062</v>
      </c>
      <c r="BE129" s="12">
        <v>895.43799999999851</v>
      </c>
      <c r="BF129" s="12">
        <v>2200.1300000000028</v>
      </c>
      <c r="BG129" s="12">
        <v>1544.6400000000042</v>
      </c>
      <c r="BH129" s="12">
        <v>2755.6199999999972</v>
      </c>
      <c r="BI129" s="12">
        <v>2485.9400000000014</v>
      </c>
      <c r="BK129" s="10">
        <v>127</v>
      </c>
      <c r="BL129" s="10" t="s">
        <v>24</v>
      </c>
      <c r="BM129" s="12">
        <v>3157.3200000000043</v>
      </c>
      <c r="BN129" s="12">
        <v>1325.0040000000004</v>
      </c>
      <c r="BO129" s="12">
        <v>3280.9280000000017</v>
      </c>
      <c r="BP129" s="12">
        <v>2303.1219999999926</v>
      </c>
      <c r="BQ129" s="12">
        <v>4009.7999999999929</v>
      </c>
      <c r="BR129" s="12">
        <v>3706.8599999999915</v>
      </c>
      <c r="BS129" s="6"/>
      <c r="BT129" s="10">
        <v>127</v>
      </c>
      <c r="BU129" s="10"/>
      <c r="BV129" s="12">
        <v>5115.3939999999966</v>
      </c>
      <c r="BW129" s="12">
        <v>2668.3599999999933</v>
      </c>
      <c r="BX129" s="12">
        <v>6760</v>
      </c>
      <c r="BY129" s="12">
        <v>4783.1479999999892</v>
      </c>
      <c r="BZ129" s="12">
        <v>8272.4019999999855</v>
      </c>
      <c r="CA129" s="12">
        <v>7528.2739999999994</v>
      </c>
      <c r="CB129" s="6"/>
      <c r="CC129" s="10">
        <v>127</v>
      </c>
      <c r="CD129" s="10"/>
      <c r="CE129" s="12">
        <v>7658.5600000000195</v>
      </c>
      <c r="CF129" s="12">
        <v>3981.5</v>
      </c>
      <c r="CG129" s="12">
        <v>10167.120000000015</v>
      </c>
      <c r="CH129" s="12">
        <v>4676.1400000000085</v>
      </c>
      <c r="CI129" s="12">
        <v>12221.343999999974</v>
      </c>
      <c r="CJ129" s="12">
        <v>11272.810000000029</v>
      </c>
    </row>
    <row r="130" spans="1:88" ht="15.75" customHeight="1">
      <c r="A130" s="6"/>
      <c r="B130" s="10">
        <v>128</v>
      </c>
      <c r="G130" s="6"/>
      <c r="H130" s="6">
        <f t="shared" si="10"/>
        <v>16.760000000000009</v>
      </c>
      <c r="I130" s="6">
        <f t="shared" si="11"/>
        <v>25.716999999999985</v>
      </c>
      <c r="J130" s="6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BB130" s="10">
        <v>128</v>
      </c>
      <c r="BC130" s="10" t="s">
        <v>6</v>
      </c>
      <c r="BD130" s="12">
        <v>2023.2700000000063</v>
      </c>
      <c r="BE130" s="12">
        <v>902.55899999999849</v>
      </c>
      <c r="BF130" s="12">
        <v>2218.4650000000029</v>
      </c>
      <c r="BG130" s="12">
        <v>1557.5200000000043</v>
      </c>
      <c r="BH130" s="12">
        <v>2779.4099999999971</v>
      </c>
      <c r="BI130" s="12">
        <v>2507.1700000000014</v>
      </c>
      <c r="BK130" s="10">
        <v>128</v>
      </c>
      <c r="BL130" s="10" t="s">
        <v>24</v>
      </c>
      <c r="BM130" s="12">
        <v>3186.2600000000043</v>
      </c>
      <c r="BN130" s="12">
        <v>1336.2220000000004</v>
      </c>
      <c r="BO130" s="12">
        <v>3308.5040000000017</v>
      </c>
      <c r="BP130" s="12">
        <v>2322.5209999999925</v>
      </c>
      <c r="BQ130" s="12">
        <v>4043.8999999999928</v>
      </c>
      <c r="BR130" s="12">
        <v>3738.2299999999914</v>
      </c>
      <c r="BS130" s="6"/>
      <c r="BT130" s="10">
        <v>128</v>
      </c>
      <c r="BU130" s="10"/>
      <c r="BV130" s="12">
        <v>5166.6169999999966</v>
      </c>
      <c r="BW130" s="12">
        <v>2693.9799999999932</v>
      </c>
      <c r="BX130" s="12">
        <v>6825</v>
      </c>
      <c r="BY130" s="12">
        <v>4829.213999999989</v>
      </c>
      <c r="BZ130" s="12">
        <v>8352.5609999999851</v>
      </c>
      <c r="CA130" s="12">
        <v>7601.4569999999994</v>
      </c>
      <c r="CB130" s="6"/>
      <c r="CC130" s="10">
        <v>128</v>
      </c>
      <c r="CD130" s="10"/>
      <c r="CE130" s="12">
        <v>7735.0800000000199</v>
      </c>
      <c r="CF130" s="12">
        <v>4020.75</v>
      </c>
      <c r="CG130" s="12">
        <v>10265.160000000016</v>
      </c>
      <c r="CH130" s="12">
        <v>4713.2700000000086</v>
      </c>
      <c r="CI130" s="12">
        <v>12340.591999999973</v>
      </c>
      <c r="CJ130" s="12">
        <v>11382.205000000029</v>
      </c>
    </row>
    <row r="131" spans="1:88" ht="15.75" customHeight="1">
      <c r="A131" s="6"/>
      <c r="B131" s="10">
        <v>129</v>
      </c>
      <c r="G131" s="6"/>
      <c r="H131" s="6">
        <f t="shared" si="10"/>
        <v>17.390000000000008</v>
      </c>
      <c r="I131" s="6">
        <f t="shared" si="11"/>
        <v>26.682999999999986</v>
      </c>
      <c r="J131" s="6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BB131" s="10">
        <v>129</v>
      </c>
      <c r="BC131" s="10" t="s">
        <v>6</v>
      </c>
      <c r="BD131" s="12">
        <v>2040.4000000000065</v>
      </c>
      <c r="BE131" s="12">
        <v>909.67999999999847</v>
      </c>
      <c r="BF131" s="12">
        <v>2236.8000000000029</v>
      </c>
      <c r="BG131" s="12">
        <v>1570.4000000000044</v>
      </c>
      <c r="BH131" s="12">
        <v>2803.1999999999971</v>
      </c>
      <c r="BI131" s="12">
        <v>2528.4000000000015</v>
      </c>
      <c r="BK131" s="10">
        <v>129</v>
      </c>
      <c r="BL131" s="10" t="s">
        <v>24</v>
      </c>
      <c r="BM131" s="12">
        <v>3215.2000000000044</v>
      </c>
      <c r="BN131" s="12">
        <v>1347.4400000000005</v>
      </c>
      <c r="BO131" s="12">
        <v>3336.0800000000017</v>
      </c>
      <c r="BP131" s="12">
        <v>2341.9199999999923</v>
      </c>
      <c r="BQ131" s="12">
        <v>4077.9999999999927</v>
      </c>
      <c r="BR131" s="12">
        <v>3769.5999999999913</v>
      </c>
      <c r="BS131" s="6"/>
      <c r="BT131" s="10">
        <v>129</v>
      </c>
      <c r="BU131" s="10"/>
      <c r="BV131" s="12">
        <v>5217.8399999999965</v>
      </c>
      <c r="BW131" s="12">
        <v>2719.5999999999931</v>
      </c>
      <c r="BX131" s="12">
        <v>6890</v>
      </c>
      <c r="BY131" s="12">
        <v>4875.2799999999888</v>
      </c>
      <c r="BZ131" s="12">
        <v>8432.7199999999848</v>
      </c>
      <c r="CA131" s="12">
        <v>7674.6399999999994</v>
      </c>
      <c r="CB131" s="6"/>
      <c r="CC131" s="10">
        <v>129</v>
      </c>
      <c r="CD131" s="10"/>
      <c r="CE131" s="12">
        <v>7811.6000000000204</v>
      </c>
      <c r="CF131" s="12">
        <v>4060</v>
      </c>
      <c r="CG131" s="12">
        <v>10363.200000000017</v>
      </c>
      <c r="CH131" s="12">
        <v>4750.4000000000087</v>
      </c>
      <c r="CI131" s="12">
        <v>12459.839999999973</v>
      </c>
      <c r="CJ131" s="12">
        <v>11491.600000000029</v>
      </c>
    </row>
    <row r="132" spans="1:88" ht="15.75" customHeight="1">
      <c r="A132" s="6"/>
      <c r="B132" s="10">
        <v>130</v>
      </c>
      <c r="G132" s="6"/>
      <c r="H132" s="6">
        <f t="shared" si="10"/>
        <v>18.020000000000007</v>
      </c>
      <c r="I132" s="6">
        <f t="shared" si="11"/>
        <v>27.648999999999987</v>
      </c>
      <c r="J132" s="6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BB132" s="10">
        <v>130</v>
      </c>
      <c r="BC132" s="10" t="s">
        <v>6</v>
      </c>
      <c r="BD132" s="12">
        <v>2057.5300000000066</v>
      </c>
      <c r="BE132" s="12">
        <v>916.80099999999845</v>
      </c>
      <c r="BF132" s="12">
        <v>2255.1350000000029</v>
      </c>
      <c r="BG132" s="12">
        <v>1583.2800000000045</v>
      </c>
      <c r="BH132" s="12">
        <v>2826.9899999999971</v>
      </c>
      <c r="BI132" s="12">
        <v>2549.6300000000015</v>
      </c>
      <c r="BK132" s="10">
        <v>130</v>
      </c>
      <c r="BL132" s="10" t="s">
        <v>24</v>
      </c>
      <c r="BM132" s="12">
        <v>3244.1400000000044</v>
      </c>
      <c r="BN132" s="12">
        <v>1358.6580000000006</v>
      </c>
      <c r="BO132" s="12">
        <v>3363.6560000000018</v>
      </c>
      <c r="BP132" s="12">
        <v>2361.3189999999922</v>
      </c>
      <c r="BQ132" s="12">
        <v>4112.0999999999931</v>
      </c>
      <c r="BR132" s="12">
        <v>3800.9699999999912</v>
      </c>
      <c r="BS132" s="6"/>
      <c r="BT132" s="10">
        <v>130</v>
      </c>
      <c r="BU132" s="10"/>
      <c r="BV132" s="12">
        <v>5269.0629999999965</v>
      </c>
      <c r="BW132" s="12">
        <v>2745.219999999993</v>
      </c>
      <c r="BX132" s="12">
        <v>6955</v>
      </c>
      <c r="BY132" s="12">
        <v>4921.3459999999886</v>
      </c>
      <c r="BZ132" s="12">
        <v>8512.8789999999844</v>
      </c>
      <c r="CA132" s="12">
        <v>7747.8229999999994</v>
      </c>
      <c r="CB132" s="6"/>
      <c r="CC132" s="10">
        <v>130</v>
      </c>
      <c r="CD132" s="10"/>
      <c r="CE132" s="12">
        <v>7888.1200000000208</v>
      </c>
      <c r="CF132" s="12">
        <v>4099.25</v>
      </c>
      <c r="CG132" s="12">
        <v>10461.240000000018</v>
      </c>
      <c r="CH132" s="12">
        <v>4787.5300000000088</v>
      </c>
      <c r="CI132" s="12">
        <v>12579.087999999972</v>
      </c>
      <c r="CJ132" s="12">
        <v>11600.99500000003</v>
      </c>
    </row>
    <row r="133" spans="1:88" ht="15.75" customHeight="1">
      <c r="A133" s="6"/>
      <c r="B133" s="10">
        <v>131</v>
      </c>
      <c r="G133" s="6"/>
      <c r="H133" s="6">
        <f t="shared" si="10"/>
        <v>18.650000000000006</v>
      </c>
      <c r="I133" s="6">
        <f t="shared" si="11"/>
        <v>28.614999999999988</v>
      </c>
      <c r="J133" s="6"/>
      <c r="K133" s="6"/>
      <c r="L133" s="6"/>
      <c r="M133" s="6"/>
      <c r="N133" s="6"/>
      <c r="BB133" s="10">
        <v>131</v>
      </c>
      <c r="BC133" s="10" t="s">
        <v>6</v>
      </c>
      <c r="BD133" s="12">
        <v>2074.6600000000067</v>
      </c>
      <c r="BE133" s="12">
        <v>923.92199999999843</v>
      </c>
      <c r="BF133" s="12">
        <v>2273.470000000003</v>
      </c>
      <c r="BG133" s="12">
        <v>1596.1600000000046</v>
      </c>
      <c r="BH133" s="12">
        <v>2850.779999999997</v>
      </c>
      <c r="BI133" s="12">
        <v>2570.8600000000015</v>
      </c>
      <c r="BK133" s="10">
        <v>131</v>
      </c>
      <c r="BL133" s="10" t="s">
        <v>24</v>
      </c>
      <c r="BM133" s="12">
        <v>3273.0800000000045</v>
      </c>
      <c r="BN133" s="12">
        <v>1369.8760000000007</v>
      </c>
      <c r="BO133" s="12">
        <v>3391.2320000000018</v>
      </c>
      <c r="BP133" s="12">
        <v>2380.7179999999921</v>
      </c>
      <c r="BQ133" s="12">
        <v>4146.1999999999935</v>
      </c>
      <c r="BR133" s="12">
        <v>3832.3399999999911</v>
      </c>
      <c r="BS133" s="6"/>
      <c r="BT133" s="10">
        <v>131</v>
      </c>
      <c r="BU133" s="10"/>
      <c r="BV133" s="12">
        <v>5320.2859999999964</v>
      </c>
      <c r="BW133" s="12">
        <v>2770.8399999999929</v>
      </c>
      <c r="BX133" s="12">
        <v>7020</v>
      </c>
      <c r="BY133" s="12">
        <v>4967.4119999999884</v>
      </c>
      <c r="BZ133" s="12">
        <v>8593.0379999999841</v>
      </c>
      <c r="CA133" s="12">
        <v>7821.0059999999994</v>
      </c>
      <c r="CB133" s="6"/>
      <c r="CC133" s="10">
        <v>131</v>
      </c>
      <c r="CD133" s="10"/>
      <c r="CE133" s="12">
        <v>7964.6400000000212</v>
      </c>
      <c r="CF133" s="12">
        <v>4138.5</v>
      </c>
      <c r="CG133" s="12">
        <v>10559.280000000019</v>
      </c>
      <c r="CH133" s="12">
        <v>4824.6600000000089</v>
      </c>
      <c r="CI133" s="12">
        <v>12698.335999999972</v>
      </c>
      <c r="CJ133" s="12">
        <v>11710.39000000003</v>
      </c>
    </row>
    <row r="134" spans="1:88" ht="15.75" customHeight="1">
      <c r="A134" s="6"/>
      <c r="B134" s="10">
        <v>132</v>
      </c>
      <c r="G134" s="6"/>
      <c r="H134" s="6">
        <f t="shared" si="10"/>
        <v>19.280000000000005</v>
      </c>
      <c r="I134" s="6">
        <f t="shared" si="11"/>
        <v>29.580999999999989</v>
      </c>
      <c r="J134" s="6"/>
      <c r="K134" s="6"/>
      <c r="L134" s="6"/>
      <c r="M134" s="6"/>
      <c r="N134" s="6"/>
      <c r="BB134" s="10">
        <v>132</v>
      </c>
      <c r="BC134" s="10" t="s">
        <v>6</v>
      </c>
      <c r="BD134" s="12">
        <v>2091.7900000000068</v>
      </c>
      <c r="BE134" s="12">
        <v>931.04299999999841</v>
      </c>
      <c r="BF134" s="12">
        <v>2291.805000000003</v>
      </c>
      <c r="BG134" s="12">
        <v>1609.0400000000047</v>
      </c>
      <c r="BH134" s="12">
        <v>2874.569999999997</v>
      </c>
      <c r="BI134" s="12">
        <v>2592.0900000000015</v>
      </c>
      <c r="BK134" s="10">
        <v>132</v>
      </c>
      <c r="BL134" s="10" t="s">
        <v>24</v>
      </c>
      <c r="BM134" s="12">
        <v>3302.0200000000045</v>
      </c>
      <c r="BN134" s="12">
        <v>1381.0940000000007</v>
      </c>
      <c r="BO134" s="12">
        <v>3418.8080000000018</v>
      </c>
      <c r="BP134" s="12">
        <v>2400.116999999992</v>
      </c>
      <c r="BQ134" s="12">
        <v>4180.2999999999938</v>
      </c>
      <c r="BR134" s="12">
        <v>3863.7099999999909</v>
      </c>
      <c r="BS134" s="6"/>
      <c r="BT134" s="10">
        <v>132</v>
      </c>
      <c r="BU134" s="10"/>
      <c r="BV134" s="12">
        <v>5371.5089999999964</v>
      </c>
      <c r="BW134" s="12">
        <v>2796.4599999999928</v>
      </c>
      <c r="BX134" s="12">
        <v>7085</v>
      </c>
      <c r="BY134" s="12">
        <v>5013.4779999999882</v>
      </c>
      <c r="BZ134" s="12">
        <v>8673.1969999999837</v>
      </c>
      <c r="CA134" s="12">
        <v>7894.1889999999994</v>
      </c>
      <c r="CB134" s="6"/>
      <c r="CC134" s="10">
        <v>132</v>
      </c>
      <c r="CD134" s="10"/>
      <c r="CE134" s="12">
        <v>8041.1600000000217</v>
      </c>
      <c r="CF134" s="12">
        <v>4177.75</v>
      </c>
      <c r="CG134" s="12">
        <v>10657.32000000002</v>
      </c>
      <c r="CH134" s="12">
        <v>4861.7900000000091</v>
      </c>
      <c r="CI134" s="12">
        <v>12817.583999999972</v>
      </c>
      <c r="CJ134" s="12">
        <v>11819.785000000031</v>
      </c>
    </row>
    <row r="135" spans="1:88" ht="15.75" customHeight="1">
      <c r="A135" s="6"/>
      <c r="B135" s="10">
        <v>133</v>
      </c>
      <c r="G135" s="6"/>
      <c r="H135" s="6">
        <f t="shared" si="10"/>
        <v>19.910000000000004</v>
      </c>
      <c r="I135" s="6">
        <f t="shared" si="11"/>
        <v>30.54699999999999</v>
      </c>
      <c r="J135" s="6"/>
      <c r="K135" s="6"/>
      <c r="L135" s="6"/>
      <c r="M135" s="6"/>
      <c r="N135" s="6"/>
      <c r="BB135" s="10">
        <v>133</v>
      </c>
      <c r="BC135" s="10" t="s">
        <v>6</v>
      </c>
      <c r="BD135" s="12">
        <v>2108.9200000000069</v>
      </c>
      <c r="BE135" s="12">
        <v>938.1639999999984</v>
      </c>
      <c r="BF135" s="12">
        <v>2310.1400000000031</v>
      </c>
      <c r="BG135" s="12">
        <v>1621.9200000000048</v>
      </c>
      <c r="BH135" s="12">
        <v>2898.3599999999969</v>
      </c>
      <c r="BI135" s="12">
        <v>2613.3200000000015</v>
      </c>
      <c r="BK135" s="10">
        <v>133</v>
      </c>
      <c r="BL135" s="10" t="s">
        <v>24</v>
      </c>
      <c r="BM135" s="12">
        <v>3330.9600000000046</v>
      </c>
      <c r="BN135" s="12">
        <v>1392.3120000000008</v>
      </c>
      <c r="BO135" s="12">
        <v>3446.3840000000018</v>
      </c>
      <c r="BP135" s="12">
        <v>2419.5159999999919</v>
      </c>
      <c r="BQ135" s="12">
        <v>4214.3999999999942</v>
      </c>
      <c r="BR135" s="12">
        <v>3895.0799999999908</v>
      </c>
      <c r="BS135" s="6"/>
      <c r="BT135" s="10">
        <v>133</v>
      </c>
      <c r="BU135" s="10"/>
      <c r="BV135" s="12">
        <v>5422.7319999999963</v>
      </c>
      <c r="BW135" s="12">
        <v>2822.0799999999927</v>
      </c>
      <c r="BX135" s="12">
        <v>7150</v>
      </c>
      <c r="BY135" s="12">
        <v>5059.543999999988</v>
      </c>
      <c r="BZ135" s="12">
        <v>8753.3559999999834</v>
      </c>
      <c r="CA135" s="12">
        <v>7967.3719999999994</v>
      </c>
      <c r="CB135" s="6"/>
      <c r="CC135" s="10">
        <v>133</v>
      </c>
      <c r="CD135" s="10"/>
      <c r="CE135" s="12">
        <v>8117.6800000000221</v>
      </c>
      <c r="CF135" s="12">
        <v>4217</v>
      </c>
      <c r="CG135" s="12">
        <v>10755.360000000021</v>
      </c>
      <c r="CH135" s="12">
        <v>4898.9200000000092</v>
      </c>
      <c r="CI135" s="12">
        <v>12936.831999999971</v>
      </c>
      <c r="CJ135" s="12">
        <v>11929.180000000031</v>
      </c>
    </row>
    <row r="136" spans="1:88" ht="15.75" customHeight="1">
      <c r="A136" s="6"/>
      <c r="B136" s="10">
        <v>134</v>
      </c>
      <c r="G136" s="6"/>
      <c r="H136" s="6">
        <f t="shared" si="10"/>
        <v>20.540000000000003</v>
      </c>
      <c r="I136" s="6">
        <f t="shared" si="11"/>
        <v>31.512999999999991</v>
      </c>
      <c r="J136" s="6"/>
      <c r="K136" s="6"/>
      <c r="L136" s="6"/>
      <c r="M136" s="6"/>
      <c r="N136" s="6"/>
      <c r="BB136" s="10">
        <v>134</v>
      </c>
      <c r="BC136" s="10" t="s">
        <v>6</v>
      </c>
      <c r="BD136" s="12">
        <v>2126.050000000007</v>
      </c>
      <c r="BE136" s="12">
        <v>945.28499999999838</v>
      </c>
      <c r="BF136" s="12">
        <v>2328.4750000000031</v>
      </c>
      <c r="BG136" s="12">
        <v>1634.800000000005</v>
      </c>
      <c r="BH136" s="12">
        <v>2922.1499999999969</v>
      </c>
      <c r="BI136" s="12">
        <v>2634.5500000000015</v>
      </c>
      <c r="BK136" s="10">
        <v>134</v>
      </c>
      <c r="BL136" s="10" t="s">
        <v>24</v>
      </c>
      <c r="BM136" s="12">
        <v>3359.9000000000046</v>
      </c>
      <c r="BN136" s="12">
        <v>1403.5300000000009</v>
      </c>
      <c r="BO136" s="12">
        <v>3473.9600000000019</v>
      </c>
      <c r="BP136" s="12">
        <v>2438.9149999999918</v>
      </c>
      <c r="BQ136" s="12">
        <v>4248.4999999999945</v>
      </c>
      <c r="BR136" s="12">
        <v>3926.4499999999907</v>
      </c>
      <c r="BS136" s="6"/>
      <c r="BT136" s="10">
        <v>134</v>
      </c>
      <c r="BU136" s="10"/>
      <c r="BV136" s="12">
        <v>5473.9549999999963</v>
      </c>
      <c r="BW136" s="12">
        <v>2847.6999999999925</v>
      </c>
      <c r="BX136" s="12">
        <v>7215</v>
      </c>
      <c r="BY136" s="12">
        <v>5105.6099999999878</v>
      </c>
      <c r="BZ136" s="12">
        <v>8833.514999999983</v>
      </c>
      <c r="CA136" s="12">
        <v>8040.5549999999994</v>
      </c>
      <c r="CB136" s="6"/>
      <c r="CC136" s="10">
        <v>134</v>
      </c>
      <c r="CD136" s="10"/>
      <c r="CE136" s="12">
        <v>8194.2000000000226</v>
      </c>
      <c r="CF136" s="12">
        <v>4256.25</v>
      </c>
      <c r="CG136" s="12">
        <v>10853.400000000021</v>
      </c>
      <c r="CH136" s="12">
        <v>4936.0500000000093</v>
      </c>
      <c r="CI136" s="12">
        <v>13056.079999999971</v>
      </c>
      <c r="CJ136" s="12">
        <v>12038.575000000032</v>
      </c>
    </row>
    <row r="137" spans="1:88" ht="15.75" customHeight="1">
      <c r="A137" s="6"/>
      <c r="B137" s="10">
        <v>135</v>
      </c>
      <c r="G137" s="6"/>
      <c r="H137" s="6">
        <f t="shared" si="10"/>
        <v>21.17</v>
      </c>
      <c r="I137" s="6">
        <f t="shared" si="11"/>
        <v>32.478999999999992</v>
      </c>
      <c r="J137" s="6"/>
      <c r="K137" s="6"/>
      <c r="L137" s="6"/>
      <c r="M137" s="6"/>
      <c r="N137" s="6"/>
      <c r="BB137" s="10">
        <v>135</v>
      </c>
      <c r="BC137" s="10" t="s">
        <v>6</v>
      </c>
      <c r="BD137" s="12">
        <v>2143.1800000000071</v>
      </c>
      <c r="BE137" s="12">
        <v>952.40599999999836</v>
      </c>
      <c r="BF137" s="12">
        <v>2346.8100000000031</v>
      </c>
      <c r="BG137" s="12">
        <v>1647.6800000000051</v>
      </c>
      <c r="BH137" s="12">
        <v>2945.9399999999969</v>
      </c>
      <c r="BI137" s="12">
        <v>2655.7800000000016</v>
      </c>
      <c r="BK137" s="10">
        <v>135</v>
      </c>
      <c r="BL137" s="10" t="s">
        <v>24</v>
      </c>
      <c r="BM137" s="12">
        <v>3388.8400000000047</v>
      </c>
      <c r="BN137" s="12">
        <v>1414.748000000001</v>
      </c>
      <c r="BO137" s="12">
        <v>3501.5360000000019</v>
      </c>
      <c r="BP137" s="12">
        <v>2458.3139999999917</v>
      </c>
      <c r="BQ137" s="12">
        <v>4282.5999999999949</v>
      </c>
      <c r="BR137" s="12">
        <v>3957.8199999999906</v>
      </c>
      <c r="BS137" s="6"/>
      <c r="BT137" s="10">
        <v>135</v>
      </c>
      <c r="BU137" s="10"/>
      <c r="BV137" s="12">
        <v>5525.1779999999962</v>
      </c>
      <c r="BW137" s="12">
        <v>2873.3199999999924</v>
      </c>
      <c r="BX137" s="12">
        <v>7280</v>
      </c>
      <c r="BY137" s="12">
        <v>5151.6759999999877</v>
      </c>
      <c r="BZ137" s="12">
        <v>8913.6739999999827</v>
      </c>
      <c r="CA137" s="12">
        <v>8113.7379999999994</v>
      </c>
      <c r="CB137" s="6"/>
      <c r="CC137" s="10">
        <v>135</v>
      </c>
      <c r="CD137" s="10"/>
      <c r="CE137" s="12">
        <v>8270.720000000023</v>
      </c>
      <c r="CF137" s="12">
        <v>4295.5</v>
      </c>
      <c r="CG137" s="12">
        <v>10951.440000000022</v>
      </c>
      <c r="CH137" s="12">
        <v>4973.1800000000094</v>
      </c>
      <c r="CI137" s="12">
        <v>13175.32799999997</v>
      </c>
      <c r="CJ137" s="12">
        <v>12147.970000000032</v>
      </c>
    </row>
    <row r="138" spans="1:88" ht="15.75" customHeight="1">
      <c r="A138" s="6"/>
      <c r="B138" s="10">
        <v>136</v>
      </c>
      <c r="G138" s="6"/>
      <c r="H138" s="6">
        <f t="shared" si="10"/>
        <v>21.8</v>
      </c>
      <c r="I138" s="6">
        <f t="shared" si="11"/>
        <v>33.444999999999993</v>
      </c>
      <c r="J138" s="6"/>
      <c r="K138" s="6"/>
      <c r="L138" s="6"/>
      <c r="M138" s="6"/>
      <c r="N138" s="6"/>
      <c r="BB138" s="10">
        <v>136</v>
      </c>
      <c r="BC138" s="10" t="s">
        <v>6</v>
      </c>
      <c r="BD138" s="12">
        <v>2160.3100000000072</v>
      </c>
      <c r="BE138" s="12">
        <v>959.52699999999834</v>
      </c>
      <c r="BF138" s="12">
        <v>2365.1450000000032</v>
      </c>
      <c r="BG138" s="12">
        <v>1660.5600000000052</v>
      </c>
      <c r="BH138" s="12">
        <v>2969.7299999999968</v>
      </c>
      <c r="BI138" s="12">
        <v>2677.0100000000016</v>
      </c>
      <c r="BK138" s="10">
        <v>136</v>
      </c>
      <c r="BL138" s="10" t="s">
        <v>24</v>
      </c>
      <c r="BM138" s="12">
        <v>3417.7800000000047</v>
      </c>
      <c r="BN138" s="12">
        <v>1425.966000000001</v>
      </c>
      <c r="BO138" s="12">
        <v>3529.1120000000019</v>
      </c>
      <c r="BP138" s="12">
        <v>2477.7129999999916</v>
      </c>
      <c r="BQ138" s="12">
        <v>4316.6999999999953</v>
      </c>
      <c r="BR138" s="12">
        <v>3989.1899999999905</v>
      </c>
      <c r="BS138" s="6"/>
      <c r="BT138" s="10">
        <v>136</v>
      </c>
      <c r="BU138" s="10"/>
      <c r="BV138" s="12">
        <v>5576.4009999999962</v>
      </c>
      <c r="BW138" s="12">
        <v>2898.9399999999923</v>
      </c>
      <c r="BX138" s="12">
        <v>7345</v>
      </c>
      <c r="BY138" s="12">
        <v>5197.7419999999875</v>
      </c>
      <c r="BZ138" s="12">
        <v>8993.8329999999823</v>
      </c>
      <c r="CA138" s="12">
        <v>8186.9209999999994</v>
      </c>
      <c r="CB138" s="6"/>
      <c r="CC138" s="10">
        <v>136</v>
      </c>
      <c r="CD138" s="10"/>
      <c r="CE138" s="12">
        <v>8347.2400000000234</v>
      </c>
      <c r="CF138" s="12">
        <v>4334.75</v>
      </c>
      <c r="CG138" s="12">
        <v>11049.480000000023</v>
      </c>
      <c r="CH138" s="12">
        <v>5010.3100000000095</v>
      </c>
      <c r="CI138" s="12">
        <v>13294.57599999997</v>
      </c>
      <c r="CJ138" s="12">
        <v>12257.365000000033</v>
      </c>
    </row>
    <row r="139" spans="1:88" ht="15.75" customHeight="1">
      <c r="A139" s="6"/>
      <c r="B139" s="10">
        <v>137</v>
      </c>
      <c r="G139" s="6"/>
      <c r="H139" s="6">
        <f>H140-0.63</f>
        <v>22.43</v>
      </c>
      <c r="I139" s="6">
        <f t="shared" si="11"/>
        <v>34.410999999999994</v>
      </c>
      <c r="J139" s="6"/>
      <c r="K139" s="6"/>
      <c r="L139" s="6"/>
      <c r="M139" s="6"/>
      <c r="N139" s="6"/>
      <c r="BB139" s="10">
        <v>137</v>
      </c>
      <c r="BC139" s="10" t="s">
        <v>6</v>
      </c>
      <c r="BD139" s="12">
        <v>2177.4400000000073</v>
      </c>
      <c r="BE139" s="12">
        <v>966.64799999999832</v>
      </c>
      <c r="BF139" s="12">
        <v>2383.4800000000032</v>
      </c>
      <c r="BG139" s="12">
        <v>1673.4400000000053</v>
      </c>
      <c r="BH139" s="12">
        <v>2993.5199999999968</v>
      </c>
      <c r="BI139" s="12">
        <v>2698.2400000000016</v>
      </c>
      <c r="BK139" s="10">
        <v>137</v>
      </c>
      <c r="BL139" s="10" t="s">
        <v>24</v>
      </c>
      <c r="BM139" s="12">
        <v>3446.7200000000048</v>
      </c>
      <c r="BN139" s="12">
        <v>1437.1840000000011</v>
      </c>
      <c r="BO139" s="12">
        <v>3556.6880000000019</v>
      </c>
      <c r="BP139" s="12">
        <v>2497.1119999999914</v>
      </c>
      <c r="BQ139" s="12">
        <v>4350.7999999999956</v>
      </c>
      <c r="BR139" s="12">
        <v>4020.5599999999904</v>
      </c>
      <c r="BS139" s="6"/>
      <c r="BT139" s="10">
        <v>137</v>
      </c>
      <c r="BU139" s="10"/>
      <c r="BV139" s="12">
        <v>5627.6239999999962</v>
      </c>
      <c r="BW139" s="12">
        <v>2924.5599999999922</v>
      </c>
      <c r="BX139" s="12">
        <v>7410</v>
      </c>
      <c r="BY139" s="12">
        <v>5243.8079999999873</v>
      </c>
      <c r="BZ139" s="12">
        <v>9073.991999999982</v>
      </c>
      <c r="CA139" s="12">
        <v>8260.1039999999994</v>
      </c>
      <c r="CB139" s="6"/>
      <c r="CC139" s="10">
        <v>137</v>
      </c>
      <c r="CD139" s="10"/>
      <c r="CE139" s="12">
        <v>8423.7600000000239</v>
      </c>
      <c r="CF139" s="12">
        <v>4374</v>
      </c>
      <c r="CG139" s="12">
        <v>11147.520000000024</v>
      </c>
      <c r="CH139" s="12">
        <v>5047.4400000000096</v>
      </c>
      <c r="CI139" s="12">
        <v>13413.82399999997</v>
      </c>
      <c r="CJ139" s="12">
        <v>12366.760000000033</v>
      </c>
    </row>
    <row r="140" spans="1:88" ht="15.75" customHeight="1">
      <c r="A140" s="6"/>
      <c r="B140" s="10">
        <v>138</v>
      </c>
      <c r="G140" s="6"/>
      <c r="H140" s="6">
        <v>23.06</v>
      </c>
      <c r="I140" s="6">
        <f t="shared" si="11"/>
        <v>35.376999999999995</v>
      </c>
      <c r="J140" s="6"/>
      <c r="K140" s="6"/>
      <c r="L140" s="6"/>
      <c r="M140" s="6"/>
      <c r="N140" s="6"/>
      <c r="BB140" s="10">
        <v>138</v>
      </c>
      <c r="BC140" s="10" t="s">
        <v>6</v>
      </c>
      <c r="BD140" s="12">
        <v>2194.5700000000074</v>
      </c>
      <c r="BE140" s="12">
        <v>973.7689999999983</v>
      </c>
      <c r="BF140" s="12">
        <v>2401.8150000000032</v>
      </c>
      <c r="BG140" s="12">
        <v>1686.3200000000054</v>
      </c>
      <c r="BH140" s="12">
        <v>3017.3099999999968</v>
      </c>
      <c r="BI140" s="12">
        <v>2719.4700000000016</v>
      </c>
      <c r="BK140" s="10">
        <v>138</v>
      </c>
      <c r="BL140" s="10" t="s">
        <v>24</v>
      </c>
      <c r="BM140" s="12">
        <v>3475.6600000000049</v>
      </c>
      <c r="BN140" s="12">
        <v>1448.4020000000012</v>
      </c>
      <c r="BO140" s="12">
        <v>3584.2640000000019</v>
      </c>
      <c r="BP140" s="12">
        <v>2516.5109999999913</v>
      </c>
      <c r="BQ140" s="12">
        <v>4384.899999999996</v>
      </c>
      <c r="BR140" s="12">
        <v>4051.9299999999903</v>
      </c>
      <c r="BS140" s="6"/>
      <c r="BT140" s="10">
        <v>138</v>
      </c>
      <c r="BU140" s="10"/>
      <c r="BV140" s="12">
        <v>5678.8469999999961</v>
      </c>
      <c r="BW140" s="12">
        <v>2950.1799999999921</v>
      </c>
      <c r="BX140" s="12">
        <v>7475</v>
      </c>
      <c r="BY140" s="12">
        <v>5289.8739999999871</v>
      </c>
      <c r="BZ140" s="12">
        <v>9154.1509999999817</v>
      </c>
      <c r="CA140" s="12">
        <v>8333.2870000000003</v>
      </c>
      <c r="CB140" s="6"/>
      <c r="CC140" s="10">
        <v>138</v>
      </c>
      <c r="CD140" s="10"/>
      <c r="CE140" s="12">
        <v>8500.2800000000243</v>
      </c>
      <c r="CF140" s="12">
        <v>4413.25</v>
      </c>
      <c r="CG140" s="12">
        <v>11245.560000000025</v>
      </c>
      <c r="CH140" s="12">
        <v>5084.5700000000097</v>
      </c>
      <c r="CI140" s="12">
        <v>13533.071999999969</v>
      </c>
      <c r="CJ140" s="12">
        <v>12476.155000000033</v>
      </c>
    </row>
    <row r="141" spans="1:88" ht="15.75" customHeight="1">
      <c r="A141" s="6"/>
      <c r="B141" s="10">
        <v>139</v>
      </c>
      <c r="G141" s="6"/>
      <c r="H141" s="6">
        <v>23.69</v>
      </c>
      <c r="I141" s="6">
        <f>I142-0.966</f>
        <v>36.342999999999996</v>
      </c>
      <c r="J141" s="6"/>
      <c r="K141" s="6"/>
      <c r="L141" s="6"/>
      <c r="M141" s="6"/>
      <c r="N141" s="6"/>
      <c r="BB141" s="10">
        <v>139</v>
      </c>
      <c r="BC141" s="10" t="s">
        <v>6</v>
      </c>
      <c r="BD141" s="12">
        <v>2211.7000000000075</v>
      </c>
      <c r="BE141" s="12">
        <v>980.88999999999828</v>
      </c>
      <c r="BF141" s="12">
        <v>2420.1500000000033</v>
      </c>
      <c r="BG141" s="12">
        <v>1699.2000000000055</v>
      </c>
      <c r="BH141" s="12">
        <v>3041.0999999999967</v>
      </c>
      <c r="BI141" s="12">
        <v>2740.7000000000016</v>
      </c>
      <c r="BK141" s="10">
        <v>139</v>
      </c>
      <c r="BL141" s="10" t="s">
        <v>24</v>
      </c>
      <c r="BM141" s="12">
        <v>3504.6000000000049</v>
      </c>
      <c r="BN141" s="12">
        <v>1459.6200000000013</v>
      </c>
      <c r="BO141" s="12">
        <v>3611.840000000002</v>
      </c>
      <c r="BP141" s="12">
        <v>2535.9099999999912</v>
      </c>
      <c r="BQ141" s="12">
        <v>4418.9999999999964</v>
      </c>
      <c r="BR141" s="12">
        <v>4083.2999999999902</v>
      </c>
      <c r="BS141" s="6"/>
      <c r="BT141" s="10">
        <v>139</v>
      </c>
      <c r="BU141" s="10"/>
      <c r="BV141" s="12">
        <v>5730.0699999999961</v>
      </c>
      <c r="BW141" s="12">
        <v>2975.799999999992</v>
      </c>
      <c r="BX141" s="12">
        <v>7540</v>
      </c>
      <c r="BY141" s="12">
        <v>5335.9399999999869</v>
      </c>
      <c r="BZ141" s="12">
        <v>9234.3099999999813</v>
      </c>
      <c r="CA141" s="12">
        <v>8406.4700000000012</v>
      </c>
      <c r="CB141" s="6"/>
      <c r="CC141" s="10">
        <v>139</v>
      </c>
      <c r="CD141" s="10"/>
      <c r="CE141" s="12">
        <v>8576.8000000000247</v>
      </c>
      <c r="CF141" s="12">
        <v>4452.5</v>
      </c>
      <c r="CG141" s="12">
        <v>11343.600000000026</v>
      </c>
      <c r="CH141" s="12">
        <v>5121.7000000000098</v>
      </c>
      <c r="CI141" s="12">
        <v>13652.319999999969</v>
      </c>
      <c r="CJ141" s="12">
        <v>12585.550000000034</v>
      </c>
    </row>
    <row r="142" spans="1:88" ht="15.75" customHeight="1">
      <c r="A142" s="6"/>
      <c r="B142" s="10">
        <v>140</v>
      </c>
      <c r="G142" s="6"/>
      <c r="H142" s="6">
        <v>24.33</v>
      </c>
      <c r="I142" s="6">
        <v>37.308999999999997</v>
      </c>
      <c r="J142" s="6"/>
      <c r="K142" s="6"/>
      <c r="L142" s="6"/>
      <c r="M142" s="6"/>
      <c r="N142" s="6"/>
      <c r="BB142" s="10">
        <v>140</v>
      </c>
      <c r="BC142" s="10" t="s">
        <v>6</v>
      </c>
      <c r="BD142" s="12">
        <v>2228.8300000000077</v>
      </c>
      <c r="BE142" s="12">
        <v>988.01099999999826</v>
      </c>
      <c r="BF142" s="12">
        <v>2438.4850000000033</v>
      </c>
      <c r="BG142" s="12">
        <v>1712.0800000000056</v>
      </c>
      <c r="BH142" s="12">
        <v>3064.8899999999967</v>
      </c>
      <c r="BI142" s="12">
        <v>2761.9300000000017</v>
      </c>
      <c r="BK142" s="10">
        <v>140</v>
      </c>
      <c r="BL142" s="10" t="s">
        <v>24</v>
      </c>
      <c r="BM142" s="12">
        <v>3533.540000000005</v>
      </c>
      <c r="BN142" s="12">
        <v>1470.8380000000013</v>
      </c>
      <c r="BO142" s="12">
        <v>3639.416000000002</v>
      </c>
      <c r="BP142" s="12">
        <v>2555.3089999999911</v>
      </c>
      <c r="BQ142" s="12">
        <v>4453.0999999999967</v>
      </c>
      <c r="BR142" s="12">
        <v>4114.6699999999901</v>
      </c>
      <c r="BS142" s="6"/>
      <c r="BT142" s="10">
        <v>140</v>
      </c>
      <c r="BU142" s="10"/>
      <c r="BV142" s="12">
        <v>5781.292999999996</v>
      </c>
      <c r="BW142" s="12">
        <v>3001.4199999999919</v>
      </c>
      <c r="BX142" s="12">
        <v>7605</v>
      </c>
      <c r="BY142" s="12">
        <v>5382.0059999999867</v>
      </c>
      <c r="BZ142" s="12">
        <v>9314.468999999981</v>
      </c>
      <c r="CA142" s="12">
        <v>8479.6530000000021</v>
      </c>
      <c r="CB142" s="6"/>
      <c r="CC142" s="10">
        <v>140</v>
      </c>
      <c r="CD142" s="10"/>
      <c r="CE142" s="12">
        <v>8653.3200000000252</v>
      </c>
      <c r="CF142" s="12">
        <v>4491.75</v>
      </c>
      <c r="CG142" s="12">
        <v>11441.640000000027</v>
      </c>
      <c r="CH142" s="12">
        <v>5158.8300000000099</v>
      </c>
      <c r="CI142" s="12">
        <v>13771.567999999968</v>
      </c>
      <c r="CJ142" s="12">
        <v>12694.945000000034</v>
      </c>
    </row>
    <row r="143" spans="1:88" ht="15.75" customHeight="1">
      <c r="A143" s="6"/>
      <c r="B143" s="10">
        <v>141</v>
      </c>
      <c r="G143" s="6"/>
      <c r="H143" s="6">
        <v>24.96</v>
      </c>
      <c r="I143" s="6">
        <v>38.274999999999999</v>
      </c>
      <c r="J143" s="6"/>
      <c r="K143" s="6"/>
      <c r="L143" s="6"/>
      <c r="M143" s="6"/>
      <c r="N143" s="6"/>
      <c r="BB143" s="10">
        <v>141</v>
      </c>
      <c r="BC143" s="10" t="s">
        <v>6</v>
      </c>
      <c r="BD143" s="12">
        <v>2245.9600000000078</v>
      </c>
      <c r="BE143" s="12">
        <v>995.13199999999824</v>
      </c>
      <c r="BF143" s="12">
        <v>2456.8200000000033</v>
      </c>
      <c r="BG143" s="12">
        <v>1724.9600000000057</v>
      </c>
      <c r="BH143" s="12">
        <v>3088.6799999999967</v>
      </c>
      <c r="BI143" s="12">
        <v>2783.1600000000017</v>
      </c>
      <c r="BK143" s="10">
        <v>141</v>
      </c>
      <c r="BL143" s="10" t="s">
        <v>24</v>
      </c>
      <c r="BM143" s="12">
        <v>3562.480000000005</v>
      </c>
      <c r="BN143" s="12">
        <v>1482.0560000000014</v>
      </c>
      <c r="BO143" s="12">
        <v>3666.992000000002</v>
      </c>
      <c r="BP143" s="12">
        <v>2574.707999999991</v>
      </c>
      <c r="BQ143" s="12">
        <v>4487.1999999999971</v>
      </c>
      <c r="BR143" s="12">
        <v>4146.03999999999</v>
      </c>
      <c r="BS143" s="6"/>
      <c r="BT143" s="10">
        <v>141</v>
      </c>
      <c r="BU143" s="10"/>
      <c r="BV143" s="12">
        <v>5832.515999999996</v>
      </c>
      <c r="BW143" s="12">
        <v>3027.0399999999918</v>
      </c>
      <c r="BX143" s="12">
        <v>7670</v>
      </c>
      <c r="BY143" s="12">
        <v>5428.0719999999865</v>
      </c>
      <c r="BZ143" s="12">
        <v>9394.6279999999806</v>
      </c>
      <c r="CA143" s="12">
        <v>8552.836000000003</v>
      </c>
      <c r="CB143" s="6"/>
      <c r="CC143" s="10">
        <v>141</v>
      </c>
      <c r="CD143" s="10"/>
      <c r="CE143" s="12">
        <v>8729.8400000000256</v>
      </c>
      <c r="CF143" s="12">
        <v>4531</v>
      </c>
      <c r="CG143" s="12">
        <v>11539.680000000028</v>
      </c>
      <c r="CH143" s="12">
        <v>5195.96000000001</v>
      </c>
      <c r="CI143" s="12">
        <v>13890.815999999968</v>
      </c>
      <c r="CJ143" s="12">
        <v>12804.340000000035</v>
      </c>
    </row>
    <row r="144" spans="1:88" ht="15.75" customHeight="1">
      <c r="A144" s="6"/>
      <c r="B144" s="10">
        <v>142</v>
      </c>
      <c r="G144" s="6"/>
      <c r="H144" s="6"/>
      <c r="I144" s="6"/>
      <c r="J144" s="6"/>
      <c r="K144" s="6"/>
      <c r="L144" s="6"/>
      <c r="M144" s="6"/>
      <c r="N144" s="6"/>
      <c r="BB144" s="10">
        <v>142</v>
      </c>
      <c r="BC144" s="10" t="s">
        <v>6</v>
      </c>
      <c r="BD144" s="12">
        <v>2263.0900000000079</v>
      </c>
      <c r="BE144" s="12">
        <v>1002.2529999999982</v>
      </c>
      <c r="BF144" s="12">
        <v>2475.1550000000034</v>
      </c>
      <c r="BG144" s="12">
        <v>1737.8400000000058</v>
      </c>
      <c r="BH144" s="12">
        <v>3112.4699999999966</v>
      </c>
      <c r="BI144" s="12">
        <v>2804.3900000000017</v>
      </c>
      <c r="BK144" s="10">
        <v>142</v>
      </c>
      <c r="BL144" s="10" t="s">
        <v>24</v>
      </c>
      <c r="BM144" s="12">
        <v>3591.4200000000051</v>
      </c>
      <c r="BN144" s="12">
        <v>1493.2740000000015</v>
      </c>
      <c r="BO144" s="12">
        <v>3694.568000000002</v>
      </c>
      <c r="BP144" s="12">
        <v>2594.1069999999909</v>
      </c>
      <c r="BQ144" s="12">
        <v>4521.2999999999975</v>
      </c>
      <c r="BR144" s="12">
        <v>4177.4099999999899</v>
      </c>
      <c r="BS144" s="6"/>
      <c r="BT144" s="10">
        <v>142</v>
      </c>
      <c r="BU144" s="10"/>
      <c r="BV144" s="12">
        <v>5883.7389999999959</v>
      </c>
      <c r="BW144" s="12">
        <v>3052.6599999999917</v>
      </c>
      <c r="BX144" s="12">
        <v>7735</v>
      </c>
      <c r="BY144" s="12">
        <v>5474.1379999999863</v>
      </c>
      <c r="BZ144" s="12">
        <v>9474.7869999999803</v>
      </c>
      <c r="CA144" s="12">
        <v>8626.0190000000039</v>
      </c>
      <c r="CB144" s="6"/>
      <c r="CC144" s="10">
        <v>142</v>
      </c>
      <c r="CD144" s="10"/>
      <c r="CE144" s="12">
        <v>8806.360000000026</v>
      </c>
      <c r="CF144" s="12">
        <v>4570.25</v>
      </c>
      <c r="CG144" s="12">
        <v>11637.720000000028</v>
      </c>
      <c r="CH144" s="12">
        <v>5233.0900000000101</v>
      </c>
      <c r="CI144" s="12">
        <v>14010.063999999968</v>
      </c>
      <c r="CJ144" s="12">
        <v>12913.735000000035</v>
      </c>
    </row>
    <row r="145" spans="1:88" ht="15.75" customHeight="1">
      <c r="A145" s="6"/>
      <c r="B145" s="10">
        <v>143</v>
      </c>
      <c r="H145" s="6" t="s">
        <v>1</v>
      </c>
      <c r="I145" s="7" t="s">
        <v>26</v>
      </c>
      <c r="J145" s="7" t="s">
        <v>19</v>
      </c>
      <c r="K145" s="6"/>
      <c r="L145" s="7" t="s">
        <v>63</v>
      </c>
      <c r="M145" s="7" t="s">
        <v>64</v>
      </c>
      <c r="N145" s="7" t="s">
        <v>65</v>
      </c>
      <c r="O145" s="7" t="s">
        <v>66</v>
      </c>
      <c r="P145" s="7" t="s">
        <v>62</v>
      </c>
      <c r="Q145" s="7" t="s">
        <v>31</v>
      </c>
      <c r="R145" s="7" t="s">
        <v>32</v>
      </c>
      <c r="S145" s="7" t="s">
        <v>33</v>
      </c>
      <c r="T145" s="7" t="s">
        <v>34</v>
      </c>
      <c r="U145" s="7" t="s">
        <v>35</v>
      </c>
      <c r="V145" s="7" t="s">
        <v>36</v>
      </c>
      <c r="W145" s="7" t="s">
        <v>37</v>
      </c>
      <c r="X145" s="7" t="s">
        <v>38</v>
      </c>
      <c r="Y145" s="7" t="s">
        <v>39</v>
      </c>
      <c r="Z145" s="7" t="s">
        <v>40</v>
      </c>
      <c r="AA145" s="7" t="s">
        <v>41</v>
      </c>
      <c r="AB145" s="7" t="s">
        <v>42</v>
      </c>
      <c r="AC145" s="7" t="s">
        <v>43</v>
      </c>
      <c r="AD145" s="7" t="s">
        <v>44</v>
      </c>
      <c r="AE145" s="7" t="s">
        <v>45</v>
      </c>
      <c r="AF145" s="7" t="s">
        <v>46</v>
      </c>
      <c r="AG145" s="7" t="s">
        <v>47</v>
      </c>
      <c r="AH145" s="7" t="s">
        <v>48</v>
      </c>
      <c r="AI145" s="7" t="s">
        <v>49</v>
      </c>
      <c r="AJ145" s="7" t="s">
        <v>50</v>
      </c>
      <c r="AK145" s="7" t="s">
        <v>51</v>
      </c>
      <c r="AL145" s="7" t="s">
        <v>52</v>
      </c>
      <c r="AM145" s="7" t="s">
        <v>53</v>
      </c>
      <c r="AN145" s="7" t="s">
        <v>54</v>
      </c>
      <c r="AO145" s="7" t="s">
        <v>55</v>
      </c>
      <c r="AP145" s="7" t="s">
        <v>56</v>
      </c>
      <c r="AQ145" s="7" t="s">
        <v>57</v>
      </c>
      <c r="AR145" s="7" t="s">
        <v>58</v>
      </c>
      <c r="AS145" s="7" t="s">
        <v>3</v>
      </c>
      <c r="BB145" s="10">
        <v>143</v>
      </c>
      <c r="BC145" s="10" t="s">
        <v>6</v>
      </c>
      <c r="BD145" s="12">
        <v>2280.220000000008</v>
      </c>
      <c r="BE145" s="12">
        <v>1009.3739999999982</v>
      </c>
      <c r="BF145" s="12">
        <v>2493.4900000000034</v>
      </c>
      <c r="BG145" s="12">
        <v>1750.7200000000059</v>
      </c>
      <c r="BH145" s="12">
        <v>3136.2599999999966</v>
      </c>
      <c r="BI145" s="12">
        <v>2825.6200000000017</v>
      </c>
      <c r="BK145" s="10">
        <v>143</v>
      </c>
      <c r="BL145" s="10" t="s">
        <v>24</v>
      </c>
      <c r="BM145" s="12">
        <v>3620.3600000000051</v>
      </c>
      <c r="BN145" s="12">
        <v>1504.4920000000016</v>
      </c>
      <c r="BO145" s="12">
        <v>3722.1440000000021</v>
      </c>
      <c r="BP145" s="12">
        <v>2613.5059999999908</v>
      </c>
      <c r="BQ145" s="12">
        <v>4555.3999999999978</v>
      </c>
      <c r="BR145" s="12">
        <v>4208.7799999999897</v>
      </c>
      <c r="BS145" s="6"/>
      <c r="BT145" s="10">
        <v>143</v>
      </c>
      <c r="BU145" s="10"/>
      <c r="BV145" s="12">
        <v>5934.9619999999959</v>
      </c>
      <c r="BW145" s="12">
        <v>3078.2799999999916</v>
      </c>
      <c r="BX145" s="12">
        <v>7800</v>
      </c>
      <c r="BY145" s="12">
        <v>5520.2039999999861</v>
      </c>
      <c r="BZ145" s="12">
        <v>9554.9459999999799</v>
      </c>
      <c r="CA145" s="12">
        <v>8699.2020000000048</v>
      </c>
      <c r="CB145" s="6"/>
      <c r="CC145" s="10">
        <v>143</v>
      </c>
      <c r="CD145" s="10"/>
      <c r="CE145" s="12">
        <v>8882.8800000000265</v>
      </c>
      <c r="CF145" s="12">
        <v>4609.5</v>
      </c>
      <c r="CG145" s="12">
        <v>11735.760000000029</v>
      </c>
      <c r="CH145" s="12">
        <v>5270.2200000000103</v>
      </c>
      <c r="CI145" s="12">
        <v>14129.311999999967</v>
      </c>
      <c r="CJ145" s="12">
        <v>13023.130000000036</v>
      </c>
    </row>
    <row r="146" spans="1:88" ht="15.75" customHeight="1">
      <c r="A146" s="6"/>
      <c r="B146" s="10">
        <v>144</v>
      </c>
      <c r="G146" s="7" t="s">
        <v>8</v>
      </c>
      <c r="H146" s="6" t="str">
        <f>'Tensile Pass Fail'!C9</f>
        <v>LWT320 6.4mm (1/4")</v>
      </c>
      <c r="I146" s="24">
        <f>'Tensile Pass Fail'!D9</f>
        <v>10</v>
      </c>
      <c r="J146" s="7">
        <f>'Tensile Pass Fail'!E9</f>
        <v>50</v>
      </c>
      <c r="K146" s="6"/>
      <c r="L146" s="6">
        <f>IF(J146&gt;=3,L154-((49-J146)*H148),IF(J146&lt;=3,"No Data"))</f>
        <v>621.66199999999992</v>
      </c>
      <c r="M146" s="6">
        <f>IF(J146&gt;=3,M154-((49-J146)*H149),IF(J146&lt;=3,"No Data"))</f>
        <v>654.99599999999987</v>
      </c>
      <c r="N146" s="6">
        <f>IF(J146&gt;=7,N154-((49-J146)*H150),IF(J146&lt;=7,"No Data"))</f>
        <v>688.30499999999995</v>
      </c>
      <c r="O146" s="7">
        <f>IF(J146&gt;=9,O154-((49-J146)*H151),IF(J146&lt;=9,"No Data"))</f>
        <v>721.64</v>
      </c>
      <c r="P146" s="7">
        <f>IF(J146&gt;=11,P154-((49-J146)*H152),IF(J146&lt;=11,"No Data"))</f>
        <v>754.97500000000002</v>
      </c>
      <c r="Q146" s="7">
        <f>IF(J146&gt;=14,Q154-((49-J146)*H154),IF(J146&lt;=14,"No Data"))</f>
        <v>821.64499999999998</v>
      </c>
      <c r="R146" s="7">
        <f>IF(J146&gt;=15,R154-((49-J146)*H155),IF(J146&lt;=15,"No Data"))</f>
        <v>854.98</v>
      </c>
      <c r="S146" s="7">
        <f>IF(J146&gt;=16,S154-((49-J146)*H156),IF(J146&lt;=16,"No Data"))</f>
        <v>888.31500000000005</v>
      </c>
      <c r="T146" s="7">
        <f>IF(J146&gt;=17,T154-((49-J146)*H157),IF(J146&lt;=17,"No Data"))</f>
        <v>921.65000000000009</v>
      </c>
      <c r="U146" s="7">
        <f>IF(J146&gt;=18,U154-((49-J146)*H158),IF(J146&lt;=18,"No Data"))</f>
        <v>954.98500000000013</v>
      </c>
      <c r="V146" s="7">
        <f>IF(J146&gt;=19,V154-((49-J146)*H159),IF(J146&lt;=19,"No Data"))</f>
        <v>988.32000000000016</v>
      </c>
      <c r="W146">
        <f>IF(J146&gt;=19,W154-((49-J146)*H160),IF(J146&lt;=19,"No Data"))</f>
        <v>1021.6550000000002</v>
      </c>
      <c r="X146">
        <f>IF(J146&gt;=20,X154-((49-J146)*H161),IF(J146&lt;=20,"No Data"))</f>
        <v>1054.9900000000002</v>
      </c>
      <c r="Y146">
        <f>IF(J146&gt;=20,Y154-((49-J146)*H162),IF(J146&lt;=20,"No Data"))</f>
        <v>1088.325</v>
      </c>
      <c r="Z146">
        <f>IF(J146&gt;=21,Z154-((49-J146)*H163),IF(J146&lt;=21,"No Data"))</f>
        <v>1121.6600000000001</v>
      </c>
      <c r="AA146">
        <f>IF(J146&gt;=21,AA154-((49-J146)*H164),IF(J146&lt;=21,"No Data"))</f>
        <v>1154.9949999999999</v>
      </c>
      <c r="AB146">
        <f>IF(J146&gt;=22,AB154-((49-J146)*H165),IF(J146&lt;=22,"No Data"))</f>
        <v>1188.33</v>
      </c>
      <c r="AC146">
        <f>IF(J146&gt;=22,AC154-((49-J146)*H166),IF(J146&lt;=22,"No Data"))</f>
        <v>1221.6649999999997</v>
      </c>
      <c r="AD146">
        <f>IF(J146&gt;=22,AD154-((49-J146)*H167),IF(J146&lt;=22,"No Data"))</f>
        <v>1254.9999999999995</v>
      </c>
      <c r="AE146">
        <f>IF(J146&gt;=22,AE154-((49-J146)*H168),IF(J146&lt;=22,"No Data"))</f>
        <v>1288.3349999999996</v>
      </c>
      <c r="AF146">
        <f>IF(J146&gt;=23,AF154-((49-J146)*H169),IF(J146&lt;=23,"No Data"))</f>
        <v>1321.6699999999994</v>
      </c>
      <c r="AG146">
        <f>IF(J146&gt;=23,AG154-((49-J146)*H170),IF(J146&lt;=23,"No Data"))</f>
        <v>1355.0049999999994</v>
      </c>
      <c r="AH146">
        <f>IF(J146&gt;=23,AH154-((49-J146)*H171),IF(J146&lt;=23,"No Data"))</f>
        <v>1388.3399999999992</v>
      </c>
      <c r="AI146">
        <f>IF(J146&gt;=3,AI154-((49-J146)*H172),IF(J146&lt;=3,"No Data"))</f>
        <v>1421.6749999999993</v>
      </c>
      <c r="AJ146">
        <f>IF(J146&gt;=24,AJ154-((49-J146)*H173),IF(J146&lt;=24,"No Data"))</f>
        <v>1455.0099999999991</v>
      </c>
      <c r="AK146">
        <f>IF(J146&gt;=24,AK154-((49-J146)*H174),IF(J146&lt;=24,"No Data"))</f>
        <v>1488.3449999999989</v>
      </c>
      <c r="AL146">
        <f>IF(J146&gt;=24,AL154-((49-J146)*H175),IF(J146&lt;=24,"No Data"))</f>
        <v>1521.6799999999989</v>
      </c>
      <c r="AM146">
        <f>IF(J146&gt;=24,AM154-((49-J146)*H176),IF(J146&lt;=24,"No Data"))</f>
        <v>1555.0149999999987</v>
      </c>
      <c r="AN146">
        <f>IF(J146&gt;=24,AN154-((49-J146)*H177),IF(J146&lt;=24,"No Data"))</f>
        <v>1588.3499999999988</v>
      </c>
      <c r="AO146">
        <f>IF(J146&gt;=24,AO154-((49-J146)*H178),IF(J146&lt;=24,"No Data"))</f>
        <v>1621.6849999999986</v>
      </c>
      <c r="AP146">
        <f>IF(J146&gt;=25,AP154-((49-J146)*H179),IF(J146&lt;=25,"No Data"))</f>
        <v>1655.02</v>
      </c>
      <c r="AQ146">
        <f>IF(J146&gt;=25,AQ154-((49-J146)*H180),IF(J146&lt;=25,"No Data"))</f>
        <v>1688.3549999999984</v>
      </c>
      <c r="AR146">
        <f>IF(J146&gt;=25,AR154-((49-J146)*H181),IF(J146&lt;=25,"No Data"))</f>
        <v>1721.6899999999985</v>
      </c>
      <c r="AS146" t="b">
        <f>IF(I146=5,IF(H146=D3,L146),IF(I146=6,IF(H146=D3,M146),IF(I146=7,IF(H146=D3,N146),IF(I146=8,IF(H146=D3,O146),IF(I146=9,IF(H146=D3,P146),IF(I146=11,IF(H146=D3,Q146),IF(I146=12,IF(H146=D3,R146),IF(I146=13,IF(H146=D3,S146),IF(I146=14,IF(H146=D3,T146),IF(I146=15,IF(H146=D3,U146),IF(I146=16,IF(H146=D3,V146),IF(I146=17,IF(H146=D3,W146),IF(I146=18,IF(H146=D3,X146),IF(I146=19,IF(H146=D3,Y146),IF(I146=20,IF(H146=D3,Z146),IF(I146=21,IF(H146=D3,AA146),IF(I146=22,IF(H146=D3,AB146),IF(I146=23,IF(H146=D3,AC146),IF(I146=24,IF(H146=D3,AD146),IF(I146=25,IF(H146=D3,AE146),IF(I146=26,IF(H146=D3,AF146),IF(I146=27,IF(H146=D3,AG146),IF(I146=28,IF(H146=D3,AH146),IF(I146=29,IF(H146=D3,AI146),IF(I146=30,IF(H146=D3,AJ146),IF(I146=31,IF(H146=D3,AK146),IF(I146=32,IF(H146=D3,AL146),IF(I146=33,IF(H146=D3,AM146),IF(I146=34,IF(H146=D3,AN146),IF(I146=35,IF(H146=D3,AO146),IF(I146=36,IF(H146=D3,AP146),IF(I146=37,IF(H146=D3,AQ146),IF(I146=38,IF(H146=D3,AR146))))))))))))))))))))))))))))))))))</f>
        <v>0</v>
      </c>
      <c r="BB146" s="10">
        <v>144</v>
      </c>
      <c r="BC146" s="10" t="s">
        <v>6</v>
      </c>
      <c r="BD146" s="12">
        <v>2297.3500000000081</v>
      </c>
      <c r="BE146" s="12">
        <v>1016.4949999999982</v>
      </c>
      <c r="BF146" s="12">
        <v>2511.8250000000035</v>
      </c>
      <c r="BG146" s="12">
        <v>1763.600000000006</v>
      </c>
      <c r="BH146" s="12">
        <v>3160.0499999999965</v>
      </c>
      <c r="BI146" s="12">
        <v>2846.8500000000017</v>
      </c>
      <c r="BK146" s="10">
        <v>144</v>
      </c>
      <c r="BL146" s="10" t="s">
        <v>24</v>
      </c>
      <c r="BM146" s="12">
        <v>3649.3000000000052</v>
      </c>
      <c r="BN146" s="12">
        <v>1515.7100000000016</v>
      </c>
      <c r="BO146" s="12">
        <v>3749.7200000000021</v>
      </c>
      <c r="BP146" s="12">
        <v>2632.9049999999907</v>
      </c>
      <c r="BQ146" s="12">
        <v>4589.4999999999982</v>
      </c>
      <c r="BR146" s="12">
        <v>4240.1499999999896</v>
      </c>
      <c r="BS146" s="6"/>
      <c r="BT146" s="10">
        <v>144</v>
      </c>
      <c r="BU146" s="10"/>
      <c r="BV146" s="12">
        <v>5986.1849999999959</v>
      </c>
      <c r="BW146" s="12">
        <v>3103.8999999999915</v>
      </c>
      <c r="BX146" s="12">
        <v>7865</v>
      </c>
      <c r="BY146" s="12">
        <v>5566.2699999999859</v>
      </c>
      <c r="BZ146" s="12">
        <v>9635.1049999999796</v>
      </c>
      <c r="CA146" s="12">
        <v>8772.3850000000057</v>
      </c>
      <c r="CB146" s="6"/>
      <c r="CC146" s="10">
        <v>144</v>
      </c>
      <c r="CD146" s="10"/>
      <c r="CE146" s="12">
        <v>8959.4000000000269</v>
      </c>
      <c r="CF146" s="12">
        <v>4648.75</v>
      </c>
      <c r="CG146" s="12">
        <v>11833.80000000003</v>
      </c>
      <c r="CH146" s="12">
        <v>5307.3500000000104</v>
      </c>
      <c r="CI146" s="12">
        <v>14248.559999999967</v>
      </c>
      <c r="CJ146" s="12">
        <v>13132.525000000036</v>
      </c>
    </row>
    <row r="147" spans="1:88" ht="15.75" customHeight="1">
      <c r="A147" s="6"/>
      <c r="B147" s="10">
        <v>145</v>
      </c>
      <c r="G147" s="6"/>
      <c r="H147" s="6" t="s">
        <v>59</v>
      </c>
      <c r="I147" s="6" t="s">
        <v>60</v>
      </c>
      <c r="J147" s="6"/>
      <c r="K147" s="6"/>
      <c r="L147" s="6" t="b">
        <f>IF(H146=D3,IF(J146&lt;=86,"PASS","FAIL"))</f>
        <v>0</v>
      </c>
      <c r="M147" s="6" t="b">
        <f>IF(H146=D3,IF(J146&lt;=85,"PASS","FAIL"))</f>
        <v>0</v>
      </c>
      <c r="N147" s="6" t="b">
        <f>IF(H146=D3,IF(J146&lt;=73,"PASS","FAIL"))</f>
        <v>0</v>
      </c>
      <c r="O147" s="7" t="b">
        <f>IF(H146=D3,IF(J146&lt;=68,"PASS","FAIL"))</f>
        <v>0</v>
      </c>
      <c r="P147" s="7" t="b">
        <f>IF(H146=D3,IF(J146&lt;=64,"PASS","FAIL"))</f>
        <v>0</v>
      </c>
      <c r="Q147" s="7" t="b">
        <f>IF(H146=D3,IF(J146&lt;=59,"PASS","FAIL"))</f>
        <v>0</v>
      </c>
      <c r="R147" s="7" t="b">
        <f>IF(H146=D3,IF(J146&lt;=56,"PASS","FAIL"))</f>
        <v>0</v>
      </c>
      <c r="S147" s="7" t="b">
        <f>IF(H146=D3,IF(J146&lt;=54,"PASS","FAIL"))</f>
        <v>0</v>
      </c>
      <c r="T147" s="7" t="b">
        <f>IF(H146=D3,IF(J146&lt;=54,"PASS","FAIL"))</f>
        <v>0</v>
      </c>
      <c r="U147" s="7" t="b">
        <f>IF(H146=D3,IF(J146&lt;=51,"PASS","FAIL"))</f>
        <v>0</v>
      </c>
      <c r="V147" s="7" t="b">
        <f>IF(H146=D3,IF(J146&lt;=50,"PASS","FAIL"))</f>
        <v>0</v>
      </c>
      <c r="W147" t="b">
        <f>IF(H146=D3,IF(J146&lt;=49,"PASS","FAIL"))</f>
        <v>0</v>
      </c>
      <c r="X147" t="b">
        <f>IF(H146=D3,IF(J146&lt;=48,"PASS","FAIL"))</f>
        <v>0</v>
      </c>
      <c r="Y147" t="b">
        <f>IF(H146=D3,IF(J146&lt;=47,"PASS","FAIL"))</f>
        <v>0</v>
      </c>
      <c r="Z147" t="b">
        <f>IF(H146=D3,IF(J146&lt;=46,"PASS","FAIL"))</f>
        <v>0</v>
      </c>
      <c r="AA147" t="b">
        <f>IF(H146=D3,IF(J146&lt;=45,"PASS","FAIL"))</f>
        <v>0</v>
      </c>
      <c r="AB147" t="b">
        <f>IF(H146=D3,IF(J146&lt;=45,"PASS","FAIL"))</f>
        <v>0</v>
      </c>
      <c r="AC147" t="b">
        <f>IF(H146=D3,IF(J146&lt;=44,"PASS","FAIL"))</f>
        <v>0</v>
      </c>
      <c r="AD147" t="b">
        <f>IF(H146=D3,IF(J146&lt;=43,"PASS","FAIL"))</f>
        <v>0</v>
      </c>
      <c r="AE147" t="b">
        <f>IF(H146=D3,IF(J146&lt;=43,"PASS","FAIL"))</f>
        <v>0</v>
      </c>
      <c r="AF147" t="b">
        <f>IF(H146=D3,IF(J146&lt;=42,"PASS","FAIL"))</f>
        <v>0</v>
      </c>
      <c r="AG147" t="b">
        <f>IF(H146=D3,IF(J146&lt;=42,"PASS","FAIL"))</f>
        <v>0</v>
      </c>
      <c r="AH147" t="b">
        <f>IF(H146=D3,IF(J146&lt;=41,"PASS","FAIL"))</f>
        <v>0</v>
      </c>
      <c r="AI147" t="b">
        <f>IF(H146=D3,IF(J146&lt;=41,"PASS","FAIL"))</f>
        <v>0</v>
      </c>
      <c r="AJ147" t="b">
        <f>IF(H146=D3,IF(J146&lt;=41,"PASS","FAIL"))</f>
        <v>0</v>
      </c>
      <c r="AK147" t="b">
        <f>IF(H146=D3,IF(J146&lt;=40,"PASS","FAIL"))</f>
        <v>0</v>
      </c>
      <c r="AL147" t="b">
        <f>IF(H146=D3,IF(J146&lt;=40,"PASS","FAIL"))</f>
        <v>0</v>
      </c>
      <c r="AM147" t="b">
        <f>IF(H146=D3,IF(J146&lt;=39,"PASS","FAIL"))</f>
        <v>0</v>
      </c>
      <c r="AN147" t="b">
        <f>IF(H146=D3,IF(J146&lt;=39,"PASS","FAIL"))</f>
        <v>0</v>
      </c>
      <c r="AO147" t="b">
        <f>IF(H146=D3,IF(J146&lt;=39,"PASS","FAIL"))</f>
        <v>0</v>
      </c>
      <c r="AP147" t="b">
        <f>IF(H146=D3,IF(J146&lt;=39,"PASS","FAIL"))</f>
        <v>0</v>
      </c>
      <c r="AQ147" t="b">
        <f>IF(H146=D3,IF(J146&lt;=38,"PASS","FAIL"))</f>
        <v>0</v>
      </c>
      <c r="AR147" t="b">
        <f>IF(H146=D3,IF(J146&lt;=38,"PASS","FAIL"))</f>
        <v>0</v>
      </c>
      <c r="AS147" t="b">
        <f>IF(I146=5,IF(J146&lt;=86,"PASS","FAIL"),IF(I146=6,IF(J146&lt;=85,"PASS","FAIL"),IF(I146=7,IF(J146&lt;=73,"PASS","FAIL"),IF(I146=8,IF(J146&lt;=68,"PASS","FAIL"),IF(I146=9,IF(J146&lt;=64,"PASS","FAIL"),IF(I146=11,IF(J146&lt;=59,"PASS","FAIL"),IF(I146=12,IF(J146&lt;=56,"PASS","FAIL"),IF(I146=13,IF(J146&lt;=54,"PASS","FAIL"),IF(I146=14,IF(J146&lt;=54,"PASS","FAIL"),IF(I146=15,IF(J146&lt;=51,"PASS","FAIL"),IF(I146=16,IF(J146&lt;=50,"PASS","FAIL"),IF(I146=17,IF(J146&lt;=49,"PASS","FAIL"),IF(I146=18,IF(J146&lt;=48,"PASS","FAIL"),IF(I146=19,IF(J146&lt;=47,"PASS","FAIL"),IF(I146=20,IF(J146&lt;=46,"PASS","FAIL"),IF(I146=21,IF(J146&lt;=45,"PASS","FAIL"),IF(I146=22,IF(J146&lt;=45,"PASS","FAIL"),IF(I146=23,IF(J146&lt;=44,"PASS","FAIL"),IF(I146=24,IF(J146&lt;=43,"PASS","FAIL"),IF(I146=25,IF(J146&lt;=43,"PASS","FAIL"),IF(I146=26,IF(J146&lt;=42,"PASS","FAIL"),IF(I146=27,IF(J146&lt;=42,"PASS","FAIL"),IF(I146=28,IF(J146&lt;=41,"PASS","FAIL"),IF(I146=29,IF(J146&lt;=41,"PASS","FAIL"),IF(I146=30,IF(J146&lt;=41,"PASS","FAIL"),IF(I146=31,IF(J146&lt;=40,"PASS","FAIL"),IF(I146=32,IF(J146&lt;=40,"PASS","FAIL"),IF(I146=33,IF(J146&lt;=39,"PASS","FAIL"),IF(I146=34,IF(J146&lt;=39,"PASS","FAIL"),IF(I146=35,IF(J146&lt;=39,"PASS","FAIL"),IF(I146=36,IF(J146&lt;=39,"PASS","FAIL"),IF(I146=37,IF(J146&lt;=38,"PASS","FAIL"),IF(I146=38,IF(J146&lt;=38,"PASS","FAIL"))))))))))))))))))))))))))))))))))</f>
        <v>0</v>
      </c>
      <c r="AT147" t="b">
        <f>IF(AS146=FALSE(),AS150,AS146)</f>
        <v>0</v>
      </c>
      <c r="BB147" s="10">
        <v>145</v>
      </c>
      <c r="BC147" s="10" t="s">
        <v>6</v>
      </c>
      <c r="BD147" s="12">
        <v>2314.4800000000082</v>
      </c>
      <c r="BE147" s="12">
        <v>1023.6159999999982</v>
      </c>
      <c r="BF147" s="12">
        <v>2530.1600000000035</v>
      </c>
      <c r="BG147" s="12">
        <v>1776.4800000000062</v>
      </c>
      <c r="BH147" s="12">
        <v>3183.8399999999965</v>
      </c>
      <c r="BI147" s="12">
        <v>2868.0800000000017</v>
      </c>
      <c r="BK147" s="10">
        <v>145</v>
      </c>
      <c r="BL147" s="10" t="s">
        <v>24</v>
      </c>
      <c r="BM147" s="12">
        <v>3678.2400000000052</v>
      </c>
      <c r="BN147" s="12">
        <v>1526.9280000000017</v>
      </c>
      <c r="BO147" s="12">
        <v>3777.2960000000021</v>
      </c>
      <c r="BP147" s="12">
        <v>2652.3039999999905</v>
      </c>
      <c r="BQ147" s="12">
        <v>4623.5999999999985</v>
      </c>
      <c r="BR147" s="12">
        <v>4271.5199999999895</v>
      </c>
      <c r="BS147" s="6"/>
      <c r="BT147" s="10">
        <v>145</v>
      </c>
      <c r="BU147" s="10"/>
      <c r="BV147" s="12">
        <v>6037.4079999999958</v>
      </c>
      <c r="BW147" s="12">
        <v>3129.5199999999913</v>
      </c>
      <c r="BX147" s="12">
        <v>7930</v>
      </c>
      <c r="BY147" s="12">
        <v>5612.3359999999857</v>
      </c>
      <c r="BZ147" s="12">
        <v>9715.2639999999792</v>
      </c>
      <c r="CA147" s="12">
        <v>8845.5680000000066</v>
      </c>
      <c r="CB147" s="6"/>
      <c r="CC147" s="10">
        <v>145</v>
      </c>
      <c r="CD147" s="10"/>
      <c r="CE147" s="12">
        <v>9035.9200000000274</v>
      </c>
      <c r="CF147" s="12">
        <v>4688</v>
      </c>
      <c r="CG147" s="12">
        <v>11931.840000000031</v>
      </c>
      <c r="CH147" s="12">
        <v>5344.4800000000105</v>
      </c>
      <c r="CI147" s="12">
        <v>14367.807999999966</v>
      </c>
      <c r="CJ147" s="12">
        <v>13241.920000000036</v>
      </c>
    </row>
    <row r="148" spans="1:88" ht="15.75" customHeight="1">
      <c r="A148" s="6"/>
      <c r="B148" s="10">
        <v>146</v>
      </c>
      <c r="G148" s="6"/>
      <c r="H148" s="6">
        <v>10.287000000000001</v>
      </c>
      <c r="I148" s="6">
        <v>15.428000000000001</v>
      </c>
      <c r="J148" s="6"/>
      <c r="K148" s="6"/>
      <c r="L148" s="6"/>
      <c r="M148" s="6"/>
      <c r="N148" s="6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T148" t="b">
        <f>IF(AS147=FALSE(),AS151,AS147)</f>
        <v>0</v>
      </c>
      <c r="BB148" s="10">
        <v>146</v>
      </c>
      <c r="BC148" s="10" t="s">
        <v>6</v>
      </c>
      <c r="BD148" s="12">
        <v>2331.6100000000083</v>
      </c>
      <c r="BE148" s="12">
        <v>1030.7369999999983</v>
      </c>
      <c r="BF148" s="12">
        <v>2548.4950000000035</v>
      </c>
      <c r="BG148" s="12">
        <v>1789.3600000000063</v>
      </c>
      <c r="BH148" s="12">
        <v>3207.6299999999965</v>
      </c>
      <c r="BI148" s="12">
        <v>2889.3100000000018</v>
      </c>
      <c r="BK148" s="10">
        <v>146</v>
      </c>
      <c r="BL148" s="10" t="s">
        <v>24</v>
      </c>
      <c r="BM148" s="12">
        <v>3707.1800000000053</v>
      </c>
      <c r="BN148" s="12">
        <v>1538.1460000000018</v>
      </c>
      <c r="BO148" s="12">
        <v>3804.8720000000021</v>
      </c>
      <c r="BP148" s="12">
        <v>2671.7029999999904</v>
      </c>
      <c r="BQ148" s="12">
        <v>4657.6999999999989</v>
      </c>
      <c r="BR148" s="12">
        <v>4302.8899999999894</v>
      </c>
      <c r="BS148" s="6"/>
      <c r="BT148" s="10">
        <v>146</v>
      </c>
      <c r="BU148" s="10"/>
      <c r="BV148" s="12">
        <v>6088.6309999999958</v>
      </c>
      <c r="BW148" s="12">
        <v>3155.1399999999912</v>
      </c>
      <c r="BX148" s="12">
        <v>7995</v>
      </c>
      <c r="BY148" s="12">
        <v>5658.4019999999855</v>
      </c>
      <c r="BZ148" s="12">
        <v>9795.4229999999789</v>
      </c>
      <c r="CA148" s="12">
        <v>8918.7510000000075</v>
      </c>
      <c r="CB148" s="6"/>
      <c r="CC148" s="10">
        <v>146</v>
      </c>
      <c r="CD148" s="10"/>
      <c r="CE148" s="12">
        <v>9112.4400000000278</v>
      </c>
      <c r="CF148" s="12">
        <v>4727.25</v>
      </c>
      <c r="CG148" s="12">
        <v>12029.880000000032</v>
      </c>
      <c r="CH148" s="12">
        <v>5381.6100000000106</v>
      </c>
      <c r="CI148" s="12">
        <v>14487.055999999966</v>
      </c>
      <c r="CJ148" s="12">
        <v>13351.315000000037</v>
      </c>
    </row>
    <row r="149" spans="1:88" ht="15.75" customHeight="1">
      <c r="A149" s="6"/>
      <c r="B149" s="10">
        <v>147</v>
      </c>
      <c r="G149" s="6"/>
      <c r="H149" s="6">
        <v>11.896000000000001</v>
      </c>
      <c r="I149" s="6">
        <v>17.856000000000002</v>
      </c>
      <c r="J149" s="6"/>
      <c r="K149" s="6"/>
      <c r="L149" s="7" t="s">
        <v>68</v>
      </c>
      <c r="M149" s="7" t="s">
        <v>69</v>
      </c>
      <c r="N149" s="7" t="s">
        <v>70</v>
      </c>
      <c r="O149" s="7" t="s">
        <v>71</v>
      </c>
      <c r="P149" s="7" t="s">
        <v>72</v>
      </c>
      <c r="Q149" s="7" t="s">
        <v>73</v>
      </c>
      <c r="R149" s="7" t="s">
        <v>74</v>
      </c>
      <c r="S149" s="7" t="s">
        <v>75</v>
      </c>
      <c r="T149" s="7" t="s">
        <v>76</v>
      </c>
      <c r="U149" s="7" t="s">
        <v>77</v>
      </c>
      <c r="V149" s="7" t="s">
        <v>78</v>
      </c>
      <c r="W149" s="7" t="s">
        <v>79</v>
      </c>
      <c r="X149" s="7" t="s">
        <v>80</v>
      </c>
      <c r="Y149" s="7" t="s">
        <v>81</v>
      </c>
      <c r="Z149" s="7" t="s">
        <v>82</v>
      </c>
      <c r="AA149" s="7" t="s">
        <v>83</v>
      </c>
      <c r="AB149" s="7" t="s">
        <v>84</v>
      </c>
      <c r="AC149" s="7" t="s">
        <v>85</v>
      </c>
      <c r="AD149" s="7" t="s">
        <v>86</v>
      </c>
      <c r="AE149" s="7" t="s">
        <v>87</v>
      </c>
      <c r="AF149" s="7" t="s">
        <v>88</v>
      </c>
      <c r="AG149" s="7" t="s">
        <v>89</v>
      </c>
      <c r="AH149" s="7" t="s">
        <v>90</v>
      </c>
      <c r="AI149" s="7" t="s">
        <v>91</v>
      </c>
      <c r="AJ149" s="7" t="s">
        <v>92</v>
      </c>
      <c r="AK149" s="7" t="s">
        <v>93</v>
      </c>
      <c r="AL149" s="7" t="s">
        <v>94</v>
      </c>
      <c r="AM149" s="7" t="s">
        <v>95</v>
      </c>
      <c r="AN149" s="7" t="s">
        <v>96</v>
      </c>
      <c r="AO149" s="7" t="s">
        <v>97</v>
      </c>
      <c r="AP149" s="7" t="s">
        <v>98</v>
      </c>
      <c r="AQ149" s="7" t="s">
        <v>99</v>
      </c>
      <c r="AR149" s="7" t="s">
        <v>100</v>
      </c>
      <c r="AS149" s="7" t="s">
        <v>3</v>
      </c>
      <c r="BB149" s="10">
        <v>147</v>
      </c>
      <c r="BC149" s="10" t="s">
        <v>6</v>
      </c>
      <c r="BD149" s="12">
        <v>2348.7400000000084</v>
      </c>
      <c r="BE149" s="12">
        <v>1037.8579999999984</v>
      </c>
      <c r="BF149" s="12">
        <v>2566.8300000000036</v>
      </c>
      <c r="BG149" s="12">
        <v>1802.2400000000064</v>
      </c>
      <c r="BH149" s="12">
        <v>3231.4199999999964</v>
      </c>
      <c r="BI149" s="12">
        <v>2910.5400000000018</v>
      </c>
      <c r="BK149" s="10">
        <v>147</v>
      </c>
      <c r="BL149" s="10" t="s">
        <v>24</v>
      </c>
      <c r="BM149" s="12">
        <v>3736.1200000000053</v>
      </c>
      <c r="BN149" s="12">
        <v>1549.3640000000019</v>
      </c>
      <c r="BO149" s="12">
        <v>3832.4480000000021</v>
      </c>
      <c r="BP149" s="12">
        <v>2691.1019999999903</v>
      </c>
      <c r="BQ149" s="12">
        <v>4691.7999999999993</v>
      </c>
      <c r="BR149" s="12">
        <v>4334.2599999999893</v>
      </c>
      <c r="BS149" s="6"/>
      <c r="BT149" s="10">
        <v>147</v>
      </c>
      <c r="BU149" s="10"/>
      <c r="BV149" s="12">
        <v>6139.8539999999957</v>
      </c>
      <c r="BW149" s="12">
        <v>3180.7599999999911</v>
      </c>
      <c r="BX149" s="12">
        <v>8060</v>
      </c>
      <c r="BY149" s="12">
        <v>5704.4679999999853</v>
      </c>
      <c r="BZ149" s="12">
        <v>9875.5819999999785</v>
      </c>
      <c r="CA149" s="12">
        <v>8991.9340000000084</v>
      </c>
      <c r="CB149" s="6"/>
      <c r="CC149" s="10">
        <v>147</v>
      </c>
      <c r="CD149" s="10"/>
      <c r="CE149" s="12">
        <v>9188.9600000000282</v>
      </c>
      <c r="CF149" s="12">
        <v>4766.5</v>
      </c>
      <c r="CG149" s="12">
        <v>12127.920000000033</v>
      </c>
      <c r="CH149" s="12">
        <v>5418.7400000000107</v>
      </c>
      <c r="CI149" s="12">
        <v>14606.303999999966</v>
      </c>
      <c r="CJ149" s="12">
        <v>13460.710000000037</v>
      </c>
    </row>
    <row r="150" spans="1:88" ht="15.75" customHeight="1">
      <c r="A150" s="6"/>
      <c r="B150" s="10">
        <v>148</v>
      </c>
      <c r="G150" s="6"/>
      <c r="H150" s="29">
        <f t="shared" ref="H150:H177" si="12">H151-1.61</f>
        <v>13.480000000000018</v>
      </c>
      <c r="I150" s="6">
        <f t="shared" ref="I150:I178" si="13">I151-2.428</f>
        <v>20.332000000000061</v>
      </c>
      <c r="J150" s="6"/>
      <c r="K150" s="6"/>
      <c r="L150" s="6">
        <f>IF(J146&gt;=3,L160-((49-J146)*I148),IF(J146&lt;=3,"No Data"))</f>
        <v>905.76799999999992</v>
      </c>
      <c r="M150" s="6">
        <f>IF(J146&gt;=3,M160-((49-J146)*I149),IF(J146&lt;=3,"No Data"))</f>
        <v>956.12799999999993</v>
      </c>
      <c r="N150" s="6">
        <f>IF(J146&gt;=6,N160-((49-J146)*I150),IF(J146&lt;=6,"No Data"))</f>
        <v>1006.5360000000001</v>
      </c>
      <c r="O150" s="7">
        <f>IF(J146&gt;=8,O160-((49-J146)*I151),IF(J146&lt;=8,"No Data"))</f>
        <v>1056.896</v>
      </c>
      <c r="P150" s="7">
        <f>IF(J146&gt;=10,P160-((49-J146)*I152),IF(J146&lt;=10,"No Data"))</f>
        <v>1107.2560000000001</v>
      </c>
      <c r="Q150" s="7">
        <f>IF(J146&gt;=14,Q160-((49-J146)*I154),IF(J146&lt;=14,"No Data"))</f>
        <v>1207.9760000000001</v>
      </c>
      <c r="R150" s="7">
        <f>IF(J146&gt;=15,R160-((49-J146)*I155),IF(J146&lt;=15,"No Data"))</f>
        <v>1258.336</v>
      </c>
      <c r="S150" s="7">
        <f>IF(J146&gt;=16,S160-((49-J146)*I156),IF(J146&lt;=16,"No Data"))</f>
        <v>1308.6960000000001</v>
      </c>
      <c r="T150" s="7">
        <f>IF(J146&gt;=17,T160-((49-J146)*I157),IF(J146&lt;=17,"No Data"))</f>
        <v>1359.056</v>
      </c>
      <c r="U150" s="7">
        <f>IF(J146&gt;=18,U160-((49-J146)*I158),IF(J146&lt;=18,"No Data"))</f>
        <v>1409.4160000000002</v>
      </c>
      <c r="V150" s="7">
        <f>IF(J146&gt;=18,V160-((49-J146)*I159),IF(J146&lt;=18,"No Data"))</f>
        <v>1459.7760000000001</v>
      </c>
      <c r="W150">
        <f>IF(J146&gt;=19,W160-((49-J146)*I160),IF(J146&lt;=19,"No Data"))</f>
        <v>1510.1360000000002</v>
      </c>
      <c r="X150">
        <f>IF(J146&gt;=19,X160-((49-J146)*I161),IF(J146&lt;=19,"No Data"))</f>
        <v>1560.4960000000001</v>
      </c>
      <c r="Y150">
        <f>IF(J146&gt;=20,Y160-((49-J146)*I162),IF(J146&lt;=20,"No Data"))</f>
        <v>1610.8560000000002</v>
      </c>
      <c r="Z150">
        <f>IF(J146&gt;=20,Z160-((49-J146)*I163),IF(J146&lt;=20,"No Data"))</f>
        <v>1661.2160000000001</v>
      </c>
      <c r="AA150">
        <f>IF(J146&gt;=21,AA160-((49-J146)*I164),IF(J146&lt;=21,"No Data"))</f>
        <v>1711.5760000000002</v>
      </c>
      <c r="AB150">
        <f>IF(J146&gt;=21,AB160-((49-J146)*I165),IF(J146&lt;=21,"No Data"))</f>
        <v>1761.9360000000001</v>
      </c>
      <c r="AC150">
        <f>IF(J146&gt;=22,AC160-((49-J146)*I166),IF(J146&lt;=22,"No Data"))</f>
        <v>1812.2960000000003</v>
      </c>
      <c r="AD150">
        <f>IF(J146&gt;=22,AD160-((49-J146)*I167),IF(J146&lt;=22,"No Data"))</f>
        <v>1862.6560000000002</v>
      </c>
      <c r="AE150">
        <f>IF(J146&gt;=3,AE160-((49-J146)*I168),IF(J146&lt;=3,"No Data"))</f>
        <v>1913.0160000000003</v>
      </c>
      <c r="AF150">
        <f>IF(J146&gt;=22,AF160-((49-J146)*I169),IF(J146&lt;=22,"No Data"))</f>
        <v>1963.3760000000002</v>
      </c>
      <c r="AG150">
        <f>IF(J146&gt;=23,AG160-((49-J146)*I170),IF(J146&lt;=23,"No Data"))</f>
        <v>2013.7360000000003</v>
      </c>
      <c r="AH150">
        <f>IF(J146&gt;=23,AH160-((49-J146)*I171),IF(J146&lt;23,"No Data"))</f>
        <v>2064.0960000000005</v>
      </c>
      <c r="AI150">
        <f>IF(J146&gt;=23,AI160-((49-J146)*I172),IF(J146&lt;=23,"No Data"))</f>
        <v>2114.4560000000001</v>
      </c>
      <c r="AJ150">
        <f>IF(J146&gt;=23,AJ160-((49-J146)*I173),IF(J146&lt;=23,"No Data"))</f>
        <v>2164.8160000000003</v>
      </c>
      <c r="AK150">
        <f>IF(J146&gt;=24,AK160-((49-J146)*I174),IF(J146&lt;=24,"No Data"))</f>
        <v>2215.1759999999999</v>
      </c>
      <c r="AL150">
        <f>IF(J146&gt;=24,AL160-((49-J146)*I175),IF(J146&lt;=24,"No Data"))</f>
        <v>2265.5360000000001</v>
      </c>
      <c r="AM150">
        <f>IF(J146&gt;=24,AM160-((49-J146)*I176),IF(J146&lt;=24,"No Data"))</f>
        <v>2315.8959999999997</v>
      </c>
      <c r="AN150">
        <f>IF(J146&gt;=24,AN160-((49-J146)*I177),IF(J146&lt;=24,"No Data"))</f>
        <v>2366.2559999999994</v>
      </c>
      <c r="AO150">
        <f>IF(J146&gt;=24,AO160-((49-J146)*I178),IF(J146&lt;=24,"No Data"))</f>
        <v>2416.6159999999991</v>
      </c>
      <c r="AP150">
        <f>IF(J146&gt;=24,AP160-((49-J146)*I179),IF(J146&lt;=24,"No Data"))</f>
        <v>2466.9760000000001</v>
      </c>
      <c r="AQ150">
        <f>IF(J146&gt;=25,AQ160-((49-J146)*I180),IF(J146&lt;=25,"No Data"))</f>
        <v>2517.3359999999989</v>
      </c>
      <c r="AR150">
        <f>IF(J146&gt;=25,AR160-((49-J146)*I181),IF(J146&lt;=25,"No Data"))</f>
        <v>2567.6959999999999</v>
      </c>
      <c r="AS150" t="b">
        <f>IF(I146=5,IF(H146=D4,L150),IF(I146=6,IF(H146=D4,M150),IF(I146=7,IF(H146=D4,N150),IF(I146=8,IF(H146=D4,O150),IF(I146=9,IF(H146=D4,P150),IF(I146=11,IF(H146=D4,Q150),IF(I146=12,IF(H146=D4,R150),IF(I146=13,IF(H146=D4,S150),IF(I146=14,IF(H146=D4,T150),IF(I146=15,IF(H146=D4,U150),IF(I146=16,IF(H146=D4,V150),IF(I146=17,IF(H146=D4,W150),IF(I146=18,IF(H146=D4,X150),IF(I146=19,IF(H146=D4,Y150),IF(I146=20,IF(H146=D4,Z150),IF(I146=21,IF(H146=D4,AA150),IF(I146=22,IF(H146=D4,AB150),IF(I146=23,IF(H146=D4,AC150),IF(I146=24,IF(H146=D4,AD150),IF(I146=25,IF(H146=D4,AE150),IF(I146=26,IF(H146=D4,AF150),IF(I146=27,IF(H146=D4,AG150),IF(I146=28,IF(H146=D4,AH150),IF(I146=29,IF(H146=D4,AI150),IF(I146=30,IF(H146=D4,AJ150),IF(I146=31,IF(H146=D4,AK150),IF(I146=32,IF(H146=D4,AL150),IF(I146=33,IF(H146=D4,AM150),IF(I146=34,IF(H146=D4,AN150),IF(I146=35,IF(H146=D4,AO150),IF(I146=36,IF(H146=D4,AP150),IF(I146=37,IF(H146=D4,AQ150),IF(I146=38,IF(H146=D4,AR150))))))))))))))))))))))))))))))))))</f>
        <v>0</v>
      </c>
      <c r="BB150" s="10">
        <v>148</v>
      </c>
      <c r="BC150" s="10" t="s">
        <v>6</v>
      </c>
      <c r="BD150" s="12">
        <v>2365.8700000000085</v>
      </c>
      <c r="BE150" s="12">
        <v>1044.9789999999985</v>
      </c>
      <c r="BF150" s="12">
        <v>2585.1650000000036</v>
      </c>
      <c r="BG150" s="12">
        <v>1815.1200000000065</v>
      </c>
      <c r="BH150" s="12">
        <v>3255.2099999999964</v>
      </c>
      <c r="BI150" s="12">
        <v>2931.7700000000018</v>
      </c>
      <c r="BK150" s="10">
        <v>148</v>
      </c>
      <c r="BL150" s="10" t="s">
        <v>24</v>
      </c>
      <c r="BM150" s="12">
        <v>3765.0600000000054</v>
      </c>
      <c r="BN150" s="12">
        <v>1560.5820000000019</v>
      </c>
      <c r="BO150" s="12">
        <v>3860.0240000000022</v>
      </c>
      <c r="BP150" s="12">
        <v>2710.5009999999902</v>
      </c>
      <c r="BQ150" s="12">
        <v>4725.8999999999996</v>
      </c>
      <c r="BR150" s="12">
        <v>4365.6299999999892</v>
      </c>
      <c r="BS150" s="6"/>
      <c r="BT150" s="10">
        <v>148</v>
      </c>
      <c r="BU150" s="10"/>
      <c r="BV150" s="12">
        <v>6191.0769999999957</v>
      </c>
      <c r="BW150" s="12">
        <v>3206.379999999991</v>
      </c>
      <c r="BX150" s="12">
        <v>8125</v>
      </c>
      <c r="BY150" s="12">
        <v>5750.5339999999851</v>
      </c>
      <c r="BZ150" s="12">
        <v>9955.7409999999782</v>
      </c>
      <c r="CA150" s="12">
        <v>9065.1170000000093</v>
      </c>
      <c r="CB150" s="6"/>
      <c r="CC150" s="10">
        <v>148</v>
      </c>
      <c r="CD150" s="10"/>
      <c r="CE150" s="12">
        <v>9265.4800000000287</v>
      </c>
      <c r="CF150" s="12">
        <v>4805.75</v>
      </c>
      <c r="CG150" s="12">
        <v>12225.960000000034</v>
      </c>
      <c r="CH150" s="12">
        <v>5455.8700000000108</v>
      </c>
      <c r="CI150" s="12">
        <v>14725.551999999965</v>
      </c>
      <c r="CJ150" s="12">
        <v>13570.105000000038</v>
      </c>
    </row>
    <row r="151" spans="1:88" ht="15.75" customHeight="1">
      <c r="A151" s="6"/>
      <c r="B151" s="10">
        <v>149</v>
      </c>
      <c r="G151" s="6"/>
      <c r="H151" s="29">
        <f t="shared" si="12"/>
        <v>15.090000000000018</v>
      </c>
      <c r="I151" s="6">
        <f t="shared" si="13"/>
        <v>22.760000000000062</v>
      </c>
      <c r="J151" s="6"/>
      <c r="K151" s="6"/>
      <c r="L151" s="6" t="str">
        <f>IF(H146=D4,IF(J146&lt;=82,"PASS","FAIL"))</f>
        <v>PASS</v>
      </c>
      <c r="M151" s="6" t="str">
        <f>IF(H146=D4,IF(J146&lt;=74,"PASS","FAIL"))</f>
        <v>PASS</v>
      </c>
      <c r="N151" s="6" t="str">
        <f>IF(H146=D4,IF(J146&lt;=69,"PASS","FAIL"))</f>
        <v>PASS</v>
      </c>
      <c r="O151" s="7" t="str">
        <f>IF(H146=D4,IF(J146&lt;=65,"PASS","FAIL"))</f>
        <v>PASS</v>
      </c>
      <c r="P151" s="7" t="str">
        <f>IF(H146=D4,IF(J146&lt;=61,"PASS","FAIL"))</f>
        <v>PASS</v>
      </c>
      <c r="Q151" s="7" t="str">
        <f>IF(H146=D4,IF(J146&lt;=56,"PASS","FAIL"))</f>
        <v>PASS</v>
      </c>
      <c r="R151" s="7" t="str">
        <f>IF(H146=D4,IF(J146&lt;=54,"PASS","FAIL"))</f>
        <v>PASS</v>
      </c>
      <c r="S151" s="7" t="str">
        <f>IF(H146=D4,IF(J146&lt;=52,"PASS","FAIL"))</f>
        <v>PASS</v>
      </c>
      <c r="T151" s="7" t="str">
        <f>IF(H146=D4,IF(J146&lt;=51,"PASS","FAIL"))</f>
        <v>PASS</v>
      </c>
      <c r="U151" s="7" t="str">
        <f>IF(H146=D4,IF(J146&lt;=49,"PASS","FAIL"))</f>
        <v>FAIL</v>
      </c>
      <c r="V151" s="7" t="str">
        <f>IF(H146=D4,IF(J146&lt;=48,"PASS","FAIL"))</f>
        <v>FAIL</v>
      </c>
      <c r="W151" t="str">
        <f>IF(H146=D4,IF(J146&lt;=47,"PASS","FAIL"))</f>
        <v>FAIL</v>
      </c>
      <c r="X151" t="str">
        <f>IF(H146=D4,IF(J146&lt;=46,"PASS","FAIL"))</f>
        <v>FAIL</v>
      </c>
      <c r="Y151" t="str">
        <f>IF(H146=D4,IF(J146&lt;=45,"PASS","FAIL"))</f>
        <v>FAIL</v>
      </c>
      <c r="Z151" t="str">
        <f>IF(H146=D4,IF(J146&lt;=45,"PASS","FAIL"))</f>
        <v>FAIL</v>
      </c>
      <c r="AA151" t="str">
        <f>IF(H146=D4,IF(J146&lt;=44,"PASS","FAIL"))</f>
        <v>FAIL</v>
      </c>
      <c r="AB151" t="str">
        <f>IF(H146=D4,IF(J146&lt;=43,"PASS","FAIL"))</f>
        <v>FAIL</v>
      </c>
      <c r="AC151" t="str">
        <f>IF(H146=D4,IF(J146&lt;=43,"PASS","FAIL"))</f>
        <v>FAIL</v>
      </c>
      <c r="AD151" t="str">
        <f>IF(H146=D4,IF(J146&lt;=42,"PASS","FAIL"))</f>
        <v>FAIL</v>
      </c>
      <c r="AE151" t="str">
        <f>IF(H146=D4,IF(J146&lt;=41,"PASS","FAIL"))</f>
        <v>FAIL</v>
      </c>
      <c r="AF151" t="str">
        <f>IF(H146=D4,IF(J146&lt;=41,"PASS","FAIL"))</f>
        <v>FAIL</v>
      </c>
      <c r="AG151" t="str">
        <f>IF(H146=D4,IF(J146&lt;=41,"PASS","FAIL"))</f>
        <v>FAIL</v>
      </c>
      <c r="AH151" t="str">
        <f>IF(H146=D4,IF(J146&lt;=40,"PASS","FAIL"))</f>
        <v>FAIL</v>
      </c>
      <c r="AI151" t="str">
        <f>IF(H146=D4,IF(J146&lt;=40,"PASS","FAIL"))</f>
        <v>FAIL</v>
      </c>
      <c r="AJ151" t="str">
        <f>IF(H146=D4,IF(J146&lt;=39,"PASS","FAIL"))</f>
        <v>FAIL</v>
      </c>
      <c r="AK151" t="str">
        <f>IF(H146=D4,IF(J146&lt;=39,"PASS","FAIL"))</f>
        <v>FAIL</v>
      </c>
      <c r="AL151" t="str">
        <f>IF(H146=D4,IF(J146&lt;=39,"PASS","FAIL"))</f>
        <v>FAIL</v>
      </c>
      <c r="AM151" t="str">
        <f>IF(H146=D4,IF(J146&lt;=39,"PASS","FAIL"))</f>
        <v>FAIL</v>
      </c>
      <c r="AN151" t="str">
        <f>IF(H146=D4,IF(J146&lt;=38,"PASS","FAIL"))</f>
        <v>FAIL</v>
      </c>
      <c r="AO151" t="str">
        <f>IF(H146=D4,IF(J146&lt;=38,"PASS","FAIL"))</f>
        <v>FAIL</v>
      </c>
      <c r="AP151" t="str">
        <f>IF(H146=D4,IF(J146&lt;=38,"PASS","FAIL"))</f>
        <v>FAIL</v>
      </c>
      <c r="AQ151" t="str">
        <f>IF(H146=D4,IF(J146&lt;=38,"PASS","FAIL"))</f>
        <v>FAIL</v>
      </c>
      <c r="AR151" t="str">
        <f>IF(H146=D4,IF(J146&lt;=37,"PASS","FAIL"))</f>
        <v>FAIL</v>
      </c>
      <c r="AS151" t="b">
        <f>IF(I146=5,IF(J146&lt;=82,"PASS","FAIL"),IF(I146=6,IF(J146&lt;=74,"PASS","FAIL"),IF(I146=7,IF(J146&lt;=69,"PASS","FAIL"),IF(I146=8,IF(J146&lt;=65,"PASS","FAIL"),IF(I146=9,IF(J146&lt;=61,"PASS","FAIL"),IF(I146=11,IF(J146&lt;=56,"PASS","FAIL"),IF(I146=12,IF(J146&lt;=54,"PASS","FAIL"),IF(I146=13,IF(J146&lt;=52,"PASS","FAIL"),IF(I146=14,IF(J146&lt;=51,"PASS","FAIL"),IF(I146=15,IF(J146&lt;=49,"PASS","FAIL"),IF(I146=16,IF(J146&lt;=48,"PASS","FAIL"),IF(I146=17,IF(J146&lt;=47,"PASS","FAIL"),IF(I146=18,IF(J146&lt;=46,"PASS","FAIL"),IF(I146=19,IF(J146&lt;=45,"PASS","FAIL"),IF(I146=20,IF(J146&lt;=45,"PASS","FAIL"),IF(I146=21,IF(J146&lt;=44,"PASS","FAIL"),IF(I146=22,IF(J146&lt;=43,"PASS","FAIL"),IF(I146=23,IF(J146&lt;=43,"PASS","FAIL"),IF(I146=24,IF(J146&lt;=42,"PASS","FAIL"),IF(I146=25,IF(J146&lt;=41,"PASS","FAIL"),IF(I146=26,IF(J146&lt;=41,"PASS","FAIL"),IF(I146=27,IF(J146&lt;=41,"PASS","FAIL"),IF(I146=28,IF(J146&lt;=40,"PASS","FAIL"),IF(I146=29,IF(J146&lt;=40,"PASS","FAIL"),IF(I146=30,IF(J146&lt;=39,"PASS","FAIL"),IF(I146=31,IF(J146&lt;=39,"PASS","FAIL"),IF(I146=32,IF(J146&lt;=39,"PASS","FAIL"),IF(I146=33,IF(J146&lt;=39,"PASS","FAIL"),IF(I146=34,IF(J146&lt;=38,"PASS","FAIL"),IF(I146=35,IF(J146&lt;=38,"PASS","FAIL"),IF(I146=36,IF(J146&lt;=38,"PASS","FAIL"),IF(I146=37,IF(J146&lt;=38,"PASS","FAIL"),IF(I146=38,IF(J146&lt;=37,"PASS","FAIL"))))))))))))))))))))))))))))))))))</f>
        <v>0</v>
      </c>
      <c r="BB151" s="10">
        <v>149</v>
      </c>
      <c r="BC151" s="10" t="s">
        <v>6</v>
      </c>
      <c r="BD151" s="12">
        <v>2383.0000000000086</v>
      </c>
      <c r="BE151" s="12">
        <v>1052.0999999999985</v>
      </c>
      <c r="BF151" s="12">
        <v>2603.5000000000036</v>
      </c>
      <c r="BG151" s="12">
        <v>1828.0000000000066</v>
      </c>
      <c r="BH151" s="12">
        <v>3278.9999999999964</v>
      </c>
      <c r="BI151" s="12">
        <v>2953.0000000000018</v>
      </c>
      <c r="BK151" s="10">
        <v>149</v>
      </c>
      <c r="BL151" s="10" t="s">
        <v>24</v>
      </c>
      <c r="BM151" s="12">
        <v>3794.0000000000055</v>
      </c>
      <c r="BN151" s="12">
        <v>1571.800000000002</v>
      </c>
      <c r="BO151" s="12">
        <v>3887.6000000000022</v>
      </c>
      <c r="BP151" s="12">
        <v>2729.8999999999901</v>
      </c>
      <c r="BQ151" s="12">
        <v>4760</v>
      </c>
      <c r="BR151" s="12">
        <v>4396.9999999999891</v>
      </c>
      <c r="BS151" s="6"/>
      <c r="BT151" s="10">
        <v>149</v>
      </c>
      <c r="BU151" s="10"/>
      <c r="BV151" s="12">
        <v>6242.2999999999956</v>
      </c>
      <c r="BW151" s="12">
        <v>3231.9999999999909</v>
      </c>
      <c r="BX151" s="12">
        <v>8190</v>
      </c>
      <c r="BY151" s="12">
        <v>5796.5999999999849</v>
      </c>
      <c r="BZ151" s="12">
        <v>10035.899999999978</v>
      </c>
      <c r="CA151" s="12">
        <v>9138.3000000000102</v>
      </c>
      <c r="CB151" s="6"/>
      <c r="CC151" s="10">
        <v>149</v>
      </c>
      <c r="CD151" s="10"/>
      <c r="CE151" s="12">
        <v>9342.0000000000291</v>
      </c>
      <c r="CF151" s="12">
        <v>4845</v>
      </c>
      <c r="CG151" s="12">
        <v>12324.000000000035</v>
      </c>
      <c r="CH151" s="12">
        <v>5493.0000000000109</v>
      </c>
      <c r="CI151" s="12">
        <v>14844.799999999965</v>
      </c>
      <c r="CJ151" s="12">
        <v>13679.500000000038</v>
      </c>
    </row>
    <row r="152" spans="1:88" ht="15.75" customHeight="1">
      <c r="A152" s="6"/>
      <c r="B152" s="10">
        <v>150</v>
      </c>
      <c r="G152" s="6"/>
      <c r="H152" s="29">
        <f t="shared" si="12"/>
        <v>16.700000000000017</v>
      </c>
      <c r="I152" s="6">
        <f t="shared" si="13"/>
        <v>25.188000000000063</v>
      </c>
      <c r="J152" s="6"/>
      <c r="K152" s="6"/>
      <c r="L152" s="6">
        <v>82</v>
      </c>
      <c r="M152" s="6">
        <v>74</v>
      </c>
      <c r="N152" s="6">
        <v>69</v>
      </c>
      <c r="O152" s="7">
        <v>65</v>
      </c>
      <c r="P152" s="7">
        <v>61</v>
      </c>
      <c r="Q152" s="7">
        <v>56</v>
      </c>
      <c r="R152" s="7">
        <v>54</v>
      </c>
      <c r="S152" s="7">
        <v>52</v>
      </c>
      <c r="T152" s="7">
        <v>51</v>
      </c>
      <c r="U152" s="7">
        <v>49</v>
      </c>
      <c r="V152" s="7">
        <v>48</v>
      </c>
      <c r="W152" s="7">
        <v>47</v>
      </c>
      <c r="X152" s="7">
        <v>46</v>
      </c>
      <c r="Y152" s="7">
        <v>45</v>
      </c>
      <c r="Z152" s="7">
        <v>45</v>
      </c>
      <c r="AA152" s="7">
        <v>44</v>
      </c>
      <c r="AB152" s="7">
        <v>43</v>
      </c>
      <c r="AC152" s="7">
        <v>43</v>
      </c>
      <c r="AD152" s="7">
        <v>42</v>
      </c>
      <c r="AE152" s="7">
        <v>41</v>
      </c>
      <c r="AF152" s="7">
        <v>41</v>
      </c>
      <c r="AG152" s="7">
        <v>41</v>
      </c>
      <c r="AH152" s="7">
        <v>40</v>
      </c>
      <c r="AI152" s="7">
        <v>40</v>
      </c>
      <c r="AJ152" s="7">
        <v>39</v>
      </c>
      <c r="AK152" s="7">
        <v>39</v>
      </c>
      <c r="AL152" s="7">
        <v>39</v>
      </c>
      <c r="AM152" s="7">
        <v>39</v>
      </c>
      <c r="AN152" s="7">
        <v>38</v>
      </c>
      <c r="AO152" s="7">
        <v>38</v>
      </c>
      <c r="AP152" s="7">
        <v>38</v>
      </c>
      <c r="AQ152" s="7">
        <v>38</v>
      </c>
      <c r="AR152">
        <v>37</v>
      </c>
      <c r="BB152" s="10">
        <v>150</v>
      </c>
      <c r="BC152" s="10" t="s">
        <v>6</v>
      </c>
      <c r="BD152" s="12">
        <v>2400.1300000000087</v>
      </c>
      <c r="BE152" s="12">
        <v>1059.2209999999986</v>
      </c>
      <c r="BF152" s="12">
        <v>2621.8350000000037</v>
      </c>
      <c r="BG152" s="12">
        <v>1840.8800000000067</v>
      </c>
      <c r="BH152" s="12">
        <v>3302.7899999999963</v>
      </c>
      <c r="BI152" s="12">
        <v>2974.2300000000018</v>
      </c>
      <c r="BK152" s="10">
        <v>150</v>
      </c>
      <c r="BL152" s="10" t="s">
        <v>24</v>
      </c>
      <c r="BM152" s="12">
        <v>3822.9400000000055</v>
      </c>
      <c r="BN152" s="12">
        <v>1583.0180000000021</v>
      </c>
      <c r="BO152" s="12">
        <v>3915.1760000000022</v>
      </c>
      <c r="BP152" s="12">
        <v>2749.29899999999</v>
      </c>
      <c r="BQ152" s="12">
        <v>4794.1000000000004</v>
      </c>
      <c r="BR152" s="12">
        <v>4428.369999999989</v>
      </c>
      <c r="BS152" s="6"/>
      <c r="BT152" s="10">
        <v>150</v>
      </c>
      <c r="BU152" s="10"/>
      <c r="BV152" s="12">
        <v>6293.5229999999956</v>
      </c>
      <c r="BW152" s="12">
        <v>3257.6199999999908</v>
      </c>
      <c r="BX152" s="12">
        <v>8255</v>
      </c>
      <c r="BY152" s="12">
        <v>5842.6659999999847</v>
      </c>
      <c r="BZ152" s="12">
        <v>10116.058999999977</v>
      </c>
      <c r="CA152" s="12">
        <v>9211.4830000000111</v>
      </c>
      <c r="CB152" s="6"/>
      <c r="CC152" s="10">
        <v>150</v>
      </c>
      <c r="CD152" s="10"/>
      <c r="CE152" s="12">
        <v>9418.5200000000295</v>
      </c>
      <c r="CF152" s="12">
        <v>4884.25</v>
      </c>
      <c r="CG152" s="12">
        <v>12422.040000000035</v>
      </c>
      <c r="CH152" s="12">
        <v>5530.130000000011</v>
      </c>
      <c r="CI152" s="12">
        <v>14964.047999999964</v>
      </c>
      <c r="CJ152" s="12">
        <v>13788.895000000039</v>
      </c>
    </row>
    <row r="153" spans="1:88" ht="15.75" customHeight="1">
      <c r="A153" s="6"/>
      <c r="B153" s="10">
        <v>151</v>
      </c>
      <c r="G153" s="6"/>
      <c r="H153" s="30">
        <f t="shared" si="12"/>
        <v>18.310000000000016</v>
      </c>
      <c r="I153" s="28">
        <f t="shared" si="13"/>
        <v>27.616000000000064</v>
      </c>
      <c r="J153" s="22">
        <v>49</v>
      </c>
      <c r="K153" s="22">
        <v>4.8</v>
      </c>
      <c r="L153" s="22">
        <v>5</v>
      </c>
      <c r="M153" s="22">
        <v>6</v>
      </c>
      <c r="N153" s="22">
        <v>7</v>
      </c>
      <c r="O153" s="22">
        <v>8</v>
      </c>
      <c r="P153" s="22">
        <v>9</v>
      </c>
      <c r="Q153" s="26">
        <v>11</v>
      </c>
      <c r="R153" s="26">
        <v>12</v>
      </c>
      <c r="S153" s="26">
        <v>13</v>
      </c>
      <c r="T153" s="26">
        <v>14</v>
      </c>
      <c r="U153" s="26">
        <v>15</v>
      </c>
      <c r="V153" s="26">
        <v>16</v>
      </c>
      <c r="W153" s="26">
        <v>17</v>
      </c>
      <c r="X153" s="26">
        <v>18</v>
      </c>
      <c r="Y153" s="26">
        <v>19</v>
      </c>
      <c r="Z153" s="26">
        <v>20</v>
      </c>
      <c r="AA153" s="26">
        <v>21</v>
      </c>
      <c r="AB153" s="26">
        <v>22</v>
      </c>
      <c r="AC153" s="26">
        <v>23</v>
      </c>
      <c r="AD153" s="22">
        <v>24</v>
      </c>
      <c r="AE153" s="27">
        <v>25</v>
      </c>
      <c r="AF153" s="27">
        <v>26</v>
      </c>
      <c r="AG153" s="27">
        <v>27</v>
      </c>
      <c r="AH153" s="27">
        <v>28</v>
      </c>
      <c r="AI153" s="27">
        <v>29</v>
      </c>
      <c r="AJ153" s="27">
        <v>30</v>
      </c>
      <c r="AK153" s="27">
        <v>31</v>
      </c>
      <c r="AL153" s="27">
        <v>32</v>
      </c>
      <c r="AM153" s="27">
        <v>33</v>
      </c>
      <c r="AN153" s="27">
        <v>34</v>
      </c>
      <c r="AO153" s="27">
        <v>35</v>
      </c>
      <c r="AP153" s="27">
        <v>36</v>
      </c>
      <c r="AQ153" s="27">
        <v>37</v>
      </c>
      <c r="AR153" s="27">
        <v>38</v>
      </c>
      <c r="BB153" s="10">
        <v>151</v>
      </c>
      <c r="BC153" s="10" t="s">
        <v>6</v>
      </c>
      <c r="BD153" s="12">
        <v>2417.2600000000089</v>
      </c>
      <c r="BE153" s="12">
        <v>1066.3419999999987</v>
      </c>
      <c r="BF153" s="12">
        <v>2640.1700000000037</v>
      </c>
      <c r="BG153" s="12">
        <v>1853.7600000000068</v>
      </c>
      <c r="BH153" s="12">
        <v>3326.5799999999963</v>
      </c>
      <c r="BI153" s="12">
        <v>2995.4600000000019</v>
      </c>
      <c r="BK153" s="10">
        <v>151</v>
      </c>
      <c r="BL153" s="10" t="s">
        <v>24</v>
      </c>
      <c r="BM153" s="12">
        <v>3851.8800000000056</v>
      </c>
      <c r="BN153" s="12">
        <v>1594.2360000000022</v>
      </c>
      <c r="BO153" s="12">
        <v>3942.7520000000022</v>
      </c>
      <c r="BP153" s="12">
        <v>2768.6979999999899</v>
      </c>
      <c r="BQ153" s="12">
        <v>4828.2000000000007</v>
      </c>
      <c r="BR153" s="12">
        <v>4459.7399999999889</v>
      </c>
      <c r="BS153" s="6"/>
      <c r="BT153" s="10">
        <v>151</v>
      </c>
      <c r="BU153" s="10"/>
      <c r="BV153" s="12">
        <v>6344.7459999999955</v>
      </c>
      <c r="BW153" s="12">
        <v>3283.2399999999907</v>
      </c>
      <c r="BX153" s="12">
        <v>8320</v>
      </c>
      <c r="BY153" s="12">
        <v>5888.7319999999845</v>
      </c>
      <c r="BZ153" s="12">
        <v>10196.217999999977</v>
      </c>
      <c r="CA153" s="12">
        <v>9284.666000000012</v>
      </c>
      <c r="CB153" s="6"/>
      <c r="CC153" s="10">
        <v>151</v>
      </c>
      <c r="CD153" s="10"/>
      <c r="CE153" s="12">
        <v>9495.04000000003</v>
      </c>
      <c r="CF153" s="12">
        <v>4923.5</v>
      </c>
      <c r="CG153" s="12">
        <v>12520.080000000036</v>
      </c>
      <c r="CH153" s="12">
        <v>5567.2600000000111</v>
      </c>
      <c r="CI153" s="12">
        <v>15083.295999999964</v>
      </c>
      <c r="CJ153" s="12">
        <v>13898.290000000039</v>
      </c>
    </row>
    <row r="154" spans="1:88" ht="15.75" customHeight="1">
      <c r="A154" s="6"/>
      <c r="B154" s="10">
        <v>152</v>
      </c>
      <c r="C154" s="6"/>
      <c r="G154" s="6"/>
      <c r="H154" s="29">
        <f t="shared" si="12"/>
        <v>19.920000000000016</v>
      </c>
      <c r="I154" s="6">
        <f t="shared" si="13"/>
        <v>30.044000000000064</v>
      </c>
      <c r="J154" s="28"/>
      <c r="K154" s="28"/>
      <c r="L154" s="28">
        <v>611.37499999999989</v>
      </c>
      <c r="M154" s="28">
        <v>643.09999999999991</v>
      </c>
      <c r="N154" s="28">
        <v>674.82499999999993</v>
      </c>
      <c r="O154" s="22">
        <v>706.55</v>
      </c>
      <c r="P154" s="22">
        <v>738.27499999999998</v>
      </c>
      <c r="Q154" s="22">
        <v>801.72500000000002</v>
      </c>
      <c r="R154" s="22">
        <v>833.45</v>
      </c>
      <c r="S154" s="22">
        <v>865.17500000000007</v>
      </c>
      <c r="T154" s="22">
        <v>896.90000000000009</v>
      </c>
      <c r="U154" s="22">
        <v>928.62500000000011</v>
      </c>
      <c r="V154" s="22">
        <v>960.35000000000014</v>
      </c>
      <c r="W154" s="25">
        <v>992.07500000000016</v>
      </c>
      <c r="X154" s="25">
        <v>1023.8000000000002</v>
      </c>
      <c r="Y154" s="25">
        <v>1055.5250000000001</v>
      </c>
      <c r="Z154" s="25">
        <v>1087.25</v>
      </c>
      <c r="AA154" s="25">
        <v>1118.9749999999999</v>
      </c>
      <c r="AB154" s="25">
        <v>1150.6999999999998</v>
      </c>
      <c r="AC154" s="25">
        <v>1182.4249999999997</v>
      </c>
      <c r="AD154" s="25">
        <v>1214.1499999999996</v>
      </c>
      <c r="AE154" s="25">
        <v>1245.8749999999995</v>
      </c>
      <c r="AF154" s="25">
        <v>1277.5999999999995</v>
      </c>
      <c r="AG154" s="25">
        <v>1309.3249999999994</v>
      </c>
      <c r="AH154" s="25">
        <v>1341.0499999999993</v>
      </c>
      <c r="AI154" s="25">
        <v>1372.7749999999992</v>
      </c>
      <c r="AJ154" s="25">
        <v>1404.4999999999991</v>
      </c>
      <c r="AK154" s="25">
        <v>1436.224999999999</v>
      </c>
      <c r="AL154" s="25">
        <v>1467.9499999999989</v>
      </c>
      <c r="AM154" s="25">
        <v>1499.6749999999988</v>
      </c>
      <c r="AN154" s="25">
        <v>1531.3999999999987</v>
      </c>
      <c r="AO154" s="25">
        <v>1563.1249999999986</v>
      </c>
      <c r="AP154" s="25">
        <v>1594.85</v>
      </c>
      <c r="AQ154" s="25">
        <v>1626.5749999999985</v>
      </c>
      <c r="AR154" s="25">
        <v>1658.2999999999984</v>
      </c>
      <c r="BB154" s="10">
        <v>152</v>
      </c>
      <c r="BC154" s="10" t="s">
        <v>6</v>
      </c>
      <c r="BD154" s="12">
        <v>2434.390000000009</v>
      </c>
      <c r="BE154" s="12">
        <v>1073.4629999999988</v>
      </c>
      <c r="BF154" s="12">
        <v>2658.5050000000037</v>
      </c>
      <c r="BG154" s="12">
        <v>1866.6400000000069</v>
      </c>
      <c r="BH154" s="12">
        <v>3350.3699999999963</v>
      </c>
      <c r="BI154" s="12">
        <v>3016.6900000000019</v>
      </c>
      <c r="BK154" s="10">
        <v>152</v>
      </c>
      <c r="BL154" s="10" t="s">
        <v>24</v>
      </c>
      <c r="BM154" s="12">
        <v>3880.8200000000056</v>
      </c>
      <c r="BN154" s="12">
        <v>1605.4540000000022</v>
      </c>
      <c r="BO154" s="12">
        <v>3970.3280000000022</v>
      </c>
      <c r="BP154" s="12">
        <v>2788.0969999999897</v>
      </c>
      <c r="BQ154" s="12">
        <v>4862.3000000000011</v>
      </c>
      <c r="BR154" s="12">
        <v>4491.1099999999888</v>
      </c>
      <c r="BS154" s="6"/>
      <c r="BT154" s="10">
        <v>152</v>
      </c>
      <c r="BU154" s="10"/>
      <c r="BV154" s="12">
        <v>6395.9689999999955</v>
      </c>
      <c r="BW154" s="12">
        <v>3308.8599999999906</v>
      </c>
      <c r="BX154" s="12">
        <v>8385</v>
      </c>
      <c r="BY154" s="12">
        <v>5934.7979999999843</v>
      </c>
      <c r="BZ154" s="12">
        <v>10276.376999999977</v>
      </c>
      <c r="CA154" s="12">
        <v>9357.8490000000129</v>
      </c>
      <c r="CB154" s="6"/>
      <c r="CC154" s="10">
        <v>152</v>
      </c>
      <c r="CD154" s="10"/>
      <c r="CE154" s="12">
        <v>9571.5600000000304</v>
      </c>
      <c r="CF154" s="12">
        <v>4962.75</v>
      </c>
      <c r="CG154" s="12">
        <v>12618.120000000037</v>
      </c>
      <c r="CH154" s="12">
        <v>5604.3900000000112</v>
      </c>
      <c r="CI154" s="12">
        <v>15202.543999999963</v>
      </c>
      <c r="CJ154" s="12">
        <v>14007.68500000004</v>
      </c>
    </row>
    <row r="155" spans="1:88" ht="15.75" customHeight="1">
      <c r="A155" s="6"/>
      <c r="B155" s="10">
        <v>153</v>
      </c>
      <c r="C155" s="6"/>
      <c r="G155" s="6"/>
      <c r="H155" s="29">
        <f t="shared" si="12"/>
        <v>21.530000000000015</v>
      </c>
      <c r="I155" s="6">
        <f t="shared" si="13"/>
        <v>32.472000000000065</v>
      </c>
      <c r="J155" s="28"/>
      <c r="K155" s="28"/>
      <c r="L155" s="28">
        <v>31.725000000000001</v>
      </c>
      <c r="M155" s="28">
        <v>31.725000000000001</v>
      </c>
      <c r="N155" s="28">
        <v>31.725000000000001</v>
      </c>
      <c r="O155" s="22">
        <v>31.725000000000001</v>
      </c>
      <c r="P155" s="22">
        <v>31.725000000000001</v>
      </c>
      <c r="Q155" s="22">
        <v>31.725000000000001</v>
      </c>
      <c r="R155" s="22">
        <v>31.725000000000001</v>
      </c>
      <c r="S155" s="22">
        <v>31.725000000000001</v>
      </c>
      <c r="T155" s="22">
        <v>31.725000000000001</v>
      </c>
      <c r="U155" s="22">
        <v>31.725000000000001</v>
      </c>
      <c r="V155" s="22">
        <v>31.725000000000001</v>
      </c>
      <c r="W155" s="25">
        <v>31.725000000000001</v>
      </c>
      <c r="X155" s="25">
        <v>31.725000000000001</v>
      </c>
      <c r="Y155" s="25">
        <v>31.725000000000001</v>
      </c>
      <c r="Z155" s="25">
        <v>31.725000000000001</v>
      </c>
      <c r="AA155" s="25">
        <v>31.725000000000001</v>
      </c>
      <c r="AB155" s="25">
        <v>31.725000000000001</v>
      </c>
      <c r="AC155" s="25">
        <v>31.725000000000001</v>
      </c>
      <c r="AD155" s="25">
        <v>31.725000000000001</v>
      </c>
      <c r="AE155" s="25">
        <v>31.725000000000001</v>
      </c>
      <c r="AF155" s="25">
        <v>31.725000000000001</v>
      </c>
      <c r="AG155" s="25">
        <v>31.725000000000001</v>
      </c>
      <c r="AH155" s="25">
        <v>31.725000000000001</v>
      </c>
      <c r="AI155" s="25">
        <v>31.725000000000001</v>
      </c>
      <c r="AJ155" s="25">
        <v>31.725000000000001</v>
      </c>
      <c r="AK155" s="25">
        <v>31.725000000000001</v>
      </c>
      <c r="AL155" s="25">
        <v>31.725000000000001</v>
      </c>
      <c r="AM155" s="25">
        <v>31.725000000000001</v>
      </c>
      <c r="AN155" s="25">
        <v>31.725000000000001</v>
      </c>
      <c r="AO155" s="25">
        <v>31.725000000000001</v>
      </c>
      <c r="AP155" s="25">
        <v>31.725000000000001</v>
      </c>
      <c r="AQ155" s="25">
        <v>31.725000000000001</v>
      </c>
      <c r="AR155" s="25">
        <v>31.725000000000001</v>
      </c>
      <c r="BB155" s="10">
        <v>153</v>
      </c>
      <c r="BC155" s="10" t="s">
        <v>6</v>
      </c>
      <c r="BD155" s="12">
        <v>2451.5200000000091</v>
      </c>
      <c r="BE155" s="12">
        <v>1080.5839999999989</v>
      </c>
      <c r="BF155" s="12">
        <v>2676.8400000000038</v>
      </c>
      <c r="BG155" s="12">
        <v>1879.520000000007</v>
      </c>
      <c r="BH155" s="12">
        <v>3374.1599999999962</v>
      </c>
      <c r="BI155" s="12">
        <v>3037.9200000000019</v>
      </c>
      <c r="BK155" s="10">
        <v>153</v>
      </c>
      <c r="BL155" s="10" t="s">
        <v>24</v>
      </c>
      <c r="BM155" s="12">
        <v>3909.7600000000057</v>
      </c>
      <c r="BN155" s="12">
        <v>1616.6720000000023</v>
      </c>
      <c r="BO155" s="12">
        <v>3997.9040000000023</v>
      </c>
      <c r="BP155" s="12">
        <v>2807.4959999999896</v>
      </c>
      <c r="BQ155" s="12">
        <v>4896.4000000000015</v>
      </c>
      <c r="BR155" s="12">
        <v>4522.4799999999886</v>
      </c>
      <c r="BS155" s="6"/>
      <c r="BT155" s="10">
        <v>153</v>
      </c>
      <c r="BU155" s="10"/>
      <c r="BV155" s="12">
        <v>6447.1919999999955</v>
      </c>
      <c r="BW155" s="12">
        <v>3334.4799999999905</v>
      </c>
      <c r="BX155" s="12">
        <v>8450</v>
      </c>
      <c r="BY155" s="12">
        <v>5980.8639999999841</v>
      </c>
      <c r="BZ155" s="12">
        <v>10356.535999999976</v>
      </c>
      <c r="CA155" s="12">
        <v>9431.0320000000138</v>
      </c>
      <c r="CB155" s="6"/>
      <c r="CC155" s="10">
        <v>153</v>
      </c>
      <c r="CD155" s="10"/>
      <c r="CE155" s="12">
        <v>9648.0800000000309</v>
      </c>
      <c r="CF155" s="12">
        <v>5002</v>
      </c>
      <c r="CG155" s="12">
        <v>12716.160000000038</v>
      </c>
      <c r="CH155" s="12">
        <v>5641.5200000000114</v>
      </c>
      <c r="CI155" s="12">
        <v>15321.791999999963</v>
      </c>
      <c r="CJ155" s="12">
        <v>14117.08000000004</v>
      </c>
    </row>
    <row r="156" spans="1:88" ht="15.75" customHeight="1">
      <c r="A156" s="6"/>
      <c r="B156" s="10">
        <v>154</v>
      </c>
      <c r="C156" s="6"/>
      <c r="G156" s="6"/>
      <c r="H156" s="29">
        <f t="shared" si="12"/>
        <v>23.140000000000015</v>
      </c>
      <c r="I156" s="6">
        <f t="shared" si="13"/>
        <v>34.900000000000063</v>
      </c>
      <c r="J156" s="22">
        <v>115</v>
      </c>
      <c r="K156" s="22">
        <v>4.8</v>
      </c>
      <c r="L156" s="22">
        <v>5</v>
      </c>
      <c r="M156" s="22">
        <v>6</v>
      </c>
      <c r="N156" s="22">
        <v>7</v>
      </c>
      <c r="O156" s="22">
        <v>8</v>
      </c>
      <c r="P156" s="22">
        <v>9</v>
      </c>
      <c r="Q156" s="26">
        <v>11</v>
      </c>
      <c r="R156" s="26">
        <v>12</v>
      </c>
      <c r="S156" s="26">
        <v>13</v>
      </c>
      <c r="T156" s="26">
        <v>14</v>
      </c>
      <c r="U156" s="26">
        <v>15</v>
      </c>
      <c r="V156" s="26">
        <v>16</v>
      </c>
      <c r="W156" s="26">
        <v>17</v>
      </c>
      <c r="X156" s="26">
        <v>18</v>
      </c>
      <c r="Y156" s="26">
        <v>19</v>
      </c>
      <c r="Z156" s="26">
        <v>20</v>
      </c>
      <c r="AA156" s="26">
        <v>21</v>
      </c>
      <c r="AB156" s="26">
        <v>22</v>
      </c>
      <c r="AC156" s="26">
        <v>23</v>
      </c>
      <c r="AD156" s="22">
        <v>24</v>
      </c>
      <c r="AE156" s="27">
        <v>25</v>
      </c>
      <c r="AF156" s="27">
        <v>26</v>
      </c>
      <c r="AG156" s="27">
        <v>27</v>
      </c>
      <c r="AH156" s="27">
        <v>28</v>
      </c>
      <c r="AI156" s="27">
        <v>29</v>
      </c>
      <c r="AJ156" s="27">
        <v>30</v>
      </c>
      <c r="AK156" s="27">
        <v>31</v>
      </c>
      <c r="AL156" s="27">
        <v>32</v>
      </c>
      <c r="AM156" s="27">
        <v>33</v>
      </c>
      <c r="AN156" s="27">
        <v>34</v>
      </c>
      <c r="AO156" s="27">
        <v>35</v>
      </c>
      <c r="AP156" s="27">
        <v>36</v>
      </c>
      <c r="AQ156" s="27">
        <v>37</v>
      </c>
      <c r="AR156" s="27">
        <v>38</v>
      </c>
      <c r="BB156" s="10">
        <v>154</v>
      </c>
      <c r="BC156" s="10" t="s">
        <v>6</v>
      </c>
      <c r="BD156" s="12">
        <v>2468.6500000000092</v>
      </c>
      <c r="BE156" s="12">
        <v>1087.704999999999</v>
      </c>
      <c r="BF156" s="12">
        <v>2695.1750000000038</v>
      </c>
      <c r="BG156" s="12">
        <v>1892.4000000000071</v>
      </c>
      <c r="BH156" s="12">
        <v>3397.9499999999962</v>
      </c>
      <c r="BI156" s="12">
        <v>3059.1500000000019</v>
      </c>
      <c r="BK156" s="10">
        <v>154</v>
      </c>
      <c r="BL156" s="10" t="s">
        <v>24</v>
      </c>
      <c r="BM156" s="12">
        <v>3938.7000000000057</v>
      </c>
      <c r="BN156" s="12">
        <v>1627.8900000000024</v>
      </c>
      <c r="BO156" s="12">
        <v>4025.4800000000023</v>
      </c>
      <c r="BP156" s="12">
        <v>2826.8949999999895</v>
      </c>
      <c r="BQ156" s="12">
        <v>4930.5000000000018</v>
      </c>
      <c r="BR156" s="12">
        <v>4553.8499999999885</v>
      </c>
      <c r="BS156" s="6"/>
      <c r="BT156" s="10">
        <v>154</v>
      </c>
      <c r="BU156" s="10"/>
      <c r="BV156" s="12">
        <v>6498.4149999999954</v>
      </c>
      <c r="BW156" s="12">
        <v>3360.0999999999904</v>
      </c>
      <c r="BX156" s="12">
        <v>8515</v>
      </c>
      <c r="BY156" s="12">
        <v>6026.9299999999839</v>
      </c>
      <c r="BZ156" s="12">
        <v>10436.694999999976</v>
      </c>
      <c r="CA156" s="12">
        <v>9504.2150000000147</v>
      </c>
      <c r="CB156" s="6"/>
      <c r="CC156" s="10">
        <v>154</v>
      </c>
      <c r="CD156" s="10"/>
      <c r="CE156" s="12">
        <v>9724.6000000000313</v>
      </c>
      <c r="CF156" s="12">
        <v>5041.25</v>
      </c>
      <c r="CG156" s="12">
        <v>12814.200000000039</v>
      </c>
      <c r="CH156" s="12">
        <v>5678.6500000000115</v>
      </c>
      <c r="CI156" s="12">
        <v>15441.039999999963</v>
      </c>
      <c r="CJ156" s="12">
        <v>14226.47500000004</v>
      </c>
    </row>
    <row r="157" spans="1:88" ht="15.75" customHeight="1">
      <c r="A157" s="6"/>
      <c r="B157" s="10">
        <v>155</v>
      </c>
      <c r="C157" s="6"/>
      <c r="G157" s="6"/>
      <c r="H157" s="29">
        <f t="shared" si="12"/>
        <v>24.750000000000014</v>
      </c>
      <c r="I157" s="6">
        <f t="shared" si="13"/>
        <v>37.32800000000006</v>
      </c>
      <c r="J157" s="28"/>
      <c r="K157" s="28"/>
      <c r="L157" s="28">
        <v>1290.3399999999999</v>
      </c>
      <c r="M157" s="28">
        <v>1428.2719999999999</v>
      </c>
      <c r="N157" s="28">
        <v>1566.204</v>
      </c>
      <c r="O157" s="22">
        <v>1704.136</v>
      </c>
      <c r="P157" s="22">
        <v>1842.068</v>
      </c>
      <c r="Q157" s="22">
        <v>2117.9319999999998</v>
      </c>
      <c r="R157" s="22">
        <v>2255.8639999999996</v>
      </c>
      <c r="S157" s="22">
        <v>2393.7959999999994</v>
      </c>
      <c r="T157" s="22">
        <v>2531.7279999999992</v>
      </c>
      <c r="U157" s="22">
        <v>2669.6599999999989</v>
      </c>
      <c r="V157" s="22">
        <v>2807.5919999999987</v>
      </c>
      <c r="W157" s="25">
        <v>2945.5239999999985</v>
      </c>
      <c r="X157" s="25">
        <v>3083.4559999999983</v>
      </c>
      <c r="Y157" s="25">
        <v>3221.3879999999981</v>
      </c>
      <c r="Z157" s="25">
        <v>3359.3199999999979</v>
      </c>
      <c r="AA157" s="25">
        <v>3497.2519999999977</v>
      </c>
      <c r="AB157" s="25">
        <v>3635.1839999999975</v>
      </c>
      <c r="AC157" s="25">
        <v>3773.1159999999973</v>
      </c>
      <c r="AD157" s="25">
        <v>3911.047999999997</v>
      </c>
      <c r="AE157" s="25">
        <v>4048.9799999999968</v>
      </c>
      <c r="AF157" s="25">
        <v>4186.9119999999966</v>
      </c>
      <c r="AG157" s="25">
        <v>4324.8439999999964</v>
      </c>
      <c r="AH157" s="25">
        <v>4462.7759999999962</v>
      </c>
      <c r="AI157" s="25">
        <v>4600.707999999996</v>
      </c>
      <c r="AJ157" s="25">
        <v>4738.6399999999958</v>
      </c>
      <c r="AK157" s="25">
        <v>4876.5719999999956</v>
      </c>
      <c r="AL157" s="25">
        <v>5014.5039999999954</v>
      </c>
      <c r="AM157" s="25">
        <v>5152.4359999999951</v>
      </c>
      <c r="AN157" s="25">
        <v>5290.3679999999949</v>
      </c>
      <c r="AO157" s="25">
        <v>5428.2999999999947</v>
      </c>
      <c r="AP157" s="25">
        <v>5566.2319999999945</v>
      </c>
      <c r="AQ157" s="25">
        <v>5704.1639999999943</v>
      </c>
      <c r="AR157" s="25">
        <v>5842.0959999999941</v>
      </c>
      <c r="BB157" s="10">
        <v>155</v>
      </c>
      <c r="BC157" s="10" t="s">
        <v>6</v>
      </c>
      <c r="BD157" s="12">
        <v>2485.7800000000093</v>
      </c>
      <c r="BE157" s="12">
        <v>1094.8259999999991</v>
      </c>
      <c r="BF157" s="12">
        <v>2713.5100000000039</v>
      </c>
      <c r="BG157" s="12">
        <v>1905.2800000000072</v>
      </c>
      <c r="BH157" s="12">
        <v>3421.7399999999961</v>
      </c>
      <c r="BI157" s="12">
        <v>3080.3800000000019</v>
      </c>
      <c r="BK157" s="10">
        <v>155</v>
      </c>
      <c r="BL157" s="10" t="s">
        <v>24</v>
      </c>
      <c r="BM157" s="12">
        <v>3967.6400000000058</v>
      </c>
      <c r="BN157" s="12">
        <v>1639.1080000000024</v>
      </c>
      <c r="BO157" s="12">
        <v>4053.0560000000023</v>
      </c>
      <c r="BP157" s="12">
        <v>2846.2939999999894</v>
      </c>
      <c r="BQ157" s="12">
        <v>4964.6000000000022</v>
      </c>
      <c r="BR157" s="12">
        <v>4585.2199999999884</v>
      </c>
      <c r="BS157" s="6"/>
      <c r="BT157" s="10">
        <v>155</v>
      </c>
      <c r="BU157" s="10"/>
      <c r="BV157" s="12">
        <v>6549.6379999999954</v>
      </c>
      <c r="BW157" s="12">
        <v>3385.7199999999903</v>
      </c>
      <c r="BX157" s="12">
        <v>8580</v>
      </c>
      <c r="BY157" s="12">
        <v>6072.9959999999837</v>
      </c>
      <c r="BZ157" s="12">
        <v>10516.853999999976</v>
      </c>
      <c r="CA157" s="12">
        <v>9577.3980000000156</v>
      </c>
      <c r="CB157" s="6"/>
      <c r="CC157" s="10">
        <v>155</v>
      </c>
      <c r="CD157" s="10"/>
      <c r="CE157" s="12">
        <v>9801.1200000000317</v>
      </c>
      <c r="CF157" s="12">
        <v>5080.5</v>
      </c>
      <c r="CG157" s="12">
        <v>12912.24000000004</v>
      </c>
      <c r="CH157" s="12">
        <v>5715.7800000000116</v>
      </c>
      <c r="CI157" s="12">
        <v>15560.287999999962</v>
      </c>
      <c r="CJ157" s="12">
        <v>14335.870000000041</v>
      </c>
    </row>
    <row r="158" spans="1:88" ht="15.75" customHeight="1">
      <c r="A158" s="6"/>
      <c r="B158" s="10">
        <v>156</v>
      </c>
      <c r="C158" s="6"/>
      <c r="G158" s="6"/>
      <c r="H158" s="29">
        <f t="shared" si="12"/>
        <v>26.360000000000014</v>
      </c>
      <c r="I158" s="6">
        <f t="shared" si="13"/>
        <v>39.756000000000057</v>
      </c>
      <c r="J158" s="28"/>
      <c r="K158" s="28"/>
      <c r="L158" s="28">
        <v>137.93199999999999</v>
      </c>
      <c r="M158" s="28">
        <v>137.93199999999999</v>
      </c>
      <c r="N158" s="28">
        <v>137.93199999999999</v>
      </c>
      <c r="O158" s="22">
        <v>137.93199999999999</v>
      </c>
      <c r="P158" s="22">
        <v>137.93199999999999</v>
      </c>
      <c r="Q158" s="22">
        <v>137.93199999999999</v>
      </c>
      <c r="R158" s="22">
        <v>137.93199999999999</v>
      </c>
      <c r="S158" s="22">
        <v>137.93199999999999</v>
      </c>
      <c r="T158" s="22">
        <v>137.93199999999999</v>
      </c>
      <c r="U158" s="22">
        <v>137.93199999999999</v>
      </c>
      <c r="V158" s="22">
        <v>137.93199999999999</v>
      </c>
      <c r="W158" s="25">
        <v>137.93199999999999</v>
      </c>
      <c r="X158" s="25">
        <v>137.93199999999999</v>
      </c>
      <c r="Y158" s="25">
        <v>137.93199999999999</v>
      </c>
      <c r="Z158" s="25">
        <v>137.93199999999999</v>
      </c>
      <c r="AA158" s="25">
        <v>137.93199999999999</v>
      </c>
      <c r="AB158" s="25">
        <v>137.93199999999999</v>
      </c>
      <c r="AC158" s="25">
        <v>137.93199999999999</v>
      </c>
      <c r="AD158" s="25">
        <v>137.93199999999999</v>
      </c>
      <c r="AE158" s="25">
        <v>137.93199999999999</v>
      </c>
      <c r="AF158" s="25">
        <v>137.93199999999999</v>
      </c>
      <c r="AG158" s="25">
        <v>137.93199999999999</v>
      </c>
      <c r="AH158" s="25">
        <v>137.93199999999999</v>
      </c>
      <c r="AI158" s="25">
        <v>137.93199999999999</v>
      </c>
      <c r="AJ158" s="25">
        <v>137.93199999999999</v>
      </c>
      <c r="AK158" s="25">
        <v>137.93199999999999</v>
      </c>
      <c r="AL158" s="25">
        <v>137.93199999999999</v>
      </c>
      <c r="AM158" s="25">
        <v>137.93199999999999</v>
      </c>
      <c r="AN158" s="25">
        <v>137.93199999999999</v>
      </c>
      <c r="AO158" s="25">
        <v>137.93199999999999</v>
      </c>
      <c r="AP158" s="25">
        <v>137.93199999999999</v>
      </c>
      <c r="AQ158" s="25">
        <v>137.93199999999999</v>
      </c>
      <c r="AR158" s="25">
        <v>137.93199999999999</v>
      </c>
      <c r="BB158" s="10">
        <v>156</v>
      </c>
      <c r="BC158" s="10" t="s">
        <v>6</v>
      </c>
      <c r="BD158" s="12">
        <v>2502.9100000000094</v>
      </c>
      <c r="BE158" s="12">
        <v>1101.9469999999992</v>
      </c>
      <c r="BF158" s="12">
        <v>2731.8450000000039</v>
      </c>
      <c r="BG158" s="12">
        <v>1918.1600000000074</v>
      </c>
      <c r="BH158" s="12">
        <v>3445.5299999999961</v>
      </c>
      <c r="BI158" s="12">
        <v>3101.6100000000019</v>
      </c>
      <c r="BK158" s="10">
        <v>156</v>
      </c>
      <c r="BL158" s="10" t="s">
        <v>24</v>
      </c>
      <c r="BM158" s="12">
        <v>3996.5800000000058</v>
      </c>
      <c r="BN158" s="12">
        <v>1650.3260000000025</v>
      </c>
      <c r="BO158" s="12">
        <v>4080.6320000000023</v>
      </c>
      <c r="BP158" s="12">
        <v>2865.6929999999893</v>
      </c>
      <c r="BQ158" s="12">
        <v>4998.7000000000025</v>
      </c>
      <c r="BR158" s="12">
        <v>4616.5899999999883</v>
      </c>
      <c r="BS158" s="6"/>
      <c r="BT158" s="10">
        <v>156</v>
      </c>
      <c r="BU158" s="10"/>
      <c r="BV158" s="12">
        <v>6600.8609999999953</v>
      </c>
      <c r="BW158" s="12">
        <v>3411.3399999999901</v>
      </c>
      <c r="BX158" s="12">
        <v>8645</v>
      </c>
      <c r="BY158" s="12">
        <v>6119.0619999999835</v>
      </c>
      <c r="BZ158" s="12">
        <v>10597.012999999975</v>
      </c>
      <c r="CA158" s="12">
        <v>9650.5810000000165</v>
      </c>
      <c r="CB158" s="6"/>
      <c r="CC158" s="10">
        <v>156</v>
      </c>
      <c r="CD158" s="10"/>
      <c r="CE158" s="12">
        <v>9877.6400000000322</v>
      </c>
      <c r="CF158" s="12">
        <v>5119.75</v>
      </c>
      <c r="CG158" s="12">
        <v>13010.280000000041</v>
      </c>
      <c r="CH158" s="12">
        <v>5752.9100000000117</v>
      </c>
      <c r="CI158" s="12">
        <v>15679.535999999962</v>
      </c>
      <c r="CJ158" s="12">
        <v>14445.265000000041</v>
      </c>
    </row>
    <row r="159" spans="1:88" ht="15.75" customHeight="1">
      <c r="A159" s="6"/>
      <c r="B159" s="10">
        <v>157</v>
      </c>
      <c r="C159" s="6"/>
      <c r="G159" s="6"/>
      <c r="H159" s="29">
        <f t="shared" si="12"/>
        <v>27.970000000000013</v>
      </c>
      <c r="I159" s="6">
        <f t="shared" si="13"/>
        <v>42.184000000000054</v>
      </c>
      <c r="J159" s="7">
        <v>49</v>
      </c>
      <c r="K159" s="7">
        <v>6.4</v>
      </c>
      <c r="L159" s="7">
        <v>5</v>
      </c>
      <c r="M159" s="7">
        <v>6</v>
      </c>
      <c r="N159" s="7">
        <v>7</v>
      </c>
      <c r="O159" s="7">
        <v>8</v>
      </c>
      <c r="P159" s="7">
        <v>9</v>
      </c>
      <c r="Q159" s="20">
        <v>11</v>
      </c>
      <c r="R159" s="20">
        <v>12</v>
      </c>
      <c r="S159" s="20">
        <v>13</v>
      </c>
      <c r="T159" s="20">
        <v>14</v>
      </c>
      <c r="U159" s="20">
        <v>15</v>
      </c>
      <c r="V159" s="20">
        <v>16</v>
      </c>
      <c r="W159" s="20">
        <v>17</v>
      </c>
      <c r="X159" s="20">
        <v>18</v>
      </c>
      <c r="Y159" s="20">
        <v>19</v>
      </c>
      <c r="Z159" s="20">
        <v>20</v>
      </c>
      <c r="AA159" s="20">
        <v>21</v>
      </c>
      <c r="AB159" s="20">
        <v>22</v>
      </c>
      <c r="AC159" s="20">
        <v>23</v>
      </c>
      <c r="AD159" s="7">
        <v>24</v>
      </c>
      <c r="AE159" s="21">
        <v>25</v>
      </c>
      <c r="AF159" s="21">
        <v>26</v>
      </c>
      <c r="AG159" s="21">
        <v>27</v>
      </c>
      <c r="AH159" s="21">
        <v>28</v>
      </c>
      <c r="AI159" s="21">
        <v>29</v>
      </c>
      <c r="AJ159" s="21">
        <v>30</v>
      </c>
      <c r="AK159" s="21">
        <v>31</v>
      </c>
      <c r="AL159" s="21">
        <v>32</v>
      </c>
      <c r="AM159" s="21">
        <v>33</v>
      </c>
      <c r="AN159" s="21">
        <v>34</v>
      </c>
      <c r="AO159" s="21">
        <v>35</v>
      </c>
      <c r="AP159" s="21">
        <v>36</v>
      </c>
      <c r="AQ159" s="21">
        <v>37</v>
      </c>
      <c r="AR159" s="21">
        <v>38</v>
      </c>
      <c r="BB159" s="10">
        <v>157</v>
      </c>
      <c r="BC159" s="10" t="s">
        <v>6</v>
      </c>
      <c r="BD159" s="12">
        <v>2520.0400000000095</v>
      </c>
      <c r="BE159" s="12">
        <v>1109.0679999999993</v>
      </c>
      <c r="BF159" s="12">
        <v>2750.1800000000039</v>
      </c>
      <c r="BG159" s="12">
        <v>1931.0400000000075</v>
      </c>
      <c r="BH159" s="12">
        <v>3469.3199999999961</v>
      </c>
      <c r="BI159" s="12">
        <v>3122.840000000002</v>
      </c>
      <c r="BK159" s="10">
        <v>157</v>
      </c>
      <c r="BL159" s="10" t="s">
        <v>24</v>
      </c>
      <c r="BM159" s="12">
        <v>4025.5200000000059</v>
      </c>
      <c r="BN159" s="12">
        <v>1661.5440000000026</v>
      </c>
      <c r="BO159" s="12">
        <v>4108.2080000000024</v>
      </c>
      <c r="BP159" s="12">
        <v>2885.0919999999892</v>
      </c>
      <c r="BQ159" s="12">
        <v>5032.8000000000029</v>
      </c>
      <c r="BR159" s="12">
        <v>4647.9599999999882</v>
      </c>
      <c r="BS159" s="6"/>
      <c r="BT159" s="10">
        <v>157</v>
      </c>
      <c r="BU159" s="10"/>
      <c r="BV159" s="12">
        <v>6652.0839999999953</v>
      </c>
      <c r="BW159" s="12">
        <v>3436.95999999999</v>
      </c>
      <c r="BX159" s="12">
        <v>8710</v>
      </c>
      <c r="BY159" s="12">
        <v>6165.1279999999833</v>
      </c>
      <c r="BZ159" s="12">
        <v>10677.171999999975</v>
      </c>
      <c r="CA159" s="12">
        <v>9723.7640000000174</v>
      </c>
      <c r="CB159" s="6"/>
      <c r="CC159" s="10">
        <v>157</v>
      </c>
      <c r="CD159" s="10"/>
      <c r="CE159" s="12">
        <v>9954.1600000000326</v>
      </c>
      <c r="CF159" s="12">
        <v>5159</v>
      </c>
      <c r="CG159" s="12">
        <v>13108.320000000042</v>
      </c>
      <c r="CH159" s="12">
        <v>5790.0400000000118</v>
      </c>
      <c r="CI159" s="12">
        <v>15798.783999999961</v>
      </c>
      <c r="CJ159" s="12">
        <v>14554.660000000042</v>
      </c>
    </row>
    <row r="160" spans="1:88" ht="15.75" customHeight="1">
      <c r="A160" s="6"/>
      <c r="B160" s="10">
        <v>158</v>
      </c>
      <c r="C160" s="6"/>
      <c r="G160" s="6"/>
      <c r="H160" s="29">
        <f t="shared" si="12"/>
        <v>29.580000000000013</v>
      </c>
      <c r="I160" s="6">
        <f t="shared" si="13"/>
        <v>44.612000000000052</v>
      </c>
      <c r="J160" s="6"/>
      <c r="K160" s="6"/>
      <c r="L160" s="6">
        <v>890.33999999999992</v>
      </c>
      <c r="M160" s="6">
        <v>938.27199999999993</v>
      </c>
      <c r="N160" s="6">
        <v>986.20399999999995</v>
      </c>
      <c r="O160" s="7">
        <v>1034.136</v>
      </c>
      <c r="P160" s="7">
        <v>1082.068</v>
      </c>
      <c r="Q160" s="7">
        <v>1177.932</v>
      </c>
      <c r="R160" s="7">
        <v>1225.864</v>
      </c>
      <c r="S160" s="7">
        <v>1273.796</v>
      </c>
      <c r="T160" s="7">
        <v>1321.7280000000001</v>
      </c>
      <c r="U160" s="7">
        <v>1369.66</v>
      </c>
      <c r="V160" s="7">
        <v>1417.5920000000001</v>
      </c>
      <c r="W160">
        <v>1465.5240000000001</v>
      </c>
      <c r="X160">
        <v>1513.4560000000001</v>
      </c>
      <c r="Y160">
        <v>1561.3880000000001</v>
      </c>
      <c r="Z160">
        <v>1609.3200000000002</v>
      </c>
      <c r="AA160">
        <v>1657.2520000000002</v>
      </c>
      <c r="AB160">
        <v>1705.1840000000002</v>
      </c>
      <c r="AC160">
        <v>1753.1160000000002</v>
      </c>
      <c r="AD160">
        <v>1801.0480000000002</v>
      </c>
      <c r="AE160">
        <v>1848.9800000000002</v>
      </c>
      <c r="AF160">
        <v>1896.9120000000003</v>
      </c>
      <c r="AG160">
        <v>1944.8440000000003</v>
      </c>
      <c r="AH160">
        <v>1992.7760000000003</v>
      </c>
      <c r="AI160">
        <v>2040.7080000000003</v>
      </c>
      <c r="AJ160">
        <v>2088.6400000000003</v>
      </c>
      <c r="AK160">
        <v>2136.5720000000001</v>
      </c>
      <c r="AL160">
        <v>2184.5039999999999</v>
      </c>
      <c r="AM160">
        <v>2232.4359999999997</v>
      </c>
      <c r="AN160">
        <v>2280.3679999999995</v>
      </c>
      <c r="AO160">
        <v>2328.2999999999993</v>
      </c>
      <c r="AP160">
        <v>2376.232</v>
      </c>
      <c r="AQ160">
        <v>2424.1639999999989</v>
      </c>
      <c r="AR160">
        <v>2472.096</v>
      </c>
      <c r="BB160" s="10">
        <v>158</v>
      </c>
      <c r="BC160" s="10" t="s">
        <v>6</v>
      </c>
      <c r="BD160" s="12">
        <v>2537.1700000000096</v>
      </c>
      <c r="BE160" s="12">
        <v>1116.1889999999994</v>
      </c>
      <c r="BF160" s="12">
        <v>2768.515000000004</v>
      </c>
      <c r="BG160" s="12">
        <v>1943.9200000000076</v>
      </c>
      <c r="BH160" s="12">
        <v>3493.109999999996</v>
      </c>
      <c r="BI160" s="12">
        <v>3144.070000000002</v>
      </c>
      <c r="BK160" s="10">
        <v>158</v>
      </c>
      <c r="BL160" s="10" t="s">
        <v>24</v>
      </c>
      <c r="BM160" s="12">
        <v>4054.4600000000059</v>
      </c>
      <c r="BN160" s="12">
        <v>1672.7620000000027</v>
      </c>
      <c r="BO160" s="12">
        <v>4135.7840000000024</v>
      </c>
      <c r="BP160" s="12">
        <v>2904.4909999999891</v>
      </c>
      <c r="BQ160" s="12">
        <v>5066.9000000000033</v>
      </c>
      <c r="BR160" s="12">
        <v>4679.3299999999881</v>
      </c>
      <c r="BS160" s="6"/>
      <c r="BT160" s="10">
        <v>158</v>
      </c>
      <c r="BU160" s="10"/>
      <c r="BV160" s="12">
        <v>6703.3069999999952</v>
      </c>
      <c r="BW160" s="12">
        <v>3462.5799999999899</v>
      </c>
      <c r="BX160" s="12">
        <v>8775</v>
      </c>
      <c r="BY160" s="12">
        <v>6211.1939999999831</v>
      </c>
      <c r="BZ160" s="12">
        <v>10757.330999999975</v>
      </c>
      <c r="CA160" s="12">
        <v>9796.9470000000183</v>
      </c>
      <c r="CB160" s="6"/>
      <c r="CC160" s="10">
        <v>158</v>
      </c>
      <c r="CD160" s="10"/>
      <c r="CE160" s="12">
        <v>10030.680000000033</v>
      </c>
      <c r="CF160" s="12">
        <v>5198.25</v>
      </c>
      <c r="CG160" s="12">
        <v>13206.360000000042</v>
      </c>
      <c r="CH160" s="12">
        <v>5827.1700000000119</v>
      </c>
      <c r="CI160" s="12">
        <v>15918.031999999961</v>
      </c>
      <c r="CJ160" s="12">
        <v>14664.055000000042</v>
      </c>
    </row>
    <row r="161" spans="1:88" ht="15.75" customHeight="1">
      <c r="A161" s="6"/>
      <c r="B161" s="10">
        <v>159</v>
      </c>
      <c r="C161" s="6"/>
      <c r="G161" s="6"/>
      <c r="H161" s="29">
        <f t="shared" si="12"/>
        <v>31.190000000000012</v>
      </c>
      <c r="I161" s="6">
        <f t="shared" si="13"/>
        <v>47.040000000000049</v>
      </c>
      <c r="J161" s="6"/>
      <c r="K161" s="6"/>
      <c r="L161" s="6">
        <v>47.932000000000002</v>
      </c>
      <c r="M161" s="6">
        <v>47.932000000000002</v>
      </c>
      <c r="N161" s="6">
        <v>47.932000000000002</v>
      </c>
      <c r="O161" s="7">
        <v>47.932000000000002</v>
      </c>
      <c r="P161" s="7">
        <v>47.932000000000002</v>
      </c>
      <c r="Q161" s="7">
        <v>47.932000000000002</v>
      </c>
      <c r="R161" s="7">
        <v>47.932000000000002</v>
      </c>
      <c r="S161" s="7">
        <v>47.932000000000002</v>
      </c>
      <c r="T161" s="7">
        <v>47.932000000000002</v>
      </c>
      <c r="U161" s="7">
        <v>47.932000000000002</v>
      </c>
      <c r="V161" s="7">
        <v>47.932000000000002</v>
      </c>
      <c r="W161">
        <v>47.932000000000002</v>
      </c>
      <c r="X161">
        <v>47.932000000000002</v>
      </c>
      <c r="Y161">
        <v>47.932000000000002</v>
      </c>
      <c r="Z161">
        <v>47.932000000000002</v>
      </c>
      <c r="AA161">
        <v>47.932000000000002</v>
      </c>
      <c r="AB161">
        <v>47.932000000000002</v>
      </c>
      <c r="AC161">
        <v>47.932000000000002</v>
      </c>
      <c r="AD161">
        <v>47.932000000000002</v>
      </c>
      <c r="AE161">
        <v>47.932000000000002</v>
      </c>
      <c r="AF161">
        <v>47.932000000000002</v>
      </c>
      <c r="AG161">
        <v>47.932000000000002</v>
      </c>
      <c r="AH161">
        <v>47.932000000000002</v>
      </c>
      <c r="AI161">
        <v>47.932000000000002</v>
      </c>
      <c r="AJ161">
        <v>47.932000000000002</v>
      </c>
      <c r="AK161">
        <v>47.932000000000002</v>
      </c>
      <c r="AL161">
        <v>47.932000000000002</v>
      </c>
      <c r="AM161">
        <v>47.932000000000002</v>
      </c>
      <c r="AN161">
        <v>47.932000000000002</v>
      </c>
      <c r="AO161">
        <v>47.932000000000002</v>
      </c>
      <c r="AP161">
        <v>47.932000000000002</v>
      </c>
      <c r="AQ161">
        <v>47.932000000000002</v>
      </c>
      <c r="AR161">
        <v>47.932000000000002</v>
      </c>
      <c r="BB161" s="10">
        <v>159</v>
      </c>
      <c r="BC161" s="10" t="s">
        <v>6</v>
      </c>
      <c r="BD161" s="12">
        <v>2554.3000000000097</v>
      </c>
      <c r="BE161" s="12">
        <v>1123.3099999999995</v>
      </c>
      <c r="BF161" s="12">
        <v>2786.850000000004</v>
      </c>
      <c r="BG161" s="12">
        <v>1956.8000000000077</v>
      </c>
      <c r="BH161" s="12">
        <v>3516.899999999996</v>
      </c>
      <c r="BI161" s="12">
        <v>3165.300000000002</v>
      </c>
      <c r="BK161" s="10">
        <v>159</v>
      </c>
      <c r="BL161" s="10" t="s">
        <v>24</v>
      </c>
      <c r="BM161" s="12">
        <v>4083.400000000006</v>
      </c>
      <c r="BN161" s="12">
        <v>1683.9800000000027</v>
      </c>
      <c r="BO161" s="12">
        <v>4163.3600000000024</v>
      </c>
      <c r="BP161" s="12">
        <v>2923.889999999989</v>
      </c>
      <c r="BQ161" s="12">
        <v>5101.0000000000036</v>
      </c>
      <c r="BR161" s="12">
        <v>4710.699999999988</v>
      </c>
      <c r="BS161" s="6"/>
      <c r="BT161" s="10">
        <v>159</v>
      </c>
      <c r="BU161" s="10"/>
      <c r="BV161" s="12">
        <v>6754.5299999999952</v>
      </c>
      <c r="BW161" s="12">
        <v>3488.1999999999898</v>
      </c>
      <c r="BX161" s="12">
        <v>8840</v>
      </c>
      <c r="BY161" s="12">
        <v>6257.2599999999829</v>
      </c>
      <c r="BZ161" s="12">
        <v>10837.489999999974</v>
      </c>
      <c r="CA161" s="12">
        <v>9870.1300000000192</v>
      </c>
      <c r="CB161" s="6"/>
      <c r="CC161" s="10">
        <v>159</v>
      </c>
      <c r="CD161" s="10"/>
      <c r="CE161" s="12">
        <v>10107.200000000033</v>
      </c>
      <c r="CF161" s="12">
        <v>5237.5</v>
      </c>
      <c r="CG161" s="12">
        <v>13304.400000000043</v>
      </c>
      <c r="CH161" s="12">
        <v>5864.300000000012</v>
      </c>
      <c r="CI161" s="12">
        <v>16037.279999999961</v>
      </c>
      <c r="CJ161" s="12">
        <v>14773.450000000043</v>
      </c>
    </row>
    <row r="162" spans="1:88" ht="15.75" customHeight="1">
      <c r="A162" s="6"/>
      <c r="B162" s="10">
        <v>160</v>
      </c>
      <c r="C162" s="6"/>
      <c r="G162" s="6"/>
      <c r="H162" s="29">
        <f t="shared" si="12"/>
        <v>32.800000000000011</v>
      </c>
      <c r="I162" s="6">
        <f t="shared" si="13"/>
        <v>49.468000000000046</v>
      </c>
      <c r="J162" s="7">
        <v>115</v>
      </c>
      <c r="K162" s="7">
        <v>6.4</v>
      </c>
      <c r="L162" s="7">
        <v>5</v>
      </c>
      <c r="M162" s="7">
        <v>6</v>
      </c>
      <c r="N162" s="7">
        <v>7</v>
      </c>
      <c r="O162" s="7">
        <v>8</v>
      </c>
      <c r="P162" s="7">
        <v>9</v>
      </c>
      <c r="Q162" s="20">
        <v>11</v>
      </c>
      <c r="R162" s="20">
        <v>12</v>
      </c>
      <c r="S162" s="20">
        <v>13</v>
      </c>
      <c r="T162" s="20">
        <v>14</v>
      </c>
      <c r="U162" s="20">
        <v>15</v>
      </c>
      <c r="V162" s="20">
        <v>16</v>
      </c>
      <c r="W162" s="20">
        <v>17</v>
      </c>
      <c r="X162" s="20">
        <v>18</v>
      </c>
      <c r="Y162" s="20">
        <v>19</v>
      </c>
      <c r="Z162" s="20">
        <v>20</v>
      </c>
      <c r="AA162" s="20">
        <v>21</v>
      </c>
      <c r="AB162" s="20">
        <v>22</v>
      </c>
      <c r="AC162" s="20">
        <v>23</v>
      </c>
      <c r="AD162" s="7">
        <v>24</v>
      </c>
      <c r="AE162" s="21">
        <v>25</v>
      </c>
      <c r="AF162" s="21">
        <v>26</v>
      </c>
      <c r="AG162" s="21">
        <v>27</v>
      </c>
      <c r="AH162" s="21">
        <v>28</v>
      </c>
      <c r="AI162" s="21">
        <v>29</v>
      </c>
      <c r="AJ162" s="21">
        <v>30</v>
      </c>
      <c r="AK162" s="21">
        <v>31</v>
      </c>
      <c r="AL162" s="21">
        <v>32</v>
      </c>
      <c r="AM162" s="21">
        <v>33</v>
      </c>
      <c r="AN162" s="21">
        <v>34</v>
      </c>
      <c r="AO162" s="21">
        <v>35</v>
      </c>
      <c r="AP162" s="21">
        <v>36</v>
      </c>
      <c r="AQ162" s="21">
        <v>37</v>
      </c>
      <c r="AR162" s="21">
        <v>38</v>
      </c>
      <c r="BB162" s="10">
        <v>160</v>
      </c>
      <c r="BC162" s="10" t="s">
        <v>6</v>
      </c>
      <c r="BD162" s="12">
        <v>2571.4300000000098</v>
      </c>
      <c r="BE162" s="12">
        <v>1130.4309999999996</v>
      </c>
      <c r="BF162" s="12">
        <v>2805.185000000004</v>
      </c>
      <c r="BG162" s="12">
        <v>1969.6800000000078</v>
      </c>
      <c r="BH162" s="12">
        <v>3540.689999999996</v>
      </c>
      <c r="BI162" s="12">
        <v>3186.530000000002</v>
      </c>
      <c r="BK162" s="10">
        <v>160</v>
      </c>
      <c r="BL162" s="10" t="s">
        <v>24</v>
      </c>
      <c r="BM162" s="12">
        <v>4112.3400000000056</v>
      </c>
      <c r="BN162" s="12">
        <v>1695.1980000000028</v>
      </c>
      <c r="BO162" s="12">
        <v>4190.9360000000024</v>
      </c>
      <c r="BP162" s="12">
        <v>2943.2889999999888</v>
      </c>
      <c r="BQ162" s="12">
        <v>5135.100000000004</v>
      </c>
      <c r="BR162" s="12">
        <v>4742.0699999999879</v>
      </c>
      <c r="BS162" s="6"/>
      <c r="BT162" s="10">
        <v>160</v>
      </c>
      <c r="BU162" s="10"/>
      <c r="BV162" s="12">
        <v>6805.7529999999952</v>
      </c>
      <c r="BW162" s="12">
        <v>3513.8199999999897</v>
      </c>
      <c r="BX162" s="12">
        <v>8905</v>
      </c>
      <c r="BY162" s="12">
        <v>6303.3259999999827</v>
      </c>
      <c r="BZ162" s="12">
        <v>10917.648999999974</v>
      </c>
      <c r="CA162" s="12">
        <v>9943.3130000000201</v>
      </c>
      <c r="CB162" s="6"/>
      <c r="CC162" s="10">
        <v>160</v>
      </c>
      <c r="CD162" s="10"/>
      <c r="CE162" s="12">
        <v>10183.720000000034</v>
      </c>
      <c r="CF162" s="12">
        <v>5276.75</v>
      </c>
      <c r="CG162" s="12">
        <v>13402.440000000044</v>
      </c>
      <c r="CH162" s="12">
        <v>5901.4300000000121</v>
      </c>
      <c r="CI162" s="12">
        <v>16156.52799999996</v>
      </c>
      <c r="CJ162" s="12">
        <v>14882.845000000043</v>
      </c>
    </row>
    <row r="163" spans="1:88" ht="15.75" customHeight="1">
      <c r="A163" s="6"/>
      <c r="B163" s="10">
        <v>161</v>
      </c>
      <c r="C163" s="6"/>
      <c r="G163" s="6"/>
      <c r="H163" s="29">
        <f t="shared" si="12"/>
        <v>34.410000000000011</v>
      </c>
      <c r="I163" s="6">
        <f t="shared" si="13"/>
        <v>51.896000000000043</v>
      </c>
      <c r="J163" s="6"/>
      <c r="K163" s="6"/>
      <c r="L163" s="6">
        <v>1908.6100000000008</v>
      </c>
      <c r="M163" s="6">
        <v>2116.8880000000008</v>
      </c>
      <c r="N163" s="6">
        <v>2325.1660000000006</v>
      </c>
      <c r="O163" s="7">
        <v>2533.4440000000004</v>
      </c>
      <c r="P163" s="7">
        <v>2741.7220000000002</v>
      </c>
      <c r="Q163" s="7">
        <v>3158.2779999999998</v>
      </c>
      <c r="R163" s="7">
        <v>3366.5559999999996</v>
      </c>
      <c r="S163" s="7">
        <v>3574.8339999999994</v>
      </c>
      <c r="T163" s="7">
        <v>3783.1119999999992</v>
      </c>
      <c r="U163" s="7">
        <v>3991.389999999999</v>
      </c>
      <c r="V163" s="7">
        <v>4199.6679999999988</v>
      </c>
      <c r="W163">
        <v>4407.945999999999</v>
      </c>
      <c r="X163">
        <v>4616.2239999999993</v>
      </c>
      <c r="Y163">
        <v>4824.5019999999995</v>
      </c>
      <c r="Z163">
        <v>5032.78</v>
      </c>
      <c r="AA163">
        <v>5241.058</v>
      </c>
      <c r="AB163">
        <v>5449.3360000000002</v>
      </c>
      <c r="AC163">
        <v>5657.6140000000005</v>
      </c>
      <c r="AD163">
        <v>5865.8920000000007</v>
      </c>
      <c r="AE163">
        <v>6074.170000000001</v>
      </c>
      <c r="AF163">
        <v>6282.4480000000012</v>
      </c>
      <c r="AG163">
        <v>6490.7260000000015</v>
      </c>
      <c r="AH163">
        <v>6699.0040000000017</v>
      </c>
      <c r="AI163">
        <v>6907.282000000002</v>
      </c>
      <c r="AJ163">
        <v>7115.5600000000022</v>
      </c>
      <c r="AK163">
        <v>7323.8380000000025</v>
      </c>
      <c r="AL163">
        <v>7532.1160000000027</v>
      </c>
      <c r="AM163">
        <v>7740.394000000003</v>
      </c>
      <c r="AN163">
        <v>7948.6720000000032</v>
      </c>
      <c r="AO163">
        <v>8156.9500000000035</v>
      </c>
      <c r="AP163">
        <v>8365.2280000000028</v>
      </c>
      <c r="AQ163">
        <v>8573.5059999999994</v>
      </c>
      <c r="AR163">
        <v>8781.7839999999997</v>
      </c>
      <c r="BB163" s="10">
        <v>161</v>
      </c>
      <c r="BC163" s="10" t="s">
        <v>6</v>
      </c>
      <c r="BD163" s="12">
        <v>2588.5600000000099</v>
      </c>
      <c r="BE163" s="12">
        <v>1137.5519999999997</v>
      </c>
      <c r="BF163" s="12">
        <v>2823.5200000000041</v>
      </c>
      <c r="BG163" s="12">
        <v>1982.5600000000079</v>
      </c>
      <c r="BH163" s="12">
        <v>3564.4799999999959</v>
      </c>
      <c r="BI163" s="12">
        <v>3207.760000000002</v>
      </c>
      <c r="BK163" s="10">
        <v>161</v>
      </c>
      <c r="BL163" s="10" t="s">
        <v>24</v>
      </c>
      <c r="BM163" s="12">
        <v>4141.2800000000052</v>
      </c>
      <c r="BN163" s="12">
        <v>1706.4160000000029</v>
      </c>
      <c r="BO163" s="12">
        <v>4218.5120000000024</v>
      </c>
      <c r="BP163" s="12">
        <v>2962.6879999999887</v>
      </c>
      <c r="BQ163" s="12">
        <v>5169.2000000000044</v>
      </c>
      <c r="BR163" s="12">
        <v>4773.4399999999878</v>
      </c>
      <c r="BS163" s="6"/>
      <c r="BT163" s="10">
        <v>161</v>
      </c>
      <c r="BU163" s="10"/>
      <c r="BV163" s="12">
        <v>6856.9759999999951</v>
      </c>
      <c r="BW163" s="12">
        <v>3539.4399999999896</v>
      </c>
      <c r="BX163" s="12">
        <v>8970</v>
      </c>
      <c r="BY163" s="12">
        <v>6349.3919999999825</v>
      </c>
      <c r="BZ163" s="12">
        <v>10997.807999999974</v>
      </c>
      <c r="CA163" s="12">
        <v>10016.496000000021</v>
      </c>
      <c r="CB163" s="6"/>
      <c r="CC163" s="10">
        <v>161</v>
      </c>
      <c r="CD163" s="10"/>
      <c r="CE163" s="12">
        <v>10260.240000000034</v>
      </c>
      <c r="CF163" s="12">
        <v>5316</v>
      </c>
      <c r="CG163" s="12">
        <v>13500.480000000045</v>
      </c>
      <c r="CH163" s="12">
        <v>5938.5600000000122</v>
      </c>
      <c r="CI163" s="12">
        <v>16275.77599999996</v>
      </c>
      <c r="CJ163" s="12">
        <v>14992.240000000043</v>
      </c>
    </row>
    <row r="164" spans="1:88" ht="15.75" customHeight="1">
      <c r="A164" s="6"/>
      <c r="B164" s="10">
        <v>162</v>
      </c>
      <c r="C164" s="6"/>
      <c r="G164" s="6"/>
      <c r="H164" s="29">
        <f t="shared" si="12"/>
        <v>36.02000000000001</v>
      </c>
      <c r="I164" s="6">
        <f t="shared" si="13"/>
        <v>54.324000000000041</v>
      </c>
      <c r="J164" s="6"/>
      <c r="K164" s="6"/>
      <c r="L164" s="6">
        <v>208.27799999999999</v>
      </c>
      <c r="M164" s="6">
        <v>208.27799999999999</v>
      </c>
      <c r="N164" s="6">
        <v>208.27799999999999</v>
      </c>
      <c r="O164" s="7">
        <v>208.27799999999999</v>
      </c>
      <c r="P164" s="7">
        <v>208.27799999999999</v>
      </c>
      <c r="Q164" s="7">
        <v>208.27799999999999</v>
      </c>
      <c r="R164" s="7">
        <v>208.27799999999999</v>
      </c>
      <c r="S164" s="7">
        <v>208.27799999999999</v>
      </c>
      <c r="T164" s="7">
        <v>208.27799999999999</v>
      </c>
      <c r="U164" s="7">
        <v>208.27799999999999</v>
      </c>
      <c r="V164" s="7">
        <v>208.27799999999999</v>
      </c>
      <c r="W164">
        <v>208.27799999999999</v>
      </c>
      <c r="X164">
        <v>208.27799999999999</v>
      </c>
      <c r="Y164">
        <v>208.27799999999999</v>
      </c>
      <c r="Z164">
        <v>208.27799999999999</v>
      </c>
      <c r="AA164">
        <v>208.27799999999999</v>
      </c>
      <c r="AB164">
        <v>208.27799999999999</v>
      </c>
      <c r="AC164">
        <v>208.27799999999999</v>
      </c>
      <c r="AD164">
        <v>208.27799999999999</v>
      </c>
      <c r="AE164">
        <v>208.27799999999999</v>
      </c>
      <c r="AF164">
        <v>208.27799999999999</v>
      </c>
      <c r="AG164">
        <v>208.27799999999999</v>
      </c>
      <c r="AH164">
        <v>208.27799999999999</v>
      </c>
      <c r="AI164">
        <v>208.27799999999999</v>
      </c>
      <c r="AJ164">
        <v>208.27799999999999</v>
      </c>
      <c r="AK164">
        <v>208.27799999999999</v>
      </c>
      <c r="AL164">
        <v>208.27799999999999</v>
      </c>
      <c r="AM164">
        <v>208.27799999999999</v>
      </c>
      <c r="AN164">
        <v>208.27799999999999</v>
      </c>
      <c r="AO164">
        <v>208.27799999999999</v>
      </c>
      <c r="AP164">
        <v>208.27799999999999</v>
      </c>
      <c r="AQ164">
        <v>208.27799999999999</v>
      </c>
      <c r="AR164">
        <v>208.27799999999999</v>
      </c>
      <c r="BB164" s="10">
        <v>162</v>
      </c>
      <c r="BC164" s="10" t="s">
        <v>6</v>
      </c>
      <c r="BD164" s="12">
        <v>2605.6900000000101</v>
      </c>
      <c r="BE164" s="12">
        <v>1144.6729999999998</v>
      </c>
      <c r="BF164" s="12">
        <v>2841.8550000000041</v>
      </c>
      <c r="BG164" s="12">
        <v>1995.440000000008</v>
      </c>
      <c r="BH164" s="12">
        <v>3588.2699999999959</v>
      </c>
      <c r="BI164" s="12">
        <v>3228.9900000000021</v>
      </c>
      <c r="BK164" s="10">
        <v>162</v>
      </c>
      <c r="BL164" s="10" t="s">
        <v>24</v>
      </c>
      <c r="BM164" s="12">
        <v>4170.2200000000048</v>
      </c>
      <c r="BN164" s="12">
        <v>1717.634000000003</v>
      </c>
      <c r="BO164" s="12">
        <v>4246.0880000000025</v>
      </c>
      <c r="BP164" s="12">
        <v>2982.0869999999886</v>
      </c>
      <c r="BQ164" s="12">
        <v>5203.3000000000047</v>
      </c>
      <c r="BR164" s="12">
        <v>4804.8099999999877</v>
      </c>
      <c r="BS164" s="6"/>
      <c r="BT164" s="10">
        <v>162</v>
      </c>
      <c r="BU164" s="10"/>
      <c r="BV164" s="12">
        <v>6908.1989999999951</v>
      </c>
      <c r="BW164" s="12">
        <v>3565.0599999999895</v>
      </c>
      <c r="BX164" s="12">
        <v>9035</v>
      </c>
      <c r="BY164" s="12">
        <v>6395.4579999999823</v>
      </c>
      <c r="BZ164" s="12">
        <v>11077.966999999973</v>
      </c>
      <c r="CA164" s="12">
        <v>10089.679000000022</v>
      </c>
      <c r="CB164" s="6"/>
      <c r="CC164" s="10">
        <v>162</v>
      </c>
      <c r="CD164" s="10"/>
      <c r="CE164" s="12">
        <v>10336.760000000035</v>
      </c>
      <c r="CF164" s="12">
        <v>5355.25</v>
      </c>
      <c r="CG164" s="12">
        <v>13598.520000000046</v>
      </c>
      <c r="CH164" s="12">
        <v>5975.6900000000123</v>
      </c>
      <c r="CI164" s="12">
        <v>16395.023999999961</v>
      </c>
      <c r="CJ164" s="12">
        <v>15101.635000000044</v>
      </c>
    </row>
    <row r="165" spans="1:88" ht="15.75" customHeight="1">
      <c r="A165" s="6"/>
      <c r="B165" s="10">
        <v>163</v>
      </c>
      <c r="C165" s="6"/>
      <c r="G165" s="6"/>
      <c r="H165" s="29">
        <f t="shared" si="12"/>
        <v>37.63000000000001</v>
      </c>
      <c r="I165" s="6">
        <f t="shared" si="13"/>
        <v>56.752000000000038</v>
      </c>
      <c r="J165" s="6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BB165" s="10">
        <v>163</v>
      </c>
      <c r="BC165" s="10" t="s">
        <v>6</v>
      </c>
      <c r="BD165" s="12">
        <v>2622.8200000000102</v>
      </c>
      <c r="BE165" s="12">
        <v>1151.7939999999999</v>
      </c>
      <c r="BF165" s="12">
        <v>2860.1900000000041</v>
      </c>
      <c r="BG165" s="12">
        <v>2008.3200000000081</v>
      </c>
      <c r="BH165" s="12">
        <v>3612.0599999999959</v>
      </c>
      <c r="BI165" s="12">
        <v>3250.2200000000021</v>
      </c>
      <c r="BK165" s="10">
        <v>163</v>
      </c>
      <c r="BL165" s="10" t="s">
        <v>24</v>
      </c>
      <c r="BM165" s="12">
        <v>4199.1600000000044</v>
      </c>
      <c r="BN165" s="12">
        <v>1728.852000000003</v>
      </c>
      <c r="BO165" s="12">
        <v>4273.6640000000025</v>
      </c>
      <c r="BP165" s="12">
        <v>3001.4859999999885</v>
      </c>
      <c r="BQ165" s="12">
        <v>5237.4000000000051</v>
      </c>
      <c r="BR165" s="12">
        <v>4836.1799999999876</v>
      </c>
      <c r="BS165" s="6"/>
      <c r="BT165" s="10">
        <v>163</v>
      </c>
      <c r="BU165" s="10"/>
      <c r="BV165" s="12">
        <v>6959.421999999995</v>
      </c>
      <c r="BW165" s="12">
        <v>3590.6799999999894</v>
      </c>
      <c r="BX165" s="12">
        <v>9100</v>
      </c>
      <c r="BY165" s="12">
        <v>6441.5239999999822</v>
      </c>
      <c r="BZ165" s="12">
        <v>11158.125999999973</v>
      </c>
      <c r="CA165" s="12">
        <v>10162.862000000023</v>
      </c>
      <c r="CB165" s="6"/>
      <c r="CC165" s="10">
        <v>163</v>
      </c>
      <c r="CD165" s="10"/>
      <c r="CE165" s="12">
        <v>10413.280000000035</v>
      </c>
      <c r="CF165" s="12">
        <v>5394.5</v>
      </c>
      <c r="CG165" s="12">
        <v>13696.560000000047</v>
      </c>
      <c r="CH165" s="12">
        <v>6012.8200000000124</v>
      </c>
      <c r="CI165" s="12">
        <v>16514.271999999961</v>
      </c>
      <c r="CJ165" s="12">
        <v>15211.030000000044</v>
      </c>
    </row>
    <row r="166" spans="1:88" ht="15.75" customHeight="1">
      <c r="A166" s="6"/>
      <c r="B166" s="10">
        <v>164</v>
      </c>
      <c r="C166" s="6"/>
      <c r="G166" s="6"/>
      <c r="H166" s="29">
        <f t="shared" si="12"/>
        <v>39.240000000000009</v>
      </c>
      <c r="I166" s="6">
        <f t="shared" si="13"/>
        <v>59.180000000000035</v>
      </c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BB166" s="10">
        <v>164</v>
      </c>
      <c r="BC166" s="10" t="s">
        <v>6</v>
      </c>
      <c r="BD166" s="12">
        <v>2639.9500000000103</v>
      </c>
      <c r="BE166" s="12">
        <v>1158.915</v>
      </c>
      <c r="BF166" s="12">
        <v>2878.5250000000042</v>
      </c>
      <c r="BG166" s="12">
        <v>2021.2000000000082</v>
      </c>
      <c r="BH166" s="12">
        <v>3635.8499999999958</v>
      </c>
      <c r="BI166" s="12">
        <v>3271.4500000000021</v>
      </c>
      <c r="BK166" s="10">
        <v>164</v>
      </c>
      <c r="BL166" s="10" t="s">
        <v>24</v>
      </c>
      <c r="BM166" s="12">
        <v>4228.100000000004</v>
      </c>
      <c r="BN166" s="12">
        <v>1740.0700000000031</v>
      </c>
      <c r="BO166" s="12">
        <v>4301.2400000000025</v>
      </c>
      <c r="BP166" s="12">
        <v>3020.8849999999884</v>
      </c>
      <c r="BQ166" s="12">
        <v>5271.5000000000055</v>
      </c>
      <c r="BR166" s="12">
        <v>4867.5499999999874</v>
      </c>
      <c r="BS166" s="6"/>
      <c r="BT166" s="10">
        <v>164</v>
      </c>
      <c r="BU166" s="10"/>
      <c r="BV166" s="12">
        <v>7010.644999999995</v>
      </c>
      <c r="BW166" s="12">
        <v>3616.2999999999893</v>
      </c>
      <c r="BX166" s="12">
        <v>9165</v>
      </c>
      <c r="BY166" s="12">
        <v>6487.589999999982</v>
      </c>
      <c r="BZ166" s="12">
        <v>11238.284999999973</v>
      </c>
      <c r="CA166" s="12">
        <v>10236.045000000024</v>
      </c>
      <c r="CB166" s="6"/>
      <c r="CC166" s="10">
        <v>164</v>
      </c>
      <c r="CD166" s="10"/>
      <c r="CE166" s="12">
        <v>10489.800000000036</v>
      </c>
      <c r="CF166" s="12">
        <v>5433.75</v>
      </c>
      <c r="CG166" s="12">
        <v>13794.600000000048</v>
      </c>
      <c r="CH166" s="12">
        <v>6049.9500000000126</v>
      </c>
      <c r="CI166" s="12">
        <v>16633.51999999996</v>
      </c>
      <c r="CJ166" s="12">
        <v>15320.425000000045</v>
      </c>
    </row>
    <row r="167" spans="1:88" ht="15.75" customHeight="1">
      <c r="A167" s="6"/>
      <c r="B167" s="10">
        <v>165</v>
      </c>
      <c r="C167" s="6"/>
      <c r="G167" s="6"/>
      <c r="H167" s="29">
        <f t="shared" si="12"/>
        <v>40.850000000000009</v>
      </c>
      <c r="I167" s="6">
        <f t="shared" si="13"/>
        <v>61.608000000000033</v>
      </c>
      <c r="J167" s="6"/>
      <c r="K167" s="6"/>
      <c r="L167" s="6"/>
      <c r="M167" s="6"/>
      <c r="N167" s="6"/>
      <c r="BB167" s="10">
        <v>165</v>
      </c>
      <c r="BC167" s="10" t="s">
        <v>6</v>
      </c>
      <c r="BD167" s="12">
        <v>2657.0800000000104</v>
      </c>
      <c r="BE167" s="12">
        <v>1166.0360000000001</v>
      </c>
      <c r="BF167" s="12">
        <v>2896.8600000000042</v>
      </c>
      <c r="BG167" s="12">
        <v>2034.0800000000083</v>
      </c>
      <c r="BH167" s="12">
        <v>3659.6399999999958</v>
      </c>
      <c r="BI167" s="12">
        <v>3292.6800000000021</v>
      </c>
      <c r="BK167" s="10">
        <v>165</v>
      </c>
      <c r="BL167" s="10" t="s">
        <v>24</v>
      </c>
      <c r="BM167" s="12">
        <v>4257.0400000000036</v>
      </c>
      <c r="BN167" s="12">
        <v>1751.2880000000032</v>
      </c>
      <c r="BO167" s="12">
        <v>4328.8160000000025</v>
      </c>
      <c r="BP167" s="12">
        <v>3040.2839999999883</v>
      </c>
      <c r="BQ167" s="12">
        <v>5305.6000000000058</v>
      </c>
      <c r="BR167" s="12">
        <v>4898.9199999999873</v>
      </c>
      <c r="BS167" s="6"/>
      <c r="BT167" s="10">
        <v>165</v>
      </c>
      <c r="BU167" s="10"/>
      <c r="BV167" s="12">
        <v>7061.8679999999949</v>
      </c>
      <c r="BW167" s="12">
        <v>3641.9199999999892</v>
      </c>
      <c r="BX167" s="12">
        <v>9230</v>
      </c>
      <c r="BY167" s="12">
        <v>6533.6559999999818</v>
      </c>
      <c r="BZ167" s="12">
        <v>11318.443999999972</v>
      </c>
      <c r="CA167" s="12">
        <v>10309.228000000025</v>
      </c>
      <c r="CB167" s="6"/>
      <c r="CC167" s="10">
        <v>165</v>
      </c>
      <c r="CD167" s="10"/>
      <c r="CE167" s="12">
        <v>10566.320000000036</v>
      </c>
      <c r="CF167" s="12">
        <v>5473</v>
      </c>
      <c r="CG167" s="12">
        <v>13892.640000000049</v>
      </c>
      <c r="CH167" s="12">
        <v>6087.0800000000127</v>
      </c>
      <c r="CI167" s="12">
        <v>16752.76799999996</v>
      </c>
      <c r="CJ167" s="12">
        <v>15429.820000000045</v>
      </c>
    </row>
    <row r="168" spans="1:88" ht="15.75" customHeight="1">
      <c r="A168" s="6"/>
      <c r="B168" s="10">
        <v>166</v>
      </c>
      <c r="C168" s="6"/>
      <c r="G168" s="6"/>
      <c r="H168" s="29">
        <f t="shared" si="12"/>
        <v>42.460000000000008</v>
      </c>
      <c r="I168" s="6">
        <f t="shared" si="13"/>
        <v>64.03600000000003</v>
      </c>
      <c r="J168" s="6"/>
      <c r="K168" s="6"/>
      <c r="L168" s="6"/>
      <c r="M168" s="6"/>
      <c r="N168" s="6"/>
      <c r="BB168" s="10">
        <v>166</v>
      </c>
      <c r="BC168" s="10" t="s">
        <v>6</v>
      </c>
      <c r="BD168" s="12">
        <v>2674.2100000000105</v>
      </c>
      <c r="BE168" s="12">
        <v>1173.1570000000002</v>
      </c>
      <c r="BF168" s="12">
        <v>2915.1950000000043</v>
      </c>
      <c r="BG168" s="12">
        <v>2046.9600000000084</v>
      </c>
      <c r="BH168" s="12">
        <v>3683.4299999999957</v>
      </c>
      <c r="BI168" s="12">
        <v>3313.9100000000021</v>
      </c>
      <c r="BK168" s="10">
        <v>166</v>
      </c>
      <c r="BL168" s="10" t="s">
        <v>24</v>
      </c>
      <c r="BM168" s="12">
        <v>4285.9800000000032</v>
      </c>
      <c r="BN168" s="12">
        <v>1762.5060000000033</v>
      </c>
      <c r="BO168" s="12">
        <v>4356.3920000000026</v>
      </c>
      <c r="BP168" s="12">
        <v>3059.6829999999882</v>
      </c>
      <c r="BQ168" s="12">
        <v>5339.7000000000062</v>
      </c>
      <c r="BR168" s="12">
        <v>4930.2899999999872</v>
      </c>
      <c r="BS168" s="6"/>
      <c r="BT168" s="10">
        <v>166</v>
      </c>
      <c r="BU168" s="10"/>
      <c r="BV168" s="12">
        <v>7113.0909999999949</v>
      </c>
      <c r="BW168" s="12">
        <v>3667.539999999989</v>
      </c>
      <c r="BX168" s="12">
        <v>9295</v>
      </c>
      <c r="BY168" s="12">
        <v>6579.7219999999816</v>
      </c>
      <c r="BZ168" s="12">
        <v>11398.602999999972</v>
      </c>
      <c r="CA168" s="12">
        <v>10382.411000000026</v>
      </c>
      <c r="CB168" s="6"/>
      <c r="CC168" s="10">
        <v>166</v>
      </c>
      <c r="CD168" s="10"/>
      <c r="CE168" s="12">
        <v>10642.840000000037</v>
      </c>
      <c r="CF168" s="12">
        <v>5512.25</v>
      </c>
      <c r="CG168" s="12">
        <v>13990.680000000049</v>
      </c>
      <c r="CH168" s="12">
        <v>6124.2100000000128</v>
      </c>
      <c r="CI168" s="12">
        <v>16872.01599999996</v>
      </c>
      <c r="CJ168" s="12">
        <v>15539.215000000046</v>
      </c>
    </row>
    <row r="169" spans="1:88" ht="15.75" customHeight="1">
      <c r="A169" s="6"/>
      <c r="B169" s="10">
        <v>167</v>
      </c>
      <c r="C169" s="6"/>
      <c r="G169" s="6"/>
      <c r="H169" s="29">
        <f t="shared" si="12"/>
        <v>44.070000000000007</v>
      </c>
      <c r="I169" s="6">
        <f t="shared" si="13"/>
        <v>66.464000000000027</v>
      </c>
      <c r="J169" s="6"/>
      <c r="K169" s="6"/>
      <c r="L169" s="6"/>
      <c r="M169" s="6"/>
      <c r="N169" s="6"/>
      <c r="BB169" s="10">
        <v>167</v>
      </c>
      <c r="BC169" s="10" t="s">
        <v>6</v>
      </c>
      <c r="BD169" s="12">
        <v>2691.3400000000106</v>
      </c>
      <c r="BE169" s="12">
        <v>1180.2780000000002</v>
      </c>
      <c r="BF169" s="12">
        <v>2933.5300000000043</v>
      </c>
      <c r="BG169" s="12">
        <v>2059.8400000000083</v>
      </c>
      <c r="BH169" s="12">
        <v>3707.2199999999957</v>
      </c>
      <c r="BI169" s="12">
        <v>3335.1400000000021</v>
      </c>
      <c r="BK169" s="10">
        <v>167</v>
      </c>
      <c r="BL169" s="10" t="s">
        <v>24</v>
      </c>
      <c r="BM169" s="12">
        <v>4314.9200000000028</v>
      </c>
      <c r="BN169" s="12">
        <v>1773.7240000000033</v>
      </c>
      <c r="BO169" s="12">
        <v>4383.9680000000026</v>
      </c>
      <c r="BP169" s="12">
        <v>3079.0819999999881</v>
      </c>
      <c r="BQ169" s="12">
        <v>5373.8000000000065</v>
      </c>
      <c r="BR169" s="12">
        <v>4961.6599999999871</v>
      </c>
      <c r="BS169" s="6"/>
      <c r="BT169" s="10">
        <v>167</v>
      </c>
      <c r="BU169" s="10"/>
      <c r="BV169" s="12">
        <v>7164.3139999999948</v>
      </c>
      <c r="BW169" s="12">
        <v>3693.1599999999889</v>
      </c>
      <c r="BX169" s="12">
        <v>9360</v>
      </c>
      <c r="BY169" s="12">
        <v>6625.7879999999814</v>
      </c>
      <c r="BZ169" s="12">
        <v>11478.761999999972</v>
      </c>
      <c r="CA169" s="12">
        <v>10455.594000000026</v>
      </c>
      <c r="CB169" s="6"/>
      <c r="CC169" s="10">
        <v>167</v>
      </c>
      <c r="CD169" s="10"/>
      <c r="CE169" s="12">
        <v>10719.360000000037</v>
      </c>
      <c r="CF169" s="12">
        <v>5551.5</v>
      </c>
      <c r="CG169" s="12">
        <v>14088.72000000005</v>
      </c>
      <c r="CH169" s="12">
        <v>6161.3400000000129</v>
      </c>
      <c r="CI169" s="12">
        <v>16991.263999999959</v>
      </c>
      <c r="CJ169" s="12">
        <v>15648.610000000046</v>
      </c>
    </row>
    <row r="170" spans="1:88" ht="15.75" customHeight="1">
      <c r="A170" s="6"/>
      <c r="B170" s="10">
        <v>168</v>
      </c>
      <c r="C170" s="6"/>
      <c r="G170" s="6"/>
      <c r="H170" s="29">
        <f t="shared" si="12"/>
        <v>45.680000000000007</v>
      </c>
      <c r="I170" s="6">
        <f t="shared" si="13"/>
        <v>68.892000000000024</v>
      </c>
      <c r="J170" s="6"/>
      <c r="K170" s="6"/>
      <c r="L170" s="6"/>
      <c r="M170" s="6"/>
      <c r="N170" s="6"/>
      <c r="BB170" s="10">
        <v>168</v>
      </c>
      <c r="BC170" s="10" t="s">
        <v>6</v>
      </c>
      <c r="BD170" s="12">
        <v>2708.4700000000107</v>
      </c>
      <c r="BE170" s="12">
        <v>1187.3990000000003</v>
      </c>
      <c r="BF170" s="12">
        <v>2951.8650000000043</v>
      </c>
      <c r="BG170" s="12">
        <v>2072.7200000000084</v>
      </c>
      <c r="BH170" s="12">
        <v>3731.0099999999957</v>
      </c>
      <c r="BI170" s="12">
        <v>3356.3700000000022</v>
      </c>
      <c r="BK170" s="10">
        <v>168</v>
      </c>
      <c r="BL170" s="10" t="s">
        <v>24</v>
      </c>
      <c r="BM170" s="12">
        <v>4343.8600000000024</v>
      </c>
      <c r="BN170" s="12">
        <v>1784.9420000000034</v>
      </c>
      <c r="BO170" s="12">
        <v>4411.5440000000026</v>
      </c>
      <c r="BP170" s="12">
        <v>3098.4809999999879</v>
      </c>
      <c r="BQ170" s="12">
        <v>5407.9000000000069</v>
      </c>
      <c r="BR170" s="12">
        <v>4993.029999999987</v>
      </c>
      <c r="BS170" s="6"/>
      <c r="BT170" s="10">
        <v>168</v>
      </c>
      <c r="BU170" s="10"/>
      <c r="BV170" s="12">
        <v>7215.5369999999948</v>
      </c>
      <c r="BW170" s="12">
        <v>3718.7799999999888</v>
      </c>
      <c r="BX170" s="12">
        <v>9425</v>
      </c>
      <c r="BY170" s="12">
        <v>6671.8539999999812</v>
      </c>
      <c r="BZ170" s="12">
        <v>11558.920999999971</v>
      </c>
      <c r="CA170" s="12">
        <v>10528.777000000027</v>
      </c>
      <c r="CB170" s="6"/>
      <c r="CC170" s="10">
        <v>168</v>
      </c>
      <c r="CD170" s="10"/>
      <c r="CE170" s="12">
        <v>10795.880000000037</v>
      </c>
      <c r="CF170" s="12">
        <v>5590.75</v>
      </c>
      <c r="CG170" s="12">
        <v>14186.760000000051</v>
      </c>
      <c r="CH170" s="12">
        <v>6198.470000000013</v>
      </c>
      <c r="CI170" s="12">
        <v>17110.511999999959</v>
      </c>
      <c r="CJ170" s="12">
        <v>15758.005000000046</v>
      </c>
    </row>
    <row r="171" spans="1:88" ht="15.75" customHeight="1">
      <c r="A171" s="6"/>
      <c r="B171" s="10">
        <v>169</v>
      </c>
      <c r="C171" s="6"/>
      <c r="G171" s="6"/>
      <c r="H171" s="29">
        <f t="shared" si="12"/>
        <v>47.290000000000006</v>
      </c>
      <c r="I171" s="6">
        <f t="shared" si="13"/>
        <v>71.320000000000022</v>
      </c>
      <c r="J171" s="6"/>
      <c r="K171" s="6"/>
      <c r="L171" s="6"/>
      <c r="M171" s="6"/>
      <c r="N171" s="6"/>
      <c r="BB171" s="10">
        <v>169</v>
      </c>
      <c r="BC171" s="10" t="s">
        <v>6</v>
      </c>
      <c r="BD171" s="12">
        <v>2725.6000000000108</v>
      </c>
      <c r="BE171" s="12">
        <v>1194.5200000000004</v>
      </c>
      <c r="BF171" s="12">
        <v>2970.2000000000044</v>
      </c>
      <c r="BG171" s="12">
        <v>2085.6000000000085</v>
      </c>
      <c r="BH171" s="12">
        <v>3754.7999999999956</v>
      </c>
      <c r="BI171" s="12">
        <v>3377.6000000000022</v>
      </c>
      <c r="BK171" s="10">
        <v>169</v>
      </c>
      <c r="BL171" s="10" t="s">
        <v>24</v>
      </c>
      <c r="BM171" s="12">
        <v>4372.800000000002</v>
      </c>
      <c r="BN171" s="12">
        <v>1796.1600000000035</v>
      </c>
      <c r="BO171" s="12">
        <v>4439.1200000000026</v>
      </c>
      <c r="BP171" s="12">
        <v>3117.8799999999878</v>
      </c>
      <c r="BQ171" s="12">
        <v>5442.0000000000073</v>
      </c>
      <c r="BR171" s="12">
        <v>5024.3999999999869</v>
      </c>
      <c r="BS171" s="6"/>
      <c r="BT171" s="10">
        <v>169</v>
      </c>
      <c r="BU171" s="10"/>
      <c r="BV171" s="12">
        <v>7266.7599999999948</v>
      </c>
      <c r="BW171" s="12">
        <v>3744.3999999999887</v>
      </c>
      <c r="BX171" s="12">
        <v>9490</v>
      </c>
      <c r="BY171" s="12">
        <v>6717.919999999981</v>
      </c>
      <c r="BZ171" s="12">
        <v>11639.079999999971</v>
      </c>
      <c r="CA171" s="12">
        <v>10601.960000000028</v>
      </c>
      <c r="CB171" s="6"/>
      <c r="CC171" s="10">
        <v>169</v>
      </c>
      <c r="CD171" s="10"/>
      <c r="CE171" s="12">
        <v>10872.400000000038</v>
      </c>
      <c r="CF171" s="12">
        <v>5630</v>
      </c>
      <c r="CG171" s="12">
        <v>14284.800000000052</v>
      </c>
      <c r="CH171" s="12">
        <v>6235.6000000000131</v>
      </c>
      <c r="CI171" s="12">
        <v>17229.759999999958</v>
      </c>
      <c r="CJ171" s="12">
        <v>15867.400000000047</v>
      </c>
    </row>
    <row r="172" spans="1:88" ht="15.75" customHeight="1">
      <c r="A172" s="6"/>
      <c r="B172" s="10">
        <v>170</v>
      </c>
      <c r="C172" s="6"/>
      <c r="G172" s="6"/>
      <c r="H172" s="29">
        <f t="shared" si="12"/>
        <v>48.900000000000006</v>
      </c>
      <c r="I172" s="6">
        <f t="shared" si="13"/>
        <v>73.748000000000019</v>
      </c>
      <c r="J172" s="6"/>
      <c r="K172" s="6"/>
      <c r="L172" s="6"/>
      <c r="M172" s="6"/>
      <c r="N172" s="6"/>
      <c r="BB172" s="10">
        <v>170</v>
      </c>
      <c r="BC172" s="10" t="s">
        <v>6</v>
      </c>
      <c r="BD172" s="12">
        <v>2742.7300000000109</v>
      </c>
      <c r="BE172" s="12">
        <v>1201.6410000000005</v>
      </c>
      <c r="BF172" s="12">
        <v>2988.5350000000044</v>
      </c>
      <c r="BG172" s="12">
        <v>2098.4800000000087</v>
      </c>
      <c r="BH172" s="12">
        <v>3778.5899999999956</v>
      </c>
      <c r="BI172" s="12">
        <v>3398.8300000000022</v>
      </c>
      <c r="BK172" s="10">
        <v>170</v>
      </c>
      <c r="BL172" s="10" t="s">
        <v>24</v>
      </c>
      <c r="BM172" s="12">
        <v>4401.7400000000016</v>
      </c>
      <c r="BN172" s="12">
        <v>1807.3780000000036</v>
      </c>
      <c r="BO172" s="12">
        <v>4466.6960000000026</v>
      </c>
      <c r="BP172" s="12">
        <v>3137.2789999999877</v>
      </c>
      <c r="BQ172" s="12">
        <v>5476.1000000000076</v>
      </c>
      <c r="BR172" s="12">
        <v>5055.7699999999868</v>
      </c>
      <c r="BS172" s="6"/>
      <c r="BT172" s="10">
        <v>170</v>
      </c>
      <c r="BU172" s="10"/>
      <c r="BV172" s="12">
        <v>7317.9829999999947</v>
      </c>
      <c r="BW172" s="12">
        <v>3770.0199999999886</v>
      </c>
      <c r="BX172" s="12">
        <v>9555</v>
      </c>
      <c r="BY172" s="12">
        <v>6763.9859999999808</v>
      </c>
      <c r="BZ172" s="12">
        <v>11719.23899999997</v>
      </c>
      <c r="CA172" s="12">
        <v>10675.143000000029</v>
      </c>
      <c r="CB172" s="6"/>
      <c r="CC172" s="10">
        <v>170</v>
      </c>
      <c r="CD172" s="10"/>
      <c r="CE172" s="12">
        <v>10948.920000000038</v>
      </c>
      <c r="CF172" s="12">
        <v>5669.25</v>
      </c>
      <c r="CG172" s="12">
        <v>14382.840000000053</v>
      </c>
      <c r="CH172" s="12">
        <v>6272.7300000000132</v>
      </c>
      <c r="CI172" s="12">
        <v>17349.007999999958</v>
      </c>
      <c r="CJ172" s="12">
        <v>15976.795000000047</v>
      </c>
    </row>
    <row r="173" spans="1:88" ht="15.75" customHeight="1">
      <c r="A173" s="6"/>
      <c r="B173" s="10">
        <v>171</v>
      </c>
      <c r="C173" s="6"/>
      <c r="G173" s="6"/>
      <c r="H173" s="29">
        <f t="shared" si="12"/>
        <v>50.510000000000005</v>
      </c>
      <c r="I173" s="6">
        <f t="shared" si="13"/>
        <v>76.176000000000016</v>
      </c>
      <c r="J173" s="6"/>
      <c r="K173" s="6"/>
      <c r="L173" s="6"/>
      <c r="M173" s="6"/>
      <c r="N173" s="6"/>
      <c r="BB173" s="10">
        <v>171</v>
      </c>
      <c r="BC173" s="10" t="s">
        <v>6</v>
      </c>
      <c r="BD173" s="12">
        <v>2759.860000000011</v>
      </c>
      <c r="BE173" s="12">
        <v>1208.7620000000006</v>
      </c>
      <c r="BF173" s="12">
        <v>3006.8700000000044</v>
      </c>
      <c r="BG173" s="12">
        <v>2111.3600000000088</v>
      </c>
      <c r="BH173" s="12">
        <v>3802.3799999999956</v>
      </c>
      <c r="BI173" s="12">
        <v>3420.0600000000022</v>
      </c>
      <c r="BK173" s="10">
        <v>171</v>
      </c>
      <c r="BL173" s="10" t="s">
        <v>24</v>
      </c>
      <c r="BM173" s="12">
        <v>4430.6800000000012</v>
      </c>
      <c r="BN173" s="12">
        <v>1818.5960000000036</v>
      </c>
      <c r="BO173" s="12">
        <v>4494.2720000000027</v>
      </c>
      <c r="BP173" s="12">
        <v>3156.6779999999876</v>
      </c>
      <c r="BQ173" s="12">
        <v>5510.200000000008</v>
      </c>
      <c r="BR173" s="12">
        <v>5087.1399999999867</v>
      </c>
      <c r="BS173" s="6"/>
      <c r="BT173" s="10">
        <v>171</v>
      </c>
      <c r="BU173" s="10"/>
      <c r="BV173" s="12">
        <v>7369.2059999999947</v>
      </c>
      <c r="BW173" s="12">
        <v>3795.6399999999885</v>
      </c>
      <c r="BX173" s="12">
        <v>9620</v>
      </c>
      <c r="BY173" s="12">
        <v>6810.0519999999806</v>
      </c>
      <c r="BZ173" s="12">
        <v>11799.39799999997</v>
      </c>
      <c r="CA173" s="12">
        <v>10748.32600000003</v>
      </c>
      <c r="CB173" s="6"/>
      <c r="CC173" s="10">
        <v>171</v>
      </c>
      <c r="CD173" s="10"/>
      <c r="CE173" s="12">
        <v>11025.440000000039</v>
      </c>
      <c r="CF173" s="12">
        <v>5708.5</v>
      </c>
      <c r="CG173" s="12">
        <v>14480.880000000054</v>
      </c>
      <c r="CH173" s="12">
        <v>6309.8600000000133</v>
      </c>
      <c r="CI173" s="12">
        <v>17468.255999999958</v>
      </c>
      <c r="CJ173" s="12">
        <v>16086.190000000048</v>
      </c>
    </row>
    <row r="174" spans="1:88" ht="15.75" customHeight="1">
      <c r="A174" s="6"/>
      <c r="B174" s="10">
        <v>172</v>
      </c>
      <c r="C174" s="6"/>
      <c r="G174" s="6"/>
      <c r="H174" s="29">
        <f t="shared" si="12"/>
        <v>52.120000000000005</v>
      </c>
      <c r="I174" s="6">
        <f t="shared" si="13"/>
        <v>78.604000000000013</v>
      </c>
      <c r="J174" s="6"/>
      <c r="K174" s="6"/>
      <c r="L174" s="6"/>
      <c r="M174" s="6"/>
      <c r="N174" s="6"/>
      <c r="BB174" s="10">
        <v>172</v>
      </c>
      <c r="BC174" s="10" t="s">
        <v>6</v>
      </c>
      <c r="BD174" s="12">
        <v>2776.9900000000112</v>
      </c>
      <c r="BE174" s="12">
        <v>1215.8830000000007</v>
      </c>
      <c r="BF174" s="12">
        <v>3025.2050000000045</v>
      </c>
      <c r="BG174" s="12">
        <v>2124.2400000000089</v>
      </c>
      <c r="BH174" s="12">
        <v>3826.1699999999955</v>
      </c>
      <c r="BI174" s="12">
        <v>3441.2900000000022</v>
      </c>
      <c r="BK174" s="10">
        <v>172</v>
      </c>
      <c r="BL174" s="10" t="s">
        <v>24</v>
      </c>
      <c r="BM174" s="12">
        <v>4459.6200000000008</v>
      </c>
      <c r="BN174" s="12">
        <v>1829.8140000000037</v>
      </c>
      <c r="BO174" s="12">
        <v>4521.8480000000027</v>
      </c>
      <c r="BP174" s="12">
        <v>3176.0769999999875</v>
      </c>
      <c r="BQ174" s="12">
        <v>5544.3000000000084</v>
      </c>
      <c r="BR174" s="12">
        <v>5118.5099999999866</v>
      </c>
      <c r="BS174" s="6"/>
      <c r="BT174" s="10">
        <v>172</v>
      </c>
      <c r="BU174" s="10"/>
      <c r="BV174" s="12">
        <v>7420.4289999999946</v>
      </c>
      <c r="BW174" s="12">
        <v>3821.2599999999884</v>
      </c>
      <c r="BX174" s="12">
        <v>9685</v>
      </c>
      <c r="BY174" s="12">
        <v>6856.1179999999804</v>
      </c>
      <c r="BZ174" s="12">
        <v>11879.55699999997</v>
      </c>
      <c r="CA174" s="12">
        <v>10821.509000000031</v>
      </c>
      <c r="CB174" s="6"/>
      <c r="CC174" s="10">
        <v>172</v>
      </c>
      <c r="CD174" s="10"/>
      <c r="CE174" s="12">
        <v>11101.960000000039</v>
      </c>
      <c r="CF174" s="12">
        <v>5747.75</v>
      </c>
      <c r="CG174" s="12">
        <v>14578.920000000055</v>
      </c>
      <c r="CH174" s="12">
        <v>6346.9900000000134</v>
      </c>
      <c r="CI174" s="12">
        <v>17587.503999999957</v>
      </c>
      <c r="CJ174" s="12">
        <v>16195.585000000048</v>
      </c>
    </row>
    <row r="175" spans="1:88" ht="15.75" customHeight="1">
      <c r="A175" s="6"/>
      <c r="B175" s="10">
        <v>173</v>
      </c>
      <c r="C175" s="6"/>
      <c r="G175" s="6"/>
      <c r="H175" s="29">
        <f t="shared" si="12"/>
        <v>53.730000000000004</v>
      </c>
      <c r="I175" s="6">
        <f t="shared" si="13"/>
        <v>81.032000000000011</v>
      </c>
      <c r="J175" s="6"/>
      <c r="K175" s="6"/>
      <c r="L175" s="6"/>
      <c r="M175" s="6"/>
      <c r="N175" s="6"/>
      <c r="BB175" s="10">
        <v>173</v>
      </c>
      <c r="BC175" s="10" t="s">
        <v>6</v>
      </c>
      <c r="BD175" s="12">
        <v>2794.1200000000113</v>
      </c>
      <c r="BE175" s="12">
        <v>1223.0040000000008</v>
      </c>
      <c r="BF175" s="12">
        <v>3043.5400000000045</v>
      </c>
      <c r="BG175" s="12">
        <v>2137.120000000009</v>
      </c>
      <c r="BH175" s="12">
        <v>3849.9599999999955</v>
      </c>
      <c r="BI175" s="12">
        <v>3462.5200000000023</v>
      </c>
      <c r="BK175" s="10">
        <v>173</v>
      </c>
      <c r="BL175" s="10" t="s">
        <v>24</v>
      </c>
      <c r="BM175" s="12">
        <v>4488.5600000000004</v>
      </c>
      <c r="BN175" s="12">
        <v>1841.0320000000038</v>
      </c>
      <c r="BO175" s="12">
        <v>4549.4240000000027</v>
      </c>
      <c r="BP175" s="12">
        <v>3195.4759999999874</v>
      </c>
      <c r="BQ175" s="12">
        <v>5578.4000000000087</v>
      </c>
      <c r="BR175" s="12">
        <v>5149.8799999999865</v>
      </c>
      <c r="BS175" s="6"/>
      <c r="BT175" s="10">
        <v>173</v>
      </c>
      <c r="BU175" s="10"/>
      <c r="BV175" s="12">
        <v>7471.6519999999946</v>
      </c>
      <c r="BW175" s="12">
        <v>3846.8799999999883</v>
      </c>
      <c r="BX175" s="12">
        <v>9750</v>
      </c>
      <c r="BY175" s="12">
        <v>6902.1839999999802</v>
      </c>
      <c r="BZ175" s="12">
        <v>11959.715999999969</v>
      </c>
      <c r="CA175" s="12">
        <v>10894.692000000032</v>
      </c>
      <c r="CB175" s="6"/>
      <c r="CC175" s="10">
        <v>173</v>
      </c>
      <c r="CD175" s="10"/>
      <c r="CE175" s="12">
        <v>11178.48000000004</v>
      </c>
      <c r="CF175" s="12">
        <v>5787</v>
      </c>
      <c r="CG175" s="12">
        <v>14676.960000000056</v>
      </c>
      <c r="CH175" s="12">
        <v>6384.1200000000135</v>
      </c>
      <c r="CI175" s="12">
        <v>17706.751999999957</v>
      </c>
      <c r="CJ175" s="12">
        <v>16304.980000000049</v>
      </c>
    </row>
    <row r="176" spans="1:88" ht="15.75" customHeight="1">
      <c r="A176" s="6"/>
      <c r="B176" s="10">
        <v>174</v>
      </c>
      <c r="C176" s="6"/>
      <c r="G176" s="6"/>
      <c r="H176" s="29">
        <f t="shared" si="12"/>
        <v>55.34</v>
      </c>
      <c r="I176" s="6">
        <f t="shared" si="13"/>
        <v>83.460000000000008</v>
      </c>
      <c r="J176" s="6"/>
      <c r="K176" s="6"/>
      <c r="L176" s="6"/>
      <c r="M176" s="6"/>
      <c r="N176" s="6"/>
      <c r="BB176" s="10">
        <v>174</v>
      </c>
      <c r="BC176" s="10" t="s">
        <v>6</v>
      </c>
      <c r="BD176" s="12">
        <v>2811.2500000000114</v>
      </c>
      <c r="BE176" s="12">
        <v>1230.1250000000009</v>
      </c>
      <c r="BF176" s="12">
        <v>3061.8750000000045</v>
      </c>
      <c r="BG176" s="12">
        <v>2150.0000000000091</v>
      </c>
      <c r="BH176" s="12">
        <v>3873.7499999999955</v>
      </c>
      <c r="BI176" s="12">
        <v>3483.7500000000023</v>
      </c>
      <c r="BK176" s="10">
        <v>174</v>
      </c>
      <c r="BL176" s="10" t="s">
        <v>24</v>
      </c>
      <c r="BM176" s="12">
        <v>4517.5</v>
      </c>
      <c r="BN176" s="12">
        <v>1852.2500000000039</v>
      </c>
      <c r="BO176" s="12">
        <v>4577.0000000000027</v>
      </c>
      <c r="BP176" s="12">
        <v>3214.8749999999873</v>
      </c>
      <c r="BQ176" s="12">
        <v>5612.5000000000091</v>
      </c>
      <c r="BR176" s="12">
        <v>5181.2499999999864</v>
      </c>
      <c r="BS176" s="6"/>
      <c r="BT176" s="10">
        <v>174</v>
      </c>
      <c r="BU176" s="10"/>
      <c r="BV176" s="12">
        <v>7522.8749999999945</v>
      </c>
      <c r="BW176" s="12">
        <v>3872.4999999999882</v>
      </c>
      <c r="BX176" s="12">
        <v>9815</v>
      </c>
      <c r="BY176" s="12">
        <v>6948.24999999998</v>
      </c>
      <c r="BZ176" s="12">
        <v>12039.874999999969</v>
      </c>
      <c r="CA176" s="12">
        <v>10967.875000000033</v>
      </c>
      <c r="CB176" s="6"/>
      <c r="CC176" s="10">
        <v>174</v>
      </c>
      <c r="CD176" s="10"/>
      <c r="CE176" s="12">
        <v>11255.00000000004</v>
      </c>
      <c r="CF176" s="12">
        <v>5826.25</v>
      </c>
      <c r="CG176" s="12">
        <v>14775.000000000056</v>
      </c>
      <c r="CH176" s="12">
        <v>6421.2500000000136</v>
      </c>
      <c r="CI176" s="12">
        <v>17825.999999999956</v>
      </c>
      <c r="CJ176" s="12">
        <v>16414.375000000047</v>
      </c>
    </row>
    <row r="177" spans="1:88" ht="15.75" customHeight="1">
      <c r="A177" s="6"/>
      <c r="B177" s="10">
        <v>175</v>
      </c>
      <c r="C177" s="6"/>
      <c r="G177" s="6"/>
      <c r="H177" s="29">
        <f t="shared" si="12"/>
        <v>56.95</v>
      </c>
      <c r="I177" s="6">
        <f t="shared" si="13"/>
        <v>85.888000000000005</v>
      </c>
      <c r="J177" s="6"/>
      <c r="K177" s="6"/>
      <c r="L177" s="6"/>
      <c r="M177" s="6"/>
      <c r="N177" s="6"/>
      <c r="BB177" s="10">
        <v>175</v>
      </c>
      <c r="BC177" s="10" t="s">
        <v>6</v>
      </c>
      <c r="BD177" s="12">
        <v>2828.3800000000115</v>
      </c>
      <c r="BE177" s="12">
        <v>1237.246000000001</v>
      </c>
      <c r="BF177" s="12">
        <v>3080.2100000000046</v>
      </c>
      <c r="BG177" s="12">
        <v>2162.8800000000092</v>
      </c>
      <c r="BH177" s="12">
        <v>3897.5399999999954</v>
      </c>
      <c r="BI177" s="12">
        <v>3504.9800000000023</v>
      </c>
      <c r="BK177" s="10">
        <v>175</v>
      </c>
      <c r="BL177" s="10" t="s">
        <v>24</v>
      </c>
      <c r="BM177" s="12">
        <v>4546.4399999999996</v>
      </c>
      <c r="BN177" s="12">
        <v>1863.4680000000039</v>
      </c>
      <c r="BO177" s="12">
        <v>4604.5760000000028</v>
      </c>
      <c r="BP177" s="12">
        <v>3234.2739999999872</v>
      </c>
      <c r="BQ177" s="12">
        <v>5646.6000000000095</v>
      </c>
      <c r="BR177" s="12">
        <v>5212.6199999999862</v>
      </c>
      <c r="BS177" s="6"/>
      <c r="BT177" s="10">
        <v>175</v>
      </c>
      <c r="BU177" s="10"/>
      <c r="BV177" s="12">
        <v>7574.0979999999945</v>
      </c>
      <c r="BW177" s="12">
        <v>3898.1199999999881</v>
      </c>
      <c r="BX177" s="12">
        <v>9880</v>
      </c>
      <c r="BY177" s="12">
        <v>6994.3159999999798</v>
      </c>
      <c r="BZ177" s="12">
        <v>12120.033999999969</v>
      </c>
      <c r="CA177" s="12">
        <v>11041.058000000034</v>
      </c>
      <c r="CB177" s="6"/>
      <c r="CC177" s="10">
        <v>175</v>
      </c>
      <c r="CD177" s="10"/>
      <c r="CE177" s="12">
        <v>11331.52000000004</v>
      </c>
      <c r="CF177" s="12">
        <v>5865.5</v>
      </c>
      <c r="CG177" s="12">
        <v>14873.040000000057</v>
      </c>
      <c r="CH177" s="12">
        <v>6458.3800000000138</v>
      </c>
      <c r="CI177" s="12">
        <v>17945.247999999956</v>
      </c>
      <c r="CJ177" s="12">
        <v>16523.770000000048</v>
      </c>
    </row>
    <row r="178" spans="1:88" ht="15.75" customHeight="1">
      <c r="A178" s="6"/>
      <c r="B178" s="10">
        <v>176</v>
      </c>
      <c r="C178" s="6"/>
      <c r="G178" s="6"/>
      <c r="H178" s="29">
        <f>H179-1.61</f>
        <v>58.56</v>
      </c>
      <c r="I178" s="6">
        <f t="shared" si="13"/>
        <v>88.316000000000003</v>
      </c>
      <c r="J178" s="6"/>
      <c r="K178" s="6"/>
      <c r="L178" s="6"/>
      <c r="M178" s="6"/>
      <c r="N178" s="6"/>
      <c r="BB178" s="10">
        <v>176</v>
      </c>
      <c r="BC178" s="10" t="s">
        <v>6</v>
      </c>
      <c r="BD178" s="12">
        <v>2845.5100000000116</v>
      </c>
      <c r="BE178" s="12">
        <v>1244.3670000000011</v>
      </c>
      <c r="BF178" s="12">
        <v>3098.5450000000046</v>
      </c>
      <c r="BG178" s="12">
        <v>2175.7600000000093</v>
      </c>
      <c r="BH178" s="12">
        <v>3921.3299999999954</v>
      </c>
      <c r="BI178" s="12">
        <v>3526.2100000000023</v>
      </c>
      <c r="BK178" s="10">
        <v>176</v>
      </c>
      <c r="BL178" s="10" t="s">
        <v>24</v>
      </c>
      <c r="BM178" s="12">
        <v>4575.3799999999992</v>
      </c>
      <c r="BN178" s="12">
        <v>1874.686000000004</v>
      </c>
      <c r="BO178" s="12">
        <v>4632.1520000000028</v>
      </c>
      <c r="BP178" s="12">
        <v>3253.672999999987</v>
      </c>
      <c r="BQ178" s="12">
        <v>5680.7000000000098</v>
      </c>
      <c r="BR178" s="12">
        <v>5243.9899999999861</v>
      </c>
      <c r="BS178" s="6"/>
      <c r="BT178" s="10">
        <v>176</v>
      </c>
      <c r="BU178" s="10"/>
      <c r="BV178" s="12">
        <v>7625.3209999999945</v>
      </c>
      <c r="BW178" s="12">
        <v>3923.739999999988</v>
      </c>
      <c r="BX178" s="12">
        <v>9945</v>
      </c>
      <c r="BY178" s="12">
        <v>7040.3819999999796</v>
      </c>
      <c r="BZ178" s="12">
        <v>12200.192999999968</v>
      </c>
      <c r="CA178" s="12">
        <v>11114.241000000035</v>
      </c>
      <c r="CB178" s="6"/>
      <c r="CC178" s="10">
        <v>176</v>
      </c>
      <c r="CD178" s="10"/>
      <c r="CE178" s="12">
        <v>11408.040000000041</v>
      </c>
      <c r="CF178" s="12">
        <v>5904.75</v>
      </c>
      <c r="CG178" s="12">
        <v>14971.080000000058</v>
      </c>
      <c r="CH178" s="12">
        <v>6495.5100000000139</v>
      </c>
      <c r="CI178" s="12">
        <v>18064.495999999956</v>
      </c>
      <c r="CJ178" s="12">
        <v>16633.165000000048</v>
      </c>
    </row>
    <row r="179" spans="1:88" ht="15.75" customHeight="1">
      <c r="A179" s="6"/>
      <c r="B179" s="10">
        <v>177</v>
      </c>
      <c r="C179" s="6"/>
      <c r="G179" s="6"/>
      <c r="H179" s="6">
        <v>60.17</v>
      </c>
      <c r="I179" s="6">
        <f>I180-2.428</f>
        <v>90.744</v>
      </c>
      <c r="J179" s="6"/>
      <c r="K179" s="6"/>
      <c r="L179" s="6"/>
      <c r="M179" s="6"/>
      <c r="N179" s="6"/>
      <c r="BB179" s="10">
        <v>177</v>
      </c>
      <c r="BC179" s="10" t="s">
        <v>6</v>
      </c>
      <c r="BD179" s="12">
        <v>2862.6400000000117</v>
      </c>
      <c r="BE179" s="12">
        <v>1251.4880000000012</v>
      </c>
      <c r="BF179" s="12">
        <v>3116.8800000000047</v>
      </c>
      <c r="BG179" s="12">
        <v>2188.6400000000094</v>
      </c>
      <c r="BH179" s="12">
        <v>3945.1199999999953</v>
      </c>
      <c r="BI179" s="12">
        <v>3547.4400000000023</v>
      </c>
      <c r="BK179" s="10">
        <v>177</v>
      </c>
      <c r="BL179" s="10" t="s">
        <v>24</v>
      </c>
      <c r="BM179" s="12">
        <v>4604.3199999999988</v>
      </c>
      <c r="BN179" s="12">
        <v>1885.9040000000041</v>
      </c>
      <c r="BO179" s="12">
        <v>4659.7280000000028</v>
      </c>
      <c r="BP179" s="12">
        <v>3273.0719999999869</v>
      </c>
      <c r="BQ179" s="12">
        <v>5714.8000000000102</v>
      </c>
      <c r="BR179" s="12">
        <v>5275.359999999986</v>
      </c>
      <c r="BS179" s="6"/>
      <c r="BT179" s="10">
        <v>177</v>
      </c>
      <c r="BU179" s="10"/>
      <c r="BV179" s="12">
        <v>7676.5439999999944</v>
      </c>
      <c r="BW179" s="12">
        <v>3949.3599999999878</v>
      </c>
      <c r="BX179" s="12">
        <v>10010</v>
      </c>
      <c r="BY179" s="12">
        <v>7086.4479999999794</v>
      </c>
      <c r="BZ179" s="12">
        <v>12280.351999999968</v>
      </c>
      <c r="CA179" s="12">
        <v>11187.424000000035</v>
      </c>
      <c r="CB179" s="6"/>
      <c r="CC179" s="10">
        <v>177</v>
      </c>
      <c r="CD179" s="10"/>
      <c r="CE179" s="12">
        <v>11484.560000000041</v>
      </c>
      <c r="CF179" s="12">
        <v>5944</v>
      </c>
      <c r="CG179" s="12">
        <v>15069.120000000059</v>
      </c>
      <c r="CH179" s="12">
        <v>6532.640000000014</v>
      </c>
      <c r="CI179" s="12">
        <v>18183.743999999955</v>
      </c>
      <c r="CJ179" s="12">
        <v>16742.560000000049</v>
      </c>
    </row>
    <row r="180" spans="1:88" ht="15.75" customHeight="1">
      <c r="A180" s="6"/>
      <c r="B180" s="10">
        <v>178</v>
      </c>
      <c r="C180" s="6"/>
      <c r="G180" s="6"/>
      <c r="H180" s="6">
        <v>61.78</v>
      </c>
      <c r="I180" s="6">
        <v>93.171999999999997</v>
      </c>
      <c r="J180" s="6"/>
      <c r="K180" s="6"/>
      <c r="L180" s="6"/>
      <c r="M180" s="6"/>
      <c r="N180" s="6"/>
      <c r="BB180" s="10">
        <v>178</v>
      </c>
      <c r="BC180" s="10" t="s">
        <v>6</v>
      </c>
      <c r="BD180" s="12">
        <v>2879.7700000000118</v>
      </c>
      <c r="BE180" s="12">
        <v>1258.6090000000013</v>
      </c>
      <c r="BF180" s="12">
        <v>3135.2150000000047</v>
      </c>
      <c r="BG180" s="12">
        <v>2201.5200000000095</v>
      </c>
      <c r="BH180" s="12">
        <v>3968.9099999999953</v>
      </c>
      <c r="BI180" s="12">
        <v>3568.6700000000023</v>
      </c>
      <c r="BK180" s="10">
        <v>178</v>
      </c>
      <c r="BL180" s="10" t="s">
        <v>24</v>
      </c>
      <c r="BM180" s="12">
        <v>4633.2599999999984</v>
      </c>
      <c r="BN180" s="12">
        <v>1897.1220000000042</v>
      </c>
      <c r="BO180" s="12">
        <v>4687.3040000000028</v>
      </c>
      <c r="BP180" s="12">
        <v>3292.4709999999868</v>
      </c>
      <c r="BQ180" s="12">
        <v>5748.9000000000106</v>
      </c>
      <c r="BR180" s="12">
        <v>5306.7299999999859</v>
      </c>
      <c r="BS180" s="6"/>
      <c r="BT180" s="10">
        <v>178</v>
      </c>
      <c r="BU180" s="10"/>
      <c r="BV180" s="12">
        <v>7727.7669999999944</v>
      </c>
      <c r="BW180" s="12">
        <v>3974.9799999999877</v>
      </c>
      <c r="BX180" s="12">
        <v>10075</v>
      </c>
      <c r="BY180" s="12">
        <v>7132.5139999999792</v>
      </c>
      <c r="BZ180" s="12">
        <v>12360.510999999968</v>
      </c>
      <c r="CA180" s="12">
        <v>11260.607000000036</v>
      </c>
      <c r="CB180" s="6"/>
      <c r="CC180" s="10">
        <v>178</v>
      </c>
      <c r="CD180" s="10"/>
      <c r="CE180" s="12">
        <v>11561.080000000042</v>
      </c>
      <c r="CF180" s="12">
        <v>5983.25</v>
      </c>
      <c r="CG180" s="12">
        <v>15167.16000000006</v>
      </c>
      <c r="CH180" s="12">
        <v>6569.7700000000141</v>
      </c>
      <c r="CI180" s="12">
        <v>18302.991999999955</v>
      </c>
      <c r="CJ180" s="12">
        <v>16851.955000000049</v>
      </c>
    </row>
    <row r="181" spans="1:88" ht="15.75" customHeight="1">
      <c r="A181" s="6"/>
      <c r="B181" s="10">
        <v>179</v>
      </c>
      <c r="C181" s="6"/>
      <c r="G181" s="6"/>
      <c r="H181" s="6">
        <v>63.39</v>
      </c>
      <c r="I181" s="6">
        <v>95.6</v>
      </c>
      <c r="J181" s="6"/>
      <c r="K181" s="6"/>
      <c r="L181" s="6"/>
      <c r="M181" s="6"/>
      <c r="N181" s="6"/>
      <c r="BB181" s="10">
        <v>179</v>
      </c>
      <c r="BC181" s="10" t="s">
        <v>6</v>
      </c>
      <c r="BD181" s="12">
        <v>2896.9000000000119</v>
      </c>
      <c r="BE181" s="12">
        <v>1265.7300000000014</v>
      </c>
      <c r="BF181" s="12">
        <v>3153.5500000000047</v>
      </c>
      <c r="BG181" s="12">
        <v>2214.4000000000096</v>
      </c>
      <c r="BH181" s="12">
        <v>3992.6999999999953</v>
      </c>
      <c r="BI181" s="12">
        <v>3589.9000000000024</v>
      </c>
      <c r="BK181" s="10">
        <v>179</v>
      </c>
      <c r="BL181" s="10" t="s">
        <v>24</v>
      </c>
      <c r="BM181" s="12">
        <v>4662.199999999998</v>
      </c>
      <c r="BN181" s="12">
        <v>1908.3400000000042</v>
      </c>
      <c r="BO181" s="12">
        <v>4714.8800000000028</v>
      </c>
      <c r="BP181" s="12">
        <v>3311.8699999999867</v>
      </c>
      <c r="BQ181" s="12">
        <v>5783.0000000000109</v>
      </c>
      <c r="BR181" s="12">
        <v>5338.0999999999858</v>
      </c>
      <c r="BS181" s="6"/>
      <c r="BT181" s="10">
        <v>179</v>
      </c>
      <c r="BU181" s="10"/>
      <c r="BV181" s="12">
        <v>7778.9899999999943</v>
      </c>
      <c r="BW181" s="12">
        <v>4000.5999999999876</v>
      </c>
      <c r="BX181" s="12">
        <v>10140</v>
      </c>
      <c r="BY181" s="12">
        <v>7178.579999999979</v>
      </c>
      <c r="BZ181" s="12">
        <v>12440.669999999967</v>
      </c>
      <c r="CA181" s="12">
        <v>11333.790000000037</v>
      </c>
      <c r="CB181" s="6"/>
      <c r="CC181" s="10">
        <v>179</v>
      </c>
      <c r="CD181" s="10"/>
      <c r="CE181" s="12">
        <v>11637.600000000042</v>
      </c>
      <c r="CF181" s="12">
        <v>6022.5</v>
      </c>
      <c r="CG181" s="12">
        <v>15265.200000000061</v>
      </c>
      <c r="CH181" s="12">
        <v>6606.9000000000142</v>
      </c>
      <c r="CI181" s="12">
        <v>18422.239999999954</v>
      </c>
      <c r="CJ181" s="12">
        <v>16961.350000000049</v>
      </c>
    </row>
    <row r="182" spans="1:88" ht="15.75" customHeight="1">
      <c r="A182" s="6"/>
      <c r="B182" s="10">
        <v>180</v>
      </c>
      <c r="C182" s="6"/>
      <c r="G182" s="6"/>
      <c r="H182" s="6"/>
      <c r="I182" s="6"/>
      <c r="J182" s="6"/>
      <c r="K182" s="6"/>
      <c r="L182" s="6"/>
      <c r="M182" s="6"/>
      <c r="N182" s="6"/>
      <c r="BB182" s="10">
        <v>180</v>
      </c>
      <c r="BC182" s="10" t="s">
        <v>6</v>
      </c>
      <c r="BD182" s="12">
        <v>2914.030000000012</v>
      </c>
      <c r="BE182" s="12">
        <v>1272.8510000000015</v>
      </c>
      <c r="BF182" s="12">
        <v>3171.8850000000048</v>
      </c>
      <c r="BG182" s="12">
        <v>2227.2800000000097</v>
      </c>
      <c r="BH182" s="12">
        <v>4016.4899999999952</v>
      </c>
      <c r="BI182" s="12">
        <v>3611.1300000000024</v>
      </c>
      <c r="BK182" s="10">
        <v>180</v>
      </c>
      <c r="BL182" s="10" t="s">
        <v>24</v>
      </c>
      <c r="BM182" s="12">
        <v>4691.1399999999976</v>
      </c>
      <c r="BN182" s="12">
        <v>1919.5580000000043</v>
      </c>
      <c r="BO182" s="12">
        <v>4742.4560000000029</v>
      </c>
      <c r="BP182" s="12">
        <v>3331.2689999999866</v>
      </c>
      <c r="BQ182" s="12">
        <v>5817.1000000000113</v>
      </c>
      <c r="BR182" s="12">
        <v>5369.4699999999857</v>
      </c>
      <c r="BS182" s="6"/>
      <c r="BT182" s="10">
        <v>180</v>
      </c>
      <c r="BU182" s="10"/>
      <c r="BV182" s="12">
        <v>7830.2129999999943</v>
      </c>
      <c r="BW182" s="12">
        <v>4026.2199999999875</v>
      </c>
      <c r="BX182" s="12">
        <v>10205</v>
      </c>
      <c r="BY182" s="12">
        <v>7224.6459999999788</v>
      </c>
      <c r="BZ182" s="12">
        <v>12520.828999999967</v>
      </c>
      <c r="CA182" s="12">
        <v>11406.973000000038</v>
      </c>
      <c r="CB182" s="6"/>
      <c r="CC182" s="10">
        <v>180</v>
      </c>
      <c r="CD182" s="10"/>
      <c r="CE182" s="12">
        <v>11714.120000000043</v>
      </c>
      <c r="CF182" s="12">
        <v>6061.75</v>
      </c>
      <c r="CG182" s="12">
        <v>15363.240000000062</v>
      </c>
      <c r="CH182" s="12">
        <v>6644.0300000000143</v>
      </c>
      <c r="CI182" s="12">
        <v>18541.487999999954</v>
      </c>
      <c r="CJ182" s="12">
        <v>17070.74500000005</v>
      </c>
    </row>
    <row r="183" spans="1:88" ht="15.75" customHeight="1">
      <c r="A183" s="6"/>
      <c r="B183" s="10">
        <v>181</v>
      </c>
      <c r="C183" s="6"/>
      <c r="H183" s="6" t="s">
        <v>1</v>
      </c>
      <c r="I183" s="7" t="s">
        <v>26</v>
      </c>
      <c r="J183" s="7" t="s">
        <v>19</v>
      </c>
      <c r="K183" s="6"/>
      <c r="L183" s="7" t="s">
        <v>63</v>
      </c>
      <c r="M183" s="7" t="s">
        <v>64</v>
      </c>
      <c r="N183" s="7" t="s">
        <v>65</v>
      </c>
      <c r="O183" s="7" t="s">
        <v>66</v>
      </c>
      <c r="P183" s="7" t="s">
        <v>62</v>
      </c>
      <c r="Q183" s="7" t="s">
        <v>31</v>
      </c>
      <c r="R183" s="7" t="s">
        <v>32</v>
      </c>
      <c r="S183" s="7" t="s">
        <v>33</v>
      </c>
      <c r="T183" s="7" t="s">
        <v>34</v>
      </c>
      <c r="U183" s="7" t="s">
        <v>35</v>
      </c>
      <c r="V183" s="7" t="s">
        <v>36</v>
      </c>
      <c r="W183" s="7" t="s">
        <v>37</v>
      </c>
      <c r="X183" s="7" t="s">
        <v>38</v>
      </c>
      <c r="Y183" s="7" t="s">
        <v>39</v>
      </c>
      <c r="Z183" s="7" t="s">
        <v>40</v>
      </c>
      <c r="AA183" s="7" t="s">
        <v>41</v>
      </c>
      <c r="AB183" s="7" t="s">
        <v>42</v>
      </c>
      <c r="AC183" s="7" t="s">
        <v>43</v>
      </c>
      <c r="AD183" s="7" t="s">
        <v>44</v>
      </c>
      <c r="AE183" s="7" t="s">
        <v>45</v>
      </c>
      <c r="AF183" s="7" t="s">
        <v>46</v>
      </c>
      <c r="AG183" s="7" t="s">
        <v>47</v>
      </c>
      <c r="AH183" s="7" t="s">
        <v>48</v>
      </c>
      <c r="AI183" s="7" t="s">
        <v>49</v>
      </c>
      <c r="AJ183" s="7" t="s">
        <v>50</v>
      </c>
      <c r="AK183" s="7" t="s">
        <v>51</v>
      </c>
      <c r="AL183" s="7" t="s">
        <v>52</v>
      </c>
      <c r="AM183" s="7" t="s">
        <v>53</v>
      </c>
      <c r="AN183" s="7" t="s">
        <v>54</v>
      </c>
      <c r="AO183" s="7" t="s">
        <v>55</v>
      </c>
      <c r="AP183" s="7" t="s">
        <v>56</v>
      </c>
      <c r="AQ183" s="7" t="s">
        <v>57</v>
      </c>
      <c r="AR183" s="7" t="s">
        <v>58</v>
      </c>
      <c r="AS183" s="7" t="s">
        <v>3</v>
      </c>
      <c r="BB183" s="10">
        <v>181</v>
      </c>
      <c r="BC183" s="10" t="s">
        <v>6</v>
      </c>
      <c r="BD183" s="12">
        <v>2931.1600000000121</v>
      </c>
      <c r="BE183" s="12">
        <v>1279.9720000000016</v>
      </c>
      <c r="BF183" s="12">
        <v>3190.2200000000048</v>
      </c>
      <c r="BG183" s="12">
        <v>2240.1600000000099</v>
      </c>
      <c r="BH183" s="12">
        <v>4040.2799999999952</v>
      </c>
      <c r="BI183" s="12">
        <v>3632.3600000000024</v>
      </c>
      <c r="BK183" s="10">
        <v>181</v>
      </c>
      <c r="BL183" s="10" t="s">
        <v>24</v>
      </c>
      <c r="BM183" s="12">
        <v>4720.0799999999972</v>
      </c>
      <c r="BN183" s="12">
        <v>1930.7760000000044</v>
      </c>
      <c r="BO183" s="12">
        <v>4770.0320000000029</v>
      </c>
      <c r="BP183" s="12">
        <v>3350.6679999999865</v>
      </c>
      <c r="BQ183" s="12">
        <v>5851.2000000000116</v>
      </c>
      <c r="BR183" s="12">
        <v>5400.8399999999856</v>
      </c>
      <c r="BS183" s="6"/>
      <c r="BT183" s="10">
        <v>181</v>
      </c>
      <c r="BU183" s="10"/>
      <c r="BV183" s="12">
        <v>7881.4359999999942</v>
      </c>
      <c r="BW183" s="12">
        <v>4051.8399999999874</v>
      </c>
      <c r="BX183" s="12">
        <v>10270</v>
      </c>
      <c r="BY183" s="12">
        <v>7270.7119999999786</v>
      </c>
      <c r="BZ183" s="12">
        <v>12600.987999999967</v>
      </c>
      <c r="CA183" s="12">
        <v>11480.156000000039</v>
      </c>
      <c r="CB183" s="6"/>
      <c r="CC183" s="10">
        <v>181</v>
      </c>
      <c r="CD183" s="10"/>
      <c r="CE183" s="12">
        <v>11790.640000000043</v>
      </c>
      <c r="CF183" s="12">
        <v>6101</v>
      </c>
      <c r="CG183" s="12">
        <v>15461.280000000063</v>
      </c>
      <c r="CH183" s="12">
        <v>6681.1600000000144</v>
      </c>
      <c r="CI183" s="12">
        <v>18660.735999999953</v>
      </c>
      <c r="CJ183" s="12">
        <v>17180.14000000005</v>
      </c>
    </row>
    <row r="184" spans="1:88" ht="15.75" customHeight="1">
      <c r="A184" s="6"/>
      <c r="B184" s="10">
        <v>182</v>
      </c>
      <c r="C184" s="6"/>
      <c r="G184" s="7" t="s">
        <v>9</v>
      </c>
      <c r="H184" s="6" t="str">
        <f>'Tensile Pass Fail'!C12</f>
        <v>LWT320 6.4mm (1/4")</v>
      </c>
      <c r="I184" s="24">
        <f>'Tensile Pass Fail'!D12</f>
        <v>10</v>
      </c>
      <c r="J184" s="7">
        <f>'Tensile Pass Fail'!E12</f>
        <v>50</v>
      </c>
      <c r="K184" s="6"/>
      <c r="L184" s="6">
        <f>IF(J184&gt;=3,L192-((49-J184)*H186),IF(J184&lt;=3,"No Data"))</f>
        <v>435.08299999999997</v>
      </c>
      <c r="M184" s="6">
        <f>IF(J184&gt;=7,M192-((49-J184)*H187),IF(J184&lt;=7,"No Data"))</f>
        <v>458.642</v>
      </c>
      <c r="N184" s="6">
        <f>IF(J184&gt;=10,N192-((49-J184)*H188),IF(J184&lt;=10,"No Data"))</f>
        <v>482.20600000000002</v>
      </c>
      <c r="O184" s="7">
        <f>IF(J184&gt;=12,O192-((49-J184)*H189),IF(J184&lt;=12,"No Data"))</f>
        <v>505.76500000000004</v>
      </c>
      <c r="P184" s="7">
        <f>IF(J184&gt;=14,P192-((49-J184)*H190),IF(J184&lt;=14,"No Data"))</f>
        <v>529.32400000000007</v>
      </c>
      <c r="Q184" s="7">
        <f>IF(J184&gt;=16,Q192-((49-J184)*H192),IF(J184&lt;=16,"No Data"))</f>
        <v>576.44200000000001</v>
      </c>
      <c r="R184" s="7">
        <f>IF(J184&gt;=18,R192-((49-J184)*H193),IF(J184&lt;=18,"No Data"))</f>
        <v>600.00099999999998</v>
      </c>
      <c r="S184" s="7">
        <f>IF(J184&gt;=18,S192-((49-J184)*H194),IF(J184&lt;=18,"No Data"))</f>
        <v>623.55999999999995</v>
      </c>
      <c r="T184" s="7">
        <f>IF(J184&gt;=19,T192-((49-J184)*H195),IF(J184&lt;=19,"No Data"))</f>
        <v>647.11899999999991</v>
      </c>
      <c r="U184" s="7">
        <f>IF(J184&gt;=20,U192-((49-J184)*H196),IF(J184&lt;=20,"No Data"))</f>
        <v>670.67799999999988</v>
      </c>
      <c r="V184" s="7">
        <f>IF(J184&gt;=20,V192-((49-J184)*H197),IF(J184&lt;=20,"No Data"))</f>
        <v>694.23699999999985</v>
      </c>
      <c r="W184">
        <f>IF(J184&gt;=21,W192-((49-J184)*H198),IF(J184&lt;=21,"No Data"))</f>
        <v>717.79599999999982</v>
      </c>
      <c r="X184">
        <f>IF(J184&gt;=21,X192-((49-J184)*H199),IF(J184&lt;=21,"No Data"))</f>
        <v>741.35499999999979</v>
      </c>
      <c r="Y184">
        <f>IF(J184&gt;=22,Y192-((49-J184)*H200),IF(J184&lt;=22,"No Data"))</f>
        <v>764.91399999999976</v>
      </c>
      <c r="Z184">
        <f>IF(J184&gt;=22,Z192-((49-J184)*H201),IF(J184&lt;=22,"No Data"))</f>
        <v>788.47299999999962</v>
      </c>
      <c r="AA184">
        <f>IF(J184&gt;=23,AA192-((49-J184)*H202),IF(J184&lt;=23,"No Data"))</f>
        <v>812.03199999999958</v>
      </c>
      <c r="AB184">
        <f>IF(J184&gt;=23,AB192-((49-J184)*H203),IF(J184&lt;=23,"No Data"))</f>
        <v>835.59099999999955</v>
      </c>
      <c r="AC184">
        <f>IF(J184&gt;=23,AC192-((49-J184)*H204),IF(J184&lt;=23,"No Data"))</f>
        <v>859.14999999999952</v>
      </c>
      <c r="AD184">
        <f>IF(J184&gt;=23,AD192-((49-J184)*H205),IF(J184&lt;23,"No Data"))</f>
        <v>882.70899999999949</v>
      </c>
      <c r="AE184">
        <f>IF(J184&gt;=24,AE192-((49-J184)*H206),IF(J184&lt;=24,"No Data"))</f>
        <v>906.26799999999946</v>
      </c>
      <c r="AF184">
        <f>IF(J184&gt;=24,AF192-((49-J184)*H207),IF(J184&lt;=24,"No Data"))</f>
        <v>929.82699999999943</v>
      </c>
      <c r="AG184">
        <f>IF(J184&gt;=24,AG192-((49-J184)*H208),IF(J184&lt;=24,"No Data"))</f>
        <v>953.3859999999994</v>
      </c>
      <c r="AH184">
        <f>IF(J184&gt;=24,AH192-((49-J184)*H209),IF(J184&lt;=24,"No Data"))</f>
        <v>976.94499999999937</v>
      </c>
      <c r="AI184">
        <f>IF(J184&gt;=24,AI192-((49-J184)*H210),IF(J184&lt;=24,"No Data"))</f>
        <v>1000.5039999999993</v>
      </c>
      <c r="AJ184">
        <f>IF(J184&gt;=25,AJ192-((49-J184)*H211),IF(J184&lt;=25,"No Data"))</f>
        <v>1024.0629999999992</v>
      </c>
      <c r="AK184">
        <f>IF(J184&gt;=25,AK192-((49-J184)*H212),IF(J184&lt;=25,"No Data"))</f>
        <v>1047.6219999999992</v>
      </c>
      <c r="AL184">
        <f>IF(J184&gt;=25,AL192-((49-J184)*H213),IF(J184&lt;=25,"No Data"))</f>
        <v>1071.1809999999991</v>
      </c>
      <c r="AM184">
        <f>IF(J184&gt;=25,AM192-((49-J184)*H214),IF(J184&lt;=25,"No Data"))</f>
        <v>1094.7399999999991</v>
      </c>
      <c r="AN184">
        <f>IF(J184&gt;=25,AN192-((49-J184)*H215),IF(J184&lt;=25,"No Data"))</f>
        <v>1118.2989999999991</v>
      </c>
      <c r="AO184">
        <f>IF(J184&gt;=25,AO192-((49-J184)*H216),IF(J184&lt;=25,"No Data"))</f>
        <v>1141.857999999999</v>
      </c>
      <c r="AP184">
        <f>IF(J184&gt;=26,AP192-((49-J184)*H217),IF(J184&lt;=26,"No Data"))</f>
        <v>1165.4169999999999</v>
      </c>
      <c r="AQ184">
        <f>IF(J184&gt;=26,AQ192-((49-J184)*H218),IF(J184&lt;=26,"No Data"))</f>
        <v>1188.9759999999999</v>
      </c>
      <c r="AR184">
        <f>IF(J184&gt;=26,AR192-((49-J184)*H219),IF(J184&lt;=26,"No Data"))</f>
        <v>1212.5349999999999</v>
      </c>
      <c r="AS184" t="b">
        <f>IF($I184=5,IF($H184=$D3,L184),IF($I184=6,IF($H184=$D3,M184),IF($I184=7,IF($H184=$D3,N184),IF($I184=8,IF($H184=$D3,O184),IF($I184=9,IF($H184=$D3,P184),IF($I184=11,IF($H184=$D3,Q184),IF($I184=12,IF($H184=$D3,R184),IF($I184=13,IF($H184=$D3,S184),IF($I184=14,IF($H184=$D3,T184),IF($I184=15,IF($H184=$D3,U184),IF($I184=16,IF($H184=$D3,V184),IF($I184=17,IF($H184=$D3,W184),IF($I184=18,IF($H184=$D3,X184),IF($I184=19,IF($H184=$D3,Y184),IF($I184=20,IF($H184=$D3,Z184),IF($I184=21,IF($H184=$D3,AA184),IF($I184=22,IF($H184=$D3,AB184),IF($I184=23,IF($H184=$D3,AC184),IF($I184=24,IF($H184=$D3,AD184),IF($I184=25,IF($H184=$D3,AE184),IF($I184=26,IF($H184=$D3,AF184),IF($I184=27,IF($H184=$D3,AG184),IF($I184=28,IF($H184=$D3,AH184),IF($I184=29,IF($H184=$D3,AI184),IF($I184=30,IF($H184=$D3,AJ184),IF($I184=31,IF($H184=$D3,AK184),IF($I184=32,IF($H184=$D3,AL184),IF($I184=33,IF($H184=$D3,AM184),IF($I184=34,IF($H184=$D3,AN184),IF($I184=35,IF($H184=$D3,AO184),IF($I184=36,IF($H184=$D3,AP184),IF($I184=37,IF($H184=$D3,AQ184),IF($I184=38,IF($H184=$D3,AR184))))))))))))))))))))))))))))))))))</f>
        <v>0</v>
      </c>
      <c r="BB184" s="10">
        <v>182</v>
      </c>
      <c r="BC184" s="10" t="s">
        <v>6</v>
      </c>
      <c r="BD184" s="12">
        <v>2948.2900000000122</v>
      </c>
      <c r="BE184" s="12">
        <v>1287.0930000000017</v>
      </c>
      <c r="BF184" s="12">
        <v>3208.5550000000048</v>
      </c>
      <c r="BG184" s="12">
        <v>2253.04000000001</v>
      </c>
      <c r="BH184" s="12">
        <v>4064.0699999999952</v>
      </c>
      <c r="BI184" s="12">
        <v>3653.5900000000024</v>
      </c>
      <c r="BK184" s="10">
        <v>182</v>
      </c>
      <c r="BL184" s="10" t="s">
        <v>24</v>
      </c>
      <c r="BM184" s="12">
        <v>4749.0199999999968</v>
      </c>
      <c r="BN184" s="12">
        <v>1941.9940000000045</v>
      </c>
      <c r="BO184" s="12">
        <v>4797.6080000000029</v>
      </c>
      <c r="BP184" s="12">
        <v>3370.0669999999864</v>
      </c>
      <c r="BQ184" s="12">
        <v>5885.300000000012</v>
      </c>
      <c r="BR184" s="12">
        <v>5432.2099999999855</v>
      </c>
      <c r="BS184" s="6"/>
      <c r="BT184" s="10">
        <v>182</v>
      </c>
      <c r="BU184" s="10"/>
      <c r="BV184" s="12">
        <v>7932.6589999999942</v>
      </c>
      <c r="BW184" s="12">
        <v>4077.4599999999873</v>
      </c>
      <c r="BX184" s="12">
        <v>10335</v>
      </c>
      <c r="BY184" s="12">
        <v>7316.7779999999784</v>
      </c>
      <c r="BZ184" s="12">
        <v>12681.146999999966</v>
      </c>
      <c r="CA184" s="12">
        <v>11553.33900000004</v>
      </c>
      <c r="CB184" s="6"/>
      <c r="CC184" s="10">
        <v>182</v>
      </c>
      <c r="CD184" s="10"/>
      <c r="CE184" s="12">
        <v>11867.160000000044</v>
      </c>
      <c r="CF184" s="12">
        <v>6140.25</v>
      </c>
      <c r="CG184" s="12">
        <v>15559.320000000063</v>
      </c>
      <c r="CH184" s="12">
        <v>6718.2900000000145</v>
      </c>
      <c r="CI184" s="12">
        <v>18779.983999999953</v>
      </c>
      <c r="CJ184" s="12">
        <v>17289.535000000051</v>
      </c>
    </row>
    <row r="185" spans="1:88" ht="15.75" customHeight="1">
      <c r="A185" s="6"/>
      <c r="B185" s="10">
        <v>183</v>
      </c>
      <c r="C185" s="6"/>
      <c r="G185" s="6"/>
      <c r="H185" s="6" t="s">
        <v>59</v>
      </c>
      <c r="I185" s="6" t="s">
        <v>60</v>
      </c>
      <c r="J185" s="6"/>
      <c r="K185" s="6"/>
      <c r="L185" s="6" t="b">
        <f>IF($H184=$D3,IF($J184&lt;=129,"PASS","FAIL"))</f>
        <v>0</v>
      </c>
      <c r="M185" s="6" t="b">
        <f>IF($H184=$D3,IF($J184&lt;=115,"PASS","FAIL"))</f>
        <v>0</v>
      </c>
      <c r="N185" s="6" t="b">
        <f>IF($H184=$D3,IF($J184&lt;=104,"PASS","FAIL"))</f>
        <v>0</v>
      </c>
      <c r="O185" s="6" t="b">
        <f>IF($H184=$D3,IF($J184&lt;=96,"PASS","FAIL"))</f>
        <v>0</v>
      </c>
      <c r="P185" s="6" t="b">
        <f>IF($H184=$D3,IF($J184&lt;=90,"PASS","FAIL"))</f>
        <v>0</v>
      </c>
      <c r="Q185" s="6" t="b">
        <f>IF($H184=$D3,IF($J184&lt;=80,"PASS","FAIL"))</f>
        <v>0</v>
      </c>
      <c r="R185" s="6" t="b">
        <f>IF($H184=$D3,IF($J184&lt;=76,"PASS","FAIL"))</f>
        <v>0</v>
      </c>
      <c r="S185" s="6" t="b">
        <f>IF($H184=$D3,IF($J184&lt;=73,"PASS","FAIL"))</f>
        <v>0</v>
      </c>
      <c r="T185" s="6" t="b">
        <f>IF($H184=$D3,IF($J184&lt;=70,"PASS","FAIL"))</f>
        <v>0</v>
      </c>
      <c r="U185" s="6" t="b">
        <f>IF($H184=$D3,IF($J184&lt;=67,"PASS","FAIL"))</f>
        <v>0</v>
      </c>
      <c r="V185" s="6" t="b">
        <f>IF($H184=$D3,IF($J184&lt;=65,"PASS","FAIL"))</f>
        <v>0</v>
      </c>
      <c r="W185" s="6" t="b">
        <f>IF($H184=$D3,IF($J184&lt;=63,"PASS","FAIL"))</f>
        <v>0</v>
      </c>
      <c r="X185" s="6" t="b">
        <f>IF($H184=$D3,IF($J184&lt;=61,"PASS","FAIL"))</f>
        <v>0</v>
      </c>
      <c r="Y185" s="6" t="b">
        <f>IF($H184=$D3,IF($J184&lt;=60,"PASS","FAIL"))</f>
        <v>0</v>
      </c>
      <c r="Z185" s="6" t="b">
        <f>IF($H184=$D3,IF($J184&lt;=58,"PASS","FAIL"))</f>
        <v>0</v>
      </c>
      <c r="AA185" s="6" t="b">
        <f>IF($H184=$D3,IF($J184&lt;=57,"PASS","FAIL"))</f>
        <v>0</v>
      </c>
      <c r="AB185" s="6" t="b">
        <f>IF($H184=$D3,IF($J184&lt;=56,"PASS","FAIL"))</f>
        <v>0</v>
      </c>
      <c r="AC185" s="6" t="b">
        <f>IF($H184=$D3,IF($J184&lt;=55,"PASS","FAIL"))</f>
        <v>0</v>
      </c>
      <c r="AD185" s="6" t="b">
        <f>IF($H184=$D3,IF($J184&lt;=54,"PASS","FAIL"))</f>
        <v>0</v>
      </c>
      <c r="AE185" s="6" t="b">
        <f>IF($H184=$D3,IF($J184&lt;=53,"PASS","FAIL"))</f>
        <v>0</v>
      </c>
      <c r="AF185" s="6" t="b">
        <f>IF($H184=$D3,IF($J184&lt;=52,"PASS","FAIL"))</f>
        <v>0</v>
      </c>
      <c r="AG185" s="6" t="b">
        <f>IF($H184=$D3,IF($J184&lt;=51,"PASS","FAIL"))</f>
        <v>0</v>
      </c>
      <c r="AH185" s="6" t="b">
        <f>IF($H184=$D3,IF($J184&lt;=50,"PASS","FAIL"))</f>
        <v>0</v>
      </c>
      <c r="AI185" s="6" t="b">
        <f>IF($H184=$D3,IF($J184&lt;=50,"PASS","FAIL"))</f>
        <v>0</v>
      </c>
      <c r="AJ185" s="6" t="b">
        <f>IF($H184=$D3,IF($J184&lt;=49,"PASS","FAIL"))</f>
        <v>0</v>
      </c>
      <c r="AK185" s="6" t="b">
        <f>IF($H184=$D3,IF($J184&lt;=48,"PASS","FAIL"))</f>
        <v>0</v>
      </c>
      <c r="AL185" s="6" t="b">
        <f>IF($H184=$D3,IF($J184&lt;=48,"PASS","FAIL"))</f>
        <v>0</v>
      </c>
      <c r="AM185" s="6" t="b">
        <f>IF($H184=$D3,IF($J184&lt;=47,"PASS","FAIL"))</f>
        <v>0</v>
      </c>
      <c r="AN185" s="6" t="b">
        <f>IF($H184=$D3,IF($J184&lt;=47,"PASS","FAIL"))</f>
        <v>0</v>
      </c>
      <c r="AO185" s="6" t="b">
        <f>IF($H184=$D3,IF($J184&lt;=46,"PASS","FAIL"))</f>
        <v>0</v>
      </c>
      <c r="AP185" s="6" t="b">
        <f>IF($H184=$D3,IF($J184&lt;=46,"PASS","FAIL"))</f>
        <v>0</v>
      </c>
      <c r="AQ185" s="6" t="b">
        <f>IF($H184=$D3,IF($J184&lt;=45,"PASS","FAIL"))</f>
        <v>0</v>
      </c>
      <c r="AR185" s="6" t="b">
        <f>IF($H184=$D3,IF($J184&lt;=45,"PASS","FAIL"))</f>
        <v>0</v>
      </c>
      <c r="AS185" s="16" t="b">
        <f>IF(I184=5,IF(J184&lt;=129,"PASS","FAIL"),IF(I184=6,IF(J184&lt;=115,"PASS","FAIL"),IF(I184=7,IF(J184&lt;=104,"PASS","FAIL"),IF(I184=8,IF(J184&lt;=96,"PASS","FAIL"),IF(I184=9,IF(J184&lt;=90,"PASS","FAIL"),IF(I184=11,IF(J184&lt;=80,"PASS","FAIL"),IF(I184=12,IF(J184&lt;=76,"PASS","FAIL"),IF(I184=13,IF(J184&lt;=73,"PASS","FAIL"),IF(I184=14,IF(J184&lt;=70,"PASS","FAIL"),IF(I184=15,IF(J184&lt;=67,"PASS","FAIL"),IF(I184=16,IF(J184&lt;=65,"PASS","FAIL"),IF(I184=17,IF(J184&lt;=63,"PASS","FAIL"),IF(I184=18,IF(J184&lt;=61,"PASS","FAIL"),IF(I184=19,IF(J184&lt;=60,"PASS","FAIL"),IF(I184=20,IF(J184&lt;=58,"PASS","FAIL"),IF(I184=21,IF(J184&lt;=57,"PASS","FAIL"),IF(I184=22,IF(J184&lt;=56,"PASS","FAIL"),IF(I184=23,IF(J184&lt;=55,"PASS","FAIL"),IF(I184=24,IF(J184&lt;=54,"PASS","FAIL"),IF(I184=25,IF(J184&lt;=53,"PASS","FAIL"),IF(I184=26,IF(J184&lt;=52,"PASS","FAIL"),IF(I184=27,IF(J184&lt;=51,"PASS","FAIL"),IF(I184=28,IF(J184&lt;=50,"PASS","FAIL"),IF(I184=29,IF(J184&lt;=50,"PASS","FAIL"),IF(I184=30,IF(J184&lt;=49,"PASS","FAIL"),IF(I184=31,IF(J184&lt;=48,"PASS","FAIL"),IF(I184=32,IF(J184&lt;=48,"PASS","FAIL"),IF(I184=33,IF(J184&lt;=47,"PASS","FAIL"),IF(I184=34,IF(J184&lt;=47,"PASS","FAIL"),IF(I184=35,IF(J184&lt;=46,"PASS","FAIL"),IF(I184=36,IF(J184&lt;=46,"PASS","FAIL"),IF(I184=37,IF(J184&lt;=45,"PASS","FAIL"),IF(I184=38,IF(J184&lt;=45,"PASS","FAIL"))))))))))))))))))))))))))))))))))</f>
        <v>0</v>
      </c>
      <c r="AT185" t="b">
        <f>IF(AS184=FALSE(),AS188,AS184)</f>
        <v>0</v>
      </c>
      <c r="BB185" s="10">
        <v>183</v>
      </c>
      <c r="BC185" s="10" t="s">
        <v>6</v>
      </c>
      <c r="BD185" s="12">
        <v>2965.4200000000124</v>
      </c>
      <c r="BE185" s="12">
        <v>1294.2140000000018</v>
      </c>
      <c r="BF185" s="12">
        <v>3226.8900000000049</v>
      </c>
      <c r="BG185" s="12">
        <v>2265.9200000000101</v>
      </c>
      <c r="BH185" s="12">
        <v>4087.8599999999951</v>
      </c>
      <c r="BI185" s="12">
        <v>3674.8200000000024</v>
      </c>
      <c r="BK185" s="10">
        <v>183</v>
      </c>
      <c r="BL185" s="10" t="s">
        <v>24</v>
      </c>
      <c r="BM185" s="12">
        <v>4777.9599999999964</v>
      </c>
      <c r="BN185" s="12">
        <v>1953.2120000000045</v>
      </c>
      <c r="BO185" s="12">
        <v>4825.1840000000029</v>
      </c>
      <c r="BP185" s="12">
        <v>3389.4659999999863</v>
      </c>
      <c r="BQ185" s="12">
        <v>5919.4000000000124</v>
      </c>
      <c r="BR185" s="12">
        <v>5463.5799999999854</v>
      </c>
      <c r="BS185" s="6"/>
      <c r="BT185" s="10">
        <v>183</v>
      </c>
      <c r="BU185" s="10"/>
      <c r="BV185" s="12">
        <v>7983.8819999999942</v>
      </c>
      <c r="BW185" s="12">
        <v>4103.0799999999872</v>
      </c>
      <c r="BX185" s="12">
        <v>10400</v>
      </c>
      <c r="BY185" s="12">
        <v>7362.8439999999782</v>
      </c>
      <c r="BZ185" s="12">
        <v>12761.305999999966</v>
      </c>
      <c r="CA185" s="12">
        <v>11626.522000000041</v>
      </c>
      <c r="CB185" s="6"/>
      <c r="CC185" s="10">
        <v>183</v>
      </c>
      <c r="CD185" s="10"/>
      <c r="CE185" s="12">
        <v>11943.680000000044</v>
      </c>
      <c r="CF185" s="12">
        <v>6179.5</v>
      </c>
      <c r="CG185" s="12">
        <v>15657.360000000064</v>
      </c>
      <c r="CH185" s="12">
        <v>6755.4200000000146</v>
      </c>
      <c r="CI185" s="12">
        <v>18899.231999999953</v>
      </c>
      <c r="CJ185" s="12">
        <v>17398.930000000051</v>
      </c>
    </row>
    <row r="186" spans="1:88" ht="15.75" customHeight="1">
      <c r="A186" s="6"/>
      <c r="B186" s="10">
        <v>184</v>
      </c>
      <c r="C186" s="6"/>
      <c r="G186" s="6"/>
      <c r="H186" s="6">
        <v>7.1580000000000004</v>
      </c>
      <c r="I186" s="6">
        <v>10.877000000000001</v>
      </c>
      <c r="J186" s="6"/>
      <c r="K186" s="6"/>
      <c r="L186" s="6"/>
      <c r="M186" s="6"/>
      <c r="N186" s="6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23"/>
      <c r="AO186" s="7"/>
      <c r="AP186" s="7"/>
      <c r="AQ186" s="7"/>
      <c r="AR186" s="7"/>
      <c r="AT186" t="b">
        <f>IF(AS185=FALSE(),AS189,AS185)</f>
        <v>0</v>
      </c>
      <c r="BB186" s="10">
        <v>184</v>
      </c>
      <c r="BC186" s="10" t="s">
        <v>6</v>
      </c>
      <c r="BD186" s="12">
        <v>2982.5500000000125</v>
      </c>
      <c r="BE186" s="12">
        <v>1301.3350000000019</v>
      </c>
      <c r="BF186" s="12">
        <v>3245.2250000000049</v>
      </c>
      <c r="BG186" s="12">
        <v>2278.8000000000102</v>
      </c>
      <c r="BH186" s="12">
        <v>4111.6499999999951</v>
      </c>
      <c r="BI186" s="12">
        <v>3696.0500000000025</v>
      </c>
      <c r="BK186" s="10">
        <v>184</v>
      </c>
      <c r="BL186" s="10" t="s">
        <v>24</v>
      </c>
      <c r="BM186" s="12">
        <v>4806.899999999996</v>
      </c>
      <c r="BN186" s="12">
        <v>1964.4300000000046</v>
      </c>
      <c r="BO186" s="12">
        <v>4852.7600000000029</v>
      </c>
      <c r="BP186" s="12">
        <v>3408.8649999999861</v>
      </c>
      <c r="BQ186" s="12">
        <v>5953.5000000000127</v>
      </c>
      <c r="BR186" s="12">
        <v>5494.9499999999853</v>
      </c>
      <c r="BS186" s="6"/>
      <c r="BT186" s="10">
        <v>184</v>
      </c>
      <c r="BU186" s="10"/>
      <c r="BV186" s="12">
        <v>8035.1049999999941</v>
      </c>
      <c r="BW186" s="12">
        <v>4128.6999999999871</v>
      </c>
      <c r="BX186" s="12">
        <v>10465</v>
      </c>
      <c r="BY186" s="12">
        <v>7408.909999999978</v>
      </c>
      <c r="BZ186" s="12">
        <v>12841.464999999966</v>
      </c>
      <c r="CA186" s="12">
        <v>11699.705000000042</v>
      </c>
      <c r="CB186" s="6"/>
      <c r="CC186" s="10">
        <v>184</v>
      </c>
      <c r="CD186" s="10"/>
      <c r="CE186" s="12">
        <v>12020.200000000044</v>
      </c>
      <c r="CF186" s="12">
        <v>6218.75</v>
      </c>
      <c r="CG186" s="12">
        <v>15755.400000000065</v>
      </c>
      <c r="CH186" s="12">
        <v>6792.5500000000147</v>
      </c>
      <c r="CI186" s="12">
        <v>19018.479999999952</v>
      </c>
      <c r="CJ186" s="12">
        <v>17508.325000000052</v>
      </c>
    </row>
    <row r="187" spans="1:88" ht="15.75" customHeight="1">
      <c r="A187" s="6"/>
      <c r="B187" s="10">
        <v>185</v>
      </c>
      <c r="C187" s="6"/>
      <c r="G187" s="6"/>
      <c r="H187" s="6">
        <v>8.3019999999999996</v>
      </c>
      <c r="I187" s="6">
        <v>12.579000000000001</v>
      </c>
      <c r="J187" s="6"/>
      <c r="K187" s="6"/>
      <c r="L187" s="7" t="s">
        <v>68</v>
      </c>
      <c r="M187" s="7" t="s">
        <v>69</v>
      </c>
      <c r="N187" s="7" t="s">
        <v>70</v>
      </c>
      <c r="O187" s="7" t="s">
        <v>71</v>
      </c>
      <c r="P187" s="7" t="s">
        <v>72</v>
      </c>
      <c r="Q187" s="7" t="s">
        <v>73</v>
      </c>
      <c r="R187" s="7" t="s">
        <v>74</v>
      </c>
      <c r="S187" s="7" t="s">
        <v>75</v>
      </c>
      <c r="T187" s="7" t="s">
        <v>76</v>
      </c>
      <c r="U187" s="7" t="s">
        <v>77</v>
      </c>
      <c r="V187" s="7" t="s">
        <v>78</v>
      </c>
      <c r="W187" s="7" t="s">
        <v>79</v>
      </c>
      <c r="X187" s="7" t="s">
        <v>80</v>
      </c>
      <c r="Y187" s="7" t="s">
        <v>81</v>
      </c>
      <c r="Z187" s="7" t="s">
        <v>82</v>
      </c>
      <c r="AA187" s="7" t="s">
        <v>83</v>
      </c>
      <c r="AB187" s="7" t="s">
        <v>84</v>
      </c>
      <c r="AC187" s="7" t="s">
        <v>85</v>
      </c>
      <c r="AD187" s="7" t="s">
        <v>86</v>
      </c>
      <c r="AE187" s="7" t="s">
        <v>87</v>
      </c>
      <c r="AF187" s="7" t="s">
        <v>88</v>
      </c>
      <c r="AG187" s="7" t="s">
        <v>89</v>
      </c>
      <c r="AH187" s="7" t="s">
        <v>90</v>
      </c>
      <c r="AI187" s="7" t="s">
        <v>91</v>
      </c>
      <c r="AJ187" s="7" t="s">
        <v>92</v>
      </c>
      <c r="AK187" s="7" t="s">
        <v>93</v>
      </c>
      <c r="AL187" s="7" t="s">
        <v>94</v>
      </c>
      <c r="AM187" s="7" t="s">
        <v>95</v>
      </c>
      <c r="AN187" s="7" t="s">
        <v>96</v>
      </c>
      <c r="AO187" s="7" t="s">
        <v>97</v>
      </c>
      <c r="AP187" s="7" t="s">
        <v>98</v>
      </c>
      <c r="AQ187" s="7" t="s">
        <v>99</v>
      </c>
      <c r="AR187" s="7" t="s">
        <v>100</v>
      </c>
      <c r="AS187" s="7" t="s">
        <v>3</v>
      </c>
      <c r="BB187" s="10">
        <v>185</v>
      </c>
      <c r="BC187" s="10" t="s">
        <v>6</v>
      </c>
      <c r="BD187" s="12">
        <v>2999.6800000000126</v>
      </c>
      <c r="BE187" s="12">
        <v>1308.4560000000019</v>
      </c>
      <c r="BF187" s="12">
        <v>3263.5600000000049</v>
      </c>
      <c r="BG187" s="12">
        <v>2291.6800000000103</v>
      </c>
      <c r="BH187" s="12">
        <v>4135.4399999999951</v>
      </c>
      <c r="BI187" s="12">
        <v>3717.2800000000025</v>
      </c>
      <c r="BK187" s="10">
        <v>185</v>
      </c>
      <c r="BL187" s="10" t="s">
        <v>24</v>
      </c>
      <c r="BM187" s="12">
        <v>4835.8399999999956</v>
      </c>
      <c r="BN187" s="12">
        <v>1975.6480000000047</v>
      </c>
      <c r="BO187" s="12">
        <v>4880.336000000003</v>
      </c>
      <c r="BP187" s="12">
        <v>3428.263999999986</v>
      </c>
      <c r="BQ187" s="12">
        <v>5987.6000000000131</v>
      </c>
      <c r="BR187" s="12">
        <v>5526.3199999999852</v>
      </c>
      <c r="BS187" s="6"/>
      <c r="BT187" s="10">
        <v>185</v>
      </c>
      <c r="BU187" s="10"/>
      <c r="BV187" s="12">
        <v>8086.3279999999941</v>
      </c>
      <c r="BW187" s="12">
        <v>4154.319999999987</v>
      </c>
      <c r="BX187" s="12">
        <v>10530</v>
      </c>
      <c r="BY187" s="12">
        <v>7454.9759999999778</v>
      </c>
      <c r="BZ187" s="12">
        <v>12921.623999999965</v>
      </c>
      <c r="CA187" s="12">
        <v>11772.888000000043</v>
      </c>
      <c r="CB187" s="6"/>
      <c r="CC187" s="10">
        <v>185</v>
      </c>
      <c r="CD187" s="10"/>
      <c r="CE187" s="12">
        <v>12096.720000000045</v>
      </c>
      <c r="CF187" s="12">
        <v>6258</v>
      </c>
      <c r="CG187" s="12">
        <v>15853.440000000066</v>
      </c>
      <c r="CH187" s="12">
        <v>6829.6800000000148</v>
      </c>
      <c r="CI187" s="12">
        <v>19137.727999999952</v>
      </c>
      <c r="CJ187" s="12">
        <v>17617.720000000052</v>
      </c>
    </row>
    <row r="188" spans="1:88" ht="15.75" customHeight="1">
      <c r="A188" s="6"/>
      <c r="B188" s="10">
        <v>186</v>
      </c>
      <c r="C188" s="6"/>
      <c r="G188" s="6"/>
      <c r="H188" s="6">
        <f t="shared" ref="H188:H216" si="14">H189-1.144</f>
        <v>9.4510000000000396</v>
      </c>
      <c r="I188" s="6">
        <f t="shared" ref="I188:I216" si="15">I189-1.702</f>
        <v>14.321000000000053</v>
      </c>
      <c r="J188" s="6"/>
      <c r="K188" s="6"/>
      <c r="L188" s="6">
        <f>IF(J184&gt;=3,L198-((49-J184)*I186),IF(J184&lt;=3,"No Data"))</f>
        <v>630.1819999999999</v>
      </c>
      <c r="M188" s="6">
        <f>IF($J184&gt;=5,$M198-((49-$J184)*$I187),IF($J184&lt;=5,"No Data"))</f>
        <v>666.02299999999991</v>
      </c>
      <c r="N188" s="6">
        <f>IF($J184&gt;=8,$N198-((49-$J184)*$I188),IF($J184&lt;=8,"No Data"))</f>
        <v>701.904</v>
      </c>
      <c r="O188" s="6">
        <f>IF($J184&gt;=11,$O198-((49-$J184)*$I189),IF($J184&lt;=11,"No Data"))</f>
        <v>737.745</v>
      </c>
      <c r="P188" s="6">
        <f>IF($J184&gt;=12,$P198-((49-$J184)*$I190),IF($J184&lt;=12,"No Data"))</f>
        <v>773.58600000000001</v>
      </c>
      <c r="Q188" s="6">
        <f>IF($J184&gt;=15,$Q198-((49-$J184)*$I192),IF($J184&lt;=15,"No Data"))</f>
        <v>845.26800000000003</v>
      </c>
      <c r="R188" s="6">
        <f>IF($J184&gt;=16,R198-((49-$J184)*$I193),IF($J184&lt;=16,"No Data"))</f>
        <v>881.10900000000004</v>
      </c>
      <c r="S188" s="6">
        <f>IF($J184&gt;=17,S198-((49-$J184)*$I194),IF($J184&lt;=17,"No Data"))</f>
        <v>916.95</v>
      </c>
      <c r="T188" s="6">
        <f>IF($J184&gt;=18,T198-((49-$J184)*$I195),IF($J184&lt;=18,"No Data"))</f>
        <v>952.79100000000005</v>
      </c>
      <c r="U188" s="6">
        <f>IF($J184&gt;=19,U198-((49-$J184)*$I196),IF($J184&lt;=19,"No Data"))</f>
        <v>988.63200000000006</v>
      </c>
      <c r="V188" s="6">
        <f>IF($J184&gt;=19,V198-((49-$J184)*$I197),IF($J184&lt;=19,"No Data"))</f>
        <v>1024.4730000000002</v>
      </c>
      <c r="W188" s="6">
        <f>IF($J184&gt;=20,W198-((49-$J184)*$I198),IF($J184&lt;=20,"No Data"))</f>
        <v>1060.3140000000001</v>
      </c>
      <c r="X188" s="6">
        <f>IF($J184&gt;=20,X198-((49-$J184)*$I199),IF($J184&lt;=20,"No Data"))</f>
        <v>1096.155</v>
      </c>
      <c r="Y188" s="6">
        <f>IF($J184&gt;=21,Y198-((49-$J184)*$I200),IF($J184&lt;=21,"No Data"))</f>
        <v>1131.9959999999999</v>
      </c>
      <c r="Z188" s="6">
        <f>IF($J184&gt;=21,Z198-((49-$J184)*$I201),IF($J184&lt;=21,"No Data"))</f>
        <v>1167.8369999999998</v>
      </c>
      <c r="AA188" s="6">
        <f>IF($J184&gt;=22,AA198-((49-$J184)*$I202),IF($J184&lt;=22,"No Data"))</f>
        <v>1203.6779999999997</v>
      </c>
      <c r="AB188" s="6">
        <f>IF($J184&gt;=22,AB198-((49-$J184)*$I203),IF($J184&lt;=22,"No Data"))</f>
        <v>1239.5189999999996</v>
      </c>
      <c r="AC188" s="6">
        <f>IF($J184&gt;=22,AC198-((49-$J184)*$I204),IF($J184&lt;=22,"No Data"))</f>
        <v>1275.3599999999994</v>
      </c>
      <c r="AD188" s="6">
        <f>IF($J184&gt;=22,AD198-((49-$J184)*$I205),IF($J184&lt;=22,"No Data"))</f>
        <v>1311.2009999999993</v>
      </c>
      <c r="AE188" s="6">
        <f>IF($J184&gt;=23,AE198-((49-$J184)*$I206),IF($J184&lt;=23,"No Data"))</f>
        <v>1347.0419999999992</v>
      </c>
      <c r="AF188" s="6">
        <f>IF($J184&gt;=23,AF198-((49-$J184)*$I207),IF($J184&lt;=23,"No Data"))</f>
        <v>1382.8829999999991</v>
      </c>
      <c r="AG188" s="6">
        <f>IF($J184&gt;=23,AG198-((49-$J184)*$I208),IF($J184&lt;=23,"No Data"))</f>
        <v>1418.723999999999</v>
      </c>
      <c r="AH188" s="6">
        <f>IF($J184&gt;=23,AH198-((49-$J184)*$I209),IF($J184&lt;=23,"No Data"))</f>
        <v>1454.5649999999989</v>
      </c>
      <c r="AI188" s="6">
        <f>IF($J184&gt;=24,AI198-((49-$J184)*$I210),IF($J184&lt;=24,"No Data"))</f>
        <v>1490.4059999999988</v>
      </c>
      <c r="AJ188" s="6">
        <f>IF($J184&gt;=24,AJ198-((49-$J184)*$I211),IF($J184&lt;=24,"No Data"))</f>
        <v>1526.2469999999987</v>
      </c>
      <c r="AK188" s="6">
        <f>IF($J184&gt;=24,AK198-((49-$J184)*$I212),IF($J184&lt;=24,"No Data"))</f>
        <v>1562.0879999999986</v>
      </c>
      <c r="AL188" s="6">
        <f>IF($J184&gt;=24,AL198-((49-$J184)*$I213),IF($J184&lt;=24,"No Data"))</f>
        <v>1597.9289999999985</v>
      </c>
      <c r="AM188" s="6">
        <f>IF($J184&gt;=24,AM198-((49-$J184)*$I214),IF($J184&lt;=24,"No Data"))</f>
        <v>1633.7699999999984</v>
      </c>
      <c r="AN188" s="6">
        <f>IF($J184&gt;=24,AN198-((49-$J184)*$I215),IF($J184&lt;=24,"No Data"))</f>
        <v>1669.6109999999983</v>
      </c>
      <c r="AO188" s="6">
        <f>IF($J184&gt;=25,AO198-((49-$J184)*$I216),IF($J184&lt;=25,"No Data"))</f>
        <v>1705.4519999999982</v>
      </c>
      <c r="AP188" s="6">
        <f>IF($J184&gt;=25,AP198-((49-$J184)*I217),IF($J184&lt;=25,"No Data"))</f>
        <v>1741.2930000000001</v>
      </c>
      <c r="AQ188" s="6">
        <f>IF($J184&gt;=25,AQ198-((49-$J184)*$I218),IF($J184&lt;=25,"No Data"))</f>
        <v>1777.134</v>
      </c>
      <c r="AR188" s="6">
        <f>IF($J184&gt;=25,AR198-((49-$J184)*$I219),IF($J184&lt;=25,"No Data"))</f>
        <v>1812.9760000000001</v>
      </c>
      <c r="AS188" t="b">
        <f>IF($I184=5,IF($H184=$D4,L188),IF($I184=6,IF($H184=$D4,M188),IF($I184=7,IF($H184=$D4,N188),IF($I184=8,IF($H184=$D4,O188),IF($I184=9,IF($H184=$D4,P188),IF($I184=11,IF($H184=$D4,Q188),IF($I184=12,IF($H184=$D4,R188),IF($I184=13,IF($H184=$D4,S188),IF($I184=14,IF($H184=$D4,T188),IF($I184=15,IF($H184=$D4,U188),IF($I184=16,IF($H184=$D4,V188),IF($I184=17,IF($H184=$D4,W188),IF($I184=18,IF($H184=$D4,X188),IF($I184=19,IF($H184=$D4,Y188),IF($I184=20,IF($H184=$D4,Z188),IF($I184=21,IF($H184=$D4,AA188),IF($I184=22,IF($H184=$D4,AB188),IF($I184=23,IF($H184=$D4,AC188),IF($I184=24,IF($H184=$D4,AD188),IF($I184=25,IF($H184=$D4,AE188),IF($I184=26,IF($H184=$D4,AF188),IF($I184=27,IF($H184=$D4,AG188),IF($I184=28,IF($H184=$D4,AH188),IF($I184=29,IF($H184=$D4,AI188),IF($I184=30,IF($H184=$D4,AJ188),IF($I184=31,IF($H184=$D4,AK188),IF($I184=32,IF($H184=$D4,AL188),IF($I184=33,IF($H184=$D4,AM188),IF($I184=34,IF($H184=$D4,AN188),IF($I184=35,IF($H184=$D4,AO188),IF($I184=36,IF($H184=$D4,AP188),IF($I184=37,IF($H184=$D4,AQ188),IF($I184=38,IF($H184=$D4,AR188))))))))))))))))))))))))))))))))))</f>
        <v>0</v>
      </c>
      <c r="BB188" s="10">
        <v>186</v>
      </c>
      <c r="BC188" s="10" t="s">
        <v>6</v>
      </c>
      <c r="BD188" s="12">
        <v>3016.8100000000127</v>
      </c>
      <c r="BE188" s="12">
        <v>1315.577000000002</v>
      </c>
      <c r="BF188" s="12">
        <v>3281.895000000005</v>
      </c>
      <c r="BG188" s="12">
        <v>2304.5600000000104</v>
      </c>
      <c r="BH188" s="12">
        <v>4159.229999999995</v>
      </c>
      <c r="BI188" s="12">
        <v>3738.5100000000025</v>
      </c>
      <c r="BK188" s="10">
        <v>186</v>
      </c>
      <c r="BL188" s="10" t="s">
        <v>24</v>
      </c>
      <c r="BM188" s="12">
        <v>4864.7799999999952</v>
      </c>
      <c r="BN188" s="12">
        <v>1986.8660000000048</v>
      </c>
      <c r="BO188" s="12">
        <v>4907.912000000003</v>
      </c>
      <c r="BP188" s="12">
        <v>3447.6629999999859</v>
      </c>
      <c r="BQ188" s="12">
        <v>6021.7000000000135</v>
      </c>
      <c r="BR188" s="12">
        <v>5557.689999999985</v>
      </c>
      <c r="BS188" s="6"/>
      <c r="BT188" s="10">
        <v>186</v>
      </c>
      <c r="BU188" s="10"/>
      <c r="BV188" s="12">
        <v>8137.550999999994</v>
      </c>
      <c r="BW188" s="12">
        <v>4179.9399999999869</v>
      </c>
      <c r="BX188" s="12">
        <v>10595</v>
      </c>
      <c r="BY188" s="12">
        <v>7501.0419999999776</v>
      </c>
      <c r="BZ188" s="12">
        <v>13001.782999999965</v>
      </c>
      <c r="CA188" s="12">
        <v>11846.071000000044</v>
      </c>
      <c r="CB188" s="6"/>
      <c r="CC188" s="10">
        <v>186</v>
      </c>
      <c r="CD188" s="10"/>
      <c r="CE188" s="12">
        <v>12173.240000000045</v>
      </c>
      <c r="CF188" s="12">
        <v>6297.25</v>
      </c>
      <c r="CG188" s="12">
        <v>15951.480000000067</v>
      </c>
      <c r="CH188" s="12">
        <v>6866.810000000015</v>
      </c>
      <c r="CI188" s="12">
        <v>19256.975999999951</v>
      </c>
      <c r="CJ188" s="12">
        <v>17727.115000000053</v>
      </c>
    </row>
    <row r="189" spans="1:88" ht="15.75" customHeight="1">
      <c r="A189" s="6"/>
      <c r="B189" s="10">
        <v>187</v>
      </c>
      <c r="C189" s="6"/>
      <c r="G189" s="6"/>
      <c r="H189" s="6">
        <f t="shared" si="14"/>
        <v>10.59500000000004</v>
      </c>
      <c r="I189" s="6">
        <f t="shared" si="15"/>
        <v>16.023000000000053</v>
      </c>
      <c r="J189" s="6"/>
      <c r="K189" s="6"/>
      <c r="L189" s="6" t="str">
        <f>IF($H184=$D4,IF($J184&lt;=120,"PASS","FAIL"))</f>
        <v>PASS</v>
      </c>
      <c r="M189" s="6" t="str">
        <f>IF($H184=$D4,IF($J184&lt;=108,"PASS","FAIL"))</f>
        <v>PASS</v>
      </c>
      <c r="N189" s="6" t="str">
        <f>IF($H184=$D4,IF($J184&lt;=98,"PASS","FAIL"))</f>
        <v>PASS</v>
      </c>
      <c r="O189" s="6" t="str">
        <f>IF($H184=$D4,IF($J184&lt;=91,"PASS","FAIL"))</f>
        <v>PASS</v>
      </c>
      <c r="P189" s="6" t="str">
        <f>IF($H184=$D4,IF($J184&lt;=85,"PASS","FAIL"))</f>
        <v>PASS</v>
      </c>
      <c r="Q189" s="6" t="str">
        <f>IF($H184=$D4,IF($J184&lt;=76,"PASS","FAIL"))</f>
        <v>PASS</v>
      </c>
      <c r="R189" s="6" t="str">
        <f>IF($H184=$D4,IF($J184&lt;=72,"PASS","FAIL"))</f>
        <v>PASS</v>
      </c>
      <c r="S189" s="6" t="str">
        <f>IF($H184=$D4,IF($J184&lt;=69,"PASS","FAIL"))</f>
        <v>PASS</v>
      </c>
      <c r="T189" s="6" t="str">
        <f>IF($H184=$D4,IF($J184&lt;=67,"PASS","FAIL"))</f>
        <v>PASS</v>
      </c>
      <c r="U189" s="6" t="str">
        <f>IF($H184=$D4,IF($J184&lt;=64,"PASS","FAIL"))</f>
        <v>PASS</v>
      </c>
      <c r="V189" s="6" t="str">
        <f>IF($H184=$D4,IF($J184&lt;=62,"PASS","FAIL"))</f>
        <v>PASS</v>
      </c>
      <c r="W189" s="6" t="str">
        <f>IF($H184=$D4,IF($J184&lt;=60,"PASS","FAIL"))</f>
        <v>PASS</v>
      </c>
      <c r="X189" s="6" t="str">
        <f>IF($H184=$D4,IF($J184&lt;=59,"PASS","FAIL"))</f>
        <v>PASS</v>
      </c>
      <c r="Y189" s="6" t="str">
        <f>IF($H184=$D4,IF($J184&lt;=57,"PASS","FAIL"))</f>
        <v>PASS</v>
      </c>
      <c r="Z189" s="6" t="str">
        <f>IF($H184=$D4,IF($J184&lt;=56,"PASS","FAIL"))</f>
        <v>PASS</v>
      </c>
      <c r="AA189" s="6" t="str">
        <f>IF($H184=$D4,IF($J184&lt;=55,"PASS","FAIL"))</f>
        <v>PASS</v>
      </c>
      <c r="AB189" s="6" t="str">
        <f>IF($H184=$D4,IF($J184&lt;=54,"PASS","FAIL"))</f>
        <v>PASS</v>
      </c>
      <c r="AC189" s="6" t="str">
        <f>IF($H184=$D4,IF($J184&lt;=53,"PASS","FAIL"))</f>
        <v>PASS</v>
      </c>
      <c r="AD189" s="6" t="str">
        <f>IF($H184=$D4,IF($J184&lt;=52,"PASS","FAIL"))</f>
        <v>PASS</v>
      </c>
      <c r="AE189" s="6" t="str">
        <f>IF($H184=$D4,IF($J184&lt;=51,"PASS","FAIL"))</f>
        <v>PASS</v>
      </c>
      <c r="AF189" s="6" t="str">
        <f>IF($H184=$D4,IF($J184&lt;=50,"PASS","FAIL"))</f>
        <v>PASS</v>
      </c>
      <c r="AG189" s="6" t="str">
        <f>IF($H184=$D4,IF($J184&lt;=49,"PASS","FAIL"))</f>
        <v>FAIL</v>
      </c>
      <c r="AH189" s="6" t="str">
        <f>IF($H184=$D4,IF($J184&lt;=48,"PASS","FAIL"))</f>
        <v>FAIL</v>
      </c>
      <c r="AI189" s="6" t="str">
        <f>IF($H184=$D4,IF($J184&lt;=48,"PASS","FAIL"))</f>
        <v>FAIL</v>
      </c>
      <c r="AJ189" s="6" t="str">
        <f>IF($H184=$D4,IF($J184&lt;=47,"PASS","FAIL"))</f>
        <v>FAIL</v>
      </c>
      <c r="AK189" s="6" t="str">
        <f>IF($H184=$D4,IF($J184&lt;=47,"PASS","FAIL"))</f>
        <v>FAIL</v>
      </c>
      <c r="AL189" s="6" t="str">
        <f>IF($H184=$D4,IF($J184&lt;=46,"PASS","FAIL"))</f>
        <v>FAIL</v>
      </c>
      <c r="AM189" s="6" t="str">
        <f>IF($H184=$D4,IF($J184&lt;=46,"PASS","FAIL"))</f>
        <v>FAIL</v>
      </c>
      <c r="AN189" s="6" t="str">
        <f>IF($H184=$D4,IF($J184&lt;=45,"PASS","FAIL"))</f>
        <v>FAIL</v>
      </c>
      <c r="AO189" s="6" t="str">
        <f>IF($H184=$D4,IF($J184&lt;=45,"PASS","FAIL"))</f>
        <v>FAIL</v>
      </c>
      <c r="AP189" s="6" t="str">
        <f>IF($H184=$D4,IF($J184&lt;=44,"PASS","FAIL"))</f>
        <v>FAIL</v>
      </c>
      <c r="AQ189" s="6" t="str">
        <f>IF($H184=$D4,IF($J184&lt;=44,"PASS","FAIL"))</f>
        <v>FAIL</v>
      </c>
      <c r="AR189" s="6" t="str">
        <f>IF($H184=$D4,IF($J184&lt;=43,"PASS","FAIL"))</f>
        <v>FAIL</v>
      </c>
      <c r="AS189" s="16" t="b">
        <f>IF(I184=5,IF(J184&lt;=120,"PASS","FAIL"),IF(I184=6,IF(J184&lt;=108,"PASS","FAIL"),IF(I184=7,IF(J184&lt;=98,"PASS","FAIL"),IF(I184=8,IF(J184&lt;=91,"PASS","FAIL"),IF(I184=9,IF(J184&lt;=85,"PASS","FAIL"),IF(I184=11,IF(J184&lt;=76,"PASS","FAIL"),IF(I184=12,IF(J184&lt;=72,"PASS","FAIL"),IF(I184=13,IF(J184&lt;=69,"PASS","FAIL"),IF(I184=14,IF(J184&lt;=67,"PASS","FAIL"),IF(I184=15,IF(J184&lt;=64,"PASS","FAIL"),IF(I184=16,IF(J184&lt;=62,"PASS","FAIL"),IF(I184=17,IF(J184&lt;=60,"PASS","FAIL"),IF(I184=18,IF(J184&lt;=59,"PASS","FAIL"),IF(I184=19,IF(J184&lt;=57,"PASS","FAIL"),IF(I184=20,IF(J184&lt;=56,"PASS","FAIL"),IF(I184=21,IF(J184&lt;=55,"PASS","FAIL"),IF(I184=22,IF(J184&lt;=54,"PASS","FAIL"),IF(I184=23,IF(J184&lt;=53,"PASS","FAIL"),IF(I184=24,IF(J184&lt;=52,"PASS","FAIL"),IF(I184=25,IF(J184&lt;=51,"PASS","FAIL"),IF(I184=26,IF(J184&lt;=50,"PASS","FAIL"),IF(I184=27,IF(J184&lt;=49,"PASS","FAIL"),IF(I184=28,IF(J184&lt;=48,"PASS","FAIL"),IF(I184=29,IF(J184&lt;=48,"PASS","FAIL"),IF(I184=30,IF(J184&lt;=47,"PASS","FAIL"),IF(I184=31,IF(J184&lt;=47,"PASS","FAIL"),IF(I184=32,IF(J184&lt;=46,"PASS","FAIL"),IF(I184=33,IF(J184&lt;=46,"PASS","FAIL"),IF(I184=34,IF(J184&lt;=45,"PASS","FAIL"),IF(I184=35,IF(J184&lt;=45,"PASS","FAIL"),IF(I184=36,IF(J184&lt;=44,"PASS","FAIL"),IF(I184=37,IF(J184&lt;=44,"PASS","FAIL"),IF(I184=38,IF(J184&lt;=43,"PASS","FAIL"))))))))))))))))))))))))))))))))))</f>
        <v>0</v>
      </c>
      <c r="BB189" s="10">
        <v>187</v>
      </c>
      <c r="BC189" s="10" t="s">
        <v>6</v>
      </c>
      <c r="BD189" s="12">
        <v>3033.9400000000128</v>
      </c>
      <c r="BE189" s="12">
        <v>1322.6980000000021</v>
      </c>
      <c r="BF189" s="12">
        <v>3300.230000000005</v>
      </c>
      <c r="BG189" s="12">
        <v>2317.4400000000105</v>
      </c>
      <c r="BH189" s="12">
        <v>4183.019999999995</v>
      </c>
      <c r="BI189" s="12">
        <v>3759.7400000000025</v>
      </c>
      <c r="BK189" s="10">
        <v>187</v>
      </c>
      <c r="BL189" s="10" t="s">
        <v>24</v>
      </c>
      <c r="BM189" s="12">
        <v>4893.7199999999948</v>
      </c>
      <c r="BN189" s="12">
        <v>1998.0840000000048</v>
      </c>
      <c r="BO189" s="12">
        <v>4935.488000000003</v>
      </c>
      <c r="BP189" s="12">
        <v>3467.0619999999858</v>
      </c>
      <c r="BQ189" s="12">
        <v>6055.8000000000138</v>
      </c>
      <c r="BR189" s="12">
        <v>5589.0599999999849</v>
      </c>
      <c r="BS189" s="6"/>
      <c r="BT189" s="10">
        <v>187</v>
      </c>
      <c r="BU189" s="10"/>
      <c r="BV189" s="12">
        <v>8188.773999999994</v>
      </c>
      <c r="BW189" s="12">
        <v>4205.5599999999868</v>
      </c>
      <c r="BX189" s="12">
        <v>10660</v>
      </c>
      <c r="BY189" s="12">
        <v>7547.1079999999774</v>
      </c>
      <c r="BZ189" s="12">
        <v>13081.941999999965</v>
      </c>
      <c r="CA189" s="12">
        <v>11919.254000000044</v>
      </c>
      <c r="CB189" s="6"/>
      <c r="CC189" s="10">
        <v>187</v>
      </c>
      <c r="CD189" s="10"/>
      <c r="CE189" s="12">
        <v>12249.760000000046</v>
      </c>
      <c r="CF189" s="12">
        <v>6336.5</v>
      </c>
      <c r="CG189" s="12">
        <v>16049.520000000068</v>
      </c>
      <c r="CH189" s="12">
        <v>6903.9400000000151</v>
      </c>
      <c r="CI189" s="12">
        <v>19376.223999999951</v>
      </c>
      <c r="CJ189" s="12">
        <v>17836.510000000053</v>
      </c>
    </row>
    <row r="190" spans="1:88" ht="15.75" customHeight="1">
      <c r="A190" s="6"/>
      <c r="B190" s="10">
        <v>188</v>
      </c>
      <c r="C190" s="6"/>
      <c r="G190" s="6"/>
      <c r="H190" s="6">
        <f t="shared" si="14"/>
        <v>11.73900000000004</v>
      </c>
      <c r="I190" s="6">
        <f t="shared" si="15"/>
        <v>17.725000000000051</v>
      </c>
      <c r="J190" s="6"/>
      <c r="K190" s="6"/>
      <c r="L190" s="6"/>
      <c r="M190" s="6"/>
      <c r="N190" s="6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BB190" s="10">
        <v>188</v>
      </c>
      <c r="BC190" s="10" t="s">
        <v>6</v>
      </c>
      <c r="BD190" s="12">
        <v>3051.0700000000129</v>
      </c>
      <c r="BE190" s="12">
        <v>1329.8190000000022</v>
      </c>
      <c r="BF190" s="12">
        <v>3318.5650000000051</v>
      </c>
      <c r="BG190" s="12">
        <v>2330.3200000000106</v>
      </c>
      <c r="BH190" s="12">
        <v>4206.8099999999949</v>
      </c>
      <c r="BI190" s="12">
        <v>3780.9700000000025</v>
      </c>
      <c r="BK190" s="10">
        <v>188</v>
      </c>
      <c r="BL190" s="10" t="s">
        <v>24</v>
      </c>
      <c r="BM190" s="12">
        <v>4922.6599999999944</v>
      </c>
      <c r="BN190" s="12">
        <v>2009.3020000000049</v>
      </c>
      <c r="BO190" s="12">
        <v>4963.064000000003</v>
      </c>
      <c r="BP190" s="12">
        <v>3486.4609999999857</v>
      </c>
      <c r="BQ190" s="12">
        <v>6089.9000000000142</v>
      </c>
      <c r="BR190" s="12">
        <v>5620.4299999999848</v>
      </c>
      <c r="BS190" s="6"/>
      <c r="BT190" s="10">
        <v>188</v>
      </c>
      <c r="BU190" s="10"/>
      <c r="BV190" s="12">
        <v>8239.9969999999939</v>
      </c>
      <c r="BW190" s="12">
        <v>4231.1799999999866</v>
      </c>
      <c r="BX190" s="12">
        <v>10725</v>
      </c>
      <c r="BY190" s="12">
        <v>7593.1739999999772</v>
      </c>
      <c r="BZ190" s="12">
        <v>13162.100999999964</v>
      </c>
      <c r="CA190" s="12">
        <v>11992.437000000045</v>
      </c>
      <c r="CB190" s="6"/>
      <c r="CC190" s="10">
        <v>188</v>
      </c>
      <c r="CD190" s="10"/>
      <c r="CE190" s="12">
        <v>12326.280000000046</v>
      </c>
      <c r="CF190" s="12">
        <v>6375.75</v>
      </c>
      <c r="CG190" s="12">
        <v>16147.560000000069</v>
      </c>
      <c r="CH190" s="12">
        <v>6941.0700000000152</v>
      </c>
      <c r="CI190" s="12">
        <v>19495.471999999951</v>
      </c>
      <c r="CJ190" s="12">
        <v>17945.905000000053</v>
      </c>
    </row>
    <row r="191" spans="1:88" ht="15.75" customHeight="1">
      <c r="A191" s="6"/>
      <c r="B191" s="10">
        <v>189</v>
      </c>
      <c r="C191" s="6"/>
      <c r="G191" s="6"/>
      <c r="H191" s="28">
        <f t="shared" si="14"/>
        <v>12.88300000000004</v>
      </c>
      <c r="I191" s="28">
        <f t="shared" si="15"/>
        <v>19.427000000000049</v>
      </c>
      <c r="J191" s="7">
        <v>49</v>
      </c>
      <c r="K191" s="7">
        <v>4.8</v>
      </c>
      <c r="L191" s="7">
        <v>5</v>
      </c>
      <c r="M191" s="7">
        <v>6</v>
      </c>
      <c r="N191" s="7">
        <v>7</v>
      </c>
      <c r="O191" s="7">
        <v>8</v>
      </c>
      <c r="P191" s="7">
        <v>9</v>
      </c>
      <c r="Q191" s="20">
        <v>11</v>
      </c>
      <c r="R191" s="20">
        <v>12</v>
      </c>
      <c r="S191" s="20">
        <v>13</v>
      </c>
      <c r="T191" s="20">
        <v>14</v>
      </c>
      <c r="U191" s="20">
        <v>15</v>
      </c>
      <c r="V191" s="20">
        <v>16</v>
      </c>
      <c r="W191" s="20">
        <v>17</v>
      </c>
      <c r="X191" s="20">
        <v>18</v>
      </c>
      <c r="Y191" s="20">
        <v>19</v>
      </c>
      <c r="Z191" s="20">
        <v>20</v>
      </c>
      <c r="AA191" s="20">
        <v>21</v>
      </c>
      <c r="AB191" s="20">
        <v>22</v>
      </c>
      <c r="AC191" s="20">
        <v>23</v>
      </c>
      <c r="AD191" s="7">
        <v>24</v>
      </c>
      <c r="AE191" s="21">
        <v>25</v>
      </c>
      <c r="AF191" s="21">
        <v>26</v>
      </c>
      <c r="AG191" s="21">
        <v>27</v>
      </c>
      <c r="AH191" s="21">
        <v>28</v>
      </c>
      <c r="AI191" s="21">
        <v>29</v>
      </c>
      <c r="AJ191" s="21">
        <v>30</v>
      </c>
      <c r="AK191" s="21">
        <v>31</v>
      </c>
      <c r="AL191" s="21">
        <v>32</v>
      </c>
      <c r="AM191" s="21">
        <v>33</v>
      </c>
      <c r="AN191" s="21">
        <v>34</v>
      </c>
      <c r="AO191" s="21">
        <v>35</v>
      </c>
      <c r="AP191" s="21">
        <v>36</v>
      </c>
      <c r="AQ191" s="21">
        <v>37</v>
      </c>
      <c r="AR191" s="21">
        <v>38</v>
      </c>
      <c r="BB191" s="10">
        <v>189</v>
      </c>
      <c r="BC191" s="10" t="s">
        <v>6</v>
      </c>
      <c r="BD191" s="12">
        <v>3068.200000000013</v>
      </c>
      <c r="BE191" s="12">
        <v>1336.9400000000023</v>
      </c>
      <c r="BF191" s="12">
        <v>3336.9000000000051</v>
      </c>
      <c r="BG191" s="12">
        <v>2343.2000000000107</v>
      </c>
      <c r="BH191" s="12">
        <v>4230.5999999999949</v>
      </c>
      <c r="BI191" s="12">
        <v>3802.2000000000025</v>
      </c>
      <c r="BK191" s="10">
        <v>189</v>
      </c>
      <c r="BL191" s="10" t="s">
        <v>24</v>
      </c>
      <c r="BM191" s="12">
        <v>4951.599999999994</v>
      </c>
      <c r="BN191" s="12">
        <v>2020.520000000005</v>
      </c>
      <c r="BO191" s="12">
        <v>4990.6400000000031</v>
      </c>
      <c r="BP191" s="12">
        <v>3505.8599999999856</v>
      </c>
      <c r="BQ191" s="12">
        <v>6124.0000000000146</v>
      </c>
      <c r="BR191" s="12">
        <v>5651.7999999999847</v>
      </c>
      <c r="BS191" s="6"/>
      <c r="BT191" s="10">
        <v>189</v>
      </c>
      <c r="BU191" s="10"/>
      <c r="BV191" s="12">
        <v>8291.2199999999939</v>
      </c>
      <c r="BW191" s="12">
        <v>4256.7999999999865</v>
      </c>
      <c r="BX191" s="12">
        <v>10790</v>
      </c>
      <c r="BY191" s="12">
        <v>7639.239999999977</v>
      </c>
      <c r="BZ191" s="12">
        <v>13242.259999999964</v>
      </c>
      <c r="CA191" s="12">
        <v>12065.620000000046</v>
      </c>
      <c r="CB191" s="6"/>
      <c r="CC191" s="10">
        <v>189</v>
      </c>
      <c r="CD191" s="10"/>
      <c r="CE191" s="12">
        <v>12402.800000000047</v>
      </c>
      <c r="CF191" s="12">
        <v>6415</v>
      </c>
      <c r="CG191" s="12">
        <v>16245.600000000069</v>
      </c>
      <c r="CH191" s="12">
        <v>6978.2000000000153</v>
      </c>
      <c r="CI191" s="12">
        <v>19614.71999999995</v>
      </c>
      <c r="CJ191" s="12">
        <v>18055.300000000054</v>
      </c>
    </row>
    <row r="192" spans="1:88" ht="15.75" customHeight="1">
      <c r="A192" s="6"/>
      <c r="B192" s="10">
        <v>190</v>
      </c>
      <c r="C192" s="6"/>
      <c r="G192" s="6"/>
      <c r="H192" s="6">
        <f t="shared" si="14"/>
        <v>14.02700000000004</v>
      </c>
      <c r="I192" s="6">
        <f t="shared" si="15"/>
        <v>21.129000000000048</v>
      </c>
      <c r="J192" s="6"/>
      <c r="K192" s="6"/>
      <c r="L192" s="6">
        <v>427.92499999999995</v>
      </c>
      <c r="M192" s="6">
        <v>450.34</v>
      </c>
      <c r="N192" s="6">
        <v>472.755</v>
      </c>
      <c r="O192" s="7">
        <v>495.17</v>
      </c>
      <c r="P192" s="7">
        <v>517.58500000000004</v>
      </c>
      <c r="Q192" s="7">
        <v>562.41499999999996</v>
      </c>
      <c r="R192" s="7">
        <v>584.82999999999993</v>
      </c>
      <c r="S192" s="7">
        <v>607.24499999999989</v>
      </c>
      <c r="T192" s="7">
        <v>629.65999999999985</v>
      </c>
      <c r="U192" s="7">
        <v>652.07499999999982</v>
      </c>
      <c r="V192" s="7">
        <v>674.48999999999978</v>
      </c>
      <c r="W192" s="23">
        <v>696.90499999999975</v>
      </c>
      <c r="X192" s="23">
        <v>719.31999999999971</v>
      </c>
      <c r="Y192" s="23">
        <v>741.73499999999967</v>
      </c>
      <c r="Z192" s="23">
        <v>764.14999999999964</v>
      </c>
      <c r="AA192" s="23">
        <v>786.5649999999996</v>
      </c>
      <c r="AB192" s="23">
        <v>808.97999999999956</v>
      </c>
      <c r="AC192" s="23">
        <v>831.39499999999953</v>
      </c>
      <c r="AD192" s="23">
        <v>853.80999999999949</v>
      </c>
      <c r="AE192" s="23">
        <v>876.22499999999945</v>
      </c>
      <c r="AF192" s="23">
        <v>898.63999999999942</v>
      </c>
      <c r="AG192" s="23">
        <v>921.05499999999938</v>
      </c>
      <c r="AH192" s="23">
        <v>943.46999999999935</v>
      </c>
      <c r="AI192" s="23">
        <v>965.88499999999931</v>
      </c>
      <c r="AJ192" s="23">
        <v>988.29999999999927</v>
      </c>
      <c r="AK192" s="23">
        <v>1010.7149999999992</v>
      </c>
      <c r="AL192" s="23">
        <v>1033.1299999999992</v>
      </c>
      <c r="AM192" s="23">
        <v>1055.5449999999992</v>
      </c>
      <c r="AN192" s="23">
        <v>1077.9599999999991</v>
      </c>
      <c r="AO192" s="23">
        <v>1100.3749999999991</v>
      </c>
      <c r="AP192" s="23">
        <v>1122.79</v>
      </c>
      <c r="AQ192" s="23">
        <v>1145.2049999999999</v>
      </c>
      <c r="AR192" s="23">
        <v>1167.6199999999999</v>
      </c>
      <c r="BB192" s="10">
        <v>190</v>
      </c>
      <c r="BC192" s="10" t="s">
        <v>6</v>
      </c>
      <c r="BD192" s="12">
        <v>3085.3300000000131</v>
      </c>
      <c r="BE192" s="12">
        <v>1344.0610000000024</v>
      </c>
      <c r="BF192" s="12">
        <v>3355.2350000000051</v>
      </c>
      <c r="BG192" s="12">
        <v>2356.0800000000108</v>
      </c>
      <c r="BH192" s="12">
        <v>4254.3899999999949</v>
      </c>
      <c r="BI192" s="12">
        <v>3823.4300000000026</v>
      </c>
      <c r="BK192" s="10">
        <v>190</v>
      </c>
      <c r="BL192" s="10" t="s">
        <v>24</v>
      </c>
      <c r="BM192" s="12">
        <v>4980.5399999999936</v>
      </c>
      <c r="BN192" s="12">
        <v>2031.7380000000051</v>
      </c>
      <c r="BO192" s="12">
        <v>5018.2160000000031</v>
      </c>
      <c r="BP192" s="12">
        <v>3525.2589999999855</v>
      </c>
      <c r="BQ192" s="12">
        <v>6158.1000000000149</v>
      </c>
      <c r="BR192" s="12">
        <v>5683.1699999999846</v>
      </c>
      <c r="BS192" s="6"/>
      <c r="BT192" s="10">
        <v>190</v>
      </c>
      <c r="BU192" s="10"/>
      <c r="BV192" s="12">
        <v>8342.4429999999938</v>
      </c>
      <c r="BW192" s="12">
        <v>4282.4199999999864</v>
      </c>
      <c r="BX192" s="12">
        <v>10855</v>
      </c>
      <c r="BY192" s="12">
        <v>7685.3059999999768</v>
      </c>
      <c r="BZ192" s="12">
        <v>13322.418999999963</v>
      </c>
      <c r="CA192" s="12">
        <v>12138.803000000047</v>
      </c>
      <c r="CB192" s="6"/>
      <c r="CC192" s="10">
        <v>190</v>
      </c>
      <c r="CD192" s="10"/>
      <c r="CE192" s="12">
        <v>12479.320000000047</v>
      </c>
      <c r="CF192" s="12">
        <v>6454.25</v>
      </c>
      <c r="CG192" s="12">
        <v>16343.64000000007</v>
      </c>
      <c r="CH192" s="12">
        <v>7015.3300000000154</v>
      </c>
      <c r="CI192" s="12">
        <v>19733.96799999995</v>
      </c>
      <c r="CJ192" s="12">
        <v>18164.695000000054</v>
      </c>
    </row>
    <row r="193" spans="1:88" ht="15.75" customHeight="1">
      <c r="A193" s="6"/>
      <c r="B193" s="10">
        <v>191</v>
      </c>
      <c r="C193" s="6"/>
      <c r="G193" s="6"/>
      <c r="H193" s="6">
        <f t="shared" si="14"/>
        <v>15.17100000000004</v>
      </c>
      <c r="I193" s="6">
        <f t="shared" si="15"/>
        <v>22.831000000000046</v>
      </c>
      <c r="J193" s="6"/>
      <c r="K193" s="6"/>
      <c r="L193" s="6">
        <v>22.414999999999999</v>
      </c>
      <c r="M193" s="6">
        <v>22.414999999999999</v>
      </c>
      <c r="N193" s="6">
        <v>22.414999999999999</v>
      </c>
      <c r="O193" s="7">
        <v>22.414999999999999</v>
      </c>
      <c r="P193" s="7">
        <v>22.414999999999999</v>
      </c>
      <c r="Q193" s="7">
        <v>22.414999999999999</v>
      </c>
      <c r="R193" s="7">
        <v>22.414999999999999</v>
      </c>
      <c r="S193" s="7">
        <v>22.414999999999999</v>
      </c>
      <c r="T193" s="7">
        <v>22.414999999999999</v>
      </c>
      <c r="U193" s="7">
        <v>22.414999999999999</v>
      </c>
      <c r="V193" s="7">
        <v>22.414999999999999</v>
      </c>
      <c r="W193" s="23">
        <v>22.414999999999999</v>
      </c>
      <c r="X193" s="23">
        <v>22.414999999999999</v>
      </c>
      <c r="Y193" s="23">
        <v>22.414999999999999</v>
      </c>
      <c r="Z193" s="23">
        <v>22.414999999999999</v>
      </c>
      <c r="AA193" s="23">
        <v>22.414999999999999</v>
      </c>
      <c r="AB193" s="23">
        <v>22.414999999999999</v>
      </c>
      <c r="AC193" s="23">
        <v>22.414999999999999</v>
      </c>
      <c r="AD193" s="23">
        <v>22.414999999999999</v>
      </c>
      <c r="AE193" s="23">
        <v>22.414999999999999</v>
      </c>
      <c r="AF193" s="23">
        <v>22.414999999999999</v>
      </c>
      <c r="AG193" s="23">
        <v>22.414999999999999</v>
      </c>
      <c r="AH193" s="23">
        <v>22.414999999999999</v>
      </c>
      <c r="AI193" s="23">
        <v>22.414999999999999</v>
      </c>
      <c r="AJ193" s="23">
        <v>22.414999999999999</v>
      </c>
      <c r="AK193" s="23">
        <v>22.414999999999999</v>
      </c>
      <c r="AL193" s="23">
        <v>22.414999999999999</v>
      </c>
      <c r="AM193" s="23">
        <v>22.414999999999999</v>
      </c>
      <c r="AN193" s="23">
        <v>22.414999999999999</v>
      </c>
      <c r="AO193" s="23">
        <v>22.414999999999999</v>
      </c>
      <c r="AP193" s="23">
        <v>22.414999999999999</v>
      </c>
      <c r="AQ193" s="23">
        <v>22.414999999999999</v>
      </c>
      <c r="AR193" s="23">
        <v>22.414999999999999</v>
      </c>
      <c r="BB193" s="10">
        <v>191</v>
      </c>
      <c r="BC193" s="10" t="s">
        <v>6</v>
      </c>
      <c r="BD193" s="12">
        <v>3102.4600000000132</v>
      </c>
      <c r="BE193" s="12">
        <v>1351.1820000000025</v>
      </c>
      <c r="BF193" s="12">
        <v>3373.5700000000052</v>
      </c>
      <c r="BG193" s="12">
        <v>2368.960000000011</v>
      </c>
      <c r="BH193" s="12">
        <v>4278.1799999999948</v>
      </c>
      <c r="BI193" s="12">
        <v>3844.6600000000026</v>
      </c>
      <c r="BK193" s="10">
        <v>191</v>
      </c>
      <c r="BL193" s="10" t="s">
        <v>24</v>
      </c>
      <c r="BM193" s="12">
        <v>5009.4799999999932</v>
      </c>
      <c r="BN193" s="12">
        <v>2042.9560000000051</v>
      </c>
      <c r="BO193" s="12">
        <v>5045.7920000000031</v>
      </c>
      <c r="BP193" s="12">
        <v>3544.6579999999853</v>
      </c>
      <c r="BQ193" s="12">
        <v>6192.2000000000153</v>
      </c>
      <c r="BR193" s="12">
        <v>5714.5399999999845</v>
      </c>
      <c r="BS193" s="6"/>
      <c r="BT193" s="10">
        <v>191</v>
      </c>
      <c r="BU193" s="10"/>
      <c r="BV193" s="12">
        <v>8393.6659999999938</v>
      </c>
      <c r="BW193" s="12">
        <v>4308.0399999999863</v>
      </c>
      <c r="BX193" s="12">
        <v>10920</v>
      </c>
      <c r="BY193" s="12">
        <v>7731.3719999999767</v>
      </c>
      <c r="BZ193" s="12">
        <v>13402.577999999963</v>
      </c>
      <c r="CA193" s="12">
        <v>12211.986000000048</v>
      </c>
      <c r="CB193" s="6"/>
      <c r="CC193" s="10">
        <v>191</v>
      </c>
      <c r="CD193" s="10"/>
      <c r="CE193" s="12">
        <v>12555.840000000047</v>
      </c>
      <c r="CF193" s="12">
        <v>6493.5</v>
      </c>
      <c r="CG193" s="12">
        <v>16441.680000000069</v>
      </c>
      <c r="CH193" s="12">
        <v>7052.4600000000155</v>
      </c>
      <c r="CI193" s="12">
        <v>19853.215999999949</v>
      </c>
      <c r="CJ193" s="12">
        <v>18274.090000000055</v>
      </c>
    </row>
    <row r="194" spans="1:88" ht="15.75" customHeight="1">
      <c r="A194" s="6"/>
      <c r="B194" s="10">
        <v>192</v>
      </c>
      <c r="C194" s="6"/>
      <c r="G194" s="6"/>
      <c r="H194" s="6">
        <f t="shared" si="14"/>
        <v>16.31500000000004</v>
      </c>
      <c r="I194" s="6">
        <f t="shared" si="15"/>
        <v>24.533000000000044</v>
      </c>
      <c r="J194" s="7">
        <v>115</v>
      </c>
      <c r="K194" s="7">
        <v>4.8</v>
      </c>
      <c r="L194" s="7">
        <v>5</v>
      </c>
      <c r="M194" s="7">
        <v>6</v>
      </c>
      <c r="N194" s="7">
        <v>7</v>
      </c>
      <c r="O194" s="7">
        <v>8</v>
      </c>
      <c r="P194" s="7">
        <v>9</v>
      </c>
      <c r="Q194" s="20">
        <v>11</v>
      </c>
      <c r="R194" s="20">
        <v>12</v>
      </c>
      <c r="S194" s="20">
        <v>13</v>
      </c>
      <c r="T194" s="20">
        <v>14</v>
      </c>
      <c r="U194" s="20">
        <v>15</v>
      </c>
      <c r="V194" s="20">
        <v>16</v>
      </c>
      <c r="W194" s="20">
        <v>17</v>
      </c>
      <c r="X194" s="20">
        <v>18</v>
      </c>
      <c r="Y194" s="20">
        <v>19</v>
      </c>
      <c r="Z194" s="20">
        <v>20</v>
      </c>
      <c r="AA194" s="20">
        <v>21</v>
      </c>
      <c r="AB194" s="20">
        <v>22</v>
      </c>
      <c r="AC194" s="20">
        <v>23</v>
      </c>
      <c r="AD194" s="7">
        <v>24</v>
      </c>
      <c r="AE194" s="21">
        <v>25</v>
      </c>
      <c r="AF194" s="21">
        <v>26</v>
      </c>
      <c r="AG194" s="21">
        <v>27</v>
      </c>
      <c r="AH194" s="21">
        <v>28</v>
      </c>
      <c r="AI194" s="21">
        <v>29</v>
      </c>
      <c r="AJ194" s="21">
        <v>30</v>
      </c>
      <c r="AK194" s="21">
        <v>31</v>
      </c>
      <c r="AL194" s="21">
        <v>32</v>
      </c>
      <c r="AM194" s="21">
        <v>33</v>
      </c>
      <c r="AN194" s="21">
        <v>34</v>
      </c>
      <c r="AO194" s="21">
        <v>35</v>
      </c>
      <c r="AP194" s="21">
        <v>36</v>
      </c>
      <c r="AQ194" s="21">
        <v>37</v>
      </c>
      <c r="AR194" s="21">
        <v>38</v>
      </c>
      <c r="BB194" s="10">
        <v>192</v>
      </c>
      <c r="BC194" s="10" t="s">
        <v>6</v>
      </c>
      <c r="BD194" s="12">
        <v>3119.5900000000133</v>
      </c>
      <c r="BE194" s="12">
        <v>1358.3030000000026</v>
      </c>
      <c r="BF194" s="12">
        <v>3391.9050000000052</v>
      </c>
      <c r="BG194" s="12">
        <v>2381.8400000000111</v>
      </c>
      <c r="BH194" s="12">
        <v>4301.9699999999948</v>
      </c>
      <c r="BI194" s="12">
        <v>3865.8900000000026</v>
      </c>
      <c r="BK194" s="10">
        <v>192</v>
      </c>
      <c r="BL194" s="10" t="s">
        <v>24</v>
      </c>
      <c r="BM194" s="12">
        <v>5038.4199999999928</v>
      </c>
      <c r="BN194" s="12">
        <v>2054.174000000005</v>
      </c>
      <c r="BO194" s="12">
        <v>5073.3680000000031</v>
      </c>
      <c r="BP194" s="12">
        <v>3564.0569999999852</v>
      </c>
      <c r="BQ194" s="12">
        <v>6226.3000000000156</v>
      </c>
      <c r="BR194" s="12">
        <v>5745.9099999999844</v>
      </c>
      <c r="BS194" s="6"/>
      <c r="BT194" s="10">
        <v>192</v>
      </c>
      <c r="BU194" s="10"/>
      <c r="BV194" s="12">
        <v>8444.8889999999938</v>
      </c>
      <c r="BW194" s="12">
        <v>4333.6599999999862</v>
      </c>
      <c r="BX194" s="12">
        <v>10985</v>
      </c>
      <c r="BY194" s="12">
        <v>7777.4379999999765</v>
      </c>
      <c r="BZ194" s="12">
        <v>13482.736999999963</v>
      </c>
      <c r="CA194" s="12">
        <v>12285.169000000049</v>
      </c>
      <c r="CB194" s="6"/>
      <c r="CC194" s="10">
        <v>192</v>
      </c>
      <c r="CD194" s="10"/>
      <c r="CE194" s="12">
        <v>12632.360000000048</v>
      </c>
      <c r="CF194" s="12">
        <v>6532.75</v>
      </c>
      <c r="CG194" s="12">
        <v>16539.72000000007</v>
      </c>
      <c r="CH194" s="12">
        <v>7089.5900000000156</v>
      </c>
      <c r="CI194" s="12">
        <v>19972.463999999949</v>
      </c>
      <c r="CJ194" s="12">
        <v>18383.485000000055</v>
      </c>
    </row>
    <row r="195" spans="1:88" ht="15.75" customHeight="1">
      <c r="A195" s="6"/>
      <c r="B195" s="10">
        <v>193</v>
      </c>
      <c r="C195" s="6"/>
      <c r="G195" s="6"/>
      <c r="H195" s="6">
        <f t="shared" si="14"/>
        <v>17.459000000000039</v>
      </c>
      <c r="I195" s="6">
        <f t="shared" si="15"/>
        <v>26.235000000000042</v>
      </c>
      <c r="J195" s="6"/>
      <c r="K195" s="6"/>
      <c r="L195" s="6">
        <v>900.33999999999992</v>
      </c>
      <c r="M195" s="6">
        <v>998.27199999999993</v>
      </c>
      <c r="N195" s="6">
        <v>1096.204</v>
      </c>
      <c r="O195" s="7">
        <v>1194.136</v>
      </c>
      <c r="P195" s="7">
        <v>1292.068</v>
      </c>
      <c r="Q195" s="7">
        <v>1487.932</v>
      </c>
      <c r="R195" s="7">
        <v>1585.864</v>
      </c>
      <c r="S195" s="7">
        <v>1683.796</v>
      </c>
      <c r="T195" s="7">
        <v>1781.7280000000001</v>
      </c>
      <c r="U195" s="7">
        <v>1879.66</v>
      </c>
      <c r="V195" s="7">
        <v>1977.5920000000001</v>
      </c>
      <c r="W195" s="23">
        <v>2075.5239999999999</v>
      </c>
      <c r="X195" s="23">
        <v>2173.4559999999997</v>
      </c>
      <c r="Y195" s="23">
        <v>2271.3879999999995</v>
      </c>
      <c r="Z195" s="23">
        <v>2369.3199999999993</v>
      </c>
      <c r="AA195" s="23">
        <v>2467.251999999999</v>
      </c>
      <c r="AB195" s="23">
        <v>2565.1839999999988</v>
      </c>
      <c r="AC195" s="23">
        <v>2663.1159999999986</v>
      </c>
      <c r="AD195" s="23">
        <v>2761.0479999999984</v>
      </c>
      <c r="AE195" s="23">
        <v>2858.9799999999982</v>
      </c>
      <c r="AF195" s="23">
        <v>2956.911999999998</v>
      </c>
      <c r="AG195" s="23">
        <v>3054.8439999999978</v>
      </c>
      <c r="AH195" s="23">
        <v>3152.7759999999976</v>
      </c>
      <c r="AI195" s="23">
        <v>3250.7079999999974</v>
      </c>
      <c r="AJ195" s="23">
        <v>3348.6399999999971</v>
      </c>
      <c r="AK195" s="23">
        <v>3446.5719999999969</v>
      </c>
      <c r="AL195" s="23">
        <v>3544.5039999999967</v>
      </c>
      <c r="AM195" s="23">
        <v>3642.4359999999965</v>
      </c>
      <c r="AN195" s="23">
        <v>3740.3679999999963</v>
      </c>
      <c r="AO195" s="23">
        <v>3838.2999999999961</v>
      </c>
      <c r="AP195" s="23">
        <v>3936.2319999999959</v>
      </c>
      <c r="AQ195" s="23">
        <v>4034.1639999999957</v>
      </c>
      <c r="AR195" s="23">
        <v>4132.0959999999959</v>
      </c>
      <c r="BB195" s="10">
        <v>193</v>
      </c>
      <c r="BC195" s="10" t="s">
        <v>6</v>
      </c>
      <c r="BD195" s="12">
        <v>3136.7200000000134</v>
      </c>
      <c r="BE195" s="12">
        <v>1365.4240000000027</v>
      </c>
      <c r="BF195" s="12">
        <v>3410.2400000000052</v>
      </c>
      <c r="BG195" s="12">
        <v>2394.7200000000112</v>
      </c>
      <c r="BH195" s="12">
        <v>4325.7599999999948</v>
      </c>
      <c r="BI195" s="12">
        <v>3887.1200000000026</v>
      </c>
      <c r="BK195" s="10">
        <v>193</v>
      </c>
      <c r="BL195" s="10" t="s">
        <v>24</v>
      </c>
      <c r="BM195" s="12">
        <v>5067.3599999999924</v>
      </c>
      <c r="BN195" s="12">
        <v>2065.3920000000048</v>
      </c>
      <c r="BO195" s="12">
        <v>5100.9440000000031</v>
      </c>
      <c r="BP195" s="12">
        <v>3583.4559999999851</v>
      </c>
      <c r="BQ195" s="12">
        <v>6260.400000000016</v>
      </c>
      <c r="BR195" s="12">
        <v>5777.2799999999843</v>
      </c>
      <c r="BS195" s="6"/>
      <c r="BT195" s="10">
        <v>193</v>
      </c>
      <c r="BU195" s="10"/>
      <c r="BV195" s="12">
        <v>8496.1119999999937</v>
      </c>
      <c r="BW195" s="12">
        <v>4359.2799999999861</v>
      </c>
      <c r="BX195" s="12">
        <v>11050</v>
      </c>
      <c r="BY195" s="12">
        <v>7823.5039999999763</v>
      </c>
      <c r="BZ195" s="12">
        <v>13562.895999999962</v>
      </c>
      <c r="CA195" s="12">
        <v>12358.35200000005</v>
      </c>
      <c r="CB195" s="6"/>
      <c r="CC195" s="10">
        <v>193</v>
      </c>
      <c r="CD195" s="10"/>
      <c r="CE195" s="12">
        <v>12708.880000000048</v>
      </c>
      <c r="CF195" s="12">
        <v>6572</v>
      </c>
      <c r="CG195" s="12">
        <v>16637.760000000071</v>
      </c>
      <c r="CH195" s="12">
        <v>7126.7200000000157</v>
      </c>
      <c r="CI195" s="12">
        <v>20091.711999999949</v>
      </c>
      <c r="CJ195" s="12">
        <v>18492.880000000056</v>
      </c>
    </row>
    <row r="196" spans="1:88" ht="15.75" customHeight="1">
      <c r="A196" s="6"/>
      <c r="B196" s="10">
        <v>194</v>
      </c>
      <c r="C196" s="6"/>
      <c r="G196" s="6"/>
      <c r="H196" s="6">
        <f t="shared" si="14"/>
        <v>18.603000000000037</v>
      </c>
      <c r="I196" s="6">
        <f t="shared" si="15"/>
        <v>27.93700000000004</v>
      </c>
      <c r="J196" s="6"/>
      <c r="K196" s="6"/>
      <c r="L196" s="6">
        <v>97.932000000000002</v>
      </c>
      <c r="M196" s="6">
        <v>97.932000000000002</v>
      </c>
      <c r="N196" s="6">
        <v>97.932000000000002</v>
      </c>
      <c r="O196" s="7">
        <v>97.932000000000002</v>
      </c>
      <c r="P196" s="7">
        <v>97.932000000000002</v>
      </c>
      <c r="Q196" s="7">
        <v>97.932000000000002</v>
      </c>
      <c r="R196" s="7">
        <v>97.932000000000002</v>
      </c>
      <c r="S196" s="7">
        <v>97.932000000000002</v>
      </c>
      <c r="T196" s="7">
        <v>97.932000000000002</v>
      </c>
      <c r="U196" s="7">
        <v>97.932000000000002</v>
      </c>
      <c r="V196" s="7">
        <v>97.932000000000002</v>
      </c>
      <c r="W196" s="23">
        <v>97.932000000000002</v>
      </c>
      <c r="X196" s="23">
        <v>97.932000000000002</v>
      </c>
      <c r="Y196" s="23">
        <v>97.932000000000002</v>
      </c>
      <c r="Z196" s="23">
        <v>97.932000000000002</v>
      </c>
      <c r="AA196" s="23">
        <v>97.932000000000002</v>
      </c>
      <c r="AB196" s="23">
        <v>97.932000000000002</v>
      </c>
      <c r="AC196" s="23">
        <v>97.932000000000002</v>
      </c>
      <c r="AD196" s="23">
        <v>97.932000000000002</v>
      </c>
      <c r="AE196" s="23">
        <v>97.932000000000002</v>
      </c>
      <c r="AF196" s="23">
        <v>97.932000000000002</v>
      </c>
      <c r="AG196" s="23">
        <v>97.932000000000002</v>
      </c>
      <c r="AH196" s="23">
        <v>97.932000000000002</v>
      </c>
      <c r="AI196" s="23">
        <v>97.932000000000002</v>
      </c>
      <c r="AJ196" s="23">
        <v>97.932000000000002</v>
      </c>
      <c r="AK196" s="23">
        <v>97.932000000000002</v>
      </c>
      <c r="AL196" s="23">
        <v>97.932000000000002</v>
      </c>
      <c r="AM196" s="23">
        <v>97.932000000000002</v>
      </c>
      <c r="AN196" s="23">
        <v>97.932000000000002</v>
      </c>
      <c r="AO196" s="23">
        <v>97.932000000000002</v>
      </c>
      <c r="AP196" s="23">
        <v>97.932000000000002</v>
      </c>
      <c r="AQ196" s="23">
        <v>97.932000000000002</v>
      </c>
      <c r="AR196" s="23">
        <v>97.932000000000002</v>
      </c>
      <c r="BB196" s="10">
        <v>194</v>
      </c>
      <c r="BC196" s="10" t="s">
        <v>6</v>
      </c>
      <c r="BD196" s="12">
        <v>3153.8500000000136</v>
      </c>
      <c r="BE196" s="12">
        <v>1372.5450000000028</v>
      </c>
      <c r="BF196" s="12">
        <v>3428.5750000000053</v>
      </c>
      <c r="BG196" s="12">
        <v>2407.6000000000113</v>
      </c>
      <c r="BH196" s="12">
        <v>4349.5499999999947</v>
      </c>
      <c r="BI196" s="12">
        <v>3908.3500000000026</v>
      </c>
      <c r="BK196" s="10">
        <v>194</v>
      </c>
      <c r="BL196" s="10" t="s">
        <v>24</v>
      </c>
      <c r="BM196" s="12">
        <v>5096.299999999992</v>
      </c>
      <c r="BN196" s="12">
        <v>2076.6100000000047</v>
      </c>
      <c r="BO196" s="12">
        <v>5128.5200000000032</v>
      </c>
      <c r="BP196" s="12">
        <v>3602.854999999985</v>
      </c>
      <c r="BQ196" s="12">
        <v>6294.5000000000164</v>
      </c>
      <c r="BR196" s="12">
        <v>5808.6499999999842</v>
      </c>
      <c r="BS196" s="6"/>
      <c r="BT196" s="10">
        <v>194</v>
      </c>
      <c r="BU196" s="10"/>
      <c r="BV196" s="12">
        <v>8547.3349999999937</v>
      </c>
      <c r="BW196" s="12">
        <v>4384.899999999986</v>
      </c>
      <c r="BX196" s="12">
        <v>11115</v>
      </c>
      <c r="BY196" s="12">
        <v>7869.5699999999761</v>
      </c>
      <c r="BZ196" s="12">
        <v>13643.054999999962</v>
      </c>
      <c r="CA196" s="12">
        <v>12431.535000000051</v>
      </c>
      <c r="CB196" s="6"/>
      <c r="CC196" s="10">
        <v>194</v>
      </c>
      <c r="CD196" s="10"/>
      <c r="CE196" s="12">
        <v>12785.400000000049</v>
      </c>
      <c r="CF196" s="12">
        <v>6611.25</v>
      </c>
      <c r="CG196" s="12">
        <v>16735.800000000072</v>
      </c>
      <c r="CH196" s="12">
        <v>7163.8500000000158</v>
      </c>
      <c r="CI196" s="12">
        <v>20210.959999999948</v>
      </c>
      <c r="CJ196" s="12">
        <v>18602.275000000056</v>
      </c>
    </row>
    <row r="197" spans="1:88" ht="15.75" customHeight="1">
      <c r="A197" s="6"/>
      <c r="B197" s="10">
        <v>195</v>
      </c>
      <c r="C197" s="6"/>
      <c r="G197" s="6"/>
      <c r="H197" s="6">
        <f t="shared" si="14"/>
        <v>19.747000000000035</v>
      </c>
      <c r="I197" s="6">
        <f t="shared" si="15"/>
        <v>29.639000000000038</v>
      </c>
      <c r="J197" s="7">
        <v>49</v>
      </c>
      <c r="K197" s="7">
        <v>6.4</v>
      </c>
      <c r="L197" s="7">
        <v>5</v>
      </c>
      <c r="M197" s="7">
        <v>6</v>
      </c>
      <c r="N197" s="7">
        <v>7</v>
      </c>
      <c r="O197" s="7">
        <v>8</v>
      </c>
      <c r="P197" s="7">
        <v>9</v>
      </c>
      <c r="Q197" s="20">
        <v>11</v>
      </c>
      <c r="R197" s="20">
        <v>12</v>
      </c>
      <c r="S197" s="20">
        <v>13</v>
      </c>
      <c r="T197" s="20">
        <v>14</v>
      </c>
      <c r="U197" s="20">
        <v>15</v>
      </c>
      <c r="V197" s="20">
        <v>16</v>
      </c>
      <c r="W197" s="20">
        <v>17</v>
      </c>
      <c r="X197" s="20">
        <v>18</v>
      </c>
      <c r="Y197" s="20">
        <v>19</v>
      </c>
      <c r="Z197" s="20">
        <v>20</v>
      </c>
      <c r="AA197" s="20">
        <v>21</v>
      </c>
      <c r="AB197" s="20">
        <v>22</v>
      </c>
      <c r="AC197" s="20">
        <v>23</v>
      </c>
      <c r="AD197" s="7">
        <v>24</v>
      </c>
      <c r="AE197" s="21">
        <v>25</v>
      </c>
      <c r="AF197" s="21">
        <v>26</v>
      </c>
      <c r="AG197" s="21">
        <v>27</v>
      </c>
      <c r="AH197" s="21">
        <v>28</v>
      </c>
      <c r="AI197" s="21">
        <v>29</v>
      </c>
      <c r="AJ197" s="21">
        <v>30</v>
      </c>
      <c r="AK197" s="21">
        <v>31</v>
      </c>
      <c r="AL197" s="21">
        <v>32</v>
      </c>
      <c r="AM197" s="21">
        <v>33</v>
      </c>
      <c r="AN197" s="21">
        <v>34</v>
      </c>
      <c r="AO197" s="21">
        <v>35</v>
      </c>
      <c r="AP197" s="21">
        <v>36</v>
      </c>
      <c r="AQ197" s="21">
        <v>37</v>
      </c>
      <c r="AR197" s="21">
        <v>38</v>
      </c>
      <c r="BB197" s="10">
        <v>195</v>
      </c>
      <c r="BC197" s="10" t="s">
        <v>6</v>
      </c>
      <c r="BD197" s="12">
        <v>3170.9800000000137</v>
      </c>
      <c r="BE197" s="12">
        <v>1379.6660000000029</v>
      </c>
      <c r="BF197" s="12">
        <v>3446.9100000000053</v>
      </c>
      <c r="BG197" s="12">
        <v>2420.4800000000114</v>
      </c>
      <c r="BH197" s="12">
        <v>4373.3399999999947</v>
      </c>
      <c r="BI197" s="12">
        <v>3929.5800000000027</v>
      </c>
      <c r="BK197" s="10">
        <v>195</v>
      </c>
      <c r="BL197" s="10" t="s">
        <v>24</v>
      </c>
      <c r="BM197" s="12">
        <v>5125.2399999999916</v>
      </c>
      <c r="BN197" s="12">
        <v>2087.8280000000045</v>
      </c>
      <c r="BO197" s="12">
        <v>5156.0960000000032</v>
      </c>
      <c r="BP197" s="12">
        <v>3622.2539999999849</v>
      </c>
      <c r="BQ197" s="12">
        <v>6328.6000000000167</v>
      </c>
      <c r="BR197" s="12">
        <v>5840.0199999999841</v>
      </c>
      <c r="BS197" s="6"/>
      <c r="BT197" s="10">
        <v>195</v>
      </c>
      <c r="BU197" s="10"/>
      <c r="BV197" s="12">
        <v>8598.5579999999936</v>
      </c>
      <c r="BW197" s="12">
        <v>4410.5199999999859</v>
      </c>
      <c r="BX197" s="12">
        <v>11180</v>
      </c>
      <c r="BY197" s="12">
        <v>7915.6359999999759</v>
      </c>
      <c r="BZ197" s="12">
        <v>13723.213999999962</v>
      </c>
      <c r="CA197" s="12">
        <v>12504.718000000052</v>
      </c>
      <c r="CB197" s="6"/>
      <c r="CC197" s="10">
        <v>195</v>
      </c>
      <c r="CD197" s="10"/>
      <c r="CE197" s="12">
        <v>12861.920000000049</v>
      </c>
      <c r="CF197" s="12">
        <v>6650.5</v>
      </c>
      <c r="CG197" s="12">
        <v>16833.840000000073</v>
      </c>
      <c r="CH197" s="12">
        <v>7200.9800000000159</v>
      </c>
      <c r="CI197" s="12">
        <v>20330.207999999948</v>
      </c>
      <c r="CJ197" s="12">
        <v>18711.670000000056</v>
      </c>
    </row>
    <row r="198" spans="1:88" ht="15.75" customHeight="1">
      <c r="A198" s="6"/>
      <c r="B198" s="10">
        <v>196</v>
      </c>
      <c r="C198" s="6"/>
      <c r="G198" s="6"/>
      <c r="H198" s="6">
        <f t="shared" si="14"/>
        <v>20.891000000000034</v>
      </c>
      <c r="I198" s="6">
        <f t="shared" si="15"/>
        <v>31.341000000000037</v>
      </c>
      <c r="J198" s="6"/>
      <c r="K198" s="6"/>
      <c r="L198" s="6">
        <v>619.30499999999995</v>
      </c>
      <c r="M198" s="6">
        <v>653.44399999999996</v>
      </c>
      <c r="N198" s="6">
        <v>687.58299999999997</v>
      </c>
      <c r="O198" s="7">
        <v>721.72199999999998</v>
      </c>
      <c r="P198" s="7">
        <v>755.86099999999999</v>
      </c>
      <c r="Q198" s="7">
        <v>824.13900000000001</v>
      </c>
      <c r="R198" s="7">
        <v>858.27800000000002</v>
      </c>
      <c r="S198" s="7">
        <v>892.41700000000003</v>
      </c>
      <c r="T198" s="7">
        <v>926.55600000000004</v>
      </c>
      <c r="U198" s="7">
        <v>960.69500000000005</v>
      </c>
      <c r="V198" s="7">
        <v>994.83400000000006</v>
      </c>
      <c r="W198" s="23">
        <v>1028.973</v>
      </c>
      <c r="X198" s="23">
        <v>1063.1119999999999</v>
      </c>
      <c r="Y198" s="23">
        <v>1097.2509999999997</v>
      </c>
      <c r="Z198" s="23">
        <v>1131.3899999999996</v>
      </c>
      <c r="AA198" s="23">
        <v>1165.5289999999995</v>
      </c>
      <c r="AB198" s="23">
        <v>1199.6679999999994</v>
      </c>
      <c r="AC198" s="23">
        <v>1233.8069999999993</v>
      </c>
      <c r="AD198" s="23">
        <v>1267.9459999999992</v>
      </c>
      <c r="AE198" s="23">
        <v>1302.0849999999991</v>
      </c>
      <c r="AF198" s="23">
        <v>1336.223999999999</v>
      </c>
      <c r="AG198" s="23">
        <v>1370.3629999999989</v>
      </c>
      <c r="AH198" s="23">
        <v>1404.5019999999988</v>
      </c>
      <c r="AI198" s="23">
        <v>1438.6409999999987</v>
      </c>
      <c r="AJ198" s="23">
        <v>1472.7799999999986</v>
      </c>
      <c r="AK198" s="23">
        <v>1506.9189999999985</v>
      </c>
      <c r="AL198" s="23">
        <v>1541.0579999999984</v>
      </c>
      <c r="AM198" s="23">
        <v>1575.1969999999983</v>
      </c>
      <c r="AN198" s="23">
        <v>1609.3359999999982</v>
      </c>
      <c r="AO198" s="23">
        <v>1643.4749999999981</v>
      </c>
      <c r="AP198" s="23">
        <v>1677.614</v>
      </c>
      <c r="AQ198" s="23">
        <v>1711.7529999999999</v>
      </c>
      <c r="AR198" s="23">
        <v>1745.8920000000001</v>
      </c>
      <c r="BB198" s="10">
        <v>196</v>
      </c>
      <c r="BC198" s="10" t="s">
        <v>6</v>
      </c>
      <c r="BD198" s="12">
        <v>3188.1100000000138</v>
      </c>
      <c r="BE198" s="12">
        <v>1386.787000000003</v>
      </c>
      <c r="BF198" s="12">
        <v>3465.2450000000053</v>
      </c>
      <c r="BG198" s="12">
        <v>2433.3600000000115</v>
      </c>
      <c r="BH198" s="12">
        <v>4397.1299999999947</v>
      </c>
      <c r="BI198" s="12">
        <v>3950.8100000000027</v>
      </c>
      <c r="BK198" s="10">
        <v>196</v>
      </c>
      <c r="BL198" s="10" t="s">
        <v>24</v>
      </c>
      <c r="BM198" s="12">
        <v>5154.1799999999912</v>
      </c>
      <c r="BN198" s="12">
        <v>2099.0460000000044</v>
      </c>
      <c r="BO198" s="12">
        <v>5183.6720000000032</v>
      </c>
      <c r="BP198" s="12">
        <v>3641.6529999999848</v>
      </c>
      <c r="BQ198" s="12">
        <v>6362.7000000000171</v>
      </c>
      <c r="BR198" s="12">
        <v>5871.389999999984</v>
      </c>
      <c r="BS198" s="6"/>
      <c r="BT198" s="10">
        <v>196</v>
      </c>
      <c r="BU198" s="10"/>
      <c r="BV198" s="12">
        <v>8649.7809999999936</v>
      </c>
      <c r="BW198" s="12">
        <v>4436.1399999999858</v>
      </c>
      <c r="BX198" s="12">
        <v>11245</v>
      </c>
      <c r="BY198" s="12">
        <v>7961.7019999999757</v>
      </c>
      <c r="BZ198" s="12">
        <v>13803.372999999961</v>
      </c>
      <c r="CA198" s="12">
        <v>12577.901000000053</v>
      </c>
      <c r="CB198" s="6"/>
      <c r="CC198" s="10">
        <v>196</v>
      </c>
      <c r="CD198" s="10"/>
      <c r="CE198" s="12">
        <v>12938.44000000005</v>
      </c>
      <c r="CF198" s="12">
        <v>6689.75</v>
      </c>
      <c r="CG198" s="12">
        <v>16931.880000000074</v>
      </c>
      <c r="CH198" s="12">
        <v>7238.110000000016</v>
      </c>
      <c r="CI198" s="12">
        <v>20449.455999999947</v>
      </c>
      <c r="CJ198" s="12">
        <v>18821.065000000057</v>
      </c>
    </row>
    <row r="199" spans="1:88" ht="15.75" customHeight="1">
      <c r="A199" s="6"/>
      <c r="B199" s="10">
        <v>197</v>
      </c>
      <c r="C199" s="6"/>
      <c r="G199" s="6"/>
      <c r="H199" s="6">
        <f t="shared" si="14"/>
        <v>22.035000000000032</v>
      </c>
      <c r="I199" s="6">
        <f t="shared" si="15"/>
        <v>33.043000000000035</v>
      </c>
      <c r="J199" s="6"/>
      <c r="K199" s="6"/>
      <c r="L199" s="6">
        <v>34.139000000000003</v>
      </c>
      <c r="M199" s="6">
        <v>34.139000000000003</v>
      </c>
      <c r="N199" s="6">
        <v>34.139000000000003</v>
      </c>
      <c r="O199" s="7">
        <v>34.139000000000003</v>
      </c>
      <c r="P199" s="7">
        <v>34.139000000000003</v>
      </c>
      <c r="Q199" s="7">
        <v>34.139000000000003</v>
      </c>
      <c r="R199" s="7">
        <v>34.139000000000003</v>
      </c>
      <c r="S199" s="7">
        <v>34.139000000000003</v>
      </c>
      <c r="T199" s="7">
        <v>34.139000000000003</v>
      </c>
      <c r="U199" s="7">
        <v>34.139000000000003</v>
      </c>
      <c r="V199" s="7">
        <v>34.139000000000003</v>
      </c>
      <c r="W199" s="23">
        <v>34.139000000000003</v>
      </c>
      <c r="X199" s="23">
        <v>34.139000000000003</v>
      </c>
      <c r="Y199" s="23">
        <v>34.139000000000003</v>
      </c>
      <c r="Z199" s="23">
        <v>34.139000000000003</v>
      </c>
      <c r="AA199" s="23">
        <v>34.139000000000003</v>
      </c>
      <c r="AB199" s="23">
        <v>34.139000000000003</v>
      </c>
      <c r="AC199" s="23">
        <v>34.139000000000003</v>
      </c>
      <c r="AD199" s="23">
        <v>34.139000000000003</v>
      </c>
      <c r="AE199" s="23">
        <v>34.139000000000003</v>
      </c>
      <c r="AF199" s="23">
        <v>34.139000000000003</v>
      </c>
      <c r="AG199" s="23">
        <v>34.139000000000003</v>
      </c>
      <c r="AH199" s="23">
        <v>34.139000000000003</v>
      </c>
      <c r="AI199" s="23">
        <v>34.139000000000003</v>
      </c>
      <c r="AJ199" s="23">
        <v>34.139000000000003</v>
      </c>
      <c r="AK199" s="23">
        <v>34.139000000000003</v>
      </c>
      <c r="AL199" s="23">
        <v>34.139000000000003</v>
      </c>
      <c r="AM199" s="23">
        <v>34.139000000000003</v>
      </c>
      <c r="AN199" s="23">
        <v>34.139000000000003</v>
      </c>
      <c r="AO199" s="23">
        <v>34.139000000000003</v>
      </c>
      <c r="AP199" s="23">
        <v>34.139000000000003</v>
      </c>
      <c r="AQ199" s="23">
        <v>34.139000000000003</v>
      </c>
      <c r="AR199" s="23">
        <v>34.139000000000003</v>
      </c>
      <c r="BB199" s="10">
        <v>197</v>
      </c>
      <c r="BC199" s="10" t="s">
        <v>6</v>
      </c>
      <c r="BD199" s="12">
        <v>3205.2400000000139</v>
      </c>
      <c r="BE199" s="12">
        <v>1393.9080000000031</v>
      </c>
      <c r="BF199" s="12">
        <v>3483.5800000000054</v>
      </c>
      <c r="BG199" s="12">
        <v>2446.2400000000116</v>
      </c>
      <c r="BH199" s="12">
        <v>4420.9199999999946</v>
      </c>
      <c r="BI199" s="12">
        <v>3972.0400000000027</v>
      </c>
      <c r="BK199" s="10">
        <v>197</v>
      </c>
      <c r="BL199" s="10" t="s">
        <v>24</v>
      </c>
      <c r="BM199" s="12">
        <v>5183.1199999999908</v>
      </c>
      <c r="BN199" s="12">
        <v>2110.2640000000042</v>
      </c>
      <c r="BO199" s="12">
        <v>5211.2480000000032</v>
      </c>
      <c r="BP199" s="12">
        <v>3661.0519999999847</v>
      </c>
      <c r="BQ199" s="12">
        <v>6396.8000000000175</v>
      </c>
      <c r="BR199" s="12">
        <v>5902.7599999999838</v>
      </c>
      <c r="BS199" s="6"/>
      <c r="BT199" s="10">
        <v>197</v>
      </c>
      <c r="BU199" s="10"/>
      <c r="BV199" s="12">
        <v>8701.0039999999935</v>
      </c>
      <c r="BW199" s="12">
        <v>4461.7599999999857</v>
      </c>
      <c r="BX199" s="12">
        <v>11310</v>
      </c>
      <c r="BY199" s="12">
        <v>8007.7679999999755</v>
      </c>
      <c r="BZ199" s="12">
        <v>13883.531999999961</v>
      </c>
      <c r="CA199" s="12">
        <v>12651.084000000053</v>
      </c>
      <c r="CB199" s="6"/>
      <c r="CC199" s="10">
        <v>197</v>
      </c>
      <c r="CD199" s="10"/>
      <c r="CE199" s="12">
        <v>13014.96000000005</v>
      </c>
      <c r="CF199" s="12">
        <v>6729</v>
      </c>
      <c r="CG199" s="12">
        <v>17029.920000000075</v>
      </c>
      <c r="CH199" s="12">
        <v>7275.2400000000162</v>
      </c>
      <c r="CI199" s="12">
        <v>20568.703999999947</v>
      </c>
      <c r="CJ199" s="12">
        <v>18930.460000000057</v>
      </c>
    </row>
    <row r="200" spans="1:88" ht="15.75" customHeight="1">
      <c r="A200" s="6"/>
      <c r="B200" s="10">
        <v>198</v>
      </c>
      <c r="C200" s="6"/>
      <c r="G200" s="6"/>
      <c r="H200" s="6">
        <f t="shared" si="14"/>
        <v>23.17900000000003</v>
      </c>
      <c r="I200" s="6">
        <f t="shared" si="15"/>
        <v>34.745000000000033</v>
      </c>
      <c r="J200" s="7">
        <v>115</v>
      </c>
      <c r="K200" s="7">
        <v>6.4</v>
      </c>
      <c r="L200" s="7">
        <v>5</v>
      </c>
      <c r="M200" s="7">
        <v>6</v>
      </c>
      <c r="N200" s="7">
        <v>7</v>
      </c>
      <c r="O200" s="7">
        <v>8</v>
      </c>
      <c r="P200" s="7">
        <v>9</v>
      </c>
      <c r="Q200" s="20">
        <v>11</v>
      </c>
      <c r="R200" s="20">
        <v>12</v>
      </c>
      <c r="S200" s="20">
        <v>13</v>
      </c>
      <c r="T200" s="20">
        <v>14</v>
      </c>
      <c r="U200" s="20">
        <v>15</v>
      </c>
      <c r="V200" s="20">
        <v>16</v>
      </c>
      <c r="W200" s="20">
        <v>17</v>
      </c>
      <c r="X200" s="20">
        <v>18</v>
      </c>
      <c r="Y200" s="20">
        <v>19</v>
      </c>
      <c r="Z200" s="20">
        <v>20</v>
      </c>
      <c r="AA200" s="20">
        <v>21</v>
      </c>
      <c r="AB200" s="20">
        <v>22</v>
      </c>
      <c r="AC200" s="20">
        <v>23</v>
      </c>
      <c r="AD200" s="7">
        <v>24</v>
      </c>
      <c r="AE200" s="21">
        <v>25</v>
      </c>
      <c r="AF200" s="21">
        <v>26</v>
      </c>
      <c r="AG200" s="21">
        <v>27</v>
      </c>
      <c r="AH200" s="21">
        <v>28</v>
      </c>
      <c r="AI200" s="21">
        <v>29</v>
      </c>
      <c r="AJ200" s="21">
        <v>30</v>
      </c>
      <c r="AK200" s="21">
        <v>31</v>
      </c>
      <c r="AL200" s="21">
        <v>32</v>
      </c>
      <c r="AM200" s="21">
        <v>33</v>
      </c>
      <c r="AN200" s="21">
        <v>34</v>
      </c>
      <c r="AO200" s="21">
        <v>35</v>
      </c>
      <c r="AP200" s="21">
        <v>36</v>
      </c>
      <c r="AQ200" s="21">
        <v>37</v>
      </c>
      <c r="AR200" s="21">
        <v>38</v>
      </c>
      <c r="BB200" s="10">
        <v>198</v>
      </c>
      <c r="BC200" s="10" t="s">
        <v>6</v>
      </c>
      <c r="BD200" s="12">
        <v>3222.370000000014</v>
      </c>
      <c r="BE200" s="12">
        <v>1401.0290000000032</v>
      </c>
      <c r="BF200" s="12">
        <v>3501.9150000000054</v>
      </c>
      <c r="BG200" s="12">
        <v>2459.1200000000117</v>
      </c>
      <c r="BH200" s="12">
        <v>4444.7099999999946</v>
      </c>
      <c r="BI200" s="12">
        <v>3993.2700000000027</v>
      </c>
      <c r="BK200" s="10">
        <v>198</v>
      </c>
      <c r="BL200" s="10" t="s">
        <v>24</v>
      </c>
      <c r="BM200" s="12">
        <v>5212.0599999999904</v>
      </c>
      <c r="BN200" s="12">
        <v>2121.4820000000041</v>
      </c>
      <c r="BO200" s="12">
        <v>5238.8240000000033</v>
      </c>
      <c r="BP200" s="12">
        <v>3680.4509999999846</v>
      </c>
      <c r="BQ200" s="12">
        <v>6430.9000000000178</v>
      </c>
      <c r="BR200" s="12">
        <v>5934.1299999999837</v>
      </c>
      <c r="BS200" s="6"/>
      <c r="BT200" s="10">
        <v>198</v>
      </c>
      <c r="BU200" s="10"/>
      <c r="BV200" s="12">
        <v>8752.2269999999935</v>
      </c>
      <c r="BW200" s="12">
        <v>4487.3799999999856</v>
      </c>
      <c r="BX200" s="12">
        <v>11375</v>
      </c>
      <c r="BY200" s="12">
        <v>8053.8339999999753</v>
      </c>
      <c r="BZ200" s="12">
        <v>13963.690999999961</v>
      </c>
      <c r="CA200" s="12">
        <v>12724.267000000054</v>
      </c>
      <c r="CB200" s="6"/>
      <c r="CC200" s="10">
        <v>198</v>
      </c>
      <c r="CD200" s="10"/>
      <c r="CE200" s="12">
        <v>13091.48000000005</v>
      </c>
      <c r="CF200" s="12">
        <v>6768.25</v>
      </c>
      <c r="CG200" s="12">
        <v>17127.960000000076</v>
      </c>
      <c r="CH200" s="12">
        <v>7312.3700000000163</v>
      </c>
      <c r="CI200" s="12">
        <v>20687.951999999947</v>
      </c>
      <c r="CJ200" s="12">
        <v>19039.855000000058</v>
      </c>
    </row>
    <row r="201" spans="1:88" ht="15.75" customHeight="1">
      <c r="A201" s="6"/>
      <c r="B201" s="10">
        <v>199</v>
      </c>
      <c r="C201" s="6"/>
      <c r="G201" s="6"/>
      <c r="H201" s="6">
        <f t="shared" si="14"/>
        <v>24.323000000000029</v>
      </c>
      <c r="I201" s="6">
        <f t="shared" si="15"/>
        <v>36.447000000000031</v>
      </c>
      <c r="J201" s="6"/>
      <c r="K201" s="6"/>
      <c r="L201" s="6">
        <v>1337.2349999999999</v>
      </c>
      <c r="M201" s="6">
        <v>1483.788</v>
      </c>
      <c r="N201" s="6">
        <v>1630.3410000000003</v>
      </c>
      <c r="O201" s="7">
        <v>1776.8940000000002</v>
      </c>
      <c r="P201" s="7">
        <v>1923.4470000000001</v>
      </c>
      <c r="Q201" s="7">
        <v>2216.5529999999999</v>
      </c>
      <c r="R201" s="7">
        <v>2363.1059999999998</v>
      </c>
      <c r="S201" s="7">
        <v>2509.6589999999997</v>
      </c>
      <c r="T201" s="7">
        <v>2656.2119999999995</v>
      </c>
      <c r="U201" s="7">
        <v>2802.7649999999994</v>
      </c>
      <c r="V201" s="7">
        <v>2949.3179999999993</v>
      </c>
      <c r="W201" s="23">
        <v>3095.8709999999992</v>
      </c>
      <c r="X201" s="23">
        <v>3242.4239999999991</v>
      </c>
      <c r="Y201" s="23">
        <v>3388.976999999999</v>
      </c>
      <c r="Z201" s="23">
        <v>3535.5299999999988</v>
      </c>
      <c r="AA201" s="23">
        <v>3682.0829999999987</v>
      </c>
      <c r="AB201" s="23">
        <v>3828.6359999999986</v>
      </c>
      <c r="AC201" s="23">
        <v>3975.1889999999985</v>
      </c>
      <c r="AD201" s="23">
        <v>4121.7419999999984</v>
      </c>
      <c r="AE201" s="23">
        <v>4268.2949999999983</v>
      </c>
      <c r="AF201" s="23">
        <v>4414.8479999999981</v>
      </c>
      <c r="AG201" s="23">
        <v>4561.400999999998</v>
      </c>
      <c r="AH201" s="23">
        <v>4707.9539999999979</v>
      </c>
      <c r="AI201" s="23">
        <v>4854.5069999999978</v>
      </c>
      <c r="AJ201" s="23">
        <v>5001.0599999999977</v>
      </c>
      <c r="AK201" s="23">
        <v>5147.6129999999976</v>
      </c>
      <c r="AL201" s="23">
        <v>5294.1659999999974</v>
      </c>
      <c r="AM201" s="23">
        <v>5440.7189999999973</v>
      </c>
      <c r="AN201" s="23">
        <v>5587.2719999999972</v>
      </c>
      <c r="AO201" s="23">
        <v>5733.8249999999971</v>
      </c>
      <c r="AP201" s="23">
        <v>5880.3779999999997</v>
      </c>
      <c r="AQ201" s="23">
        <v>6026.9309999999996</v>
      </c>
      <c r="AR201" s="23">
        <v>6173.4840000000004</v>
      </c>
      <c r="BB201" s="10">
        <v>199</v>
      </c>
      <c r="BC201" s="10" t="s">
        <v>6</v>
      </c>
      <c r="BD201" s="12">
        <v>3239.5000000000141</v>
      </c>
      <c r="BE201" s="12">
        <v>1408.1500000000033</v>
      </c>
      <c r="BF201" s="12">
        <v>3520.2500000000055</v>
      </c>
      <c r="BG201" s="12">
        <v>2472.0000000000118</v>
      </c>
      <c r="BH201" s="12">
        <v>4468.4999999999945</v>
      </c>
      <c r="BI201" s="12">
        <v>4014.5000000000027</v>
      </c>
      <c r="BK201" s="10">
        <v>199</v>
      </c>
      <c r="BL201" s="10" t="s">
        <v>24</v>
      </c>
      <c r="BM201" s="12">
        <v>5240.99999999999</v>
      </c>
      <c r="BN201" s="12">
        <v>2132.7000000000039</v>
      </c>
      <c r="BO201" s="12">
        <v>5266.4000000000033</v>
      </c>
      <c r="BP201" s="12">
        <v>3699.8499999999844</v>
      </c>
      <c r="BQ201" s="12">
        <v>6465.0000000000182</v>
      </c>
      <c r="BR201" s="12">
        <v>5965.4999999999836</v>
      </c>
      <c r="BS201" s="6"/>
      <c r="BT201" s="10">
        <v>199</v>
      </c>
      <c r="BU201" s="10"/>
      <c r="BV201" s="12">
        <v>8803.4499999999935</v>
      </c>
      <c r="BW201" s="12">
        <v>4512.9999999999854</v>
      </c>
      <c r="BX201" s="12">
        <v>11440</v>
      </c>
      <c r="BY201" s="12">
        <v>8099.8999999999751</v>
      </c>
      <c r="BZ201" s="12">
        <v>14043.84999999996</v>
      </c>
      <c r="CA201" s="12">
        <v>12797.450000000055</v>
      </c>
      <c r="CB201" s="6"/>
      <c r="CC201" s="10">
        <v>199</v>
      </c>
      <c r="CD201" s="10"/>
      <c r="CE201" s="12">
        <v>13168.000000000051</v>
      </c>
      <c r="CF201" s="12">
        <v>6807.5</v>
      </c>
      <c r="CG201" s="12">
        <v>17226.000000000076</v>
      </c>
      <c r="CH201" s="12">
        <v>7349.5000000000164</v>
      </c>
      <c r="CI201" s="12">
        <v>20807.199999999946</v>
      </c>
      <c r="CJ201" s="12">
        <v>19149.250000000058</v>
      </c>
    </row>
    <row r="202" spans="1:88" ht="15.75" customHeight="1">
      <c r="A202" s="6"/>
      <c r="B202" s="10">
        <v>200</v>
      </c>
      <c r="C202" s="6"/>
      <c r="G202" s="6"/>
      <c r="H202" s="6">
        <f t="shared" si="14"/>
        <v>25.467000000000027</v>
      </c>
      <c r="I202" s="6">
        <f t="shared" si="15"/>
        <v>38.149000000000029</v>
      </c>
      <c r="J202" s="6"/>
      <c r="K202" s="6"/>
      <c r="L202" s="6">
        <v>146.553</v>
      </c>
      <c r="M202" s="6">
        <v>146.553</v>
      </c>
      <c r="N202" s="6">
        <v>146.553</v>
      </c>
      <c r="O202" s="7">
        <v>146.553</v>
      </c>
      <c r="P202" s="7">
        <v>146.553</v>
      </c>
      <c r="Q202" s="7">
        <v>146.553</v>
      </c>
      <c r="R202" s="7">
        <v>146.553</v>
      </c>
      <c r="S202" s="7">
        <v>146.553</v>
      </c>
      <c r="T202" s="7">
        <v>146.553</v>
      </c>
      <c r="U202" s="7">
        <v>146.553</v>
      </c>
      <c r="V202" s="7">
        <v>146.553</v>
      </c>
      <c r="W202" s="23">
        <v>146.553</v>
      </c>
      <c r="X202" s="23">
        <v>146.553</v>
      </c>
      <c r="Y202" s="23">
        <v>146.553</v>
      </c>
      <c r="Z202" s="23">
        <v>146.553</v>
      </c>
      <c r="AA202" s="23">
        <v>146.553</v>
      </c>
      <c r="AB202" s="23">
        <v>146.553</v>
      </c>
      <c r="AC202" s="23">
        <v>146.553</v>
      </c>
      <c r="AD202" s="23">
        <v>146.553</v>
      </c>
      <c r="AE202" s="23">
        <v>146.553</v>
      </c>
      <c r="AF202" s="23">
        <v>146.553</v>
      </c>
      <c r="AG202" s="23">
        <v>146.553</v>
      </c>
      <c r="AH202" s="23">
        <v>146.553</v>
      </c>
      <c r="AI202" s="23">
        <v>146.553</v>
      </c>
      <c r="AJ202" s="23">
        <v>146.553</v>
      </c>
      <c r="AK202" s="23">
        <v>146.553</v>
      </c>
      <c r="AL202" s="23">
        <v>146.553</v>
      </c>
      <c r="AM202" s="23">
        <v>146.553</v>
      </c>
      <c r="AN202" s="23">
        <v>146.553</v>
      </c>
      <c r="AO202" s="23">
        <v>146.553</v>
      </c>
      <c r="AP202" s="23">
        <v>146.553</v>
      </c>
      <c r="AQ202" s="23">
        <v>146.553</v>
      </c>
      <c r="AR202" s="23">
        <v>146.553</v>
      </c>
      <c r="BB202" s="10">
        <v>200</v>
      </c>
      <c r="BC202" s="10" t="s">
        <v>6</v>
      </c>
      <c r="BD202" s="12">
        <v>3256.6300000000142</v>
      </c>
      <c r="BE202" s="12">
        <v>1415.2710000000034</v>
      </c>
      <c r="BF202" s="12">
        <v>3538.5850000000055</v>
      </c>
      <c r="BG202" s="12">
        <v>2484.8800000000119</v>
      </c>
      <c r="BH202" s="12">
        <v>4492.2899999999945</v>
      </c>
      <c r="BI202" s="12">
        <v>4035.7300000000027</v>
      </c>
      <c r="BK202" s="10">
        <v>200</v>
      </c>
      <c r="BL202" s="10" t="s">
        <v>24</v>
      </c>
      <c r="BM202" s="12">
        <v>5269.9399999999896</v>
      </c>
      <c r="BN202" s="12">
        <v>2143.9180000000038</v>
      </c>
      <c r="BO202" s="12">
        <v>5293.9760000000033</v>
      </c>
      <c r="BP202" s="12">
        <v>3719.2489999999843</v>
      </c>
      <c r="BQ202" s="12">
        <v>6499.1000000000186</v>
      </c>
      <c r="BR202" s="12">
        <v>5996.8699999999835</v>
      </c>
      <c r="BS202" s="6"/>
      <c r="BT202" s="10">
        <v>200</v>
      </c>
      <c r="BU202" s="10"/>
      <c r="BV202" s="12">
        <v>8854.6729999999934</v>
      </c>
      <c r="BW202" s="12">
        <v>4538.6199999999853</v>
      </c>
      <c r="BX202" s="12">
        <v>11505</v>
      </c>
      <c r="BY202" s="12">
        <v>8145.9659999999749</v>
      </c>
      <c r="BZ202" s="12">
        <v>14124.00899999996</v>
      </c>
      <c r="CA202" s="12">
        <v>12870.633000000056</v>
      </c>
      <c r="CB202" s="6"/>
      <c r="CC202" s="10">
        <v>200</v>
      </c>
      <c r="CD202" s="10"/>
      <c r="CE202" s="12">
        <v>13244.520000000051</v>
      </c>
      <c r="CF202" s="12">
        <v>6846.75</v>
      </c>
      <c r="CG202" s="12">
        <v>17324.040000000077</v>
      </c>
      <c r="CH202" s="12">
        <v>7386.6300000000165</v>
      </c>
      <c r="CI202" s="12">
        <v>20926.447999999946</v>
      </c>
      <c r="CJ202" s="12">
        <v>19258.645000000059</v>
      </c>
    </row>
    <row r="203" spans="1:88" ht="15.75" customHeight="1">
      <c r="A203" s="6"/>
      <c r="B203" s="6"/>
      <c r="C203" s="6"/>
      <c r="G203" s="6"/>
      <c r="H203" s="6">
        <f t="shared" si="14"/>
        <v>26.611000000000026</v>
      </c>
      <c r="I203" s="6">
        <f t="shared" si="15"/>
        <v>39.851000000000028</v>
      </c>
      <c r="J203" s="6"/>
      <c r="K203" s="6"/>
      <c r="L203" s="6"/>
      <c r="M203" s="6"/>
      <c r="N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</row>
    <row r="204" spans="1:88" ht="15.75" customHeight="1">
      <c r="A204" s="6"/>
      <c r="B204" s="6"/>
      <c r="C204" s="6"/>
      <c r="G204" s="6"/>
      <c r="H204" s="6">
        <f t="shared" si="14"/>
        <v>27.755000000000024</v>
      </c>
      <c r="I204" s="6">
        <f t="shared" si="15"/>
        <v>41.553000000000026</v>
      </c>
      <c r="J204" s="6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</row>
    <row r="205" spans="1:88" ht="15.75" customHeight="1">
      <c r="A205" s="6"/>
      <c r="B205" s="6"/>
      <c r="C205" s="6"/>
      <c r="G205" s="6"/>
      <c r="H205" s="6">
        <f t="shared" si="14"/>
        <v>28.899000000000022</v>
      </c>
      <c r="I205" s="6">
        <f t="shared" si="15"/>
        <v>43.255000000000024</v>
      </c>
      <c r="J205" s="6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</row>
    <row r="206" spans="1:88" ht="15.75" customHeight="1">
      <c r="A206" s="6"/>
      <c r="B206" s="6"/>
      <c r="C206" s="6"/>
      <c r="G206" s="6"/>
      <c r="H206" s="6">
        <f t="shared" si="14"/>
        <v>30.043000000000021</v>
      </c>
      <c r="I206" s="6">
        <f t="shared" si="15"/>
        <v>44.957000000000022</v>
      </c>
      <c r="J206" s="6"/>
      <c r="K206" s="6"/>
      <c r="L206" s="6"/>
      <c r="M206" s="6"/>
      <c r="N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</row>
    <row r="207" spans="1:88" ht="15.75" customHeight="1">
      <c r="A207" s="6"/>
      <c r="B207" s="6"/>
      <c r="C207" s="6"/>
      <c r="G207" s="6"/>
      <c r="H207" s="6">
        <f t="shared" si="14"/>
        <v>31.187000000000019</v>
      </c>
      <c r="I207" s="6">
        <f t="shared" si="15"/>
        <v>46.65900000000002</v>
      </c>
      <c r="J207" s="6"/>
      <c r="K207" s="6"/>
      <c r="L207" s="6"/>
      <c r="M207" s="6"/>
      <c r="N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</row>
    <row r="208" spans="1:88" ht="15.75" customHeight="1">
      <c r="A208" s="6"/>
      <c r="B208" s="6"/>
      <c r="C208" s="6"/>
      <c r="G208" s="6"/>
      <c r="H208" s="6">
        <f t="shared" si="14"/>
        <v>32.331000000000017</v>
      </c>
      <c r="I208" s="6">
        <f t="shared" si="15"/>
        <v>48.361000000000018</v>
      </c>
      <c r="J208" s="6"/>
      <c r="K208" s="6"/>
      <c r="L208" s="6"/>
      <c r="M208" s="6"/>
      <c r="N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</row>
    <row r="209" spans="1:88" ht="15.75" customHeight="1">
      <c r="A209" s="6"/>
      <c r="B209" s="6"/>
      <c r="C209" s="6"/>
      <c r="G209" s="6"/>
      <c r="H209" s="6">
        <f t="shared" si="14"/>
        <v>33.475000000000016</v>
      </c>
      <c r="I209" s="6">
        <f t="shared" si="15"/>
        <v>50.063000000000017</v>
      </c>
      <c r="J209" s="6"/>
      <c r="K209" s="6"/>
      <c r="L209" s="6"/>
      <c r="M209" s="6"/>
      <c r="N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</row>
    <row r="210" spans="1:88" ht="15.75" customHeight="1">
      <c r="A210" s="6"/>
      <c r="B210" s="6"/>
      <c r="C210" s="6"/>
      <c r="G210" s="6"/>
      <c r="H210" s="6">
        <f t="shared" si="14"/>
        <v>34.619000000000014</v>
      </c>
      <c r="I210" s="6">
        <f t="shared" si="15"/>
        <v>51.765000000000015</v>
      </c>
      <c r="J210" s="6"/>
      <c r="K210" s="6"/>
      <c r="L210" s="6"/>
      <c r="M210" s="6"/>
      <c r="N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</row>
    <row r="211" spans="1:88" ht="15.75" customHeight="1">
      <c r="A211" s="6"/>
      <c r="B211" s="6"/>
      <c r="C211" s="6"/>
      <c r="G211" s="6"/>
      <c r="H211" s="6">
        <f t="shared" si="14"/>
        <v>35.763000000000012</v>
      </c>
      <c r="I211" s="6">
        <f t="shared" si="15"/>
        <v>53.467000000000013</v>
      </c>
      <c r="J211" s="6"/>
      <c r="K211" s="6"/>
      <c r="L211" s="6"/>
      <c r="M211" s="6"/>
      <c r="N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</row>
    <row r="212" spans="1:88" ht="15.75" customHeight="1">
      <c r="A212" s="6"/>
      <c r="B212" s="6"/>
      <c r="C212" s="6"/>
      <c r="G212" s="6"/>
      <c r="H212" s="6">
        <f t="shared" si="14"/>
        <v>36.907000000000011</v>
      </c>
      <c r="I212" s="6">
        <f t="shared" si="15"/>
        <v>55.169000000000011</v>
      </c>
      <c r="J212" s="6"/>
      <c r="K212" s="6"/>
      <c r="L212" s="6"/>
      <c r="M212" s="6"/>
      <c r="N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</row>
    <row r="213" spans="1:88" ht="15.75" customHeight="1">
      <c r="A213" s="6"/>
      <c r="B213" s="6"/>
      <c r="C213" s="6"/>
      <c r="G213" s="6"/>
      <c r="H213" s="6">
        <f t="shared" si="14"/>
        <v>38.051000000000009</v>
      </c>
      <c r="I213" s="6">
        <f t="shared" si="15"/>
        <v>56.871000000000009</v>
      </c>
      <c r="J213" s="6"/>
      <c r="K213" s="6"/>
      <c r="L213" s="6"/>
      <c r="M213" s="6"/>
      <c r="N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</row>
    <row r="214" spans="1:88" ht="15.75" customHeight="1">
      <c r="A214" s="6"/>
      <c r="B214" s="6"/>
      <c r="C214" s="6"/>
      <c r="G214" s="6"/>
      <c r="H214" s="6">
        <f t="shared" si="14"/>
        <v>39.195000000000007</v>
      </c>
      <c r="I214" s="6">
        <f t="shared" si="15"/>
        <v>58.573000000000008</v>
      </c>
      <c r="J214" s="6"/>
      <c r="K214" s="6"/>
      <c r="L214" s="6"/>
      <c r="M214" s="6"/>
      <c r="N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</row>
    <row r="215" spans="1:88" ht="15.75" customHeight="1">
      <c r="A215" s="6"/>
      <c r="B215" s="6"/>
      <c r="C215" s="6"/>
      <c r="G215" s="6"/>
      <c r="H215" s="6">
        <f t="shared" si="14"/>
        <v>40.339000000000006</v>
      </c>
      <c r="I215" s="6">
        <f t="shared" si="15"/>
        <v>60.275000000000006</v>
      </c>
      <c r="J215" s="6"/>
      <c r="K215" s="6"/>
      <c r="L215" s="6"/>
      <c r="M215" s="6"/>
      <c r="N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</row>
    <row r="216" spans="1:88" ht="15.75" customHeight="1">
      <c r="A216" s="6"/>
      <c r="B216" s="6"/>
      <c r="C216" s="6"/>
      <c r="G216" s="6"/>
      <c r="H216" s="6">
        <f t="shared" si="14"/>
        <v>41.483000000000004</v>
      </c>
      <c r="I216" s="6">
        <f t="shared" si="15"/>
        <v>61.977000000000004</v>
      </c>
      <c r="J216" s="6"/>
      <c r="K216" s="6"/>
      <c r="L216" s="6"/>
      <c r="M216" s="6"/>
      <c r="N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</row>
    <row r="217" spans="1:88" ht="15.75" customHeight="1">
      <c r="A217" s="6"/>
      <c r="B217" s="6"/>
      <c r="C217" s="6"/>
      <c r="D217" s="16"/>
      <c r="E217" s="6"/>
      <c r="F217" s="6"/>
      <c r="G217" s="6"/>
      <c r="H217" s="6">
        <f>H218-1.144</f>
        <v>42.627000000000002</v>
      </c>
      <c r="I217" s="6">
        <f>I218-1.702</f>
        <v>63.679000000000002</v>
      </c>
      <c r="K217" s="6"/>
      <c r="L217" s="6"/>
      <c r="M217" s="6"/>
      <c r="N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</row>
    <row r="218" spans="1:88" ht="15.75" customHeight="1">
      <c r="A218" s="6"/>
      <c r="B218" s="6"/>
      <c r="C218" s="6"/>
      <c r="D218" s="16"/>
      <c r="E218" s="6"/>
      <c r="F218" s="6"/>
      <c r="G218" s="6"/>
      <c r="H218" s="6">
        <v>43.771000000000001</v>
      </c>
      <c r="I218" s="6">
        <v>65.381</v>
      </c>
      <c r="J218" s="6"/>
      <c r="K218" s="6"/>
      <c r="L218" s="6"/>
      <c r="M218" s="6"/>
      <c r="N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</row>
    <row r="219" spans="1:88" ht="15.75" customHeight="1">
      <c r="A219" s="6"/>
      <c r="B219" s="6"/>
      <c r="C219" s="6"/>
      <c r="D219" s="16"/>
      <c r="E219" s="6"/>
      <c r="F219" s="6"/>
      <c r="G219" s="6"/>
      <c r="H219" s="6">
        <v>44.914999999999999</v>
      </c>
      <c r="I219" s="6">
        <v>67.084000000000003</v>
      </c>
      <c r="J219" s="6"/>
      <c r="K219" s="6"/>
      <c r="L219" s="6"/>
      <c r="M219" s="6"/>
      <c r="N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</row>
    <row r="220" spans="1:88" ht="15.75" customHeight="1">
      <c r="A220" s="6"/>
      <c r="B220" s="6"/>
      <c r="C220" s="6"/>
      <c r="D220" s="16"/>
      <c r="E220" s="6"/>
      <c r="F220" s="6"/>
      <c r="G220" s="6"/>
      <c r="H220" s="6"/>
      <c r="I220" s="6"/>
      <c r="J220" s="6"/>
      <c r="K220" s="6"/>
      <c r="L220" s="6"/>
      <c r="M220" s="6"/>
      <c r="N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</row>
    <row r="221" spans="1:88" ht="15.75" customHeight="1">
      <c r="A221" s="6"/>
      <c r="B221" s="6"/>
      <c r="C221" s="6"/>
      <c r="D221" s="16"/>
      <c r="E221" s="6"/>
      <c r="F221" s="6"/>
      <c r="H221" s="6" t="s">
        <v>1</v>
      </c>
      <c r="I221" s="7" t="s">
        <v>26</v>
      </c>
      <c r="J221" s="7" t="s">
        <v>19</v>
      </c>
      <c r="K221" s="6"/>
      <c r="L221" s="7" t="s">
        <v>63</v>
      </c>
      <c r="M221" s="7" t="s">
        <v>64</v>
      </c>
      <c r="N221" s="7" t="s">
        <v>65</v>
      </c>
      <c r="O221" s="7" t="s">
        <v>66</v>
      </c>
      <c r="P221" s="7" t="s">
        <v>62</v>
      </c>
      <c r="Q221" s="7" t="s">
        <v>31</v>
      </c>
      <c r="R221" s="7" t="s">
        <v>32</v>
      </c>
      <c r="S221" s="7" t="s">
        <v>33</v>
      </c>
      <c r="T221" s="7" t="s">
        <v>34</v>
      </c>
      <c r="U221" s="7" t="s">
        <v>35</v>
      </c>
      <c r="V221" s="7" t="s">
        <v>36</v>
      </c>
      <c r="W221" s="7" t="s">
        <v>37</v>
      </c>
      <c r="X221" s="7" t="s">
        <v>38</v>
      </c>
      <c r="Y221" s="7" t="s">
        <v>39</v>
      </c>
      <c r="Z221" s="7" t="s">
        <v>40</v>
      </c>
      <c r="AA221" s="7" t="s">
        <v>41</v>
      </c>
      <c r="AB221" s="7" t="s">
        <v>42</v>
      </c>
      <c r="AC221" s="7" t="s">
        <v>43</v>
      </c>
      <c r="AD221" s="7" t="s">
        <v>44</v>
      </c>
      <c r="AE221" s="7" t="s">
        <v>45</v>
      </c>
      <c r="AF221" s="7" t="s">
        <v>46</v>
      </c>
      <c r="AG221" s="7" t="s">
        <v>47</v>
      </c>
      <c r="AH221" s="7" t="s">
        <v>48</v>
      </c>
      <c r="AI221" s="7" t="s">
        <v>49</v>
      </c>
      <c r="AJ221" s="7" t="s">
        <v>50</v>
      </c>
      <c r="AK221" s="7" t="s">
        <v>51</v>
      </c>
      <c r="AL221" s="7" t="s">
        <v>52</v>
      </c>
      <c r="AM221" s="7" t="s">
        <v>53</v>
      </c>
      <c r="AN221" s="7" t="s">
        <v>54</v>
      </c>
      <c r="AO221" s="7" t="s">
        <v>55</v>
      </c>
      <c r="AP221" s="7" t="s">
        <v>56</v>
      </c>
      <c r="AQ221" s="7" t="s">
        <v>57</v>
      </c>
      <c r="AR221" s="7" t="s">
        <v>58</v>
      </c>
      <c r="AS221" s="7" t="s">
        <v>3</v>
      </c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</row>
    <row r="222" spans="1:88" ht="15.75" customHeight="1">
      <c r="A222" s="6"/>
      <c r="B222" s="6"/>
      <c r="C222" s="6"/>
      <c r="D222" s="16"/>
      <c r="E222" s="6"/>
      <c r="F222" s="6"/>
      <c r="G222" s="7" t="s">
        <v>10</v>
      </c>
      <c r="H222" s="6" t="str">
        <f>'Tensile Pass Fail'!C15</f>
        <v>LWT320 6.4mm (1/4")</v>
      </c>
      <c r="I222" s="24">
        <f>'Tensile Pass Fail'!D15</f>
        <v>10</v>
      </c>
      <c r="J222" s="7">
        <f>'Tensile Pass Fail'!E15</f>
        <v>50</v>
      </c>
      <c r="K222" s="6"/>
      <c r="L222" s="6">
        <f>IF($J222&gt;=6,L230-((49-$J222)*$H224),IF($J222&lt;=6,"No Data"))</f>
        <v>720.96000000000026</v>
      </c>
      <c r="M222" s="6">
        <f>IF($J222&gt;=9,M230-((49-$J222)*$H225),IF($J222&lt;=9,"No Data"))</f>
        <v>761.5250000000002</v>
      </c>
      <c r="N222" s="6">
        <f>IF($J222&gt;=11,N230-((49-$J222)*$H226),IF($J222&lt;=11,"No Data"))</f>
        <v>802.10900000000015</v>
      </c>
      <c r="O222" s="6">
        <f>IF($J222&gt;=13,O230-((49-$J222)*$H227),IF($J222&lt;=13,"No Data"))</f>
        <v>842.67400000000009</v>
      </c>
      <c r="P222" s="6">
        <f>IF($J222&gt;=15,P230-((49-$J222)*$H228),IF($J222&lt;=15,"No Data"))</f>
        <v>883.23900000000003</v>
      </c>
      <c r="Q222" s="6">
        <f>IF($J222&gt;=17,Q230-((49-$J222)*$H230),IF($J222&lt;=17,"No Data"))</f>
        <v>964.36900000000003</v>
      </c>
      <c r="R222" s="6">
        <f>IF($J222&gt;=18,R230-((49-$J222)*$H231),IF($J222&lt;=18,"No Data"))</f>
        <v>1004.934</v>
      </c>
      <c r="S222" s="6">
        <f>IF($J222&gt;=19,S230-((49-$J222)*$H232),IF($J222&lt;=19,"No Data"))</f>
        <v>1045.499</v>
      </c>
      <c r="T222" s="6">
        <f>IF($J222&gt;=19,T230-((49-$J222)*$H233),IF($J222&lt;=19,"No Data"))</f>
        <v>1086.0639999999999</v>
      </c>
      <c r="U222" s="6">
        <f>IF($J222&gt;=20,U230-((49-$J222)*$H234),IF($J222&lt;=20,"No Data"))</f>
        <v>1126.6289999999999</v>
      </c>
      <c r="V222" s="6">
        <f>IF($J222&gt;=20,V230-((49-$J222)*$H235),IF($J222&lt;=20,"No Data"))</f>
        <v>1167.194</v>
      </c>
      <c r="W222" s="6">
        <f>IF($J222&gt;=21,W230-((49-$J222)*$H236),IF($J222&lt;=21,"No Data"))</f>
        <v>1207.759</v>
      </c>
      <c r="X222" s="6">
        <f>IF($J222&gt;=21,X230-((49-$J222)*$H237),IF($J222&lt;=21,"No Data"))</f>
        <v>1248.3240000000001</v>
      </c>
      <c r="Y222" s="6">
        <f>IF($J222&gt;=22,Y230-((49-$J222)*$H238),IF($J222&lt;=22,"No Data"))</f>
        <v>1288.8890000000001</v>
      </c>
      <c r="Z222" s="6">
        <f>IF($J222&gt;=22,Z230-((49-$J222)*$H239),IF($J222&lt;=22,"No Data"))</f>
        <v>1329.4540000000002</v>
      </c>
      <c r="AA222" s="6">
        <f>IF($J222&gt;=22,AA230-((49-$J222)*$H240),IF($J222&lt;=22,"No Data"))</f>
        <v>1370.0190000000005</v>
      </c>
      <c r="AB222" s="6">
        <f>IF($J222&gt;=23,AB230-((49-$J222)*$H241),IF($J222&lt;=23,"No Data"))</f>
        <v>1410.5840000000005</v>
      </c>
      <c r="AC222" s="6">
        <f>IF($J222&gt;=23,AC230-((49-$J222)*$H242),IF($J222&lt;=23,"No Data"))</f>
        <v>1451.1490000000006</v>
      </c>
      <c r="AD222" s="6">
        <f>IF($J222&gt;=23,AD230-((49-$J222)*$H243),IF($J222&lt;=23,"No Data"))</f>
        <v>1491.7140000000006</v>
      </c>
      <c r="AE222" s="6">
        <f>IF($J222&gt;=23,AE230-((49-$J222)*$H244),IF($J222&lt;=23,"No Data"))</f>
        <v>1532.2790000000007</v>
      </c>
      <c r="AF222" s="6">
        <f>IF($J222&gt;=24,AF230-((49-$J222)*$H245),IF($J222&lt;=24,"No Data"))</f>
        <v>1572.8440000000007</v>
      </c>
      <c r="AG222" s="6">
        <f>IF($J222&gt;=24,AG230-((49-$J222)*$H246),IF($J222&lt;=24,"No Data"))</f>
        <v>1613.4090000000008</v>
      </c>
      <c r="AH222" s="6">
        <f>IF($J222&gt;=24,AH230-((49-$J222)*$H247),IF($J222&lt;=24,"No Data"))</f>
        <v>1653.9740000000008</v>
      </c>
      <c r="AI222" s="6">
        <f>IF($J222&gt;=24,AI230-((49-$J222)*$H248),IF($J222&lt;=24,"No Data"))</f>
        <v>1694.5390000000009</v>
      </c>
      <c r="AJ222" s="6">
        <f>IF($J222&gt;=24,AJ230-((49-$J222)*$H249),IF($J222&lt;=24,"No Data"))</f>
        <v>1735.104000000001</v>
      </c>
      <c r="AK222" s="6">
        <f>IF($J222&gt;=25,AK230-((49-$J222)*$H250),IF($J222&lt;=25,"No Data"))</f>
        <v>1775.669000000001</v>
      </c>
      <c r="AL222" s="6">
        <f>IF($J222&gt;=25,AL230-((49-$J222)*$H251),IF($J222&lt;=25,"No Data"))</f>
        <v>1816.2340000000011</v>
      </c>
      <c r="AM222" s="6">
        <f>IF($J222&gt;=25,AM230-((49-$J222)*$H252),IF($J222&lt;=25,"No Data"))</f>
        <v>1856.7990000000011</v>
      </c>
      <c r="AN222" s="6">
        <f>IF($J222&gt;=25,AN230-((49-$J222)*$H253),IF($J222&lt;=25,"No Data"))</f>
        <v>1897.3640000000012</v>
      </c>
      <c r="AO222" s="6">
        <f>IF($J222&gt;=25,AO230-((49-$J222)*$H254),IF($J222&lt;=25,"No Data"))</f>
        <v>1937.9290000000012</v>
      </c>
      <c r="AP222" s="6">
        <f>IF($J222&gt;=25,AP230-((49-$J222)*$H255),IF($J222&lt;=25,"No Data"))</f>
        <v>1978.4940000000001</v>
      </c>
      <c r="AQ222" s="6">
        <f>IF($J222&gt;=25,AQ230-((49-$J222)*$H256),IF($J222&lt;=25,"No Data"))</f>
        <v>2019.0590000000002</v>
      </c>
      <c r="AR222" s="6">
        <f>IF($J222&gt;=25,AR230-((49-$J222)*$H257),IF($J222&lt;=25,"No Data"))</f>
        <v>2059.6239999999998</v>
      </c>
      <c r="AS222" s="16" t="b">
        <f>IF(I222=5,IF(H222=$D3,L222),IF(I222=6,IF(H222=$D3,M222),IF(I222=7,IF(H222=$D3,N222),IF(I222=8,IF(H222=$D3,O222),IF(I222=7,IF(H222=$D3,P222),IF(I222=9,IF(H222=$D3,P222),IF(I222=11,IF(H222=$D3,Q222),IF(I222=12,IF(H222=$D3,R222),IF(I222=13,IF(H222=$D3,S222),IF(I222=14,IF(H222=$D3,T222),IF(I222=15,IF(H222=$D3,U222),IF(I222=16,IF(H222=$D3,V222),IF(I222=17,IF(H222=$D3,W222),IF(I222=18,IF(H222=$D3,X222),IF(I222=19,IF(H222=$D3,Y222),IF(I222=20,IF(H222=$D3,Z222),IF(I222=21,IF(H222=$D3,AA222),IF(I222=22,IF(H222=$D3,AB222),IF(I222=23,IF(H222=$D3,AC222),IF(I222=24,IF(H222=$D3,AD222),IF(I222=25,IF(H222=$D3,AE222),IF(I222=26,IF(H222=$D3,AF222),IF(I222=27,IF(H222=$D3,AG222),IF(I222=28,IF(H222=$D3,AH222),IF(I222=29,IF(H222=$D3,AI222),IF(I222=30,IF(H222=$D3,AJ222),IF(I222=31,IF(H222=$D3,AK222),IF(I222=32,IF(H222=$D3,AL222),IF(I222=33,IF(H222=$D3,AM222),IF(I222=34,IF(H222=$D3,AN222),IF(I222=35,IF(H222=$D3,AO222),IF(I222=36,IF(H222=$D3,AP222),IF(I222=37,IF(H222=$D3,AQ222),IF(I222=38,IF(H222=$D3,AR222)))))))))))))))))))))))))))))))))))</f>
        <v>0</v>
      </c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</row>
    <row r="223" spans="1:88" ht="15.75" customHeight="1">
      <c r="A223" s="6"/>
      <c r="B223" s="6"/>
      <c r="C223" s="6"/>
      <c r="D223" s="16"/>
      <c r="E223" s="6"/>
      <c r="F223" s="6"/>
      <c r="G223" s="6"/>
      <c r="H223" s="6" t="s">
        <v>59</v>
      </c>
      <c r="I223" s="6" t="s">
        <v>60</v>
      </c>
      <c r="J223" s="6"/>
      <c r="K223" s="6"/>
      <c r="L223" s="6" t="b">
        <f>IF($H222=$D3,IF($J222&lt;=69,"PASS","FAIL"))</f>
        <v>0</v>
      </c>
      <c r="M223" s="6" t="b">
        <f>IF($H222=$D3,IF($J222&lt;=64,"PASS","FAIL"))</f>
        <v>0</v>
      </c>
      <c r="N223" s="6" t="b">
        <f>IF($H222=$D3,IF($J222&lt;=61,"PASS","FAIL"))</f>
        <v>0</v>
      </c>
      <c r="O223" s="6" t="b">
        <f>IF($H222=$D3,IF($J222&lt;=57,"PASS","FAIL"))</f>
        <v>0</v>
      </c>
      <c r="P223" s="6" t="b">
        <f>IF($H222=$D3,IF($J222&lt;=55,"PASS","FAIL"))</f>
        <v>0</v>
      </c>
      <c r="Q223" s="6" t="b">
        <f>IF($H222=$D3,IF($J222&lt;=51,"PASS","FAIL"))</f>
        <v>0</v>
      </c>
      <c r="R223" s="6" t="b">
        <f>IF($H222=$D3,IF($J222&lt;=49,"PASS","FAIL"))</f>
        <v>0</v>
      </c>
      <c r="S223" s="6" t="b">
        <f>IF($H222=$D3,IF($J222&lt;=48,"PASS","FAIL"))</f>
        <v>0</v>
      </c>
      <c r="T223" s="6" t="b">
        <f>IF($H222=$D3,IF($J222&lt;=47,"PASS","FAIL"))</f>
        <v>0</v>
      </c>
      <c r="U223" s="6" t="b">
        <f>IF($H222=$D3,IF($J222&lt;=46,"PASS","FAIL"))</f>
        <v>0</v>
      </c>
      <c r="V223" s="6" t="b">
        <f>IF($H222=$D3,IF($J222&lt;=45,"PASS","FAIL"))</f>
        <v>0</v>
      </c>
      <c r="W223" s="6" t="b">
        <f>IF($H222=$D3,IF($J222&lt;=44,"PASS","FAIL"))</f>
        <v>0</v>
      </c>
      <c r="X223" s="6" t="b">
        <f>IF($H222=$D3,IF($J222&lt;=43,"PASS","FAIL"))</f>
        <v>0</v>
      </c>
      <c r="Y223" s="6" t="b">
        <f>IF($H222=$D3,IF($J222&lt;=43,"PASS","FAIL"))</f>
        <v>0</v>
      </c>
      <c r="Z223" s="6" t="b">
        <f>IF($H222=$D3,IF($J222&lt;=42,"PASS","FAIL"))</f>
        <v>0</v>
      </c>
      <c r="AA223" s="6" t="b">
        <f>IF($H222=$D3,IF($J222&lt;=41,"PASS","FAIL"))</f>
        <v>0</v>
      </c>
      <c r="AB223" s="6" t="b">
        <f>IF($H222=$D3,IF($J222&lt;=41,"PASS","FAIL"))</f>
        <v>0</v>
      </c>
      <c r="AC223" s="6" t="b">
        <f>IF($H222=$D3,IF($J222&lt;=40,"PASS","FAIL"))</f>
        <v>0</v>
      </c>
      <c r="AD223" s="6" t="b">
        <f>IF($H222=$D3,IF($J222&lt;=39,"PASS","FAIL"))</f>
        <v>0</v>
      </c>
      <c r="AE223" s="6" t="b">
        <f>IF($H222=$D3,IF($J222&lt;=39,"PASS","FAIL"))</f>
        <v>0</v>
      </c>
      <c r="AF223" s="6" t="b">
        <f>IF($H222=$D3,IF($J222&lt;=39,"PASS","FAIL"))</f>
        <v>0</v>
      </c>
      <c r="AG223" s="6" t="b">
        <f>IF($H222=$D3,IF($J222&lt;=39,"PASS","FAIL"))</f>
        <v>0</v>
      </c>
      <c r="AH223" s="6" t="b">
        <f>IF($H222=$D3,IF($J222&lt;=38,"PASS","FAIL"))</f>
        <v>0</v>
      </c>
      <c r="AI223" s="6" t="b">
        <f>IF($H222=$D3,IF($J222&lt;=38,"PASS","FAIL"))</f>
        <v>0</v>
      </c>
      <c r="AJ223" s="6" t="b">
        <f>IF($H222=$D3,IF($J222&lt;=38,"PASS","FAIL"))</f>
        <v>0</v>
      </c>
      <c r="AK223" s="6" t="b">
        <f>IF($H222=$D3,IF($J222&lt;=38,"PASS","FAIL"))</f>
        <v>0</v>
      </c>
      <c r="AL223" s="6" t="b">
        <f>IF($H222=$D3,IF($J222&lt;=37,"PASS","FAIL"))</f>
        <v>0</v>
      </c>
      <c r="AM223" s="6" t="b">
        <f>IF($H222=$D3,IF($J222&lt;=37,"PASS","FAIL"))</f>
        <v>0</v>
      </c>
      <c r="AN223" s="6" t="b">
        <f>IF($H222=$D3,IF($J222&lt;=37,"PASS","FAIL"))</f>
        <v>0</v>
      </c>
      <c r="AO223" s="6" t="b">
        <f>IF($H222=$D3,IF($J222&lt;=37,"PASS","FAIL"))</f>
        <v>0</v>
      </c>
      <c r="AP223" s="6" t="b">
        <f>IF($H222=$D3,IF($J222&lt;=36,"PASS","FAIL"))</f>
        <v>0</v>
      </c>
      <c r="AQ223" s="6" t="b">
        <f>IF($H222=$D3,IF($J222&lt;=36,"PASS","FAIL"))</f>
        <v>0</v>
      </c>
      <c r="AR223" s="6" t="b">
        <f>IF($H222=$D3,IF($J222&lt;=36,"PASS","FAIL"))</f>
        <v>0</v>
      </c>
      <c r="AS223" t="b">
        <f>IF(I222=5,IF(J222&lt;=69,"PASS","FAIL"),IF(I222=6,IF(J222&lt;=64,"PASS","FAIL"),IF(I222=7,IF(J222&lt;=61,"PASS","FAIL"),IF(I222=8,IF(J222&lt;=57,"PASS","FAIL"),IF(I222=9,IF(J222&lt;=55,"PASS","FAIL"),IF(I222=11,IF(J222&lt;=51,"PASS","FAIL"),IF(I222=12,IF(J222&lt;=49,"PASS","FAIL"),IF(I222=13,IF(J222&lt;=48,"PASS","FAIL"),IF(I222=14,IF(J222&lt;=47,"PASS","FAIL"),IF(I222=15,IF(J222&lt;=46,"PASS","FAIL"),IF(I222=16,IF(J222&lt;=45,"PASS","FAIL"),IF(I222=17,IF(J222&lt;=44,"PASS","FAIL"),IF(I222=18,IF(J222&lt;=43,"PASS","FAIL"),IF(I222=19,IF(J222&lt;=43,"PASS","FAIL"),IF(I222=20,IF(J222&lt;=42,"PASS","FAIL"),IF(I222=21,IF(J222&lt;=41,"PASS","FAIL"),IF(I222=22,IF(J222&lt;=41,"PASS","FAIL"),IF(I222=23,IF(J222&lt;=40,"PASS","FAIL"),IF(I222=24,IF(J222&lt;=39,"PASS","FAIL"),IF(I222=25,IF(J222&lt;=39,"PASS","FAIL"),IF(I222=26,IF(J222&lt;=39,"PASS","FAIL"),IF(I222=27,IF(J222&lt;=39,"PASS","FAIL"),IF(I222=28,IF(J222&lt;=38,"PASS","FAIL"),IF(I222=29,IF(J222&lt;=38,"PASS","FAIL"),IF(I222=30,IF(J222&lt;=38,"PASS","FAIL"),IF(I222=31,IF(J222&lt;=38,"PASS","FAIL"),IF(I222=32,IF(J222&lt;=37,"PASS","FAIL"),IF(I222=33,IF(J222&lt;=37,"PASS","FAIL"),IF(I222=34,IF(J222&lt;=37,"PASS","FAIL"),IF(I222=35,IF(J222&lt;=37,"PASS","FAIL"),IF(I222=36,IF(J222&lt;=36,"PASS","FAIL"),IF(I222=37,IF(J222&lt;=36,"PASS","FAIL"),IF(I222=38,IF(J222&lt;=36,"PASS","FAIL"))))))))))))))))))))))))))))))))))</f>
        <v>0</v>
      </c>
      <c r="AT223" t="b">
        <f>IF(AS222=FALSE(),AS226,AS222)</f>
        <v>0</v>
      </c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</row>
    <row r="224" spans="1:88" ht="15.75" customHeight="1">
      <c r="A224" s="6"/>
      <c r="B224" s="6"/>
      <c r="C224" s="6"/>
      <c r="D224" s="16"/>
      <c r="E224" s="6"/>
      <c r="F224" s="6"/>
      <c r="G224" s="6"/>
      <c r="H224" s="6">
        <v>14.07</v>
      </c>
      <c r="I224" s="6">
        <v>19.408999999999999</v>
      </c>
      <c r="J224" s="6"/>
      <c r="K224" s="6"/>
      <c r="L224" s="6"/>
      <c r="M224" s="6"/>
      <c r="N224" s="6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T224" t="b">
        <f>IF(AS223=FALSE(),AS227,AS223)</f>
        <v>0</v>
      </c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</row>
    <row r="225" spans="1:88" ht="15.75" customHeight="1">
      <c r="A225" s="6"/>
      <c r="B225" s="6"/>
      <c r="C225" s="6"/>
      <c r="D225" s="16"/>
      <c r="E225" s="6"/>
      <c r="F225" s="6"/>
      <c r="H225" s="7">
        <v>16.013000000000002</v>
      </c>
      <c r="I225" s="7">
        <v>22.344999999999999</v>
      </c>
      <c r="L225" s="7" t="s">
        <v>68</v>
      </c>
      <c r="M225" s="7" t="s">
        <v>69</v>
      </c>
      <c r="N225" s="7" t="s">
        <v>70</v>
      </c>
      <c r="O225" s="7" t="s">
        <v>71</v>
      </c>
      <c r="P225" s="7" t="s">
        <v>72</v>
      </c>
      <c r="Q225" s="7" t="s">
        <v>73</v>
      </c>
      <c r="R225" s="7" t="s">
        <v>74</v>
      </c>
      <c r="S225" s="7" t="s">
        <v>75</v>
      </c>
      <c r="T225" s="7" t="s">
        <v>76</v>
      </c>
      <c r="U225" s="7" t="s">
        <v>77</v>
      </c>
      <c r="V225" s="7" t="s">
        <v>78</v>
      </c>
      <c r="W225" s="7" t="s">
        <v>79</v>
      </c>
      <c r="X225" s="7" t="s">
        <v>80</v>
      </c>
      <c r="Y225" s="7" t="s">
        <v>81</v>
      </c>
      <c r="Z225" s="7" t="s">
        <v>82</v>
      </c>
      <c r="AA225" s="7" t="s">
        <v>83</v>
      </c>
      <c r="AB225" s="7" t="s">
        <v>84</v>
      </c>
      <c r="AC225" s="7" t="s">
        <v>85</v>
      </c>
      <c r="AD225" s="7" t="s">
        <v>86</v>
      </c>
      <c r="AE225" s="7" t="s">
        <v>87</v>
      </c>
      <c r="AF225" s="7" t="s">
        <v>88</v>
      </c>
      <c r="AG225" s="7" t="s">
        <v>89</v>
      </c>
      <c r="AH225" s="7" t="s">
        <v>90</v>
      </c>
      <c r="AI225" s="7" t="s">
        <v>91</v>
      </c>
      <c r="AJ225" s="7" t="s">
        <v>92</v>
      </c>
      <c r="AK225" s="7" t="s">
        <v>93</v>
      </c>
      <c r="AL225" s="7" t="s">
        <v>94</v>
      </c>
      <c r="AM225" s="7" t="s">
        <v>95</v>
      </c>
      <c r="AN225" s="7" t="s">
        <v>96</v>
      </c>
      <c r="AO225" s="7" t="s">
        <v>97</v>
      </c>
      <c r="AP225" s="7" t="s">
        <v>98</v>
      </c>
      <c r="AQ225" s="7" t="s">
        <v>99</v>
      </c>
      <c r="AR225" s="7" t="s">
        <v>100</v>
      </c>
      <c r="AS225" s="7" t="s">
        <v>3</v>
      </c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</row>
    <row r="226" spans="1:88" ht="15.75" customHeight="1">
      <c r="C226" s="6"/>
      <c r="D226" s="16"/>
      <c r="E226" s="6"/>
      <c r="F226" s="6"/>
      <c r="H226" s="7">
        <f t="shared" ref="H226:H253" si="16">H227-1.943</f>
        <v>17.975000000000037</v>
      </c>
      <c r="I226" s="7">
        <f t="shared" ref="I226:I254" si="17">I227-2.936</f>
        <v>25.284999999999897</v>
      </c>
      <c r="L226" s="7">
        <f>IF($J222&gt;=2,L236-((49-$J222)*$I224),IF($J222&lt;=2,"No Data"))</f>
        <v>1098.7090000000001</v>
      </c>
      <c r="M226" s="7">
        <f>IF($J222&gt;=3,M236-((49-$J222)*$I225),IF($J222&lt;=3,"No Data"))</f>
        <v>1155.7850000000001</v>
      </c>
      <c r="N226" s="7">
        <f>IF($J222&gt;=6,N236-((49-$J222)*$I226),IF($J222&lt;=6,"No Data"))</f>
        <v>1212.8649999999996</v>
      </c>
      <c r="O226" s="7">
        <f>IF($J222&gt;=9,O236-((49-$J222)*$I227),IF($J222&lt;=9,"No Data"))</f>
        <v>1269.9409999999998</v>
      </c>
      <c r="P226" s="7">
        <f>IF($J222&gt;=11,P236-((49-$J222)*$I228),IF($J222&lt;=11,"No Data"))</f>
        <v>1327.0169999999998</v>
      </c>
      <c r="Q226" s="7">
        <f>IF($J222&gt;=14,Q236-((49-$J222)*$I230),IF($J222&lt;=14,"No Data"))</f>
        <v>1441.1690000000001</v>
      </c>
      <c r="R226" s="7">
        <f>IF($J222&gt;=15,R236-((49-$J222)*$I231),IF($J222&lt;=15,"No Data"))</f>
        <v>1498.2450000000001</v>
      </c>
      <c r="S226" s="7">
        <f>IF($J222&gt;=17,S236-((49-$J222)*$I232),IF($J222&lt;=17,"No Data"))</f>
        <v>1555.3210000000001</v>
      </c>
      <c r="T226" s="7">
        <f>IF($J222&gt;=18,T236-((49-$J222)*$I233),IF($J222&lt;=18,"No Data"))</f>
        <v>1612.3970000000004</v>
      </c>
      <c r="U226" s="7">
        <f>IF($J222&gt;=18,U236-((49-$J222)*$I234),IF($J222&lt;=18,"No Data"))</f>
        <v>1669.4730000000004</v>
      </c>
      <c r="V226" s="7">
        <f>IF($J222&gt;=19,V236-((49-$J222)*$I235),IF($J222&lt;=19,"No Data"))</f>
        <v>1726.5490000000004</v>
      </c>
      <c r="W226" s="7">
        <f>IF($J222&gt;=20,W236-((49-$J222)*$I236),IF($J222&lt;=20,"No Data"))</f>
        <v>1783.6250000000007</v>
      </c>
      <c r="X226" s="7">
        <f>IF($J222&gt;=20,X236-((49-$J222)*$I237),IF($J222&lt;=20,"No Data"))</f>
        <v>1840.7010000000007</v>
      </c>
      <c r="Y226" s="7">
        <f>IF($J222&gt;=21,Y236-((49-$J222)*$I238),IF($J222&lt;=21,"No Data"))</f>
        <v>1897.7770000000007</v>
      </c>
      <c r="Z226" s="7">
        <f>IF($J222&gt;=21,Z236-((49-$J222)*$I239),IF($J222&lt;=21,"No Data"))</f>
        <v>1954.853000000001</v>
      </c>
      <c r="AA226" s="7">
        <f>IF($J222&gt;=22,AA236-((49-$J222)*$I240),IF($J222&lt;=22,"No Data"))</f>
        <v>2011.929000000001</v>
      </c>
      <c r="AB226" s="7">
        <f>IF($J222&gt;=22,AB236-((49-$J222)*$I241),IF($J222&lt;=22,"No Data"))</f>
        <v>2069.005000000001</v>
      </c>
      <c r="AC226" s="7">
        <f>IF($J222&gt;=22,AC236-((49-$J222)*$I242),IF($J222&lt;=22,"No Data"))</f>
        <v>2126.081000000001</v>
      </c>
      <c r="AD226" s="7">
        <f>IF($J222&gt;=23,AD236-((49-$J222)*$I243),IF($J222&lt;=23,"No Data"))</f>
        <v>2183.1570000000011</v>
      </c>
      <c r="AE226" s="7">
        <f>IF($J222&gt;=23,AE236-((49-$J222)*$I244),IF($J222&lt;=23,"No Data"))</f>
        <v>2240.2330000000006</v>
      </c>
      <c r="AF226" s="7">
        <f>IF($J222&gt;=23,AF236-((49-$J222)*$I245),IF($J222&lt;=23,"No Data"))</f>
        <v>2297.3090000000007</v>
      </c>
      <c r="AG226" s="7">
        <f>IF($J222&gt;=24,AG236-((49-$J222)*$I246),IF($J222&lt;=24,"No Data"))</f>
        <v>2354.3850000000007</v>
      </c>
      <c r="AH226" s="7">
        <f>IF($J222&gt;=24,AH236-((49-$J222)*$I247),IF($J222&lt;=24,"No Data"))</f>
        <v>2411.4610000000002</v>
      </c>
      <c r="AI226" s="7">
        <f>IF($J222&gt;=24,AI236-((49-$J222)*$I248),IF($J222&lt;=24,"No Data"))</f>
        <v>2468.5370000000003</v>
      </c>
      <c r="AJ226" s="7">
        <f>IF($J222&gt;=24,AJ236-((49-$J222)*$I249),IF($J222&lt;=24,"No Data"))</f>
        <v>2525.6130000000003</v>
      </c>
      <c r="AK226" s="7">
        <f>IF($J222&gt;=25,AK236-((49-$J222)*$I250),IF($J222&lt;=25,"No Data"))</f>
        <v>2582.6889999999999</v>
      </c>
      <c r="AL226" s="7">
        <f>IF($J222&gt;=25,AL236-((49-$J222)*$I251),IF($J222&lt;=25,"No Data"))</f>
        <v>2639.7649999999999</v>
      </c>
      <c r="AM226" s="7">
        <f>IF($J222&gt;=25,AM236-((49-$J222)*$I252),IF($J222&lt;=25,"No Data"))</f>
        <v>2696.8409999999999</v>
      </c>
      <c r="AN226" s="7">
        <f>IF($J222&gt;=25,AN236-((49-$J222)*$I253),IF($J222&lt;=25,"No Data"))</f>
        <v>2753.9169999999995</v>
      </c>
      <c r="AO226" s="7">
        <f>IF($J222&gt;=25,AO236-((49-$J222)*$I254),IF($J222&lt;=25,"No Data"))</f>
        <v>2810.9929999999995</v>
      </c>
      <c r="AP226" s="7">
        <f>IF($J222&gt;=25,AP236-((49-$J222)*$I255),IF($J222&lt;=25,"No Data"))</f>
        <v>2868.069</v>
      </c>
      <c r="AQ226" s="7">
        <f>IF($J222&gt;=26,AQ236-((49-$J222)*$I256),IF($J222&lt;=26,"No Data"))</f>
        <v>2925.145</v>
      </c>
      <c r="AR226" s="7">
        <f>IF($J222&gt;=26,AR236-((49-$J222)*$I257),IF($J222&lt;=26,"No Data"))</f>
        <v>2982.221</v>
      </c>
      <c r="AS226" s="7" t="b">
        <f>IF(I222=5,IF(H222=$D4,L226),IF(I222=6,IF(H222=$D4,M226),IF(I222=7,IF(H222=$D4,N226),IF(I222=8,IF(H222=$D4,O226),IF(I222=9,IF(H222=$D4,P226),IF(I222=11,IF(H222=$D4,Q226),IF(I222=12,IF(H222=$D4,R226),IF(I222=13,IF(H222=$D4,S226),IF(I222=14,IF(H222=$D4,T226),IF(I222=15,IF(H222=$D4,U226),IF(I222=16,IF(H222=$D4,V226),IF(I222=17,IF(H222=$D4,W226),IF(I222=18,IF(H222=$D4,X226),IF(I222=19,IF(H222=$D4,Y226),IF(I222=20,IF(H222=$D4,Z226),IF(I222=21,IF(H222=$D4,AA226),IF(I222=22,IF(H222=$D4,AB226),IF(I222=23,IF(H222=$D4,AC226),IF(I222=24,IF(H222=$D4,AD226),IF(I222=25,IF(H222=$D4,AE226),IF(I222=26,IF(H222=$D4,AF226),IF(I222=27,IF(H222=$D4,AG226),IF(I222=28,IF(H222=$D4,AH226),IF(I222=29,IF(H222=$D4,AI226),IF(I222=30,IF(H222=$D4,AJ226),IF(I222=31,IF(H222=$D4,AK226),IF(I222=32,IF(H222=$D4,AL226),IF(I222=33,IF(H222=$D4,AM226),IF(I222=34,IF(H222=$D4,AN226),IF(I222=35,IF(H222=$D4,AO226),IF(I222=36,IF(H222=$D4,AP226),IF(I222=37,IF(H222=$D4,AQ226),IF(I222=38,IF(H222=$D4,AR226))))))))))))))))))))))))))))))))))</f>
        <v>0</v>
      </c>
    </row>
    <row r="227" spans="1:88" ht="15.75" customHeight="1">
      <c r="C227" s="6"/>
      <c r="D227" s="16"/>
      <c r="E227" s="6"/>
      <c r="F227" s="6"/>
      <c r="H227" s="7">
        <f t="shared" si="16"/>
        <v>19.918000000000038</v>
      </c>
      <c r="I227" s="7">
        <f t="shared" si="17"/>
        <v>28.220999999999897</v>
      </c>
      <c r="L227" s="7" t="str">
        <f>IF($H222=$D4,IF($J222&lt;=65,"PASS","FAIL"))</f>
        <v>PASS</v>
      </c>
      <c r="M227" s="7" t="str">
        <f>IF($H222=$D4,IF($J222&lt;=60,"PASS","FAIL"))</f>
        <v>PASS</v>
      </c>
      <c r="N227" s="7" t="str">
        <f>IF($H222=$D4,IF($J222&lt;=57,"PASS","FAIL"))</f>
        <v>PASS</v>
      </c>
      <c r="O227" s="7" t="str">
        <f>IF($H222=$D4,IF($J222&lt;=54,"PASS","FAIL"))</f>
        <v>PASS</v>
      </c>
      <c r="P227" s="7" t="str">
        <f>IF($H222=$D4,IF($J222&lt;=52,"PASS","FAIL"))</f>
        <v>PASS</v>
      </c>
      <c r="Q227" s="7" t="str">
        <f>IF($H222=$D4,IF($J222&lt;=48,"PASS","FAIL"))</f>
        <v>FAIL</v>
      </c>
      <c r="R227" s="7" t="str">
        <f>IF($H222=$D4,IF($J222&lt;=47,"PASS","FAIL"))</f>
        <v>FAIL</v>
      </c>
      <c r="S227" s="7" t="str">
        <f>IF($H222=$D4,IF($J222&lt;=46,"PASS","FAIL"))</f>
        <v>FAIL</v>
      </c>
      <c r="T227" s="7" t="str">
        <f>IF($H222=$D4,IF($J222&lt;=45,"PASS","FAIL"))</f>
        <v>FAIL</v>
      </c>
      <c r="U227" s="7" t="str">
        <f>IF($H222=$D4,IF($J222&lt;=44,"PASS","FAIL"))</f>
        <v>FAIL</v>
      </c>
      <c r="V227" s="7" t="str">
        <f>IF($H222=$D4,IF($J222&lt;=43,"PASS","FAIL"))</f>
        <v>FAIL</v>
      </c>
      <c r="W227" s="7" t="str">
        <f>IF($H222=$D4,IF($J222&lt;=42,"PASS","FAIL"))</f>
        <v>FAIL</v>
      </c>
      <c r="X227" s="7" t="str">
        <f>IF($H222=$D4,IF($J222&lt;=42,"PASS","FAIL"))</f>
        <v>FAIL</v>
      </c>
      <c r="Y227" s="7" t="str">
        <f>IF($H222=$D4,IF($J222&lt;=41,"PASS","FAIL"))</f>
        <v>FAIL</v>
      </c>
      <c r="Z227" s="7" t="str">
        <f>IF($H222=$D4,IF($J222&lt;=41,"PASS","FAIL"))</f>
        <v>FAIL</v>
      </c>
      <c r="AA227" s="7" t="str">
        <f>IF($H222=$D4,IF($J222&lt;=40,"PASS","FAIL"))</f>
        <v>FAIL</v>
      </c>
      <c r="AB227" s="7" t="str">
        <f>IF($H222=$D4,IF($J222&lt;=40,"PASS","FAIL"))</f>
        <v>FAIL</v>
      </c>
      <c r="AC227" s="7" t="str">
        <f>IF($H222=$D4,IF($J222&lt;=39,"PASS","FAIL"))</f>
        <v>FAIL</v>
      </c>
      <c r="AD227" s="7" t="str">
        <f>IF($H222=$D4,IF($J222&lt;=39,"PASS","FAIL"))</f>
        <v>FAIL</v>
      </c>
      <c r="AE227" s="7" t="str">
        <f>IF($H222=$D4,IF($J222&lt;=39,"PASS","FAIL"))</f>
        <v>FAIL</v>
      </c>
      <c r="AF227" s="7" t="str">
        <f>IF($H222=$D4,IF($J222&lt;=38,"PASS","FAIL"))</f>
        <v>FAIL</v>
      </c>
      <c r="AG227" s="7" t="str">
        <f>IF($H222=$D4,IF($J222&lt;=38,"PASS","FAIL"))</f>
        <v>FAIL</v>
      </c>
      <c r="AH227" s="7" t="str">
        <f>IF($H222=$D4,IF($J222&lt;=38,"PASS","FAIL"))</f>
        <v>FAIL</v>
      </c>
      <c r="AI227" s="7" t="str">
        <f>IF($H222=$D4,IF($J222&lt;=38,"PASS","FAIL"))</f>
        <v>FAIL</v>
      </c>
      <c r="AJ227" s="7" t="str">
        <f>IF($H222=$D4,IF($J222&lt;=37,"PASS","FAIL"))</f>
        <v>FAIL</v>
      </c>
      <c r="AK227" s="7" t="str">
        <f>IF($H222=$D4,IF($J222&lt;=37,"PASS","FAIL"))</f>
        <v>FAIL</v>
      </c>
      <c r="AL227" s="7" t="str">
        <f>IF($H222=$D4,IF($J222&lt;=37,"PASS","FAIL"))</f>
        <v>FAIL</v>
      </c>
      <c r="AM227" s="7" t="str">
        <f>IF($H222=$D4,IF($J222&lt;=37,"PASS","FAIL"))</f>
        <v>FAIL</v>
      </c>
      <c r="AN227" s="7" t="str">
        <f>IF($H222=$D4,IF($J222&lt;=37,"PASS","FAIL"))</f>
        <v>FAIL</v>
      </c>
      <c r="AO227" s="7" t="str">
        <f>IF($H222=$D4,IF($J222&lt;=36,"PASS","FAIL"))</f>
        <v>FAIL</v>
      </c>
      <c r="AP227" s="7" t="str">
        <f>IF($H222=$D4,IF($J222&lt;=36,"PASS","FAIL"))</f>
        <v>FAIL</v>
      </c>
      <c r="AQ227" s="7" t="str">
        <f>IF($H222=$D4,IF($J222&lt;=36,"PASS","FAIL"))</f>
        <v>FAIL</v>
      </c>
      <c r="AR227" s="7" t="str">
        <f>IF($H222=$D4,IF($J222&lt;=36,"PASS","FAIL"))</f>
        <v>FAIL</v>
      </c>
      <c r="AS227" t="b">
        <f>IF(I222=5,IF(J222&lt;=65,"PASS","FAIL"),IF(I222=6,IF(J222&lt;=60,"PASS","FAIL"),IF(I222=7,IF(J222&lt;=57,"PASS","FAIL"),IF(I222=8,IF(J222&lt;=54,"PASS","FAIL"),IF(I222=9,IF(J222&lt;=52,"PASS","FAIL"),IF(I222=11,IF(J222&lt;=48,"PASS","FAIL"),IF(I222=12,IF(J222&lt;=47,"PASS","FAIL"),IF(I222=13,IF(J222&lt;=46,"PASS","FAIL"),IF(I222=14,IF(J222&lt;=45,"PASS","FAIL"),IF(I222=15,IF(J222&lt;=44,"PASS","FAIL"),IF(I222=16,IF(J222&lt;=43,"PASS","FAIL"),IF(I222=17,IF(J222&lt;=42,"PASS","FAIL"),IF(I222=18,IF(J222&lt;=42,"PASS","FAIL"),IF(I222=19,IF(J222&lt;=41,"PASS","FAIL"),IF(I222=20,IF(J222&lt;=41,"PASS","FAIL"),IF(I222=21,IF(J222&lt;=40,"PASS","FAIL"),IF(I222=22,IF(J222&lt;=40,"PASS","FAIL"),IF(I222=23,IF(J222&lt;=39,"PASS","FAIL"),IF(I222=24,IF(J222&lt;=39,"PASS","FAIL"),IF(I222=25,IF(J222&lt;=39,"PASS","FAIL"),IF(I222=26,IF(J222&lt;=38,"PASS","FAIL"),IF(I222=27,IF(J222&lt;=38,"PASS","FAIL"),IF(I222=28,IF(J222&lt;=38,"PASS","FAIL"),IF(I222=29,IF(J222&lt;=38,"PASS","FAIL"),IF(I222=30,IF(J222&lt;=37,"PASS","FAIL"),IF(I222=31,IF(J222&lt;=37,"PASS","FAIL"),IF(I222=32,IF(J222&lt;=37,"PASS","FAIL"),IF(I222=33,IF(J222&lt;=37,"PASS","FAIL"),IF(I222=34,IF(J222&lt;=37,"PASS","FAIL"),IF(I222=35,IF(J222&lt;=36,"PASS","FAIL"),IF(I222=36,IF(J222&lt;=36,"PASS","FAIL"),IF(I222=37,IF(J222&lt;=36,"PASS","FAIL"),IF(I222=38,IF(J222&lt;=36,"PASS","FAIL"))))))))))))))))))))))))))))))))))</f>
        <v>0</v>
      </c>
    </row>
    <row r="228" spans="1:88" ht="15.75" customHeight="1">
      <c r="C228" s="6"/>
      <c r="D228" s="16"/>
      <c r="E228" s="6"/>
      <c r="F228" s="6"/>
      <c r="H228" s="7">
        <f t="shared" si="16"/>
        <v>21.86100000000004</v>
      </c>
      <c r="I228" s="7">
        <f t="shared" si="17"/>
        <v>31.156999999999897</v>
      </c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spans="1:88" ht="15.75" customHeight="1">
      <c r="C229" s="6"/>
      <c r="D229" s="16"/>
      <c r="E229" s="6"/>
      <c r="F229" s="6"/>
      <c r="H229" s="22">
        <f t="shared" si="16"/>
        <v>23.804000000000041</v>
      </c>
      <c r="I229" s="22">
        <f t="shared" si="17"/>
        <v>34.092999999999897</v>
      </c>
      <c r="J229" s="7">
        <v>49</v>
      </c>
      <c r="K229" s="7">
        <v>4.8</v>
      </c>
      <c r="L229" s="7">
        <v>5</v>
      </c>
      <c r="M229" s="7">
        <v>6</v>
      </c>
      <c r="N229" s="7">
        <v>7</v>
      </c>
      <c r="O229" s="7">
        <v>8</v>
      </c>
      <c r="P229" s="7">
        <v>9</v>
      </c>
      <c r="Q229" s="20">
        <v>11</v>
      </c>
      <c r="R229" s="20">
        <v>12</v>
      </c>
      <c r="S229" s="20">
        <v>13</v>
      </c>
      <c r="T229" s="20">
        <v>14</v>
      </c>
      <c r="U229" s="20">
        <v>15</v>
      </c>
      <c r="V229" s="20">
        <v>16</v>
      </c>
      <c r="W229" s="20">
        <v>17</v>
      </c>
      <c r="X229" s="20">
        <v>18</v>
      </c>
      <c r="Y229" s="20">
        <v>19</v>
      </c>
      <c r="Z229" s="20">
        <v>20</v>
      </c>
      <c r="AA229" s="20">
        <v>21</v>
      </c>
      <c r="AB229" s="20">
        <v>22</v>
      </c>
      <c r="AC229" s="20">
        <v>23</v>
      </c>
      <c r="AD229" s="7">
        <v>24</v>
      </c>
      <c r="AE229" s="21">
        <v>25</v>
      </c>
      <c r="AF229" s="21">
        <v>26</v>
      </c>
      <c r="AG229" s="21">
        <v>27</v>
      </c>
      <c r="AH229" s="21">
        <v>28</v>
      </c>
      <c r="AI229" s="21">
        <v>29</v>
      </c>
      <c r="AJ229" s="21">
        <v>30</v>
      </c>
      <c r="AK229" s="21">
        <v>31</v>
      </c>
      <c r="AL229" s="21">
        <v>32</v>
      </c>
      <c r="AM229" s="21">
        <v>33</v>
      </c>
      <c r="AN229" s="21">
        <v>34</v>
      </c>
      <c r="AO229" s="21">
        <v>35</v>
      </c>
      <c r="AP229" s="21">
        <v>36</v>
      </c>
      <c r="AQ229" s="21">
        <v>37</v>
      </c>
      <c r="AR229" s="21">
        <v>38</v>
      </c>
    </row>
    <row r="230" spans="1:88" ht="15.75" customHeight="1">
      <c r="C230" s="6"/>
      <c r="D230" s="16"/>
      <c r="E230" s="6"/>
      <c r="F230" s="6"/>
      <c r="H230" s="7">
        <f t="shared" si="16"/>
        <v>25.747000000000043</v>
      </c>
      <c r="I230" s="7">
        <f t="shared" si="17"/>
        <v>37.028999999999897</v>
      </c>
      <c r="L230" s="7">
        <v>706.89000000000021</v>
      </c>
      <c r="M230" s="7">
        <v>745.51200000000017</v>
      </c>
      <c r="N230" s="7">
        <v>784.13400000000013</v>
      </c>
      <c r="O230" s="7">
        <v>822.75600000000009</v>
      </c>
      <c r="P230" s="7">
        <v>861.37800000000004</v>
      </c>
      <c r="Q230" s="7">
        <v>938.62199999999996</v>
      </c>
      <c r="R230" s="7">
        <v>977.24399999999991</v>
      </c>
      <c r="S230" s="7">
        <v>1015.8659999999999</v>
      </c>
      <c r="T230" s="7">
        <v>1054.4879999999998</v>
      </c>
      <c r="U230" s="7">
        <v>1093.1099999999999</v>
      </c>
      <c r="V230" s="7">
        <v>1131.732</v>
      </c>
      <c r="W230">
        <v>1170.354</v>
      </c>
      <c r="X230">
        <v>1208.9760000000001</v>
      </c>
      <c r="Y230">
        <v>1247.5980000000002</v>
      </c>
      <c r="Z230">
        <v>1286.2200000000003</v>
      </c>
      <c r="AA230">
        <v>1324.8420000000003</v>
      </c>
      <c r="AB230">
        <v>1363.4640000000004</v>
      </c>
      <c r="AC230">
        <v>1402.0860000000005</v>
      </c>
      <c r="AD230">
        <v>1440.7080000000005</v>
      </c>
      <c r="AE230">
        <v>1479.3300000000006</v>
      </c>
      <c r="AF230">
        <v>1517.9520000000007</v>
      </c>
      <c r="AG230">
        <v>1556.5740000000008</v>
      </c>
      <c r="AH230">
        <v>1595.1960000000008</v>
      </c>
      <c r="AI230">
        <v>1633.8180000000009</v>
      </c>
      <c r="AJ230">
        <v>1672.440000000001</v>
      </c>
      <c r="AK230">
        <v>1711.062000000001</v>
      </c>
      <c r="AL230">
        <v>1749.6840000000011</v>
      </c>
      <c r="AM230">
        <v>1788.3060000000012</v>
      </c>
      <c r="AN230">
        <v>1826.9280000000012</v>
      </c>
      <c r="AO230">
        <v>1865.5500000000013</v>
      </c>
      <c r="AP230">
        <v>1904.172</v>
      </c>
      <c r="AQ230">
        <v>1942.7940000000001</v>
      </c>
      <c r="AR230">
        <v>1981.4159999999999</v>
      </c>
    </row>
    <row r="231" spans="1:88" ht="15.75" customHeight="1">
      <c r="C231" s="6"/>
      <c r="D231" s="16"/>
      <c r="E231" s="6"/>
      <c r="F231" s="6"/>
      <c r="H231" s="7">
        <f t="shared" si="16"/>
        <v>27.690000000000044</v>
      </c>
      <c r="I231" s="7">
        <f t="shared" si="17"/>
        <v>39.964999999999897</v>
      </c>
      <c r="L231" s="22">
        <v>38.622</v>
      </c>
      <c r="M231" s="22">
        <v>38.622</v>
      </c>
      <c r="N231" s="22">
        <v>38.622</v>
      </c>
      <c r="O231" s="22">
        <v>38.622</v>
      </c>
      <c r="P231" s="22">
        <v>38.622</v>
      </c>
      <c r="Q231" s="22">
        <v>38.622</v>
      </c>
      <c r="R231" s="22">
        <v>38.622</v>
      </c>
      <c r="S231" s="22">
        <v>38.622</v>
      </c>
      <c r="T231" s="22">
        <v>38.622</v>
      </c>
      <c r="U231" s="22">
        <v>38.622</v>
      </c>
      <c r="V231" s="22">
        <v>38.622</v>
      </c>
      <c r="W231" s="25">
        <v>38.622</v>
      </c>
      <c r="X231" s="25">
        <v>38.622</v>
      </c>
      <c r="Y231" s="25">
        <v>38.622</v>
      </c>
      <c r="Z231" s="25">
        <v>38.622</v>
      </c>
      <c r="AA231" s="25">
        <v>38.622</v>
      </c>
      <c r="AB231" s="25">
        <v>38.622</v>
      </c>
      <c r="AC231" s="25">
        <v>38.622</v>
      </c>
      <c r="AD231" s="25">
        <v>38.622</v>
      </c>
      <c r="AE231" s="25">
        <v>38.622</v>
      </c>
      <c r="AF231" s="25">
        <v>38.622</v>
      </c>
      <c r="AG231" s="25">
        <v>38.622</v>
      </c>
      <c r="AH231" s="25">
        <v>38.622</v>
      </c>
      <c r="AI231" s="25">
        <v>38.622</v>
      </c>
      <c r="AJ231" s="25">
        <v>38.622</v>
      </c>
      <c r="AK231" s="25">
        <v>38.622</v>
      </c>
      <c r="AL231" s="25">
        <v>38.622</v>
      </c>
      <c r="AM231" s="25">
        <v>38.622</v>
      </c>
      <c r="AN231" s="25">
        <v>38.622</v>
      </c>
      <c r="AO231" s="25">
        <v>38.622</v>
      </c>
      <c r="AP231" s="25">
        <v>38.622</v>
      </c>
      <c r="AQ231" s="25">
        <v>38.622</v>
      </c>
      <c r="AR231" s="25">
        <v>38.622</v>
      </c>
    </row>
    <row r="232" spans="1:88" ht="15.75" customHeight="1">
      <c r="C232" s="6"/>
      <c r="D232" s="16"/>
      <c r="E232" s="6"/>
      <c r="F232" s="6"/>
      <c r="H232" s="7">
        <f t="shared" si="16"/>
        <v>29.633000000000045</v>
      </c>
      <c r="I232" s="7">
        <f t="shared" si="17"/>
        <v>42.900999999999897</v>
      </c>
      <c r="J232" s="7">
        <v>115</v>
      </c>
      <c r="K232" s="7">
        <v>4.8</v>
      </c>
      <c r="L232" s="7">
        <v>5</v>
      </c>
      <c r="M232" s="7">
        <v>6</v>
      </c>
      <c r="N232" s="7">
        <v>7</v>
      </c>
      <c r="O232" s="7">
        <v>8</v>
      </c>
      <c r="P232" s="7">
        <v>9</v>
      </c>
      <c r="Q232" s="20">
        <v>11</v>
      </c>
      <c r="R232" s="20">
        <v>12</v>
      </c>
      <c r="S232" s="20">
        <v>13</v>
      </c>
      <c r="T232" s="20">
        <v>14</v>
      </c>
      <c r="U232" s="20">
        <v>15</v>
      </c>
      <c r="V232" s="20">
        <v>16</v>
      </c>
      <c r="W232" s="20">
        <v>17</v>
      </c>
      <c r="X232" s="20">
        <v>18</v>
      </c>
      <c r="Y232" s="20">
        <v>19</v>
      </c>
      <c r="Z232" s="20">
        <v>20</v>
      </c>
      <c r="AA232" s="20">
        <v>21</v>
      </c>
      <c r="AB232" s="20">
        <v>22</v>
      </c>
      <c r="AC232" s="20">
        <v>23</v>
      </c>
      <c r="AD232" s="7">
        <v>24</v>
      </c>
      <c r="AE232" s="21">
        <v>25</v>
      </c>
      <c r="AF232" s="21">
        <v>26</v>
      </c>
      <c r="AG232" s="21">
        <v>27</v>
      </c>
      <c r="AH232" s="21">
        <v>28</v>
      </c>
      <c r="AI232" s="21">
        <v>29</v>
      </c>
      <c r="AJ232" s="21">
        <v>30</v>
      </c>
      <c r="AK232" s="21">
        <v>31</v>
      </c>
      <c r="AL232" s="21">
        <v>32</v>
      </c>
      <c r="AM232" s="21">
        <v>33</v>
      </c>
      <c r="AN232" s="21">
        <v>34</v>
      </c>
      <c r="AO232" s="21">
        <v>35</v>
      </c>
      <c r="AP232" s="21">
        <v>36</v>
      </c>
      <c r="AQ232" s="21">
        <v>37</v>
      </c>
      <c r="AR232" s="21">
        <v>38</v>
      </c>
    </row>
    <row r="233" spans="1:88" ht="15.75" customHeight="1">
      <c r="C233" s="6"/>
      <c r="D233" s="16"/>
      <c r="E233" s="6"/>
      <c r="F233" s="6"/>
      <c r="H233" s="7">
        <f t="shared" si="16"/>
        <v>31.576000000000047</v>
      </c>
      <c r="I233" s="7">
        <f t="shared" si="17"/>
        <v>45.836999999999897</v>
      </c>
      <c r="L233" s="7">
        <v>1635.5150000000003</v>
      </c>
      <c r="M233" s="7">
        <v>1802.4120000000003</v>
      </c>
      <c r="N233" s="7">
        <v>1969.3090000000002</v>
      </c>
      <c r="O233" s="7">
        <v>2136.2060000000001</v>
      </c>
      <c r="P233" s="7">
        <v>2303.1030000000001</v>
      </c>
      <c r="Q233" s="7">
        <v>2636.8969999999999</v>
      </c>
      <c r="R233" s="7">
        <v>2803.7939999999999</v>
      </c>
      <c r="S233" s="7">
        <v>2970.6909999999998</v>
      </c>
      <c r="T233" s="7">
        <v>3137.5879999999997</v>
      </c>
      <c r="U233" s="7">
        <v>3304.4849999999997</v>
      </c>
      <c r="V233" s="7">
        <v>3471.3819999999996</v>
      </c>
      <c r="W233">
        <v>3638.2789999999995</v>
      </c>
      <c r="X233">
        <v>3805.1759999999995</v>
      </c>
      <c r="Y233">
        <v>3972.0729999999994</v>
      </c>
      <c r="Z233">
        <v>4138.9699999999993</v>
      </c>
      <c r="AA233">
        <v>4305.8669999999993</v>
      </c>
      <c r="AB233">
        <v>4472.7639999999992</v>
      </c>
      <c r="AC233">
        <v>4639.6609999999991</v>
      </c>
      <c r="AD233">
        <v>4806.5579999999991</v>
      </c>
      <c r="AE233">
        <v>4973.454999999999</v>
      </c>
      <c r="AF233">
        <v>5140.351999999999</v>
      </c>
      <c r="AG233">
        <v>5307.2489999999989</v>
      </c>
      <c r="AH233">
        <v>5474.1459999999988</v>
      </c>
      <c r="AI233">
        <v>5641.0429999999988</v>
      </c>
      <c r="AJ233">
        <v>5807.9399999999987</v>
      </c>
      <c r="AK233">
        <v>5974.8369999999986</v>
      </c>
      <c r="AL233">
        <v>6141.7339999999986</v>
      </c>
      <c r="AM233">
        <v>6308.6309999999985</v>
      </c>
      <c r="AN233">
        <v>6475.5279999999984</v>
      </c>
      <c r="AO233">
        <v>6642.4249999999984</v>
      </c>
      <c r="AP233">
        <v>6809.3220000000001</v>
      </c>
      <c r="AQ233">
        <v>6976.2190000000001</v>
      </c>
      <c r="AR233">
        <v>7143.116</v>
      </c>
    </row>
    <row r="234" spans="1:88" ht="15.75" customHeight="1">
      <c r="C234" s="6"/>
      <c r="D234" s="16"/>
      <c r="E234" s="6"/>
      <c r="F234" s="6"/>
      <c r="H234" s="7">
        <f t="shared" si="16"/>
        <v>33.519000000000048</v>
      </c>
      <c r="I234" s="7">
        <f t="shared" si="17"/>
        <v>48.772999999999897</v>
      </c>
      <c r="L234" s="22">
        <v>166.89699999999999</v>
      </c>
      <c r="M234" s="22">
        <v>166.89699999999999</v>
      </c>
      <c r="N234" s="22">
        <v>166.89699999999999</v>
      </c>
      <c r="O234" s="22">
        <v>166.89699999999999</v>
      </c>
      <c r="P234" s="22">
        <v>166.89699999999999</v>
      </c>
      <c r="Q234" s="22">
        <v>166.89699999999999</v>
      </c>
      <c r="R234" s="22">
        <v>166.89699999999999</v>
      </c>
      <c r="S234" s="22">
        <v>166.89699999999999</v>
      </c>
      <c r="T234" s="22">
        <v>166.89699999999999</v>
      </c>
      <c r="U234" s="22">
        <v>166.89699999999999</v>
      </c>
      <c r="V234" s="22">
        <v>166.89699999999999</v>
      </c>
      <c r="W234" s="25">
        <v>166.89699999999999</v>
      </c>
      <c r="X234" s="25">
        <v>166.89699999999999</v>
      </c>
      <c r="Y234" s="25">
        <v>166.89699999999999</v>
      </c>
      <c r="Z234" s="25">
        <v>166.89699999999999</v>
      </c>
      <c r="AA234" s="25">
        <v>166.89699999999999</v>
      </c>
      <c r="AB234" s="25">
        <v>166.89699999999999</v>
      </c>
      <c r="AC234" s="25">
        <v>166.89699999999999</v>
      </c>
      <c r="AD234" s="25">
        <v>166.89699999999999</v>
      </c>
      <c r="AE234" s="25">
        <v>166.89699999999999</v>
      </c>
      <c r="AF234" s="25">
        <v>166.89699999999999</v>
      </c>
      <c r="AG234" s="25">
        <v>166.89699999999999</v>
      </c>
      <c r="AH234" s="25">
        <v>166.89699999999999</v>
      </c>
      <c r="AI234" s="25">
        <v>166.89699999999999</v>
      </c>
      <c r="AJ234" s="25">
        <v>166.89699999999999</v>
      </c>
      <c r="AK234" s="25">
        <v>166.89699999999999</v>
      </c>
      <c r="AL234" s="25">
        <v>166.89699999999999</v>
      </c>
      <c r="AM234" s="25">
        <v>166.89699999999999</v>
      </c>
      <c r="AN234" s="25">
        <v>166.89699999999999</v>
      </c>
      <c r="AO234" s="25">
        <v>166.89699999999999</v>
      </c>
      <c r="AP234" s="25">
        <v>166.89699999999999</v>
      </c>
      <c r="AQ234" s="25">
        <v>166.89699999999999</v>
      </c>
      <c r="AR234" s="25">
        <v>166.89699999999999</v>
      </c>
    </row>
    <row r="235" spans="1:88" ht="15.75" customHeight="1">
      <c r="C235" s="6"/>
      <c r="D235" s="16"/>
      <c r="E235" s="6"/>
      <c r="F235" s="6"/>
      <c r="H235" s="7">
        <f t="shared" si="16"/>
        <v>35.462000000000046</v>
      </c>
      <c r="I235" s="7">
        <f t="shared" si="17"/>
        <v>51.708999999999897</v>
      </c>
      <c r="J235" s="7">
        <v>49</v>
      </c>
      <c r="K235" s="7">
        <v>6.4</v>
      </c>
      <c r="L235" s="7">
        <v>5</v>
      </c>
      <c r="M235" s="7">
        <v>6</v>
      </c>
      <c r="N235" s="7">
        <v>7</v>
      </c>
      <c r="O235" s="7">
        <v>8</v>
      </c>
      <c r="P235" s="7">
        <v>9</v>
      </c>
      <c r="Q235" s="20">
        <v>11</v>
      </c>
      <c r="R235" s="20">
        <v>12</v>
      </c>
      <c r="S235" s="20">
        <v>13</v>
      </c>
      <c r="T235" s="20">
        <v>14</v>
      </c>
      <c r="U235" s="20">
        <v>15</v>
      </c>
      <c r="V235" s="20">
        <v>16</v>
      </c>
      <c r="W235" s="20">
        <v>17</v>
      </c>
      <c r="X235" s="20">
        <v>18</v>
      </c>
      <c r="Y235" s="20">
        <v>19</v>
      </c>
      <c r="Z235" s="20">
        <v>20</v>
      </c>
      <c r="AA235" s="20">
        <v>21</v>
      </c>
      <c r="AB235" s="20">
        <v>22</v>
      </c>
      <c r="AC235" s="20">
        <v>23</v>
      </c>
      <c r="AD235" s="7">
        <v>24</v>
      </c>
      <c r="AE235" s="21">
        <v>25</v>
      </c>
      <c r="AF235" s="21">
        <v>26</v>
      </c>
      <c r="AG235" s="21">
        <v>27</v>
      </c>
      <c r="AH235" s="21">
        <v>28</v>
      </c>
      <c r="AI235" s="21">
        <v>29</v>
      </c>
      <c r="AJ235" s="21">
        <v>30</v>
      </c>
      <c r="AK235" s="21">
        <v>31</v>
      </c>
      <c r="AL235" s="21">
        <v>32</v>
      </c>
      <c r="AM235" s="21">
        <v>33</v>
      </c>
      <c r="AN235" s="21">
        <v>34</v>
      </c>
      <c r="AO235" s="21">
        <v>35</v>
      </c>
      <c r="AP235" s="21">
        <v>36</v>
      </c>
      <c r="AQ235" s="21">
        <v>37</v>
      </c>
      <c r="AR235" s="21">
        <v>38</v>
      </c>
    </row>
    <row r="236" spans="1:88" ht="15.75" customHeight="1">
      <c r="C236" s="6"/>
      <c r="D236" s="16"/>
      <c r="E236" s="6"/>
      <c r="F236" s="6"/>
      <c r="H236" s="7">
        <f t="shared" si="16"/>
        <v>37.405000000000044</v>
      </c>
      <c r="I236" s="7">
        <f t="shared" si="17"/>
        <v>54.644999999999897</v>
      </c>
      <c r="L236" s="7">
        <v>1079.3</v>
      </c>
      <c r="M236" s="7">
        <v>1133.44</v>
      </c>
      <c r="N236" s="7">
        <v>1187.5799999999997</v>
      </c>
      <c r="O236" s="7">
        <v>1241.7199999999998</v>
      </c>
      <c r="P236" s="7">
        <v>1295.8599999999999</v>
      </c>
      <c r="Q236" s="7">
        <v>1404.14</v>
      </c>
      <c r="R236" s="7">
        <v>1458.2800000000002</v>
      </c>
      <c r="S236" s="7">
        <v>1512.4200000000003</v>
      </c>
      <c r="T236" s="7">
        <v>1566.5600000000004</v>
      </c>
      <c r="U236" s="7">
        <v>1620.7000000000005</v>
      </c>
      <c r="V236" s="7">
        <v>1674.8400000000006</v>
      </c>
      <c r="W236">
        <v>1728.9800000000007</v>
      </c>
      <c r="X236">
        <v>1783.1200000000008</v>
      </c>
      <c r="Y236">
        <v>1837.2600000000009</v>
      </c>
      <c r="Z236">
        <v>1891.400000000001</v>
      </c>
      <c r="AA236">
        <v>1945.5400000000011</v>
      </c>
      <c r="AB236">
        <v>1999.6800000000012</v>
      </c>
      <c r="AC236">
        <v>2053.8200000000011</v>
      </c>
      <c r="AD236">
        <v>2107.9600000000009</v>
      </c>
      <c r="AE236">
        <v>2162.1000000000008</v>
      </c>
      <c r="AF236">
        <v>2216.2400000000007</v>
      </c>
      <c r="AG236">
        <v>2270.3800000000006</v>
      </c>
      <c r="AH236">
        <v>2324.5200000000004</v>
      </c>
      <c r="AI236">
        <v>2378.6600000000003</v>
      </c>
      <c r="AJ236">
        <v>2432.8000000000002</v>
      </c>
      <c r="AK236">
        <v>2486.94</v>
      </c>
      <c r="AL236">
        <v>2541.08</v>
      </c>
      <c r="AM236">
        <v>2595.2199999999998</v>
      </c>
      <c r="AN236">
        <v>2649.3599999999997</v>
      </c>
      <c r="AO236">
        <v>2703.4999999999995</v>
      </c>
      <c r="AP236">
        <v>2757.64</v>
      </c>
      <c r="AQ236">
        <v>2811.78</v>
      </c>
      <c r="AR236">
        <v>2865.92</v>
      </c>
    </row>
    <row r="237" spans="1:88" ht="15.75" customHeight="1">
      <c r="C237" s="6"/>
      <c r="D237" s="16"/>
      <c r="E237" s="6"/>
      <c r="F237" s="6"/>
      <c r="H237" s="7">
        <f t="shared" si="16"/>
        <v>39.348000000000042</v>
      </c>
      <c r="I237" s="7">
        <f t="shared" si="17"/>
        <v>57.580999999999896</v>
      </c>
      <c r="L237" s="22">
        <v>54.14</v>
      </c>
      <c r="M237" s="22">
        <v>54.14</v>
      </c>
      <c r="N237" s="22">
        <v>54.14</v>
      </c>
      <c r="O237" s="22">
        <v>54.14</v>
      </c>
      <c r="P237" s="22">
        <v>54.14</v>
      </c>
      <c r="Q237" s="22">
        <v>54.14</v>
      </c>
      <c r="R237" s="22">
        <v>54.14</v>
      </c>
      <c r="S237" s="22">
        <v>54.14</v>
      </c>
      <c r="T237" s="22">
        <v>54.14</v>
      </c>
      <c r="U237" s="22">
        <v>54.14</v>
      </c>
      <c r="V237" s="22">
        <v>54.14</v>
      </c>
      <c r="W237" s="25">
        <v>54.14</v>
      </c>
      <c r="X237" s="25">
        <v>54.14</v>
      </c>
      <c r="Y237" s="25">
        <v>54.14</v>
      </c>
      <c r="Z237" s="25">
        <v>54.14</v>
      </c>
      <c r="AA237" s="25">
        <v>54.14</v>
      </c>
      <c r="AB237" s="25">
        <v>54.14</v>
      </c>
      <c r="AC237" s="25">
        <v>54.14</v>
      </c>
      <c r="AD237" s="25">
        <v>54.14</v>
      </c>
      <c r="AE237" s="25">
        <v>54.14</v>
      </c>
      <c r="AF237" s="25">
        <v>54.14</v>
      </c>
      <c r="AG237" s="25">
        <v>54.14</v>
      </c>
      <c r="AH237" s="25">
        <v>54.14</v>
      </c>
      <c r="AI237" s="25">
        <v>54.14</v>
      </c>
      <c r="AJ237" s="25">
        <v>54.14</v>
      </c>
      <c r="AK237" s="25">
        <v>54.14</v>
      </c>
      <c r="AL237" s="25">
        <v>54.14</v>
      </c>
      <c r="AM237" s="25">
        <v>54.14</v>
      </c>
      <c r="AN237" s="25">
        <v>54.14</v>
      </c>
      <c r="AO237" s="25">
        <v>54.14</v>
      </c>
      <c r="AP237" s="25">
        <v>54.14</v>
      </c>
      <c r="AQ237" s="25">
        <v>54.14</v>
      </c>
      <c r="AR237" s="25">
        <v>54.14</v>
      </c>
    </row>
    <row r="238" spans="1:88" ht="15.75" customHeight="1">
      <c r="C238" s="6"/>
      <c r="D238" s="16"/>
      <c r="E238" s="6"/>
      <c r="F238" s="6"/>
      <c r="H238" s="7">
        <f t="shared" si="16"/>
        <v>41.291000000000039</v>
      </c>
      <c r="I238" s="7">
        <f t="shared" si="17"/>
        <v>60.516999999999896</v>
      </c>
      <c r="J238" s="7">
        <v>115</v>
      </c>
      <c r="K238" s="7">
        <v>6.4</v>
      </c>
      <c r="L238" s="7">
        <v>5</v>
      </c>
      <c r="M238" s="7">
        <v>6</v>
      </c>
      <c r="N238" s="7">
        <v>7</v>
      </c>
      <c r="O238" s="7">
        <v>8</v>
      </c>
      <c r="P238" s="7">
        <v>9</v>
      </c>
      <c r="Q238" s="20">
        <v>11</v>
      </c>
      <c r="R238" s="20">
        <v>12</v>
      </c>
      <c r="S238" s="20">
        <v>13</v>
      </c>
      <c r="T238" s="20">
        <v>14</v>
      </c>
      <c r="U238" s="20">
        <v>15</v>
      </c>
      <c r="V238" s="20">
        <v>16</v>
      </c>
      <c r="W238" s="20">
        <v>17</v>
      </c>
      <c r="X238" s="20">
        <v>18</v>
      </c>
      <c r="Y238" s="20">
        <v>19</v>
      </c>
      <c r="Z238" s="20">
        <v>20</v>
      </c>
      <c r="AA238" s="20">
        <v>21</v>
      </c>
      <c r="AB238" s="20">
        <v>22</v>
      </c>
      <c r="AC238" s="20">
        <v>23</v>
      </c>
      <c r="AD238" s="7">
        <v>24</v>
      </c>
      <c r="AE238" s="21">
        <v>25</v>
      </c>
      <c r="AF238" s="21">
        <v>26</v>
      </c>
      <c r="AG238" s="21">
        <v>27</v>
      </c>
      <c r="AH238" s="21">
        <v>28</v>
      </c>
      <c r="AI238" s="21">
        <v>29</v>
      </c>
      <c r="AJ238" s="21">
        <v>30</v>
      </c>
      <c r="AK238" s="21">
        <v>31</v>
      </c>
      <c r="AL238" s="21">
        <v>32</v>
      </c>
      <c r="AM238" s="21">
        <v>33</v>
      </c>
      <c r="AN238" s="21">
        <v>34</v>
      </c>
      <c r="AO238" s="21">
        <v>35</v>
      </c>
      <c r="AP238" s="21">
        <v>36</v>
      </c>
      <c r="AQ238" s="21">
        <v>37</v>
      </c>
      <c r="AR238" s="21">
        <v>38</v>
      </c>
    </row>
    <row r="239" spans="1:88" ht="15.75" customHeight="1">
      <c r="C239" s="6"/>
      <c r="D239" s="16"/>
      <c r="E239" s="6"/>
      <c r="F239" s="6"/>
      <c r="H239" s="7">
        <f t="shared" si="16"/>
        <v>43.234000000000037</v>
      </c>
      <c r="I239" s="7">
        <f t="shared" si="17"/>
        <v>63.452999999999896</v>
      </c>
      <c r="L239" s="7">
        <v>2360.34</v>
      </c>
      <c r="M239" s="7">
        <v>2608.2719999999999</v>
      </c>
      <c r="N239" s="7">
        <v>2856.2040000000006</v>
      </c>
      <c r="O239" s="7">
        <v>3104.1360000000004</v>
      </c>
      <c r="P239" s="7">
        <v>3352.0680000000002</v>
      </c>
      <c r="Q239" s="7">
        <v>3847.9319999999998</v>
      </c>
      <c r="R239" s="7">
        <v>4095.8639999999996</v>
      </c>
      <c r="S239" s="7">
        <v>4343.7959999999994</v>
      </c>
      <c r="T239" s="7">
        <v>4591.7279999999992</v>
      </c>
      <c r="U239" s="7">
        <v>4839.6599999999989</v>
      </c>
      <c r="V239" s="7">
        <v>5087.5919999999987</v>
      </c>
      <c r="W239">
        <v>5335.5239999999985</v>
      </c>
      <c r="X239">
        <v>5583.4559999999983</v>
      </c>
      <c r="Y239">
        <v>5831.3879999999981</v>
      </c>
      <c r="Z239">
        <v>6079.3199999999979</v>
      </c>
      <c r="AA239">
        <v>6327.2519999999977</v>
      </c>
      <c r="AB239">
        <v>6575.1839999999975</v>
      </c>
      <c r="AC239">
        <v>6823.1159999999973</v>
      </c>
      <c r="AD239">
        <v>7071.047999999997</v>
      </c>
      <c r="AE239">
        <v>7318.9799999999968</v>
      </c>
      <c r="AF239">
        <v>7566.9119999999966</v>
      </c>
      <c r="AG239">
        <v>7814.8439999999964</v>
      </c>
      <c r="AH239">
        <v>8062.7759999999962</v>
      </c>
      <c r="AI239">
        <v>8310.7079999999969</v>
      </c>
      <c r="AJ239">
        <v>8558.6399999999976</v>
      </c>
      <c r="AK239">
        <v>8806.5719999999983</v>
      </c>
      <c r="AL239">
        <v>9054.503999999999</v>
      </c>
      <c r="AM239">
        <v>9302.4359999999997</v>
      </c>
      <c r="AN239">
        <v>9550.3680000000004</v>
      </c>
      <c r="AO239">
        <v>9798.3000000000011</v>
      </c>
      <c r="AP239">
        <v>10046.232</v>
      </c>
      <c r="AQ239">
        <v>10294.164000000001</v>
      </c>
      <c r="AR239">
        <v>10542.096</v>
      </c>
    </row>
    <row r="240" spans="1:88" ht="15.75" customHeight="1">
      <c r="C240" s="6"/>
      <c r="D240" s="16"/>
      <c r="E240" s="6"/>
      <c r="F240" s="6"/>
      <c r="H240" s="7">
        <f t="shared" si="16"/>
        <v>45.177000000000035</v>
      </c>
      <c r="I240" s="7">
        <f t="shared" si="17"/>
        <v>66.388999999999896</v>
      </c>
      <c r="L240" s="22">
        <v>247.93199999999999</v>
      </c>
      <c r="M240" s="22">
        <v>247.93199999999999</v>
      </c>
      <c r="N240" s="22">
        <v>247.93199999999999</v>
      </c>
      <c r="O240" s="22">
        <v>247.93199999999999</v>
      </c>
      <c r="P240" s="22">
        <v>247.93199999999999</v>
      </c>
      <c r="Q240" s="22">
        <v>247.93199999999999</v>
      </c>
      <c r="R240" s="22">
        <v>247.93199999999999</v>
      </c>
      <c r="S240" s="22">
        <v>247.93199999999999</v>
      </c>
      <c r="T240" s="22">
        <v>247.93199999999999</v>
      </c>
      <c r="U240" s="22">
        <v>247.93199999999999</v>
      </c>
      <c r="V240" s="22">
        <v>247.93199999999999</v>
      </c>
      <c r="W240" s="25">
        <v>247.93199999999999</v>
      </c>
      <c r="X240" s="25">
        <v>247.93199999999999</v>
      </c>
      <c r="Y240" s="25">
        <v>247.93199999999999</v>
      </c>
      <c r="Z240" s="25">
        <v>247.93199999999999</v>
      </c>
      <c r="AA240" s="25">
        <v>247.93199999999999</v>
      </c>
      <c r="AB240" s="25">
        <v>247.93199999999999</v>
      </c>
      <c r="AC240" s="25">
        <v>247.93199999999999</v>
      </c>
      <c r="AD240" s="25">
        <v>247.93199999999999</v>
      </c>
      <c r="AE240" s="25">
        <v>247.93199999999999</v>
      </c>
      <c r="AF240" s="25">
        <v>247.93199999999999</v>
      </c>
      <c r="AG240" s="25">
        <v>247.93199999999999</v>
      </c>
      <c r="AH240" s="25">
        <v>247.93199999999999</v>
      </c>
      <c r="AI240" s="25">
        <v>247.93199999999999</v>
      </c>
      <c r="AJ240" s="25">
        <v>247.93199999999999</v>
      </c>
      <c r="AK240" s="25">
        <v>247.93199999999999</v>
      </c>
      <c r="AL240" s="25">
        <v>247.93199999999999</v>
      </c>
      <c r="AM240" s="25">
        <v>247.93199999999999</v>
      </c>
      <c r="AN240" s="25">
        <v>247.93199999999999</v>
      </c>
      <c r="AO240" s="25">
        <v>247.93199999999999</v>
      </c>
      <c r="AP240" s="25">
        <v>247.93199999999999</v>
      </c>
      <c r="AQ240" s="25">
        <v>247.93199999999999</v>
      </c>
      <c r="AR240" s="25">
        <v>247.93199999999999</v>
      </c>
    </row>
    <row r="241" spans="3:45" ht="15.75" customHeight="1">
      <c r="C241" s="6"/>
      <c r="D241" s="16"/>
      <c r="E241" s="6"/>
      <c r="F241" s="6"/>
      <c r="H241" s="7">
        <f t="shared" si="16"/>
        <v>47.120000000000033</v>
      </c>
      <c r="I241" s="7">
        <f t="shared" si="17"/>
        <v>69.324999999999903</v>
      </c>
    </row>
    <row r="242" spans="3:45" ht="15.75" customHeight="1">
      <c r="C242" s="6"/>
      <c r="D242" s="16"/>
      <c r="E242" s="6"/>
      <c r="F242" s="6"/>
      <c r="H242" s="7">
        <f t="shared" si="16"/>
        <v>49.063000000000031</v>
      </c>
      <c r="I242" s="7">
        <f t="shared" si="17"/>
        <v>72.26099999999991</v>
      </c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</row>
    <row r="243" spans="3:45" ht="15.75" customHeight="1">
      <c r="C243" s="6"/>
      <c r="D243" s="16"/>
      <c r="E243" s="6"/>
      <c r="F243" s="6"/>
      <c r="H243" s="7">
        <f t="shared" si="16"/>
        <v>51.006000000000029</v>
      </c>
      <c r="I243" s="7">
        <f t="shared" si="17"/>
        <v>75.196999999999917</v>
      </c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</row>
    <row r="244" spans="3:45" ht="15.75" customHeight="1">
      <c r="C244" s="6"/>
      <c r="D244" s="16"/>
      <c r="E244" s="6"/>
      <c r="F244" s="6"/>
      <c r="H244" s="7">
        <f t="shared" si="16"/>
        <v>52.949000000000026</v>
      </c>
      <c r="I244" s="7">
        <f t="shared" si="17"/>
        <v>78.132999999999925</v>
      </c>
    </row>
    <row r="245" spans="3:45" ht="15.75" customHeight="1">
      <c r="C245" s="6"/>
      <c r="D245" s="16"/>
      <c r="E245" s="6"/>
      <c r="F245" s="6"/>
      <c r="H245" s="7">
        <f t="shared" si="16"/>
        <v>54.892000000000024</v>
      </c>
      <c r="I245" s="7">
        <f t="shared" si="17"/>
        <v>81.068999999999932</v>
      </c>
    </row>
    <row r="246" spans="3:45" ht="15.75" customHeight="1">
      <c r="C246" s="6"/>
      <c r="D246" s="16"/>
      <c r="E246" s="6"/>
      <c r="F246" s="6"/>
      <c r="H246" s="7">
        <f t="shared" si="16"/>
        <v>56.835000000000022</v>
      </c>
      <c r="I246" s="7">
        <f t="shared" si="17"/>
        <v>84.004999999999939</v>
      </c>
    </row>
    <row r="247" spans="3:45" ht="15.75" customHeight="1">
      <c r="C247" s="6"/>
      <c r="D247" s="16"/>
      <c r="E247" s="6"/>
      <c r="F247" s="6"/>
      <c r="H247" s="7">
        <f t="shared" si="16"/>
        <v>58.77800000000002</v>
      </c>
      <c r="I247" s="7">
        <f t="shared" si="17"/>
        <v>86.940999999999946</v>
      </c>
    </row>
    <row r="248" spans="3:45" ht="15.75" customHeight="1">
      <c r="C248" s="6"/>
      <c r="D248" s="16"/>
      <c r="E248" s="6"/>
      <c r="F248" s="6"/>
      <c r="H248" s="7">
        <f t="shared" si="16"/>
        <v>60.721000000000018</v>
      </c>
      <c r="I248" s="7">
        <f t="shared" si="17"/>
        <v>89.876999999999953</v>
      </c>
    </row>
    <row r="249" spans="3:45" ht="15.75" customHeight="1">
      <c r="C249" s="6"/>
      <c r="D249" s="16"/>
      <c r="E249" s="6"/>
      <c r="F249" s="6"/>
      <c r="H249" s="7">
        <f t="shared" si="16"/>
        <v>62.664000000000016</v>
      </c>
      <c r="I249" s="7">
        <f t="shared" si="17"/>
        <v>92.81299999999996</v>
      </c>
    </row>
    <row r="250" spans="3:45" ht="15.75" customHeight="1">
      <c r="C250" s="6"/>
      <c r="D250" s="16"/>
      <c r="E250" s="6"/>
      <c r="F250" s="6"/>
      <c r="H250" s="7">
        <f t="shared" si="16"/>
        <v>64.607000000000014</v>
      </c>
      <c r="I250" s="7">
        <f t="shared" si="17"/>
        <v>95.748999999999967</v>
      </c>
    </row>
    <row r="251" spans="3:45" ht="15.75" customHeight="1">
      <c r="C251" s="6"/>
      <c r="D251" s="16"/>
      <c r="E251" s="6"/>
      <c r="F251" s="6"/>
      <c r="H251" s="7">
        <f t="shared" si="16"/>
        <v>66.550000000000011</v>
      </c>
      <c r="I251" s="7">
        <f t="shared" si="17"/>
        <v>98.684999999999974</v>
      </c>
    </row>
    <row r="252" spans="3:45" ht="15.75" customHeight="1">
      <c r="C252" s="6"/>
      <c r="D252" s="16"/>
      <c r="E252" s="6"/>
      <c r="F252" s="6"/>
      <c r="H252" s="7">
        <f t="shared" si="16"/>
        <v>68.493000000000009</v>
      </c>
      <c r="I252" s="7">
        <f t="shared" si="17"/>
        <v>101.62099999999998</v>
      </c>
    </row>
    <row r="253" spans="3:45" ht="15.75" customHeight="1">
      <c r="C253" s="6"/>
      <c r="D253" s="16"/>
      <c r="E253" s="6"/>
      <c r="F253" s="6"/>
      <c r="H253" s="7">
        <f t="shared" si="16"/>
        <v>70.436000000000007</v>
      </c>
      <c r="I253" s="7">
        <f t="shared" si="17"/>
        <v>104.55699999999999</v>
      </c>
    </row>
    <row r="254" spans="3:45" ht="15.75" customHeight="1">
      <c r="C254" s="6"/>
      <c r="D254" s="16"/>
      <c r="E254" s="6"/>
      <c r="F254" s="6"/>
      <c r="H254" s="7">
        <f>H255-1.943</f>
        <v>72.379000000000005</v>
      </c>
      <c r="I254" s="7">
        <f t="shared" si="17"/>
        <v>107.49299999999999</v>
      </c>
    </row>
    <row r="255" spans="3:45" ht="15.75" customHeight="1">
      <c r="C255" s="6"/>
      <c r="D255" s="16"/>
      <c r="E255" s="6"/>
      <c r="F255" s="6"/>
      <c r="H255" s="7">
        <v>74.322000000000003</v>
      </c>
      <c r="I255" s="7">
        <f>I256-2.936</f>
        <v>110.429</v>
      </c>
    </row>
    <row r="256" spans="3:45" ht="15.75" customHeight="1">
      <c r="C256" s="6"/>
      <c r="D256" s="16"/>
      <c r="E256" s="6"/>
      <c r="F256" s="6"/>
      <c r="H256" s="7">
        <v>76.265000000000001</v>
      </c>
      <c r="I256" s="7">
        <v>113.36499999999999</v>
      </c>
    </row>
    <row r="257" spans="3:46" ht="15.75" customHeight="1">
      <c r="C257" s="6"/>
      <c r="D257" s="16"/>
      <c r="E257" s="6"/>
      <c r="F257" s="6"/>
      <c r="H257" s="7">
        <v>78.207999999999998</v>
      </c>
      <c r="I257" s="7">
        <v>116.301</v>
      </c>
    </row>
    <row r="258" spans="3:46" ht="15.75" customHeight="1">
      <c r="C258" s="6"/>
      <c r="D258" s="16"/>
      <c r="E258" s="6"/>
      <c r="F258" s="6"/>
    </row>
    <row r="259" spans="3:46" ht="15.75" customHeight="1">
      <c r="C259" s="6"/>
      <c r="D259" s="16"/>
      <c r="E259" s="6"/>
      <c r="F259" s="6"/>
      <c r="H259" s="6" t="s">
        <v>1</v>
      </c>
      <c r="I259" s="7" t="s">
        <v>26</v>
      </c>
      <c r="J259" s="7" t="s">
        <v>19</v>
      </c>
      <c r="L259" s="7" t="s">
        <v>63</v>
      </c>
      <c r="M259" s="7" t="s">
        <v>64</v>
      </c>
      <c r="N259" s="7" t="s">
        <v>65</v>
      </c>
      <c r="O259" s="7" t="s">
        <v>66</v>
      </c>
      <c r="P259" s="7" t="s">
        <v>62</v>
      </c>
      <c r="Q259" s="7" t="s">
        <v>31</v>
      </c>
      <c r="R259" s="7" t="s">
        <v>32</v>
      </c>
      <c r="S259" s="7" t="s">
        <v>33</v>
      </c>
      <c r="T259" s="7" t="s">
        <v>34</v>
      </c>
      <c r="U259" s="7" t="s">
        <v>35</v>
      </c>
      <c r="V259" s="7" t="s">
        <v>36</v>
      </c>
      <c r="W259" s="7" t="s">
        <v>37</v>
      </c>
      <c r="X259" s="7" t="s">
        <v>38</v>
      </c>
      <c r="Y259" s="7" t="s">
        <v>39</v>
      </c>
      <c r="Z259" s="7" t="s">
        <v>40</v>
      </c>
      <c r="AA259" s="7" t="s">
        <v>41</v>
      </c>
      <c r="AB259" s="7" t="s">
        <v>42</v>
      </c>
      <c r="AC259" s="7" t="s">
        <v>43</v>
      </c>
      <c r="AD259" s="7" t="s">
        <v>44</v>
      </c>
      <c r="AE259" s="7" t="s">
        <v>45</v>
      </c>
      <c r="AF259" s="7" t="s">
        <v>46</v>
      </c>
      <c r="AG259" s="7" t="s">
        <v>47</v>
      </c>
      <c r="AH259" s="7" t="s">
        <v>48</v>
      </c>
      <c r="AI259" s="7" t="s">
        <v>49</v>
      </c>
      <c r="AJ259" s="7" t="s">
        <v>50</v>
      </c>
      <c r="AK259" s="7" t="s">
        <v>51</v>
      </c>
      <c r="AL259" s="7" t="s">
        <v>52</v>
      </c>
      <c r="AM259" s="7" t="s">
        <v>53</v>
      </c>
      <c r="AN259" s="7" t="s">
        <v>54</v>
      </c>
      <c r="AO259" s="7" t="s">
        <v>55</v>
      </c>
      <c r="AP259" s="7" t="s">
        <v>56</v>
      </c>
      <c r="AQ259" s="7" t="s">
        <v>57</v>
      </c>
      <c r="AR259" s="7" t="s">
        <v>58</v>
      </c>
      <c r="AS259" s="7" t="s">
        <v>3</v>
      </c>
    </row>
    <row r="260" spans="3:46" ht="15.75" customHeight="1">
      <c r="C260" s="6"/>
      <c r="D260" s="16"/>
      <c r="E260" s="6"/>
      <c r="F260" s="6"/>
      <c r="G260" s="7" t="s">
        <v>11</v>
      </c>
      <c r="H260" s="6" t="str">
        <f>'Tensile Pass Fail'!C18</f>
        <v>LWT310 4.8mm (3/16")</v>
      </c>
      <c r="I260" s="24">
        <f>'Tensile Pass Fail'!D18</f>
        <v>10</v>
      </c>
      <c r="J260" s="7">
        <f>'Tensile Pass Fail'!E18</f>
        <v>50</v>
      </c>
      <c r="L260" s="7">
        <f>IF($J260&gt;=4,L268-((49-$J260)*$H262),IF($J260&lt;=4,"No Data"))</f>
        <v>671.55200000000002</v>
      </c>
      <c r="M260" s="7">
        <f>IF($J260&gt;=7,M268-((49-$J260)*$H263),IF($J260&lt;=7,"No Data"))</f>
        <v>707.48300000000006</v>
      </c>
      <c r="N260" s="7">
        <f>IF($J260&gt;=11,N268-((49-$J260)*$H264),IF($J260&lt;=11,"No Data"))</f>
        <v>743.96500000000015</v>
      </c>
      <c r="O260" s="7">
        <f>IF($J260&gt;=13,O268-((49-$J260)*$H265),IF($J260&lt;=13,"No Data"))</f>
        <v>779.89600000000007</v>
      </c>
      <c r="P260" s="7">
        <f>IF($J260&gt;=15,P268-((49-$J260)*$H266),IF($J260&lt;=15,"No Data"))</f>
        <v>815.82700000000011</v>
      </c>
      <c r="Q260" s="7">
        <f>IF($J260&gt;=19,Q268-((49-$J260)*$H268),IF($J260&lt;=19,"No Data"))</f>
        <v>853.54900000000009</v>
      </c>
      <c r="R260" s="7">
        <f>IF($J260&gt;=19,R268-((49-$J260)*$H269),IF($J260&lt;=19,"No Data"))</f>
        <v>889.48</v>
      </c>
      <c r="S260" s="7">
        <f>IF($J260&gt;=20,S268-((49-$J260)*$H270),IF($J260&lt;=20,"No Data"))</f>
        <v>925.41100000000006</v>
      </c>
      <c r="T260" s="7">
        <f>IF($J260&gt;=21,T268-((49-$J260)*$H271),IF($J260&lt;=21,"No Data"))</f>
        <v>961.34199999999998</v>
      </c>
      <c r="U260" s="7">
        <f>IF($J260&gt;=21,U268-((49-$J260)*$H272),IF($J260&lt;=21,"No Data"))</f>
        <v>997.27300000000002</v>
      </c>
      <c r="V260" s="7">
        <f>IF($J260&gt;=22,V268-((49-$J260)*$H273),IF($J260&lt;=22,"No Data"))</f>
        <v>1033.204</v>
      </c>
      <c r="W260" s="7">
        <f>IF($J260&gt;=22,W268-((49-$J260)*$H274),IF($J260&lt;=22,"No Data"))</f>
        <v>1069.135</v>
      </c>
      <c r="X260" s="7">
        <f>IF($J260&gt;=23,X268-((49-$J260)*$H275),IF($J260&lt;=23,"No Data"))</f>
        <v>1105.066</v>
      </c>
      <c r="Y260" s="7">
        <f>IF($J260&gt;=23,Y268-((49-$J260)*$H276),IF($J260&lt;=23,"No Data"))</f>
        <v>1140.9970000000003</v>
      </c>
      <c r="Z260" s="7">
        <f>IF($J260&gt;=23,Z268-((49-$J260)*$H277),IF($J260&lt;=23,"No Data"))</f>
        <v>1176.9280000000003</v>
      </c>
      <c r="AA260" s="7">
        <f>IF($J260&gt;=24,AA268-((49-$J260)*$H278),IF($J260&lt;=24,"No Data"))</f>
        <v>1212.8590000000004</v>
      </c>
      <c r="AB260" s="7">
        <f>IF($J260&gt;=24,AB268-((49-$J260)*$H279),IF($J260&lt;=24,"No Data"))</f>
        <v>1248.7900000000004</v>
      </c>
      <c r="AC260" s="7">
        <f>IF($J260&gt;=24,AC268-((49-$J260)*$H280),IF($J260&lt;=24,"No Data"))</f>
        <v>1284.7210000000005</v>
      </c>
      <c r="AD260" s="7">
        <f>IF($J260&gt;=24,AD268-((49-$J260)*$H281),IF($J260&lt;=24,"No Data"))</f>
        <v>1320.6520000000007</v>
      </c>
      <c r="AE260" s="7">
        <f>IF($J260&gt;=25,AE268-((49-$J260)*$H282),IF($J260&lt;=25,"No Data"))</f>
        <v>1356.5830000000008</v>
      </c>
      <c r="AF260" s="7">
        <f>IF($J260&gt;=25,AF268-((49-$J260)*$H283),IF($J260&lt;=25,"No Data"))</f>
        <v>1392.5140000000008</v>
      </c>
      <c r="AG260" s="7">
        <f>IF($J260&gt;=25,AG268-((49-$J260)*$H284),IF($J260&lt;=25,"No Data"))</f>
        <v>1428.4450000000011</v>
      </c>
      <c r="AH260" s="7">
        <f>IF($J260&gt;=25,AH268-((49-$J260)*$H285),IF($J260&lt;=25,"No Data"))</f>
        <v>1464.3760000000011</v>
      </c>
      <c r="AI260" s="7">
        <f>IF($J260&gt;=25,AI268-((49-$J260)*$H286),IF($J260&lt;=25,"No Data"))</f>
        <v>1500.3070000000012</v>
      </c>
      <c r="AJ260" s="7">
        <f>IF($J260&gt;=26,AJ268-((49-$J260)*$H287),IF($J260&lt;=26,"No Data"))</f>
        <v>1536.2380000000012</v>
      </c>
      <c r="AK260" s="7">
        <f>IF($J260&gt;=26,AK268-((49-$J260)*$H288),IF($J260&lt;=26,"No Data"))</f>
        <v>1572.1690000000012</v>
      </c>
      <c r="AL260" s="7">
        <f>IF($J260&gt;=26,AL268-((49-$J260)*$H289),IF($J260&lt;=26,"No Data"))</f>
        <v>1608.1000000000015</v>
      </c>
      <c r="AM260" s="7">
        <f>IF($J260&gt;=26,AM268-((49-$J260)*$H290),IF($J260&lt;=26,"No Data"))</f>
        <v>1644.0310000000015</v>
      </c>
      <c r="AN260" s="7">
        <f>IF($J260&gt;=26,AN268-((49-$J260)*$H291),IF($J260&lt;=26,"No Data"))</f>
        <v>1679.9620000000016</v>
      </c>
      <c r="AO260" s="7">
        <f>IF($J260&gt;=26,AO268-((49-$J260)*$H292),IF($J260&lt;=26,"No Data"))</f>
        <v>1715.8930000000018</v>
      </c>
      <c r="AP260" s="7">
        <f>IF($J260&gt;=26,AP268-((49-$J260)*$H293),IF($J260&lt;=26,"No Data"))</f>
        <v>1751.8240000000019</v>
      </c>
      <c r="AQ260" s="7">
        <f>IF($J260&gt;=26,AQ268-((49-$J260)*$H294),IF($J260&lt;=26,"No Data"))</f>
        <v>1787.7550000000019</v>
      </c>
      <c r="AR260" s="7">
        <f>IF($J260&gt;=27,AR268-((49-$J260)*$H295),IF($J260&lt;=27,"No Data"))</f>
        <v>1823.686000000002</v>
      </c>
      <c r="AS260" s="7" t="b">
        <f>IF(I260=5,IF(H260=$D3,L260),IF(I260=6,IF(H260=$D3,M260),IF(I260=7,IF(H260=$D3,N260),IF(I260=8,IF(H260=$D3,O260),IF(I260=9,IF(H260=$D3,P260),IF(I260=11,IF(H260=$D3,Q260),IF(I260=12,IF(H260=$D3,R260),IF(I260=13,IF(H260=$D3,S260),IF(I260=14,IF(H260=$D3,T260),IF(I260=15,IF(H260=$D3,U260),IF(I260=16,IF(H260=$D3,V260),IF(I260=17,IF(H260=$D3,W260),IF(I260=18,IF(H260=$D3,X260),IF(I260=19,IF(H260=$D3,Y260),IF(I260=20,IF(H260=$D3,Z260),IF(I260=21,IF(H260=$D3,AA260),IF(I260=22,IF(H260=$D3,AB260),IF(I260=23,IF(H260=$D3,AC260),IF(I260=24,IF(H260=$D3,AD260),IF(I260=25,IF(H260=$D3,AE260),IF(I260=26,IF(H260=$D3,AF260),IF(I260=27,IF(H260=$D3,AG260),IF(I260=28,IF(H260=$D3,AH260),IF(I260=29,IF(H260=$D3,AI260),IF(I260=30,IF(H260=$D3,AJ260),IF(I260=31,IF(H260=$D3,AK260),IF(I260=32,IF(H260=$D3,AL260),IF(I260=33,IF(H260=$D3,AM260),IF(I260=34,IF(H260=$D3,AN260),IF(I260=35,IF(H260=$D3,AO260),IF(I260=36,IF(H260=$D3,AP260),IF(I260=37,IF(H260=$D3,AQ260),IF(I260=38,IF(H260=$D3,AR260))))))))))))))))))))))))))))))))))</f>
        <v>0</v>
      </c>
    </row>
    <row r="261" spans="3:46" ht="15.75" customHeight="1">
      <c r="C261" s="6"/>
      <c r="D261" s="16"/>
      <c r="E261" s="6"/>
      <c r="F261" s="6"/>
      <c r="G261" s="6"/>
      <c r="H261" s="6" t="s">
        <v>59</v>
      </c>
      <c r="I261" s="6" t="s">
        <v>60</v>
      </c>
      <c r="J261" s="6"/>
      <c r="L261" s="7" t="str">
        <f>IF($H260=$D3,IF($J260&lt;=76,"PASS","FAIL"))</f>
        <v>PASS</v>
      </c>
      <c r="M261" s="7" t="str">
        <f>IF($H260=$D3,IF($J260&lt;=70,"PASS","FAIL"))</f>
        <v>PASS</v>
      </c>
      <c r="N261" s="7" t="str">
        <f>IF($H260=$D3,IF($J260&lt;=65,"PASS","FAIL"))</f>
        <v>PASS</v>
      </c>
      <c r="O261" s="7" t="str">
        <f>IF($H260=$D3,IF($J260&lt;=62,"PASS","FAIL"))</f>
        <v>PASS</v>
      </c>
      <c r="P261" s="7" t="str">
        <f>IF($H260=$D3,IF($J260&lt;=59,"PASS","FAIL"))</f>
        <v>PASS</v>
      </c>
      <c r="Q261" s="7" t="str">
        <f>IF($H260=$D3,IF($J260&lt;=56,"PASS","FAIL"))</f>
        <v>PASS</v>
      </c>
      <c r="R261" s="7" t="str">
        <f>IF($H260=$D3,IF($J260&lt;=54,"PASS","FAIL"))</f>
        <v>PASS</v>
      </c>
      <c r="S261" s="7" t="str">
        <f>IF($H260=$D3,IF($J260&lt;=52,"PASS","FAIL"))</f>
        <v>PASS</v>
      </c>
      <c r="T261" s="7" t="str">
        <f>IF($H260=$D3,IF($J260&lt;=51,"PASS","FAIL"))</f>
        <v>PASS</v>
      </c>
      <c r="U261" s="7" t="str">
        <f>IF($H260=$D3,IF($J260&lt;=50,"PASS","FAIL"))</f>
        <v>PASS</v>
      </c>
      <c r="V261" s="7" t="str">
        <f>IF($H260=$D3,IF($J260&lt;=49,"PASS","FAIL"))</f>
        <v>FAIL</v>
      </c>
      <c r="W261" s="7" t="str">
        <f>IF($H260=$D3,IF($J260&lt;=48,"PASS","FAIL"))</f>
        <v>FAIL</v>
      </c>
      <c r="X261" s="7" t="str">
        <f>IF($H260=$D3,IF($J260&lt;=47,"PASS","FAIL"))</f>
        <v>FAIL</v>
      </c>
      <c r="Y261" s="7" t="str">
        <f>IF($H260=$D3,IF($J260&lt;=46,"PASS","FAIL"))</f>
        <v>FAIL</v>
      </c>
      <c r="Z261" s="7" t="str">
        <f>IF($H260=$D3,IF($J260&lt;=45,"PASS","FAIL"))</f>
        <v>FAIL</v>
      </c>
      <c r="AA261" s="7" t="str">
        <f>IF($H260=$D3,IF($J260&lt;=44,"PASS","FAIL"))</f>
        <v>FAIL</v>
      </c>
      <c r="AB261" s="7" t="str">
        <f>IF($H260=$D3,IF($J260&lt;=44,"PASS","FAIL"))</f>
        <v>FAIL</v>
      </c>
      <c r="AC261" s="7" t="str">
        <f>IF($H260=$D3,IF($J260&lt;=43,"PASS","FAIL"))</f>
        <v>FAIL</v>
      </c>
      <c r="AD261" s="7" t="str">
        <f>IF($H260=$D3,IF($J260&lt;=43,"PASS","FAIL"))</f>
        <v>FAIL</v>
      </c>
      <c r="AE261" s="7" t="str">
        <f>IF($H260=$D3,IF($J260&lt;=42,"PASS","FAIL"))</f>
        <v>FAIL</v>
      </c>
      <c r="AF261" s="7" t="str">
        <f>IF($H260=$D3,IF($J260&lt;=42,"PASS","FAIL"))</f>
        <v>FAIL</v>
      </c>
      <c r="AG261" s="7" t="str">
        <f>IF($H260=$D3,IF($J260&lt;=41,"PASS","FAIL"))</f>
        <v>FAIL</v>
      </c>
      <c r="AH261" s="7" t="str">
        <f>IF($H260=$D3,IF($J260&lt;=41,"PASS","FAIL"))</f>
        <v>FAIL</v>
      </c>
      <c r="AI261" s="7" t="str">
        <f>IF($H260=$D3,IF($J260&lt;=41,"PASS","FAIL"))</f>
        <v>FAIL</v>
      </c>
      <c r="AJ261" s="7" t="str">
        <f>IF($H260=$D3,IF($J260&lt;=40,"PASS","FAIL"))</f>
        <v>FAIL</v>
      </c>
      <c r="AK261" s="7" t="str">
        <f>IF($H260=$D3,IF($J260&lt;=40,"PASS","FAIL"))</f>
        <v>FAIL</v>
      </c>
      <c r="AL261" s="7" t="str">
        <f>IF($H260=$D3,IF($J260&lt;=40,"PASS","FAIL"))</f>
        <v>FAIL</v>
      </c>
      <c r="AM261" s="7" t="str">
        <f>IF($H260=$D3,IF($J260&lt;=39,"PASS","FAIL"))</f>
        <v>FAIL</v>
      </c>
      <c r="AN261" s="7" t="str">
        <f>IF($H260=$D3,IF($J260&lt;=39,"PASS","FAIL"))</f>
        <v>FAIL</v>
      </c>
      <c r="AO261" s="7" t="str">
        <f>IF($H260=$D3,IF($J260&lt;=39,"PASS","FAIL"))</f>
        <v>FAIL</v>
      </c>
      <c r="AP261" s="7" t="str">
        <f>IF($H260=$D3,IF($J260&lt;=39,"PASS","FAIL"))</f>
        <v>FAIL</v>
      </c>
      <c r="AQ261" s="7" t="str">
        <f>IF($H260=$D3,IF($J260&lt;=38,"PASS","FAIL"))</f>
        <v>FAIL</v>
      </c>
      <c r="AR261" s="7" t="str">
        <f>IF($H260=$D3,IF($J260&lt;=38,"PASS","FAIL"))</f>
        <v>FAIL</v>
      </c>
      <c r="AS261" s="7" t="b">
        <f>IF(I260=5,IF(J260&lt;=76,"PASS","FAIL"),IF(I260=6,IF(J260&lt;=70,"PASS","FAIL"),IF(I260=7,IF(J260&lt;=65,"PASS","FAIL"),IF(I260=8,IF(J260&lt;=62,"PASS","FAIL"),IF(I260=9,IF(J260&lt;=59,"PASS","FAIL"),IF(I260=11,IF(J260&lt;=56,"PASS","FAIL"),IF(I260=12,IF(J260&lt;=54,"PASS","FAIL"),IF(I260=13,IF(J260&lt;=52,"PASS","FAIL"),IF(I260=14,IF(J260&lt;=51,"PASS","FAIL"),IF(I260=15,IF(J260&lt;=50,"PASS","FAIL"),IF(I260=16,IF(J260&lt;=49,"PASS","FAIL"),IF(I260=17,IF(J260&lt;=48,"PASS","FAIL"),IF(I260=18,IF(J260&lt;=47,"PASS","FAIL"),IF(I260=19,IF(J260&lt;=46,"PASS","FAIL"),IF(I260=20,IF(J260&lt;=45,"PASS","FAIL"),IF(I260=21,IF(J260&lt;=44,"PASS","FAIL"),IF(I260=22,IF(J260&lt;=44,"PASS","FAIL"),IF(I260=23,IF(J260&lt;=43,"PASS","FAIL"),IF(I260=24,IF(J260&lt;=43,"PASS","FAIL"),IF(I260=25,IF(J260&lt;=42,"PASS","FAIL"),IF(I260=26,IF(J260&lt;=42,"PASS","FAIL"),IF(I260=27,IF(J260&lt;=41,"PASS","FAIL"),IF(I260=28,IF(J260&lt;=41,"PASS","FAIL"),IF(I260=29,IF(J260&lt;=41,"PASS","FAIL"),IF(I260=30,IF(J260&lt;=40,"PASS","FAIL"),IF(I260=31,IF(J260&lt;=40,"PASS","FAIL"),IF(I260=32,IF(J260&lt;=40,"PASS","FAIL"),IF(I260=33,IF(J260&lt;=39,"PASS","FAIL"),IF(I260=34,IF(J260&lt;=39,"PASS","FAIL"),IF(I260=35,IF(J260&lt;=39,"PASS","FAIL"),IF(I260=36,IF(J260&lt;=39,"PASS","FAIL"),IF(I260=37,IF(J260&lt;=38,"PASS","FAIL"),IF(I260=38,IF(J260&lt;=38,"PASS","FAIL"))))))))))))))))))))))))))))))))))</f>
        <v>0</v>
      </c>
      <c r="AT261" s="7" t="b">
        <f>IF(AS260=FALSE(),AS264,AS260)</f>
        <v>0</v>
      </c>
    </row>
    <row r="262" spans="3:46" ht="15.75" customHeight="1">
      <c r="C262" s="6"/>
      <c r="D262" s="16"/>
      <c r="E262" s="6"/>
      <c r="F262" s="6"/>
      <c r="H262" s="7">
        <v>12.252000000000001</v>
      </c>
      <c r="I262" s="7">
        <v>17.908999999999999</v>
      </c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T262" t="b">
        <f>IF(AS261=FALSE(),AS265,AS261)</f>
        <v>0</v>
      </c>
    </row>
    <row r="263" spans="3:46" ht="15.75" customHeight="1">
      <c r="C263" s="6"/>
      <c r="D263" s="16"/>
      <c r="E263" s="6"/>
      <c r="F263" s="6"/>
      <c r="H263" s="7">
        <v>14.042999999999999</v>
      </c>
      <c r="I263" s="7">
        <v>20.600999999999999</v>
      </c>
      <c r="L263" s="7" t="s">
        <v>68</v>
      </c>
      <c r="M263" s="7" t="s">
        <v>69</v>
      </c>
      <c r="N263" s="7" t="s">
        <v>70</v>
      </c>
      <c r="O263" s="7" t="s">
        <v>71</v>
      </c>
      <c r="P263" s="7" t="s">
        <v>72</v>
      </c>
      <c r="Q263" s="7" t="s">
        <v>73</v>
      </c>
      <c r="R263" s="7" t="s">
        <v>74</v>
      </c>
      <c r="S263" s="7" t="s">
        <v>75</v>
      </c>
      <c r="T263" s="7" t="s">
        <v>76</v>
      </c>
      <c r="U263" s="7" t="s">
        <v>77</v>
      </c>
      <c r="V263" s="7" t="s">
        <v>78</v>
      </c>
      <c r="W263" s="7" t="s">
        <v>79</v>
      </c>
      <c r="X263" s="7" t="s">
        <v>80</v>
      </c>
      <c r="Y263" s="7" t="s">
        <v>81</v>
      </c>
      <c r="Z263" s="7" t="s">
        <v>82</v>
      </c>
      <c r="AA263" s="7" t="s">
        <v>83</v>
      </c>
      <c r="AB263" s="7" t="s">
        <v>84</v>
      </c>
      <c r="AC263" s="7" t="s">
        <v>85</v>
      </c>
      <c r="AD263" s="7" t="s">
        <v>86</v>
      </c>
      <c r="AE263" s="7" t="s">
        <v>87</v>
      </c>
      <c r="AF263" s="7" t="s">
        <v>88</v>
      </c>
      <c r="AG263" s="7" t="s">
        <v>89</v>
      </c>
      <c r="AH263" s="7" t="s">
        <v>90</v>
      </c>
      <c r="AI263" s="7" t="s">
        <v>91</v>
      </c>
      <c r="AJ263" s="7" t="s">
        <v>92</v>
      </c>
      <c r="AK263" s="7" t="s">
        <v>93</v>
      </c>
      <c r="AL263" s="7" t="s">
        <v>94</v>
      </c>
      <c r="AM263" s="7" t="s">
        <v>95</v>
      </c>
      <c r="AN263" s="7" t="s">
        <v>96</v>
      </c>
      <c r="AO263" s="7" t="s">
        <v>97</v>
      </c>
      <c r="AP263" s="7" t="s">
        <v>98</v>
      </c>
      <c r="AQ263" s="7" t="s">
        <v>99</v>
      </c>
      <c r="AR263" s="7" t="s">
        <v>100</v>
      </c>
      <c r="AS263" s="7" t="s">
        <v>3</v>
      </c>
    </row>
    <row r="264" spans="3:46" ht="15.75" customHeight="1">
      <c r="C264" s="6"/>
      <c r="D264" s="16"/>
      <c r="E264" s="6"/>
      <c r="F264" s="6"/>
      <c r="H264" s="7">
        <f t="shared" ref="H264:H292" si="18">H265-1.791</f>
        <v>16.385000000000073</v>
      </c>
      <c r="I264" s="7">
        <f t="shared" ref="I264:I293" si="19">(I265)-2.692</f>
        <v>23.249999999999886</v>
      </c>
      <c r="L264" s="7">
        <f>IF($J260&gt;=2,L274-((49-$J260)*$I262),IF($J260&lt;=2,"No Data"))</f>
        <v>1022.7239999999998</v>
      </c>
      <c r="M264" s="7">
        <f>IF($J260&gt;=3,M274-((49-$J260)*$I263),IF($J260&lt;=3,"No Data"))</f>
        <v>1076.453</v>
      </c>
      <c r="N264" s="7">
        <f>IF($J260&gt;=6,N274-((49-$J260)*$I264),IF($J260&lt;=6,"No Data"))</f>
        <v>1130.1389999999997</v>
      </c>
      <c r="O264" s="7">
        <f>IF($J260&gt;=9,O274-((49-$J260)*$I265),IF($J260&lt;=9,"No Data"))</f>
        <v>1183.8679999999997</v>
      </c>
      <c r="P264" s="7">
        <f>IF($J260&gt;=11,P274-((49-$J260)*$I266),IF($J260&lt;=11,"No Data"))</f>
        <v>1237.5969999999998</v>
      </c>
      <c r="Q264" s="7">
        <f>IF($J260&gt;=14,Q274-((49-$J260)*$I268),IF($J260&lt;=14,"No Data"))</f>
        <v>1345.0549999999998</v>
      </c>
      <c r="R264" s="7">
        <f>IF($J260&gt;=15,R274-((49-$J260)*$I269),IF($J260&lt;=15,"No Data"))</f>
        <v>1398.7839999999999</v>
      </c>
      <c r="S264" s="7">
        <f>IF($J260&gt;=16,S274-((49-$J260)*$I270),IF($J260&lt;=16,"No Data"))</f>
        <v>1452.5129999999999</v>
      </c>
      <c r="T264" s="7">
        <f>IF($J260&gt;=17,T274-((49-$J260)*$I271),IF($J260&lt;=17,"No Data"))</f>
        <v>1506.242</v>
      </c>
      <c r="U264" s="7">
        <f>IF($J260&gt;=18,U274-((49-$J260)*$I272),IF($J260&lt;=18,"No Data"))</f>
        <v>1559.971</v>
      </c>
      <c r="V264" s="7">
        <f>IF($J260&gt;=19,V274-((49-$J260)*$I273),IF($J260&lt;=19,"No Data"))</f>
        <v>1613.7</v>
      </c>
      <c r="W264" s="7">
        <f>IF($J260&gt;=19,W274-((49-$J260)*$I274),IF($J260&lt;=19,"No Data"))</f>
        <v>1667.4290000000001</v>
      </c>
      <c r="X264" s="7">
        <f>IF($J260&gt;=20,X274-((49-$J260)*$I275),IF($J260&lt;=20,"No Data"))</f>
        <v>1721.1580000000001</v>
      </c>
      <c r="Y264" s="7">
        <f>IF($J260&gt;=20,Y274-((49-$J260)*$I276),IF($J260&lt;=20,"No Data"))</f>
        <v>1774.8870000000002</v>
      </c>
      <c r="Z264" s="7">
        <f>IF($J260&gt;=21,Z274-((49-$J260)*$I277),IF($J260&lt;=21,"No Data"))</f>
        <v>1828.6160000000002</v>
      </c>
      <c r="AA264" s="7">
        <f>IF($J260&gt;=21,AA274-((49-$J260)*$I278),IF($J260&lt;=21,"No Data"))</f>
        <v>1882.3450000000003</v>
      </c>
      <c r="AB264" s="7">
        <f>IF($J260&gt;=22,AB274-((49-$J260)*$I279),IF($J260&lt;=22,"No Data"))</f>
        <v>1936.0740000000003</v>
      </c>
      <c r="AC264" s="7">
        <f>IF($J260&gt;=22,AC274-((49-$J260)*$I280),IF($J260&lt;=22,"No Data"))</f>
        <v>1989.8030000000003</v>
      </c>
      <c r="AD264" s="7">
        <f>IF($J260&gt;=22,AD274-((49-$J260)*$I281),IF($J260&lt;=22,"No Data"))</f>
        <v>2043.5320000000004</v>
      </c>
      <c r="AE264" s="7">
        <f>IF($J260&gt;=23,AE274-((49-$J260)*$I282),IF($J260&lt;=23,"No Data"))</f>
        <v>2097.2610000000004</v>
      </c>
      <c r="AF264" s="7">
        <f>IF($J260&gt;=23,AF274-((49-$J260)*$I283),IF($J260&lt;=23,"No Data"))</f>
        <v>2150.9900000000007</v>
      </c>
      <c r="AG264" s="7">
        <f>IF($J260&gt;=23,AG274-((49-$J260)*$I284),IF($J260&lt;=23,"No Data"))</f>
        <v>2204.7190000000001</v>
      </c>
      <c r="AH264" s="7">
        <f>IF($J260&gt;=23,AH274-((49-$J260)*$I285),IF($J260&lt;=23,"No Data"))</f>
        <v>2258.4480000000003</v>
      </c>
      <c r="AI264" s="7">
        <f>IF($J260&gt;=24,AI274-((49-$J260)*$I286),IF($J260&lt;=24,"No Data"))</f>
        <v>2312.1769999999997</v>
      </c>
      <c r="AJ264" s="7">
        <f>IF($J260&gt;=24,AJ274-((49-$J260)*$I287),IF($J260&lt;=24,"No Data"))</f>
        <v>2365.9059999999999</v>
      </c>
      <c r="AK264" s="7">
        <f>IF($J260&gt;=24,AK274-((49-$J260)*$I288),IF($J260&lt;=24,"No Data"))</f>
        <v>2419.6349999999993</v>
      </c>
      <c r="AL264" s="7">
        <f>IF($J260&gt;=24,AL274-((49-$J260)*$I289),IF($J260&lt;=24,"No Data"))</f>
        <v>2473.3639999999996</v>
      </c>
      <c r="AM264" s="7">
        <f>IF($J260&gt;=24,AM274-((49-$J260)*$I290),IF($J260&lt;=24,"No Data"))</f>
        <v>2527.0929999999989</v>
      </c>
      <c r="AN264" s="7">
        <f>IF($J260&gt;=25,AN274-((49-$J260)*$I291),IF($J260&lt;=25,"No Data"))</f>
        <v>2580.8219999999992</v>
      </c>
      <c r="AO264" s="7">
        <f>IF($J260&gt;=25,AO274-((49-$J260)*$I292),IF($J260&lt;=25,"No Data"))</f>
        <v>2634.5509999999986</v>
      </c>
      <c r="AP264" s="7">
        <f>IF($J260&gt;=25,AP274-((49-$J260)*$I293),IF($J260&lt;=25,"No Data"))</f>
        <v>2688.2799999999988</v>
      </c>
      <c r="AQ264" s="7">
        <f>IF($J260&gt;=25,AQ274-((49-$J260)*$I294),IF($J260&lt;=25,"No Data"))</f>
        <v>2742.009</v>
      </c>
      <c r="AR264" s="7">
        <f>IF($J260&gt;=25,AR274-((49-$J260)*$I295),IF($J260&lt;=25,"No Data"))</f>
        <v>2795.7380000000003</v>
      </c>
      <c r="AS264" t="b">
        <f>IF(I260=5,IF(H260=$D4,L264),IF(I260=6,IF(H260=$D4,M264),IF(I260=7,IF(H260=$D4,N264),IF(I260=8,IF(H260=$D4,O264),IF(I260=9,IF(H260=$D4,P264),IF(I260=11,IF(H260=$D4,Q264),IF(I260=12,IF(H260=$D4,R264),IF(I260=13,IF(H260=$D4,S264),IF(I260=14,IF(H260=$D4,T264),IF(I260=15,IF(H260=$D4,U264),IF(I260=16,IF(H260=$D4,V264),IF(I260=17,IF(H260=$D4,W264),IF(I260=18,IF(H260=$D4,X264),IF(I260=19,IF(H260=$D4,Y264),IF(I260=20,IF(H260=$D4,Z264),IF(I260=21,IF(H260=$D4,AA264),IF(I260=22,IF(H260=$D4,AB264),IF(I260=23,IF(H260=$D4,AC264),IF(I260=24,IF(H260=$D4,AD264),IF(I260=25,IF(H260=$D4,AE264),IF(I260=26,IF(H260=$D4,AF264),IF(I260=27,IF(H260=$D4,AG264),IF(I260=28,IF(H260=$D4,AH264),IF(I260=29,IF(H260=$D4,AI264),IF(I260=30,IF(H260=$D4,AJ264),IF(I260=31,IF(H260=$D4,AK264),IF(I260=32,IF(H260=$D4,AL264),IF(I260=33,IF(H260=$D4,AM264),IF(I260=34,IF(H260=$D4,AN264),IF(I260=35,IF(H260=$D4,AO264),IF(I260=36,IF(H260=$D4,AP264),IF(I260=37,IF(H260=$D4,AQ264),IF(I260=37,IF(H260=$D4,AR264))))))))))))))))))))))))))))))))))</f>
        <v>0</v>
      </c>
    </row>
    <row r="265" spans="3:46" ht="15.75" customHeight="1">
      <c r="C265" s="6"/>
      <c r="D265" s="16"/>
      <c r="E265" s="19"/>
      <c r="F265" s="6"/>
      <c r="H265" s="7">
        <f t="shared" si="18"/>
        <v>18.176000000000073</v>
      </c>
      <c r="I265" s="7">
        <f t="shared" si="19"/>
        <v>25.941999999999886</v>
      </c>
      <c r="L265" s="7" t="b">
        <f>IF($H260=$D4,IF($J260&lt;=71,"PASS","FAIL"))</f>
        <v>0</v>
      </c>
      <c r="M265" s="7" t="b">
        <f>IF($H260=$D4,IF($J260&lt;=65,"PASS","FAIL"))</f>
        <v>0</v>
      </c>
      <c r="N265" s="7" t="b">
        <f>IF($H260=$D4,IF($J260&lt;=61,"PASS","FAIL"))</f>
        <v>0</v>
      </c>
      <c r="O265" s="7" t="b">
        <f>IF($H260=$D4,IF($J260&lt;=58,"PASS","FAIL"))</f>
        <v>0</v>
      </c>
      <c r="P265" s="7" t="b">
        <f>IF($H260=$D4,IF($J260&lt;=55,"PASS","FAIL"))</f>
        <v>0</v>
      </c>
      <c r="Q265" s="7" t="b">
        <f>IF($H260=$D4,IF($J260&lt;=51,"PASS","FAIL"))</f>
        <v>0</v>
      </c>
      <c r="R265" s="7" t="b">
        <f>IF($H260=$D4,IF($J260&lt;=50,"PASS","FAIL"))</f>
        <v>0</v>
      </c>
      <c r="S265" s="7" t="b">
        <f>IF($H260=$D4,IF($J260&lt;=48,"PASS","FAIL"))</f>
        <v>0</v>
      </c>
      <c r="T265" s="7" t="b">
        <f>IF($H260=$D4,IF($J260&lt;=47,"PASS","FAIL"))</f>
        <v>0</v>
      </c>
      <c r="U265" s="7" t="b">
        <f>IF($H260=$D4,IF($J260&lt;=46,"PASS","FAIL"))</f>
        <v>0</v>
      </c>
      <c r="V265" s="7" t="b">
        <f>IF($H260=$D4,IF($J260&lt;=45,"PASS","FAIL"))</f>
        <v>0</v>
      </c>
      <c r="W265" s="7" t="b">
        <f>IF($H260=$D4,IF($J260&lt;=44,"PASS","FAIL"))</f>
        <v>0</v>
      </c>
      <c r="X265" s="7" t="b">
        <f>IF($H260=$D4,IF($J260&lt;=43,"PASS","FAIL"))</f>
        <v>0</v>
      </c>
      <c r="Y265" s="7" t="b">
        <f>IF($H260=$D4,IF($J260&lt;=43,"PASS","FAIL"))</f>
        <v>0</v>
      </c>
      <c r="Z265" s="7" t="b">
        <f>IF($H260=$D4,IF($J260&lt;=42,"PASS","FAIL"))</f>
        <v>0</v>
      </c>
      <c r="AA265" s="7" t="b">
        <f>IF($H260=$D4,IF($J260&lt;=42,"PASS","FAIL"))</f>
        <v>0</v>
      </c>
      <c r="AB265" s="7" t="b">
        <f>IF($H260=$D4,IF($J260&lt;=41,"PASS","FAIL"))</f>
        <v>0</v>
      </c>
      <c r="AC265" s="7" t="b">
        <f>IF($H260=$D4,IF($J260&lt;=41,"PASS","FAIL"))</f>
        <v>0</v>
      </c>
      <c r="AD265" s="7" t="b">
        <f>IF($H260=$D4,IF($J260&lt;=40,"PASS","FAIL"))</f>
        <v>0</v>
      </c>
      <c r="AE265" s="7" t="b">
        <f>IF($H260=$D4,IF($J260&lt;=40,"PASS","FAIL"))</f>
        <v>0</v>
      </c>
      <c r="AF265" s="7" t="b">
        <f>IF($H260=$D4,IF($J260&lt;=39,"PASS","FAIL"))</f>
        <v>0</v>
      </c>
      <c r="AG265" s="7" t="b">
        <f>IF($H260=$D4,IF($J260&lt;=39,"PASS","FAIL"))</f>
        <v>0</v>
      </c>
      <c r="AH265" s="7" t="b">
        <f>IF($H260=$D4,IF($J260&lt;=39,"PASS","FAIL"))</f>
        <v>0</v>
      </c>
      <c r="AI265" s="7" t="b">
        <f>IF($H260=$D4,IF($J260&lt;=38,"PASS","FAIL"))</f>
        <v>0</v>
      </c>
      <c r="AJ265" s="7" t="b">
        <f>IF($H260=$D4,IF($J260&lt;=38,"PASS","FAIL"))</f>
        <v>0</v>
      </c>
      <c r="AK265" s="7" t="b">
        <f>IF($H260=$D4,IF($J260&lt;=38,"PASS","FAIL"))</f>
        <v>0</v>
      </c>
      <c r="AL265" s="7" t="b">
        <f>IF($H260=$D4,IF($J260&lt;=38,"PASS","FAIL"))</f>
        <v>0</v>
      </c>
      <c r="AM265" s="7" t="b">
        <f>IF($H260=$D4,IF($J260&lt;=37,"PASS","FAIL"))</f>
        <v>0</v>
      </c>
      <c r="AN265" s="7" t="b">
        <f t="shared" ref="AN265:AQ265" si="20">IF($H260=$D4,IF($J260&lt;=37,"PASS","FAIL"))</f>
        <v>0</v>
      </c>
      <c r="AO265" s="7" t="b">
        <f t="shared" si="20"/>
        <v>0</v>
      </c>
      <c r="AP265" s="7" t="b">
        <f t="shared" si="20"/>
        <v>0</v>
      </c>
      <c r="AQ265" s="7" t="b">
        <f t="shared" si="20"/>
        <v>0</v>
      </c>
      <c r="AR265" s="7" t="b">
        <f>IF($H260=$D4,IF($J260&lt;=36,"PASS","FAIL"))</f>
        <v>0</v>
      </c>
      <c r="AS265" s="7" t="b">
        <f>IF(I260=5,IF(J260&lt;=71,"PASS","FAIL"),IF(I260=6,IF(J260&lt;=65,"PASS","FAIL"),IF(I260=7,IF(J260&lt;=61,"PASS","FAIL"),IF(I260=8,IF(J260&lt;=58,"PASS","FAIL"),IF(I260=9,IF(J260&lt;=55,"PASS","FAIL"),IF(I260=11,IF(J260&lt;=51,"PASS","FAIL"),IF(I260=12,IF(J260&lt;=50,"PASS","FAIL"),IF(I260=13,IF(J260&lt;=48,"PASS","FAIL"),IF(I260=14,IF(J260&lt;=47,"PASS","FAIL"),IF(I260=15,IF(J260&lt;=46,"PASS","FAIL"),IF(I260=16,IF(J260&lt;=45,"PASS","FAIL"),IF(I260=17,IF(J260&lt;=44,"PASS","FAIL"),IF(I260=18,IF(J260&lt;=43,"PASS","FAIL"),IF(I260=19,IF(J260&lt;=43,"PASS","FAIL"),IF(I260=20,IF(J260&lt;=42,"PASS","FAIL"),IF(I260=21,IF(J260&lt;=42,"PASS","FAIL"),IF(I260=22,IF(J260&lt;=41,"PASS","FAIL"),IF(I260=23,IF(J260&lt;=41,"PASS","FAIL"),IF(I260=24,IF(J260&lt;=40,"PASS","FAIL"),IF(I260=25,IF(J260&lt;=40,"PASS","FAIL"),IF(I260=26,IF(J260&lt;=39,"PASS","FAIL"),IF(I260=27,IF(J260&lt;=39,"PASS","FAIL"),IF(I260=28,IF(J260&lt;=39,"PASS","FAIL"),IF(I260=29,IF(J260&lt;=38,"PASS","FAIL"),IF(I260=30,IF(J260&lt;=38,"PASS","FAIL"),IF(I260=31,IF(J260&lt;=38,"PASS","FAIL"),IF(I260=32,IF(J260&lt;=38,"PASS","FAIL"),IF(I260=33,IF(J260&lt;=37,"PASS","FAIL"),IF(I260=34,IF(J260&lt;=37,"PASS","FAIL"),IF(I260=35,IF(J260&lt;=37,"PASS","FAIL"),IF(I260=36,IF(J260&lt;=37,"PASS","FAIL"),IF(I260=37,IF(J260&lt;=37,"PASS","FAIL"),IF(I260=38,IF(J260&lt;=36,"PASS","FAIL"))))))))))))))))))))))))))))))))))</f>
        <v>0</v>
      </c>
    </row>
    <row r="266" spans="3:46" ht="15.75" customHeight="1">
      <c r="C266" s="6"/>
      <c r="D266" s="16"/>
      <c r="E266" s="6"/>
      <c r="F266" s="6"/>
      <c r="H266" s="7">
        <f t="shared" si="18"/>
        <v>19.967000000000073</v>
      </c>
      <c r="I266" s="7">
        <f t="shared" si="19"/>
        <v>28.633999999999887</v>
      </c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 spans="3:46" ht="15.75" customHeight="1">
      <c r="D267" s="16"/>
      <c r="E267" s="6"/>
      <c r="F267" s="6"/>
      <c r="H267" s="22">
        <f t="shared" si="18"/>
        <v>21.758000000000074</v>
      </c>
      <c r="I267" s="22">
        <f t="shared" si="19"/>
        <v>31.325999999999887</v>
      </c>
      <c r="J267" s="7">
        <v>49</v>
      </c>
      <c r="K267" s="7">
        <v>4.8</v>
      </c>
      <c r="L267" s="7">
        <v>5</v>
      </c>
      <c r="M267" s="7">
        <v>6</v>
      </c>
      <c r="N267" s="7">
        <v>7</v>
      </c>
      <c r="O267" s="7">
        <v>8</v>
      </c>
      <c r="P267" s="7">
        <v>9</v>
      </c>
      <c r="Q267" s="20">
        <v>11</v>
      </c>
      <c r="R267" s="20">
        <v>12</v>
      </c>
      <c r="S267" s="20">
        <v>13</v>
      </c>
      <c r="T267" s="20">
        <v>14</v>
      </c>
      <c r="U267" s="20">
        <v>15</v>
      </c>
      <c r="V267" s="20">
        <v>16</v>
      </c>
      <c r="W267" s="20">
        <v>17</v>
      </c>
      <c r="X267" s="20">
        <v>18</v>
      </c>
      <c r="Y267" s="20">
        <v>19</v>
      </c>
      <c r="Z267" s="20">
        <v>20</v>
      </c>
      <c r="AA267" s="20">
        <v>21</v>
      </c>
      <c r="AB267" s="20">
        <v>22</v>
      </c>
      <c r="AC267" s="20">
        <v>23</v>
      </c>
      <c r="AD267" s="7">
        <v>24</v>
      </c>
      <c r="AE267" s="21">
        <v>25</v>
      </c>
      <c r="AF267" s="21">
        <v>26</v>
      </c>
      <c r="AG267" s="21">
        <v>27</v>
      </c>
      <c r="AH267" s="21">
        <v>28</v>
      </c>
      <c r="AI267" s="21">
        <v>29</v>
      </c>
      <c r="AJ267" s="21">
        <v>30</v>
      </c>
      <c r="AK267" s="21">
        <v>31</v>
      </c>
      <c r="AL267" s="21">
        <v>32</v>
      </c>
      <c r="AM267" s="21">
        <v>33</v>
      </c>
      <c r="AN267" s="21">
        <v>34</v>
      </c>
      <c r="AO267" s="21">
        <v>35</v>
      </c>
      <c r="AP267" s="21">
        <v>36</v>
      </c>
      <c r="AQ267" s="21">
        <v>37</v>
      </c>
      <c r="AR267" s="21">
        <v>38</v>
      </c>
    </row>
    <row r="268" spans="3:46" ht="15.75" customHeight="1">
      <c r="D268" s="16"/>
      <c r="E268" s="6"/>
      <c r="F268" s="6"/>
      <c r="H268" s="7">
        <f t="shared" si="18"/>
        <v>23.549000000000074</v>
      </c>
      <c r="I268" s="7">
        <f t="shared" si="19"/>
        <v>34.017999999999887</v>
      </c>
      <c r="L268" s="7">
        <v>659.30000000000007</v>
      </c>
      <c r="M268" s="7">
        <v>693.44</v>
      </c>
      <c r="N268" s="7">
        <v>727.58</v>
      </c>
      <c r="O268" s="7">
        <v>761.72</v>
      </c>
      <c r="P268" s="7">
        <v>795.86</v>
      </c>
      <c r="Q268" s="7">
        <f>P268+P269</f>
        <v>830</v>
      </c>
      <c r="R268" s="7">
        <f t="shared" ref="R268:AR268" si="21">Q268+Q269</f>
        <v>864.14</v>
      </c>
      <c r="S268" s="7">
        <f t="shared" si="21"/>
        <v>898.28</v>
      </c>
      <c r="T268" s="7">
        <f t="shared" si="21"/>
        <v>932.42</v>
      </c>
      <c r="U268" s="7">
        <f t="shared" si="21"/>
        <v>966.56</v>
      </c>
      <c r="V268" s="7">
        <f t="shared" si="21"/>
        <v>1000.6999999999999</v>
      </c>
      <c r="W268" s="7">
        <f t="shared" si="21"/>
        <v>1034.8399999999999</v>
      </c>
      <c r="X268" s="7">
        <f t="shared" si="21"/>
        <v>1068.98</v>
      </c>
      <c r="Y268" s="7">
        <f t="shared" si="21"/>
        <v>1103.1200000000001</v>
      </c>
      <c r="Z268" s="7">
        <f t="shared" si="21"/>
        <v>1137.2600000000002</v>
      </c>
      <c r="AA268" s="7">
        <f t="shared" si="21"/>
        <v>1171.4000000000003</v>
      </c>
      <c r="AB268" s="7">
        <f t="shared" si="21"/>
        <v>1205.5400000000004</v>
      </c>
      <c r="AC268" s="7">
        <f t="shared" si="21"/>
        <v>1239.6800000000005</v>
      </c>
      <c r="AD268" s="7">
        <f t="shared" si="21"/>
        <v>1273.8200000000006</v>
      </c>
      <c r="AE268" s="7">
        <f t="shared" si="21"/>
        <v>1307.9600000000007</v>
      </c>
      <c r="AF268" s="7">
        <f t="shared" si="21"/>
        <v>1342.1000000000008</v>
      </c>
      <c r="AG268" s="7">
        <f t="shared" si="21"/>
        <v>1376.2400000000009</v>
      </c>
      <c r="AH268" s="7">
        <f t="shared" si="21"/>
        <v>1410.380000000001</v>
      </c>
      <c r="AI268" s="7">
        <f t="shared" si="21"/>
        <v>1444.5200000000011</v>
      </c>
      <c r="AJ268" s="7">
        <f t="shared" si="21"/>
        <v>1478.6600000000012</v>
      </c>
      <c r="AK268" s="7">
        <f t="shared" si="21"/>
        <v>1512.8000000000013</v>
      </c>
      <c r="AL268" s="7">
        <f t="shared" si="21"/>
        <v>1546.9400000000014</v>
      </c>
      <c r="AM268" s="7">
        <f t="shared" si="21"/>
        <v>1581.0800000000015</v>
      </c>
      <c r="AN268" s="7">
        <f t="shared" si="21"/>
        <v>1615.2200000000016</v>
      </c>
      <c r="AO268" s="7">
        <f t="shared" si="21"/>
        <v>1649.3600000000017</v>
      </c>
      <c r="AP268" s="7">
        <f t="shared" si="21"/>
        <v>1683.5000000000018</v>
      </c>
      <c r="AQ268" s="7">
        <f t="shared" si="21"/>
        <v>1717.6400000000019</v>
      </c>
      <c r="AR268" s="7">
        <f t="shared" si="21"/>
        <v>1751.780000000002</v>
      </c>
    </row>
    <row r="269" spans="3:46" ht="15.75" customHeight="1">
      <c r="D269" s="16"/>
      <c r="E269" s="6"/>
      <c r="F269" s="6"/>
      <c r="H269" s="7">
        <f t="shared" si="18"/>
        <v>25.340000000000074</v>
      </c>
      <c r="I269" s="7">
        <f t="shared" si="19"/>
        <v>36.709999999999887</v>
      </c>
      <c r="L269" s="7">
        <v>34.14</v>
      </c>
      <c r="M269" s="7">
        <v>34.14</v>
      </c>
      <c r="N269" s="7">
        <v>34.14</v>
      </c>
      <c r="O269" s="7">
        <v>34.14</v>
      </c>
      <c r="P269" s="7">
        <v>34.14</v>
      </c>
      <c r="Q269" s="7">
        <v>34.14</v>
      </c>
      <c r="R269" s="7">
        <v>34.14</v>
      </c>
      <c r="S269" s="7">
        <v>34.14</v>
      </c>
      <c r="T269" s="7">
        <v>34.14</v>
      </c>
      <c r="U269" s="7">
        <v>34.14</v>
      </c>
      <c r="V269" s="7">
        <v>34.14</v>
      </c>
      <c r="W269" s="7">
        <v>34.14</v>
      </c>
      <c r="X269" s="7">
        <v>34.14</v>
      </c>
      <c r="Y269" s="7">
        <v>34.14</v>
      </c>
      <c r="Z269" s="7">
        <v>34.14</v>
      </c>
      <c r="AA269" s="7">
        <v>34.14</v>
      </c>
      <c r="AB269" s="7">
        <v>34.14</v>
      </c>
      <c r="AC269" s="7">
        <v>34.14</v>
      </c>
      <c r="AD269" s="7">
        <v>34.14</v>
      </c>
      <c r="AE269" s="7">
        <v>34.14</v>
      </c>
      <c r="AF269" s="7">
        <v>34.14</v>
      </c>
      <c r="AG269" s="7">
        <v>34.14</v>
      </c>
      <c r="AH269" s="7">
        <v>34.14</v>
      </c>
      <c r="AI269" s="7">
        <v>34.14</v>
      </c>
      <c r="AJ269" s="7">
        <v>34.14</v>
      </c>
      <c r="AK269" s="7">
        <v>34.14</v>
      </c>
      <c r="AL269" s="7">
        <v>34.14</v>
      </c>
      <c r="AM269" s="7">
        <v>34.14</v>
      </c>
      <c r="AN269" s="7">
        <v>34.14</v>
      </c>
      <c r="AO269" s="7">
        <v>34.14</v>
      </c>
      <c r="AP269" s="7">
        <v>34.14</v>
      </c>
      <c r="AQ269" s="7">
        <v>34.14</v>
      </c>
      <c r="AR269" s="7">
        <v>34.14</v>
      </c>
    </row>
    <row r="270" spans="3:46" ht="15.75" customHeight="1">
      <c r="D270" s="16"/>
      <c r="E270" s="6"/>
      <c r="F270" s="6"/>
      <c r="H270" s="7">
        <f t="shared" si="18"/>
        <v>27.131000000000075</v>
      </c>
      <c r="I270" s="7">
        <f t="shared" si="19"/>
        <v>39.401999999999887</v>
      </c>
      <c r="J270" s="7">
        <v>115</v>
      </c>
      <c r="K270" s="7">
        <v>4.8</v>
      </c>
      <c r="L270" s="7">
        <v>5</v>
      </c>
      <c r="M270" s="7">
        <v>6</v>
      </c>
      <c r="N270" s="7">
        <v>7</v>
      </c>
      <c r="O270" s="7">
        <v>8</v>
      </c>
      <c r="P270" s="7">
        <v>9</v>
      </c>
      <c r="Q270" s="20">
        <v>11</v>
      </c>
      <c r="R270" s="20">
        <v>12</v>
      </c>
      <c r="S270" s="20">
        <v>13</v>
      </c>
      <c r="T270" s="20">
        <v>14</v>
      </c>
      <c r="U270" s="20">
        <v>15</v>
      </c>
      <c r="V270" s="20">
        <v>16</v>
      </c>
      <c r="W270" s="20">
        <v>17</v>
      </c>
      <c r="X270" s="20">
        <v>18</v>
      </c>
      <c r="Y270" s="20">
        <v>19</v>
      </c>
      <c r="Z270" s="20">
        <v>20</v>
      </c>
      <c r="AA270" s="20">
        <v>21</v>
      </c>
      <c r="AB270" s="20">
        <v>22</v>
      </c>
      <c r="AC270" s="20">
        <v>23</v>
      </c>
      <c r="AD270" s="7">
        <v>24</v>
      </c>
      <c r="AE270" s="21">
        <v>25</v>
      </c>
      <c r="AF270" s="21">
        <v>26</v>
      </c>
      <c r="AG270" s="21">
        <v>27</v>
      </c>
      <c r="AH270" s="21">
        <v>28</v>
      </c>
      <c r="AI270" s="21">
        <v>29</v>
      </c>
      <c r="AJ270" s="21">
        <v>30</v>
      </c>
      <c r="AK270" s="21">
        <v>31</v>
      </c>
      <c r="AL270" s="21">
        <v>32</v>
      </c>
      <c r="AM270" s="21">
        <v>33</v>
      </c>
      <c r="AN270" s="21">
        <v>34</v>
      </c>
      <c r="AO270" s="21">
        <v>35</v>
      </c>
      <c r="AP270" s="21">
        <v>36</v>
      </c>
      <c r="AQ270" s="21">
        <v>37</v>
      </c>
      <c r="AR270" s="21">
        <v>38</v>
      </c>
    </row>
    <row r="271" spans="3:46" ht="15.75" customHeight="1">
      <c r="D271" s="16"/>
      <c r="E271" s="6"/>
      <c r="F271" s="6"/>
      <c r="H271" s="7">
        <f t="shared" si="18"/>
        <v>28.922000000000075</v>
      </c>
      <c r="I271" s="7">
        <f t="shared" si="19"/>
        <v>42.093999999999888</v>
      </c>
      <c r="L271" s="7">
        <v>1467.915</v>
      </c>
      <c r="M271" s="7">
        <v>1620.3320000000003</v>
      </c>
      <c r="N271" s="7">
        <v>1772.7490000000003</v>
      </c>
      <c r="O271" s="7">
        <v>1925.1660000000002</v>
      </c>
      <c r="P271" s="7">
        <v>2077.5830000000001</v>
      </c>
      <c r="Q271" s="7">
        <v>2382.4169999999999</v>
      </c>
      <c r="R271" s="7">
        <v>2534.8339999999998</v>
      </c>
      <c r="S271" s="7">
        <v>2687.2509999999997</v>
      </c>
      <c r="T271" s="7">
        <v>2839.6679999999997</v>
      </c>
      <c r="U271" s="7">
        <v>2992.0849999999996</v>
      </c>
      <c r="V271" s="7">
        <v>3144.5019999999995</v>
      </c>
      <c r="W271">
        <v>3296.9189999999994</v>
      </c>
      <c r="X271">
        <v>3449.3359999999993</v>
      </c>
      <c r="Y271">
        <v>3601.7529999999992</v>
      </c>
      <c r="Z271">
        <v>3754.1699999999992</v>
      </c>
      <c r="AA271">
        <v>3906.5869999999991</v>
      </c>
      <c r="AB271">
        <v>4059.003999999999</v>
      </c>
      <c r="AC271">
        <v>4211.4209999999994</v>
      </c>
      <c r="AD271">
        <v>4363.8379999999997</v>
      </c>
      <c r="AE271">
        <v>4516.2550000000001</v>
      </c>
      <c r="AF271">
        <v>4668.6720000000005</v>
      </c>
      <c r="AG271">
        <v>4821.0890000000009</v>
      </c>
      <c r="AH271">
        <v>4973.5060000000012</v>
      </c>
      <c r="AI271">
        <v>5125.9230000000016</v>
      </c>
      <c r="AJ271">
        <v>5278.340000000002</v>
      </c>
      <c r="AK271">
        <v>5430.7570000000023</v>
      </c>
      <c r="AL271">
        <v>5583.1740000000027</v>
      </c>
      <c r="AM271">
        <v>5735.5910000000031</v>
      </c>
      <c r="AN271">
        <v>5888.0080000000034</v>
      </c>
      <c r="AO271">
        <v>6040.4250000000038</v>
      </c>
      <c r="AP271">
        <v>6192.8419999999996</v>
      </c>
      <c r="AQ271">
        <v>6345.259</v>
      </c>
      <c r="AR271">
        <v>6497.6760000000004</v>
      </c>
    </row>
    <row r="272" spans="3:46" ht="15.75" customHeight="1">
      <c r="D272" s="16"/>
      <c r="E272" s="6"/>
      <c r="F272" s="6"/>
      <c r="H272" s="7">
        <f t="shared" si="18"/>
        <v>30.713000000000076</v>
      </c>
      <c r="I272" s="7">
        <f t="shared" si="19"/>
        <v>44.785999999999888</v>
      </c>
      <c r="L272" s="7">
        <v>152.417</v>
      </c>
      <c r="M272" s="7">
        <v>152.417</v>
      </c>
      <c r="N272" s="7">
        <v>152.417</v>
      </c>
      <c r="O272" s="7">
        <v>152.417</v>
      </c>
      <c r="P272" s="7">
        <v>152.417</v>
      </c>
      <c r="Q272" s="7">
        <v>152.417</v>
      </c>
      <c r="R272" s="7">
        <v>152.417</v>
      </c>
      <c r="S272" s="7">
        <v>152.417</v>
      </c>
      <c r="T272" s="7">
        <v>152.417</v>
      </c>
      <c r="U272" s="7">
        <v>152.417</v>
      </c>
      <c r="V272" s="7">
        <v>152.417</v>
      </c>
      <c r="W272">
        <v>152.417</v>
      </c>
      <c r="X272">
        <v>152.417</v>
      </c>
      <c r="Y272">
        <v>152.417</v>
      </c>
      <c r="Z272">
        <v>152.417</v>
      </c>
      <c r="AA272">
        <v>152.417</v>
      </c>
      <c r="AB272">
        <v>152.417</v>
      </c>
      <c r="AC272">
        <v>152.417</v>
      </c>
      <c r="AD272">
        <v>152.417</v>
      </c>
      <c r="AE272">
        <v>152.417</v>
      </c>
      <c r="AF272">
        <v>152.417</v>
      </c>
      <c r="AG272">
        <v>152.417</v>
      </c>
      <c r="AH272">
        <v>152.417</v>
      </c>
      <c r="AI272">
        <v>152.417</v>
      </c>
      <c r="AJ272">
        <v>152.417</v>
      </c>
      <c r="AK272">
        <v>152.417</v>
      </c>
      <c r="AL272">
        <v>152.417</v>
      </c>
      <c r="AM272">
        <v>152.417</v>
      </c>
      <c r="AN272">
        <v>152.417</v>
      </c>
      <c r="AO272">
        <v>152.417</v>
      </c>
      <c r="AP272">
        <v>152.417</v>
      </c>
      <c r="AQ272">
        <v>152.417</v>
      </c>
      <c r="AR272">
        <v>152.417</v>
      </c>
    </row>
    <row r="273" spans="4:45" ht="15.75" customHeight="1">
      <c r="D273" s="16"/>
      <c r="E273" s="6"/>
      <c r="F273" s="6"/>
      <c r="H273" s="7">
        <f t="shared" si="18"/>
        <v>32.504000000000076</v>
      </c>
      <c r="I273" s="7">
        <f t="shared" si="19"/>
        <v>47.477999999999888</v>
      </c>
      <c r="J273" s="7">
        <v>49</v>
      </c>
      <c r="K273" s="7">
        <v>6.4</v>
      </c>
      <c r="L273" s="7">
        <v>5</v>
      </c>
      <c r="M273" s="7">
        <v>6</v>
      </c>
      <c r="N273" s="7">
        <v>7</v>
      </c>
      <c r="O273" s="7">
        <v>8</v>
      </c>
      <c r="P273" s="7">
        <v>9</v>
      </c>
      <c r="Q273" s="20">
        <v>11</v>
      </c>
      <c r="R273" s="20">
        <v>12</v>
      </c>
      <c r="S273" s="20">
        <v>13</v>
      </c>
      <c r="T273" s="20">
        <v>14</v>
      </c>
      <c r="U273" s="20">
        <v>15</v>
      </c>
      <c r="V273" s="20">
        <v>16</v>
      </c>
      <c r="W273" s="20">
        <v>17</v>
      </c>
      <c r="X273" s="20">
        <v>18</v>
      </c>
      <c r="Y273" s="20">
        <v>19</v>
      </c>
      <c r="Z273" s="20">
        <v>20</v>
      </c>
      <c r="AA273" s="20">
        <v>21</v>
      </c>
      <c r="AB273" s="20">
        <v>22</v>
      </c>
      <c r="AC273" s="20">
        <v>23</v>
      </c>
      <c r="AD273" s="7">
        <v>24</v>
      </c>
      <c r="AE273" s="21">
        <v>25</v>
      </c>
      <c r="AF273" s="21">
        <v>26</v>
      </c>
      <c r="AG273" s="21">
        <v>27</v>
      </c>
      <c r="AH273" s="21">
        <v>28</v>
      </c>
      <c r="AI273" s="21">
        <v>29</v>
      </c>
      <c r="AJ273" s="21">
        <v>30</v>
      </c>
      <c r="AK273" s="21">
        <v>31</v>
      </c>
      <c r="AL273" s="21">
        <v>32</v>
      </c>
      <c r="AM273" s="21">
        <v>33</v>
      </c>
      <c r="AN273" s="21">
        <v>34</v>
      </c>
      <c r="AO273" s="21">
        <v>35</v>
      </c>
      <c r="AP273" s="21">
        <v>36</v>
      </c>
      <c r="AQ273" s="21">
        <v>37</v>
      </c>
      <c r="AR273" s="21">
        <v>38</v>
      </c>
    </row>
    <row r="274" spans="4:45" ht="15.75" customHeight="1">
      <c r="D274" s="16"/>
      <c r="E274" s="6"/>
      <c r="F274" s="6"/>
      <c r="H274" s="7">
        <f t="shared" si="18"/>
        <v>34.295000000000073</v>
      </c>
      <c r="I274" s="7">
        <f t="shared" si="19"/>
        <v>50.169999999999888</v>
      </c>
      <c r="L274" s="7">
        <v>1004.8149999999998</v>
      </c>
      <c r="M274" s="7">
        <v>1055.8519999999999</v>
      </c>
      <c r="N274" s="7">
        <v>1106.8889999999999</v>
      </c>
      <c r="O274" s="7">
        <v>1157.9259999999999</v>
      </c>
      <c r="P274" s="7">
        <v>1208.963</v>
      </c>
      <c r="Q274" s="7">
        <v>1311.037</v>
      </c>
      <c r="R274" s="7">
        <v>1362.0740000000001</v>
      </c>
      <c r="S274" s="7">
        <v>1413.1110000000001</v>
      </c>
      <c r="T274" s="7">
        <v>1464.1480000000001</v>
      </c>
      <c r="U274" s="7">
        <v>1515.1850000000002</v>
      </c>
      <c r="V274" s="7">
        <v>1566.2220000000002</v>
      </c>
      <c r="W274">
        <v>1617.2590000000002</v>
      </c>
      <c r="X274">
        <v>1668.2960000000003</v>
      </c>
      <c r="Y274">
        <v>1719.3330000000003</v>
      </c>
      <c r="Z274">
        <v>1770.3700000000003</v>
      </c>
      <c r="AA274">
        <v>1821.4070000000004</v>
      </c>
      <c r="AB274">
        <v>1872.4440000000004</v>
      </c>
      <c r="AC274">
        <v>1923.4810000000004</v>
      </c>
      <c r="AD274">
        <v>1974.5180000000005</v>
      </c>
      <c r="AE274">
        <v>2025.5550000000005</v>
      </c>
      <c r="AF274">
        <v>2076.5920000000006</v>
      </c>
      <c r="AG274">
        <v>2127.6290000000004</v>
      </c>
      <c r="AH274">
        <v>2178.6660000000002</v>
      </c>
      <c r="AI274">
        <v>2229.703</v>
      </c>
      <c r="AJ274">
        <v>2280.7399999999998</v>
      </c>
      <c r="AK274">
        <v>2331.7769999999996</v>
      </c>
      <c r="AL274">
        <v>2382.8139999999994</v>
      </c>
      <c r="AM274">
        <v>2433.8509999999992</v>
      </c>
      <c r="AN274">
        <v>2484.887999999999</v>
      </c>
      <c r="AO274">
        <v>2535.9249999999988</v>
      </c>
      <c r="AP274">
        <v>2586.9619999999986</v>
      </c>
      <c r="AQ274">
        <v>2637.9989999999998</v>
      </c>
      <c r="AR274">
        <v>2689.0360000000001</v>
      </c>
    </row>
    <row r="275" spans="4:45" ht="15.75" customHeight="1">
      <c r="D275" s="16"/>
      <c r="E275" s="6"/>
      <c r="F275" s="6"/>
      <c r="H275" s="7">
        <f t="shared" si="18"/>
        <v>36.08600000000007</v>
      </c>
      <c r="I275" s="7">
        <f t="shared" si="19"/>
        <v>52.861999999999888</v>
      </c>
      <c r="L275" s="7">
        <v>51.036999999999999</v>
      </c>
      <c r="M275" s="7">
        <v>51.036999999999999</v>
      </c>
      <c r="N275" s="7">
        <v>51.036999999999999</v>
      </c>
      <c r="O275" s="7">
        <v>51.036999999999999</v>
      </c>
      <c r="P275" s="7">
        <v>51.036999999999999</v>
      </c>
      <c r="Q275" s="7">
        <v>51.036999999999999</v>
      </c>
      <c r="R275" s="7">
        <v>51.036999999999999</v>
      </c>
      <c r="S275" s="7">
        <v>51.036999999999999</v>
      </c>
      <c r="T275" s="7">
        <v>51.036999999999999</v>
      </c>
      <c r="U275" s="7">
        <v>51.036999999999999</v>
      </c>
      <c r="V275" s="7">
        <v>51.036999999999999</v>
      </c>
      <c r="W275">
        <v>51.036999999999999</v>
      </c>
      <c r="X275">
        <v>51.036999999999999</v>
      </c>
      <c r="Y275">
        <v>51.036999999999999</v>
      </c>
      <c r="Z275">
        <v>51.036999999999999</v>
      </c>
      <c r="AA275">
        <v>51.036999999999999</v>
      </c>
      <c r="AB275">
        <v>51.036999999999999</v>
      </c>
      <c r="AC275">
        <v>51.036999999999999</v>
      </c>
      <c r="AD275">
        <v>51.036999999999999</v>
      </c>
      <c r="AE275">
        <v>51.036999999999999</v>
      </c>
      <c r="AF275">
        <v>51.036999999999999</v>
      </c>
      <c r="AG275">
        <v>51.036999999999999</v>
      </c>
      <c r="AH275">
        <v>51.036999999999999</v>
      </c>
      <c r="AI275">
        <v>51.036999999999999</v>
      </c>
      <c r="AJ275">
        <v>51.036999999999999</v>
      </c>
      <c r="AK275">
        <v>51.036999999999999</v>
      </c>
      <c r="AL275">
        <v>51.036999999999999</v>
      </c>
      <c r="AM275">
        <v>51.036999999999999</v>
      </c>
      <c r="AN275">
        <v>51.036999999999999</v>
      </c>
      <c r="AO275">
        <v>51.036999999999999</v>
      </c>
      <c r="AP275">
        <v>51.036999999999999</v>
      </c>
      <c r="AQ275">
        <v>51.036999999999999</v>
      </c>
      <c r="AR275">
        <v>51.036999999999999</v>
      </c>
    </row>
    <row r="276" spans="4:45" ht="15.75" customHeight="1">
      <c r="D276" s="16"/>
      <c r="E276" s="6"/>
      <c r="F276" s="6"/>
      <c r="H276" s="7">
        <f t="shared" si="18"/>
        <v>37.877000000000066</v>
      </c>
      <c r="I276" s="7">
        <f t="shared" si="19"/>
        <v>55.553999999999888</v>
      </c>
      <c r="J276" s="7">
        <v>115</v>
      </c>
      <c r="K276" s="7">
        <v>6.4</v>
      </c>
      <c r="L276" s="7">
        <v>5</v>
      </c>
      <c r="M276" s="7">
        <v>6</v>
      </c>
      <c r="N276" s="7">
        <v>7</v>
      </c>
      <c r="O276" s="7">
        <v>8</v>
      </c>
      <c r="P276" s="7">
        <v>9</v>
      </c>
      <c r="Q276" s="20">
        <v>11</v>
      </c>
      <c r="R276" s="20">
        <v>12</v>
      </c>
      <c r="S276" s="20">
        <v>13</v>
      </c>
      <c r="T276" s="20">
        <v>14</v>
      </c>
      <c r="U276" s="20">
        <v>15</v>
      </c>
      <c r="V276" s="20">
        <v>16</v>
      </c>
      <c r="W276" s="20">
        <v>17</v>
      </c>
      <c r="X276" s="20">
        <v>18</v>
      </c>
      <c r="Y276" s="20">
        <v>19</v>
      </c>
      <c r="Z276" s="20">
        <v>20</v>
      </c>
      <c r="AA276" s="20">
        <v>21</v>
      </c>
      <c r="AB276" s="20">
        <v>22</v>
      </c>
      <c r="AC276" s="20">
        <v>23</v>
      </c>
      <c r="AD276" s="7">
        <v>24</v>
      </c>
      <c r="AE276" s="21">
        <v>25</v>
      </c>
      <c r="AF276" s="21">
        <v>26</v>
      </c>
      <c r="AG276" s="21">
        <v>27</v>
      </c>
      <c r="AH276" s="21">
        <v>28</v>
      </c>
      <c r="AI276" s="21">
        <v>29</v>
      </c>
      <c r="AJ276" s="21">
        <v>30</v>
      </c>
      <c r="AK276" s="21">
        <v>31</v>
      </c>
      <c r="AL276" s="21">
        <v>32</v>
      </c>
      <c r="AM276" s="21">
        <v>33</v>
      </c>
      <c r="AN276" s="21">
        <v>34</v>
      </c>
      <c r="AO276" s="21">
        <v>35</v>
      </c>
      <c r="AP276" s="21">
        <v>36</v>
      </c>
      <c r="AQ276" s="21">
        <v>37</v>
      </c>
      <c r="AR276" s="21">
        <v>38</v>
      </c>
    </row>
    <row r="277" spans="4:45" ht="15.75" customHeight="1">
      <c r="D277" s="16"/>
      <c r="E277" s="6"/>
      <c r="F277" s="6"/>
      <c r="H277" s="7">
        <f t="shared" si="18"/>
        <v>39.668000000000063</v>
      </c>
      <c r="I277" s="7">
        <f t="shared" si="19"/>
        <v>58.245999999999889</v>
      </c>
      <c r="L277" s="7">
        <v>2186.8850000000002</v>
      </c>
      <c r="M277" s="7">
        <v>2415.5079999999998</v>
      </c>
      <c r="N277" s="7">
        <v>2644.1309999999999</v>
      </c>
      <c r="O277" s="7">
        <v>2872.7539999999999</v>
      </c>
      <c r="P277" s="7">
        <v>3101.377</v>
      </c>
      <c r="Q277" s="7">
        <v>3558.623</v>
      </c>
      <c r="R277" s="7">
        <v>3787.2460000000001</v>
      </c>
      <c r="S277" s="7">
        <v>4015.8690000000001</v>
      </c>
      <c r="T277" s="7">
        <v>4244.4920000000002</v>
      </c>
      <c r="U277" s="7">
        <v>4473.1149999999998</v>
      </c>
      <c r="V277" s="7">
        <v>4701.7379999999994</v>
      </c>
      <c r="W277">
        <v>4930.360999999999</v>
      </c>
      <c r="X277">
        <v>5158.9839999999986</v>
      </c>
      <c r="Y277">
        <v>5387.6069999999982</v>
      </c>
      <c r="Z277">
        <v>5616.2299999999977</v>
      </c>
      <c r="AA277">
        <v>5844.8529999999973</v>
      </c>
      <c r="AB277">
        <v>6073.4759999999969</v>
      </c>
      <c r="AC277">
        <v>6302.0989999999965</v>
      </c>
      <c r="AD277">
        <v>6530.7219999999961</v>
      </c>
      <c r="AE277">
        <v>6759.3449999999957</v>
      </c>
      <c r="AF277">
        <v>6987.9679999999953</v>
      </c>
      <c r="AG277">
        <v>7216.5909999999949</v>
      </c>
      <c r="AH277">
        <v>7445.2139999999945</v>
      </c>
      <c r="AI277">
        <v>7673.8369999999941</v>
      </c>
      <c r="AJ277">
        <v>7902.4599999999937</v>
      </c>
      <c r="AK277">
        <v>8131.0829999999933</v>
      </c>
      <c r="AL277">
        <v>8359.7059999999929</v>
      </c>
      <c r="AM277">
        <v>8588.3289999999924</v>
      </c>
      <c r="AN277">
        <v>8816.951999999992</v>
      </c>
      <c r="AO277">
        <v>9045.5749999999916</v>
      </c>
      <c r="AP277">
        <v>9274.1979999999912</v>
      </c>
      <c r="AQ277">
        <v>9502.8209999999908</v>
      </c>
      <c r="AR277">
        <v>9731.4439999999904</v>
      </c>
    </row>
    <row r="278" spans="4:45" ht="15.75" customHeight="1">
      <c r="D278" s="16"/>
      <c r="E278" s="6"/>
      <c r="F278" s="6"/>
      <c r="H278" s="7">
        <f t="shared" si="18"/>
        <v>41.45900000000006</v>
      </c>
      <c r="I278" s="7">
        <f t="shared" si="19"/>
        <v>60.937999999999889</v>
      </c>
      <c r="L278" s="7">
        <v>228.62299999999999</v>
      </c>
      <c r="M278" s="7">
        <v>228.62299999999999</v>
      </c>
      <c r="N278" s="7">
        <v>228.62299999999999</v>
      </c>
      <c r="O278" s="7">
        <v>228.62299999999999</v>
      </c>
      <c r="P278" s="7">
        <v>228.62299999999999</v>
      </c>
      <c r="Q278" s="7">
        <v>228.62299999999999</v>
      </c>
      <c r="R278" s="7">
        <v>228.62299999999999</v>
      </c>
      <c r="S278" s="7">
        <v>228.62299999999999</v>
      </c>
      <c r="T278" s="7">
        <v>228.62299999999999</v>
      </c>
      <c r="U278" s="7">
        <v>228.62299999999999</v>
      </c>
      <c r="V278" s="7">
        <v>228.62299999999999</v>
      </c>
      <c r="W278">
        <v>228.62299999999999</v>
      </c>
      <c r="X278">
        <v>228.62299999999999</v>
      </c>
      <c r="Y278">
        <v>228.62299999999999</v>
      </c>
      <c r="Z278">
        <v>228.62299999999999</v>
      </c>
      <c r="AA278">
        <v>228.62299999999999</v>
      </c>
      <c r="AB278">
        <v>228.62299999999999</v>
      </c>
      <c r="AC278">
        <v>228.62299999999999</v>
      </c>
      <c r="AD278">
        <v>228.62299999999999</v>
      </c>
      <c r="AE278">
        <v>228.62299999999999</v>
      </c>
      <c r="AF278">
        <v>228.62299999999999</v>
      </c>
      <c r="AG278">
        <v>228.62299999999999</v>
      </c>
      <c r="AH278">
        <v>228.62299999999999</v>
      </c>
      <c r="AI278">
        <v>228.62299999999999</v>
      </c>
      <c r="AJ278">
        <v>228.62299999999999</v>
      </c>
      <c r="AK278">
        <v>228.62299999999999</v>
      </c>
      <c r="AL278">
        <v>228.62299999999999</v>
      </c>
      <c r="AM278">
        <v>228.62299999999999</v>
      </c>
      <c r="AN278">
        <v>228.62299999999999</v>
      </c>
      <c r="AO278">
        <v>228.62299999999999</v>
      </c>
      <c r="AP278">
        <v>228.62299999999999</v>
      </c>
      <c r="AQ278">
        <v>228.62299999999999</v>
      </c>
      <c r="AR278">
        <v>228.62299999999999</v>
      </c>
    </row>
    <row r="279" spans="4:45" ht="15.75" customHeight="1">
      <c r="D279" s="16"/>
      <c r="E279" s="6"/>
      <c r="F279" s="6"/>
      <c r="H279" s="7">
        <f t="shared" si="18"/>
        <v>43.250000000000057</v>
      </c>
      <c r="I279" s="7">
        <f t="shared" si="19"/>
        <v>63.629999999999889</v>
      </c>
    </row>
    <row r="280" spans="4:45" ht="15.75" customHeight="1">
      <c r="D280" s="16"/>
      <c r="E280" s="6"/>
      <c r="F280" s="6"/>
      <c r="H280" s="7">
        <f t="shared" si="18"/>
        <v>45.041000000000054</v>
      </c>
      <c r="I280" s="7">
        <f t="shared" si="19"/>
        <v>66.321999999999889</v>
      </c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</row>
    <row r="281" spans="4:45" ht="15.75" customHeight="1">
      <c r="D281" s="16"/>
      <c r="E281" s="6"/>
      <c r="F281" s="6"/>
      <c r="H281" s="7">
        <f t="shared" si="18"/>
        <v>46.83200000000005</v>
      </c>
      <c r="I281" s="7">
        <f t="shared" si="19"/>
        <v>69.013999999999896</v>
      </c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</row>
    <row r="282" spans="4:45" ht="15.75" customHeight="1">
      <c r="D282" s="16"/>
      <c r="E282" s="6"/>
      <c r="F282" s="6"/>
      <c r="H282" s="7">
        <f t="shared" si="18"/>
        <v>48.623000000000047</v>
      </c>
      <c r="I282" s="7">
        <f t="shared" si="19"/>
        <v>71.705999999999904</v>
      </c>
    </row>
    <row r="283" spans="4:45" ht="15.75" customHeight="1">
      <c r="D283" s="16"/>
      <c r="E283" s="6"/>
      <c r="F283" s="6"/>
      <c r="H283" s="7">
        <f t="shared" si="18"/>
        <v>50.414000000000044</v>
      </c>
      <c r="I283" s="7">
        <f t="shared" si="19"/>
        <v>74.397999999999911</v>
      </c>
    </row>
    <row r="284" spans="4:45" ht="15.75" customHeight="1">
      <c r="D284" s="16"/>
      <c r="E284" s="6"/>
      <c r="F284" s="6"/>
      <c r="H284" s="7">
        <f t="shared" si="18"/>
        <v>52.205000000000041</v>
      </c>
      <c r="I284" s="7">
        <f t="shared" si="19"/>
        <v>77.089999999999918</v>
      </c>
    </row>
    <row r="285" spans="4:45" ht="15.75" customHeight="1">
      <c r="D285" s="16"/>
      <c r="E285" s="6"/>
      <c r="F285" s="6"/>
      <c r="H285" s="7">
        <f t="shared" si="18"/>
        <v>53.996000000000038</v>
      </c>
      <c r="I285" s="7">
        <f t="shared" si="19"/>
        <v>79.781999999999925</v>
      </c>
    </row>
    <row r="286" spans="4:45" ht="15.75" customHeight="1">
      <c r="D286" s="16"/>
      <c r="E286" s="6"/>
      <c r="F286" s="6"/>
      <c r="H286" s="7">
        <f t="shared" si="18"/>
        <v>55.787000000000035</v>
      </c>
      <c r="I286" s="7">
        <f t="shared" si="19"/>
        <v>82.473999999999933</v>
      </c>
    </row>
    <row r="287" spans="4:45" ht="15.75" customHeight="1">
      <c r="D287" s="16"/>
      <c r="E287" s="6"/>
      <c r="F287" s="6"/>
      <c r="H287" s="7">
        <f t="shared" si="18"/>
        <v>57.578000000000031</v>
      </c>
      <c r="I287" s="7">
        <f t="shared" si="19"/>
        <v>85.16599999999994</v>
      </c>
    </row>
    <row r="288" spans="4:45" ht="15.75" customHeight="1">
      <c r="D288" s="16"/>
      <c r="E288" s="6"/>
      <c r="F288" s="6"/>
      <c r="H288" s="7">
        <f t="shared" si="18"/>
        <v>59.369000000000028</v>
      </c>
      <c r="I288" s="7">
        <f t="shared" si="19"/>
        <v>87.857999999999947</v>
      </c>
    </row>
    <row r="289" spans="4:9" ht="15.75" customHeight="1">
      <c r="D289" s="16"/>
      <c r="E289" s="6"/>
      <c r="F289" s="6"/>
      <c r="H289" s="7">
        <f t="shared" si="18"/>
        <v>61.160000000000025</v>
      </c>
      <c r="I289" s="7">
        <f t="shared" si="19"/>
        <v>90.549999999999955</v>
      </c>
    </row>
    <row r="290" spans="4:9" ht="15.75" customHeight="1">
      <c r="D290" s="16"/>
      <c r="E290" s="6"/>
      <c r="F290" s="6"/>
      <c r="H290" s="7">
        <f t="shared" si="18"/>
        <v>62.951000000000022</v>
      </c>
      <c r="I290" s="7">
        <f t="shared" si="19"/>
        <v>93.241999999999962</v>
      </c>
    </row>
    <row r="291" spans="4:9" ht="15.75" customHeight="1">
      <c r="D291" s="16"/>
      <c r="E291" s="6"/>
      <c r="F291" s="6"/>
      <c r="H291" s="7">
        <f t="shared" si="18"/>
        <v>64.742000000000019</v>
      </c>
      <c r="I291" s="7">
        <f t="shared" si="19"/>
        <v>95.933999999999969</v>
      </c>
    </row>
    <row r="292" spans="4:9" ht="15.75" customHeight="1">
      <c r="D292" s="16"/>
      <c r="E292" s="6"/>
      <c r="F292" s="6"/>
      <c r="H292" s="7">
        <f t="shared" si="18"/>
        <v>66.533000000000015</v>
      </c>
      <c r="I292" s="7">
        <f t="shared" si="19"/>
        <v>98.625999999999976</v>
      </c>
    </row>
    <row r="293" spans="4:9" ht="15.75" customHeight="1">
      <c r="D293" s="16"/>
      <c r="E293" s="6"/>
      <c r="F293" s="6"/>
      <c r="H293" s="7">
        <f>H294-1.791</f>
        <v>68.324000000000012</v>
      </c>
      <c r="I293" s="7">
        <f t="shared" si="19"/>
        <v>101.31799999999998</v>
      </c>
    </row>
    <row r="294" spans="4:9" ht="15.75" customHeight="1">
      <c r="D294" s="16"/>
      <c r="E294" s="6"/>
      <c r="F294" s="6"/>
      <c r="H294" s="7">
        <f>H295-1.791</f>
        <v>70.115000000000009</v>
      </c>
      <c r="I294" s="7">
        <f>(I295)-2.692</f>
        <v>104.00999999999999</v>
      </c>
    </row>
    <row r="295" spans="4:9" ht="15.75" customHeight="1">
      <c r="D295" s="16"/>
      <c r="E295" s="6"/>
      <c r="F295" s="6"/>
      <c r="H295" s="7">
        <v>71.906000000000006</v>
      </c>
      <c r="I295" s="7">
        <v>106.702</v>
      </c>
    </row>
    <row r="296" spans="4:9" ht="15.75" customHeight="1">
      <c r="D296" s="16"/>
      <c r="E296" s="6"/>
      <c r="F296" s="6"/>
    </row>
    <row r="297" spans="4:9" ht="15.75" customHeight="1">
      <c r="D297" s="16"/>
      <c r="E297" s="6"/>
      <c r="F297" s="6"/>
    </row>
    <row r="298" spans="4:9" ht="15.75" customHeight="1">
      <c r="D298" s="16"/>
      <c r="E298" s="6"/>
      <c r="F298" s="6"/>
    </row>
    <row r="299" spans="4:9" ht="15.75" customHeight="1">
      <c r="D299" s="16"/>
      <c r="E299" s="6"/>
      <c r="F299" s="6"/>
    </row>
    <row r="300" spans="4:9" ht="15.75" customHeight="1">
      <c r="D300" s="16"/>
      <c r="E300" s="6"/>
      <c r="F300" s="6"/>
    </row>
    <row r="301" spans="4:9" ht="15.75" customHeight="1">
      <c r="D301" s="16"/>
      <c r="E301" s="6"/>
      <c r="F301" s="6"/>
    </row>
    <row r="302" spans="4:9" ht="15.75" customHeight="1">
      <c r="D302" s="16"/>
      <c r="E302" s="6"/>
      <c r="F302" s="6"/>
    </row>
    <row r="303" spans="4:9" ht="15.75" customHeight="1">
      <c r="D303" s="16"/>
      <c r="E303" s="6"/>
      <c r="F303" s="6"/>
    </row>
    <row r="304" spans="4:9" ht="15.75" customHeight="1">
      <c r="D304" s="16"/>
      <c r="E304" s="6"/>
      <c r="F304" s="6"/>
    </row>
    <row r="305" spans="4:157" ht="15.75" customHeight="1">
      <c r="D305" s="16"/>
      <c r="E305" s="6"/>
      <c r="F305" s="6"/>
    </row>
    <row r="306" spans="4:157" ht="15.75" customHeight="1">
      <c r="D306" s="16"/>
      <c r="E306" s="6"/>
      <c r="F306" s="6"/>
    </row>
    <row r="307" spans="4:157" ht="15.75" customHeight="1">
      <c r="D307" s="16"/>
      <c r="E307" s="6"/>
      <c r="F307" s="6"/>
    </row>
    <row r="308" spans="4:157" ht="15.75" customHeight="1">
      <c r="D308" s="16"/>
      <c r="E308" s="6"/>
      <c r="F308" s="6"/>
    </row>
    <row r="309" spans="4:157" ht="15.75" customHeight="1">
      <c r="D309" s="16"/>
      <c r="E309" s="6"/>
      <c r="F309" s="6"/>
    </row>
    <row r="310" spans="4:157" ht="15.75" customHeight="1">
      <c r="D310" s="16"/>
      <c r="E310" s="6"/>
      <c r="F310" s="6"/>
    </row>
    <row r="311" spans="4:157" ht="15.75" customHeight="1">
      <c r="D311" s="16"/>
      <c r="E311" s="6"/>
      <c r="F311" s="6"/>
    </row>
    <row r="312" spans="4:157" ht="15.75" customHeight="1">
      <c r="D312" s="16"/>
      <c r="E312" s="6"/>
      <c r="F312" s="6"/>
      <c r="FA312" s="7" t="s">
        <v>30</v>
      </c>
    </row>
    <row r="313" spans="4:157" ht="15.75" customHeight="1">
      <c r="D313" s="16"/>
      <c r="E313" s="6"/>
      <c r="F313" s="6"/>
    </row>
    <row r="314" spans="4:157" ht="15.75" customHeight="1">
      <c r="D314" s="16"/>
      <c r="E314" s="6"/>
      <c r="F314" s="6"/>
    </row>
    <row r="315" spans="4:157" ht="15.75" customHeight="1">
      <c r="D315" s="16"/>
      <c r="E315" s="6"/>
      <c r="F315" s="6"/>
    </row>
    <row r="316" spans="4:157" ht="15.75" customHeight="1">
      <c r="D316" s="16"/>
      <c r="E316" s="6"/>
      <c r="F316" s="6"/>
    </row>
    <row r="317" spans="4:157" ht="15.75" customHeight="1">
      <c r="D317" s="16"/>
      <c r="E317" s="6"/>
      <c r="F317" s="6"/>
    </row>
    <row r="318" spans="4:157" ht="15.75" customHeight="1">
      <c r="D318" s="16"/>
      <c r="E318" s="6"/>
      <c r="F318" s="6"/>
    </row>
    <row r="319" spans="4:157" ht="15.75" customHeight="1">
      <c r="D319" s="16"/>
      <c r="E319" s="6"/>
      <c r="F319" s="6"/>
    </row>
    <row r="320" spans="4:157" ht="15.75" customHeight="1">
      <c r="D320" s="16"/>
      <c r="E320" s="6"/>
      <c r="F320" s="6"/>
    </row>
    <row r="321" spans="4:7" ht="15.75" customHeight="1">
      <c r="D321" s="16"/>
      <c r="E321" s="6"/>
      <c r="F321" s="6"/>
    </row>
    <row r="322" spans="4:7" ht="15.75" customHeight="1">
      <c r="D322" s="16"/>
      <c r="E322" s="6"/>
      <c r="F322" s="6"/>
    </row>
    <row r="323" spans="4:7" ht="15.75" customHeight="1">
      <c r="D323" s="16"/>
      <c r="E323" s="6"/>
      <c r="F323" s="6"/>
    </row>
    <row r="324" spans="4:7" ht="15.75" customHeight="1">
      <c r="D324" s="16"/>
      <c r="E324" s="6"/>
      <c r="F324" s="6"/>
    </row>
    <row r="325" spans="4:7" ht="15.75" customHeight="1">
      <c r="D325" s="16"/>
      <c r="E325" s="6"/>
      <c r="F325" s="6"/>
    </row>
    <row r="326" spans="4:7" ht="15.75" customHeight="1">
      <c r="D326" s="16"/>
      <c r="E326" s="6"/>
      <c r="F326" s="6"/>
    </row>
    <row r="327" spans="4:7" ht="15.75" customHeight="1">
      <c r="D327" s="16"/>
      <c r="E327" s="6"/>
      <c r="F327" s="6"/>
    </row>
    <row r="328" spans="4:7" ht="15.75" customHeight="1">
      <c r="D328" s="16"/>
      <c r="E328" s="6"/>
      <c r="F328" s="6"/>
    </row>
    <row r="329" spans="4:7" ht="15.75" customHeight="1">
      <c r="D329" s="16"/>
      <c r="E329" s="6"/>
      <c r="F329" s="6"/>
    </row>
    <row r="330" spans="4:7" ht="15.75" customHeight="1">
      <c r="D330" s="16"/>
      <c r="E330" s="6"/>
      <c r="F330" s="6"/>
    </row>
    <row r="331" spans="4:7" ht="15.75" customHeight="1">
      <c r="D331" s="16"/>
      <c r="E331" s="6"/>
      <c r="F331" s="15"/>
      <c r="G331" s="7">
        <v>9502.8209999999908</v>
      </c>
    </row>
    <row r="332" spans="4:7" ht="15.75" customHeight="1">
      <c r="D332" s="16"/>
      <c r="E332" s="6"/>
      <c r="F332" s="6"/>
    </row>
    <row r="333" spans="4:7" ht="15.75" customHeight="1">
      <c r="D333" s="16"/>
      <c r="E333" s="6"/>
      <c r="F333" s="6"/>
    </row>
    <row r="334" spans="4:7" ht="15.75" customHeight="1">
      <c r="D334" s="16"/>
      <c r="E334" s="6"/>
      <c r="F334" s="6"/>
    </row>
    <row r="335" spans="4:7" ht="15.75" customHeight="1">
      <c r="D335" s="16"/>
      <c r="E335" s="6"/>
      <c r="F335" s="6"/>
    </row>
    <row r="336" spans="4:7" ht="15.75" customHeight="1">
      <c r="D336" s="16"/>
      <c r="E336" s="6"/>
      <c r="F336" s="6"/>
    </row>
    <row r="337" spans="4:6" ht="15.75" customHeight="1">
      <c r="D337" s="16"/>
      <c r="E337" s="6"/>
      <c r="F337" s="6"/>
    </row>
    <row r="338" spans="4:6" ht="15.75" customHeight="1">
      <c r="D338" s="16"/>
      <c r="E338" s="6"/>
      <c r="F338" s="6"/>
    </row>
    <row r="339" spans="4:6" ht="15.75" customHeight="1">
      <c r="D339" s="16"/>
      <c r="E339" s="6"/>
      <c r="F339" s="6"/>
    </row>
    <row r="340" spans="4:6" ht="15.75" customHeight="1">
      <c r="D340" s="16"/>
      <c r="E340" s="6"/>
      <c r="F340" s="6"/>
    </row>
    <row r="341" spans="4:6" ht="15.75" customHeight="1">
      <c r="D341" s="16"/>
      <c r="E341" s="6"/>
      <c r="F341" s="6"/>
    </row>
    <row r="342" spans="4:6" ht="15.75" customHeight="1">
      <c r="D342" s="16"/>
      <c r="E342" s="6"/>
      <c r="F342" s="6"/>
    </row>
    <row r="343" spans="4:6" ht="15.75" customHeight="1">
      <c r="D343" s="16"/>
      <c r="E343" s="6"/>
      <c r="F343" s="6"/>
    </row>
    <row r="344" spans="4:6" ht="15.75" customHeight="1">
      <c r="D344" s="16"/>
      <c r="E344" s="6"/>
      <c r="F344" s="6"/>
    </row>
    <row r="345" spans="4:6" ht="15.75" customHeight="1">
      <c r="D345" s="16"/>
      <c r="E345" s="6"/>
      <c r="F345" s="6"/>
    </row>
    <row r="346" spans="4:6" ht="15.75" customHeight="1">
      <c r="D346" s="16"/>
      <c r="E346" s="6"/>
      <c r="F346" s="6"/>
    </row>
    <row r="347" spans="4:6" ht="15.75" customHeight="1">
      <c r="D347" s="16"/>
      <c r="E347" s="6"/>
      <c r="F347" s="6"/>
    </row>
    <row r="348" spans="4:6" ht="15.75" customHeight="1">
      <c r="D348" s="16"/>
      <c r="E348" s="6"/>
      <c r="F348" s="6"/>
    </row>
    <row r="349" spans="4:6" ht="15.75" customHeight="1">
      <c r="D349" s="16"/>
      <c r="E349" s="6"/>
      <c r="F349" s="6"/>
    </row>
    <row r="350" spans="4:6" ht="15.75" customHeight="1">
      <c r="D350" s="16"/>
      <c r="E350" s="6"/>
      <c r="F350" s="6"/>
    </row>
    <row r="351" spans="4:6" ht="15.75" customHeight="1">
      <c r="D351" s="16"/>
      <c r="E351" s="6"/>
      <c r="F351" s="6"/>
    </row>
    <row r="352" spans="4:6" ht="15.75" customHeight="1">
      <c r="D352" s="16"/>
      <c r="E352" s="6"/>
      <c r="F352" s="6"/>
    </row>
    <row r="353" spans="4:6" ht="15.75" customHeight="1">
      <c r="D353" s="16"/>
      <c r="E353" s="6"/>
      <c r="F353" s="6"/>
    </row>
    <row r="354" spans="4:6" ht="15.75" customHeight="1">
      <c r="D354" s="16"/>
      <c r="E354" s="6"/>
      <c r="F354" s="6"/>
    </row>
    <row r="355" spans="4:6" ht="15.75" customHeight="1">
      <c r="D355" s="16"/>
      <c r="E355" s="6"/>
      <c r="F355" s="6"/>
    </row>
    <row r="356" spans="4:6" ht="15.75" customHeight="1">
      <c r="D356" s="16"/>
      <c r="E356" s="6"/>
      <c r="F356" s="6"/>
    </row>
    <row r="357" spans="4:6" ht="15.75" customHeight="1">
      <c r="D357" s="16"/>
      <c r="E357" s="6"/>
      <c r="F357" s="6"/>
    </row>
    <row r="358" spans="4:6" ht="15.75" customHeight="1">
      <c r="D358" s="16"/>
      <c r="E358" s="6"/>
      <c r="F358" s="6"/>
    </row>
    <row r="359" spans="4:6" ht="15.75" customHeight="1">
      <c r="D359" s="16"/>
      <c r="E359" s="6"/>
      <c r="F359" s="6"/>
    </row>
    <row r="360" spans="4:6" ht="15.75" customHeight="1">
      <c r="D360" s="16"/>
      <c r="E360" s="6"/>
      <c r="F360" s="6"/>
    </row>
    <row r="361" spans="4:6" ht="15.75" customHeight="1">
      <c r="D361" s="16"/>
      <c r="E361" s="6"/>
      <c r="F361" s="6"/>
    </row>
    <row r="362" spans="4:6" ht="15.75" customHeight="1">
      <c r="D362" s="16"/>
      <c r="E362" s="6"/>
      <c r="F362" s="6"/>
    </row>
    <row r="363" spans="4:6" ht="15.75" customHeight="1">
      <c r="D363" s="16"/>
      <c r="E363" s="6"/>
      <c r="F363" s="6"/>
    </row>
    <row r="364" spans="4:6" ht="15.75" customHeight="1">
      <c r="D364" s="16"/>
      <c r="E364" s="6"/>
      <c r="F364" s="6"/>
    </row>
    <row r="365" spans="4:6" ht="15.75" customHeight="1">
      <c r="D365" s="16"/>
      <c r="E365" s="6"/>
      <c r="F365" s="6"/>
    </row>
    <row r="366" spans="4:6" ht="15.75" customHeight="1">
      <c r="D366" s="16"/>
      <c r="E366" s="6"/>
      <c r="F366" s="6"/>
    </row>
    <row r="367" spans="4:6" ht="15.75" customHeight="1">
      <c r="D367" s="16"/>
      <c r="E367" s="6"/>
      <c r="F367" s="6"/>
    </row>
    <row r="368" spans="4:6" ht="15.75" customHeight="1">
      <c r="D368" s="16"/>
      <c r="E368" s="6"/>
      <c r="F368" s="6"/>
    </row>
    <row r="369" spans="4:6" ht="15.75" customHeight="1">
      <c r="D369" s="16"/>
      <c r="E369" s="6"/>
      <c r="F369" s="6"/>
    </row>
    <row r="370" spans="4:6" ht="15.75" customHeight="1">
      <c r="D370" s="16"/>
      <c r="E370" s="6"/>
      <c r="F370" s="6"/>
    </row>
    <row r="371" spans="4:6" ht="15.75" customHeight="1">
      <c r="D371" s="16"/>
      <c r="E371" s="6"/>
      <c r="F371" s="6"/>
    </row>
    <row r="372" spans="4:6" ht="15.75" customHeight="1">
      <c r="D372" s="16"/>
      <c r="E372" s="6"/>
      <c r="F372" s="6"/>
    </row>
    <row r="373" spans="4:6" ht="15.75" customHeight="1">
      <c r="D373" s="16"/>
      <c r="E373" s="6"/>
      <c r="F373" s="6"/>
    </row>
    <row r="374" spans="4:6" ht="15.75" customHeight="1">
      <c r="D374" s="16"/>
      <c r="E374" s="6"/>
      <c r="F374" s="6"/>
    </row>
    <row r="375" spans="4:6" ht="15.75" customHeight="1">
      <c r="D375" s="16"/>
      <c r="E375" s="6"/>
      <c r="F375" s="6"/>
    </row>
    <row r="376" spans="4:6" ht="15.75" customHeight="1">
      <c r="D376" s="16"/>
      <c r="E376" s="6"/>
      <c r="F376" s="6"/>
    </row>
    <row r="377" spans="4:6" ht="15.75" customHeight="1">
      <c r="D377" s="16"/>
      <c r="E377" s="6"/>
      <c r="F377" s="6"/>
    </row>
    <row r="378" spans="4:6" ht="15.75" customHeight="1">
      <c r="D378" s="16"/>
      <c r="E378" s="6"/>
      <c r="F378" s="6"/>
    </row>
    <row r="379" spans="4:6" ht="15.75" customHeight="1">
      <c r="D379" s="16"/>
      <c r="E379" s="6"/>
      <c r="F379" s="6"/>
    </row>
    <row r="380" spans="4:6" ht="15.75" customHeight="1">
      <c r="D380" s="16"/>
      <c r="E380" s="6"/>
      <c r="F380" s="6"/>
    </row>
    <row r="381" spans="4:6" ht="15.75" customHeight="1">
      <c r="D381" s="16"/>
      <c r="E381" s="6"/>
      <c r="F381" s="6"/>
    </row>
    <row r="382" spans="4:6" ht="15.75" customHeight="1">
      <c r="D382" s="16"/>
      <c r="E382" s="6"/>
      <c r="F382" s="6"/>
    </row>
    <row r="383" spans="4:6" ht="15.75" customHeight="1">
      <c r="D383" s="16"/>
      <c r="E383" s="6"/>
      <c r="F383" s="6"/>
    </row>
    <row r="384" spans="4:6" ht="15.75" customHeight="1">
      <c r="D384" s="16"/>
      <c r="E384" s="6"/>
      <c r="F384" s="6"/>
    </row>
    <row r="385" spans="4:6" ht="15.75" customHeight="1">
      <c r="D385" s="16"/>
      <c r="E385" s="6"/>
      <c r="F385" s="6"/>
    </row>
    <row r="386" spans="4:6" ht="15.75" customHeight="1">
      <c r="D386" s="16"/>
      <c r="E386" s="6"/>
      <c r="F386" s="6"/>
    </row>
    <row r="387" spans="4:6" ht="15.75" customHeight="1">
      <c r="D387" s="16"/>
      <c r="E387" s="6"/>
      <c r="F387" s="6"/>
    </row>
    <row r="388" spans="4:6" ht="15.75" customHeight="1">
      <c r="D388" s="16"/>
      <c r="E388" s="6"/>
      <c r="F388" s="6"/>
    </row>
    <row r="389" spans="4:6" ht="15.75" customHeight="1">
      <c r="D389" s="16"/>
      <c r="E389" s="6"/>
      <c r="F389" s="6"/>
    </row>
    <row r="390" spans="4:6" ht="15.75" customHeight="1">
      <c r="D390" s="16"/>
      <c r="E390" s="6"/>
      <c r="F390" s="6"/>
    </row>
    <row r="391" spans="4:6" ht="15.75" customHeight="1">
      <c r="D391" s="16"/>
      <c r="E391" s="6"/>
      <c r="F391" s="6"/>
    </row>
    <row r="392" spans="4:6" ht="15.75" customHeight="1">
      <c r="D392" s="16"/>
      <c r="E392" s="6"/>
      <c r="F392" s="6"/>
    </row>
    <row r="393" spans="4:6" ht="15.75" customHeight="1">
      <c r="D393" s="16"/>
      <c r="E393" s="6"/>
      <c r="F393" s="6"/>
    </row>
    <row r="394" spans="4:6" ht="15.75" customHeight="1">
      <c r="D394" s="16"/>
      <c r="E394" s="6"/>
      <c r="F394" s="6"/>
    </row>
    <row r="395" spans="4:6" ht="15.75" customHeight="1">
      <c r="D395" s="16"/>
      <c r="E395" s="6"/>
      <c r="F395" s="6"/>
    </row>
    <row r="396" spans="4:6" ht="15.75" customHeight="1">
      <c r="D396" s="16"/>
      <c r="E396" s="6"/>
      <c r="F396" s="6"/>
    </row>
    <row r="397" spans="4:6" ht="15.75" customHeight="1">
      <c r="D397" s="16"/>
      <c r="E397" s="6"/>
      <c r="F397" s="6"/>
    </row>
    <row r="398" spans="4:6" ht="15.75" customHeight="1">
      <c r="D398" s="16"/>
      <c r="E398" s="6"/>
      <c r="F398" s="6"/>
    </row>
    <row r="399" spans="4:6" ht="15.75" customHeight="1">
      <c r="D399" s="16"/>
      <c r="E399" s="6"/>
      <c r="F399" s="6"/>
    </row>
    <row r="400" spans="4:6" ht="15.75" customHeight="1">
      <c r="D400" s="16"/>
      <c r="E400" s="6"/>
      <c r="F400" s="6"/>
    </row>
    <row r="401" spans="4:6" ht="15.75" customHeight="1">
      <c r="D401" s="16"/>
      <c r="E401" s="6"/>
      <c r="F401" s="6"/>
    </row>
    <row r="402" spans="4:6" ht="15.75" customHeight="1">
      <c r="D402" s="16"/>
      <c r="E402" s="6"/>
      <c r="F402" s="6"/>
    </row>
    <row r="403" spans="4:6" ht="15.75" customHeight="1">
      <c r="D403" s="16"/>
      <c r="E403" s="6"/>
      <c r="F403" s="6"/>
    </row>
    <row r="404" spans="4:6" ht="15.75" customHeight="1">
      <c r="D404" s="16"/>
      <c r="E404" s="6"/>
      <c r="F404" s="6"/>
    </row>
    <row r="405" spans="4:6" ht="15.75" customHeight="1">
      <c r="D405" s="16"/>
      <c r="E405" s="6"/>
      <c r="F405" s="6"/>
    </row>
    <row r="406" spans="4:6" ht="15.75" customHeight="1">
      <c r="D406" s="16"/>
      <c r="E406" s="6"/>
      <c r="F406" s="6"/>
    </row>
    <row r="407" spans="4:6" ht="15.75" customHeight="1">
      <c r="D407" s="16"/>
      <c r="E407" s="6"/>
      <c r="F407" s="6"/>
    </row>
    <row r="408" spans="4:6" ht="15.75" customHeight="1">
      <c r="D408" s="16"/>
      <c r="E408" s="6"/>
      <c r="F408" s="6"/>
    </row>
    <row r="409" spans="4:6" ht="15.75" customHeight="1">
      <c r="D409" s="16"/>
      <c r="E409" s="6"/>
      <c r="F409" s="6"/>
    </row>
    <row r="410" spans="4:6" ht="15.75" customHeight="1">
      <c r="D410" s="16"/>
      <c r="E410" s="6"/>
      <c r="F410" s="6"/>
    </row>
    <row r="411" spans="4:6" ht="15.75" customHeight="1">
      <c r="D411" s="16"/>
      <c r="E411" s="6"/>
      <c r="F411" s="6"/>
    </row>
    <row r="412" spans="4:6" ht="15.75" customHeight="1">
      <c r="D412" s="16"/>
      <c r="E412" s="6"/>
      <c r="F412" s="6"/>
    </row>
    <row r="413" spans="4:6" ht="15.75" customHeight="1">
      <c r="D413" s="16"/>
      <c r="E413" s="6"/>
      <c r="F413" s="6"/>
    </row>
    <row r="414" spans="4:6" ht="15.75" customHeight="1">
      <c r="D414" s="16"/>
      <c r="E414" s="6"/>
      <c r="F414" s="6"/>
    </row>
    <row r="415" spans="4:6" ht="15.75" customHeight="1">
      <c r="D415" s="16"/>
      <c r="E415" s="6"/>
      <c r="F415" s="6"/>
    </row>
    <row r="416" spans="4:6" ht="15.75" customHeight="1">
      <c r="D416" s="16"/>
      <c r="E416" s="6"/>
      <c r="F416" s="6"/>
    </row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7" type="noConversion"/>
  <hyperlinks>
    <hyperlink ref="R67" r:id="rId1" xr:uid="{06C180FD-AB11-41F4-AC1F-E2A109FA5507}"/>
    <hyperlink ref="S67" r:id="rId2" display="4.8@13" xr:uid="{79AB2B54-573A-4736-962A-79BF73658207}"/>
    <hyperlink ref="T67" r:id="rId3" display="4.8@13" xr:uid="{03D73F96-AD57-40C8-BEF9-6C32DDEDDA74}"/>
    <hyperlink ref="U67" r:id="rId4" display="4.8@13" xr:uid="{2E3BEDCF-52FA-4462-A46F-085FF1D2EFD0}"/>
    <hyperlink ref="R107" r:id="rId5" xr:uid="{14DEED4E-994C-4914-A5FF-D50E60F75DCD}"/>
    <hyperlink ref="S107" r:id="rId6" display="4.8@13" xr:uid="{E4905873-7F95-4AA8-ADB1-2463F33D7666}"/>
    <hyperlink ref="T107" r:id="rId7" display="4.8@13" xr:uid="{F48D0801-083B-44F0-9299-3F16587F28E4}"/>
    <hyperlink ref="U107" r:id="rId8" display="4.8@13" xr:uid="{492540C9-B685-4D99-9DDA-D3AD5FAE8E4F}"/>
    <hyperlink ref="R145" r:id="rId9" xr:uid="{B14FA0BF-5EEF-4D37-82C3-2948454AFA22}"/>
    <hyperlink ref="S145" r:id="rId10" display="4.8@13" xr:uid="{46E82A29-2E0E-4EFF-A670-D78AB6FB9AE5}"/>
    <hyperlink ref="T145" r:id="rId11" display="4.8@13" xr:uid="{D9F506F4-9593-448B-A2FE-D917C5E2B176}"/>
    <hyperlink ref="U145" r:id="rId12" display="4.8@13" xr:uid="{768C6017-E181-4570-986C-A6C4AEE9BD9E}"/>
    <hyperlink ref="R183" r:id="rId13" xr:uid="{C92DBD75-12B5-40E3-A715-A86D0344BD2F}"/>
    <hyperlink ref="S183" r:id="rId14" display="4.8@13" xr:uid="{3C5F79F6-FC42-4246-A6A2-2E812F1C4657}"/>
    <hyperlink ref="T183" r:id="rId15" display="4.8@13" xr:uid="{835540BB-036E-4E7B-B1DC-4C6E07644557}"/>
    <hyperlink ref="U183" r:id="rId16" display="4.8@13" xr:uid="{CE6B2063-AC31-43C8-B995-DE2F64ED9D56}"/>
    <hyperlink ref="R221" r:id="rId17" xr:uid="{DEB0360E-DCCC-4DE7-907E-EA6796F59F14}"/>
    <hyperlink ref="S221" r:id="rId18" display="4.8@13" xr:uid="{D98E61B4-DE02-48CC-B4EB-4A58933E6657}"/>
    <hyperlink ref="T221" r:id="rId19" display="4.8@13" xr:uid="{2C0F0A7F-8319-4803-BC22-AE161FF3FF0E}"/>
    <hyperlink ref="U221" r:id="rId20" display="4.8@13" xr:uid="{E902E866-21C0-4DC6-977A-716828924C9B}"/>
    <hyperlink ref="R259" r:id="rId21" xr:uid="{A2DDD5C8-7DFC-4677-A70D-7DB358B3B0FD}"/>
    <hyperlink ref="S259" r:id="rId22" display="4.8@13" xr:uid="{0E01A68B-4960-4450-AF4E-853384E7BC6C}"/>
    <hyperlink ref="T259" r:id="rId23" display="4.8@13" xr:uid="{DA77813A-7F8F-465B-A0E6-1D4A3229C071}"/>
    <hyperlink ref="U259" r:id="rId24" display="4.8@13" xr:uid="{5A00658C-DF33-4AEA-8EDD-4D8A8C05E95C}"/>
  </hyperlinks>
  <pageMargins left="0.7" right="0.7" top="0.75" bottom="0.75" header="0" footer="0"/>
  <pageSetup orientation="portrait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Tensile Pass Fail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Trey Himes</dc:creator>
  <cp:lastModifiedBy>Trey Himes</cp:lastModifiedBy>
  <dcterms:created xsi:type="dcterms:W3CDTF">2021-12-21T16:16:18Z</dcterms:created>
  <dcterms:modified xsi:type="dcterms:W3CDTF">2022-02-07T23:25:47Z</dcterms:modified>
</cp:coreProperties>
</file>