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uadros\OneDrive - PROMOCION TECNOLÓGICA Y COMERCIAL, SA\Documentos\PICKLEBALL\comite\ranking\"/>
    </mc:Choice>
  </mc:AlternateContent>
  <bookViews>
    <workbookView xWindow="0" yWindow="0" windowWidth="28800" windowHeight="12300" tabRatio="717"/>
  </bookViews>
  <sheets>
    <sheet name="RAK GRAL MASC INDIV." sheetId="2" r:id="rId1"/>
    <sheet name="RAK. GRAL. FEM. INDIV." sheetId="3" r:id="rId2"/>
    <sheet name="RANK. DOUB. MIXTO" sheetId="5" r:id="rId3"/>
    <sheet name="RANK. DOUB. MASCULINO" sheetId="1" r:id="rId4"/>
    <sheet name="RANK. DOUB. FEMENINO" sheetId="4" r:id="rId5"/>
    <sheet name="Valores" sheetId="6" r:id="rId6"/>
  </sheets>
  <definedNames>
    <definedName name="_xlnm.Print_Area" localSheetId="0">'RAK GRAL MASC INDIV.'!$A$1:$N$188</definedName>
    <definedName name="_xlnm.Print_Area" localSheetId="1">'RAK. GRAL. FEM. INDIV.'!$B$1:$N$48</definedName>
    <definedName name="_xlnm.Print_Area" localSheetId="4">'RANK. DOUB. FEMENINO'!$B$1:$N$132</definedName>
    <definedName name="_xlnm.Print_Area" localSheetId="3">'RANK. DOUB. MASCULINO'!$B$1:$N$308</definedName>
    <definedName name="_xlnm.Print_Area" localSheetId="2">'RANK. DOUB. MIXTO'!$B$1:$N$231</definedName>
    <definedName name="_xlnm.Print_Titles" localSheetId="0">'RAK GRAL MASC INDIV.'!$1:$7</definedName>
    <definedName name="_xlnm.Print_Titles" localSheetId="4">'RANK. DOUB. FEMENINO'!$1:$7</definedName>
    <definedName name="_xlnm.Print_Titles" localSheetId="3">'RANK. DOUB. MASCULINO'!$1:$7</definedName>
    <definedName name="_xlnm.Print_Titles" localSheetId="2">'RANK. DOUB. MIXTO'!$1:$7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5" i="2" l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202" i="1" l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157" i="5"/>
  <c r="F158" i="5" s="1"/>
  <c r="F159" i="5" s="1"/>
  <c r="F160" i="5" s="1"/>
  <c r="F161" i="5" s="1"/>
  <c r="F162" i="5" s="1"/>
  <c r="F163" i="5" s="1"/>
  <c r="F164" i="5" s="1"/>
  <c r="F165" i="5" s="1"/>
  <c r="F15" i="4" l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14" i="4"/>
  <c r="F13" i="4"/>
  <c r="B11" i="4"/>
  <c r="B19" i="4"/>
  <c r="B18" i="4"/>
  <c r="B16" i="4"/>
  <c r="B14" i="4"/>
  <c r="B10" i="4"/>
  <c r="B9" i="4"/>
  <c r="B8" i="4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B13" i="1"/>
  <c r="B11" i="1"/>
  <c r="B12" i="1"/>
  <c r="B10" i="1"/>
  <c r="B16" i="1"/>
  <c r="B8" i="1"/>
  <c r="B14" i="1"/>
  <c r="B9" i="1"/>
  <c r="F10" i="5"/>
  <c r="F11" i="5" s="1"/>
  <c r="F12" i="5" s="1"/>
  <c r="F13" i="5" s="1"/>
  <c r="F14" i="5" s="1"/>
  <c r="F15" i="5" s="1"/>
  <c r="F16" i="5" s="1"/>
  <c r="F18" i="5" s="1"/>
  <c r="F19" i="5" s="1"/>
  <c r="B21" i="5"/>
  <c r="B15" i="5"/>
  <c r="B18" i="5"/>
  <c r="B13" i="5"/>
  <c r="B9" i="5"/>
  <c r="B8" i="5"/>
  <c r="B11" i="5"/>
  <c r="B10" i="5"/>
  <c r="B12" i="3"/>
  <c r="B11" i="3"/>
  <c r="B10" i="3"/>
  <c r="B9" i="3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B12" i="2"/>
  <c r="B11" i="2"/>
  <c r="B9" i="2"/>
  <c r="B8" i="2"/>
  <c r="B206" i="1" l="1"/>
  <c r="B207" i="1"/>
  <c r="B193" i="5" l="1"/>
  <c r="B172" i="5"/>
  <c r="B182" i="5"/>
  <c r="B170" i="5"/>
  <c r="B169" i="5"/>
  <c r="B155" i="5"/>
  <c r="B159" i="5"/>
  <c r="B157" i="5"/>
  <c r="B156" i="5"/>
  <c r="B75" i="5"/>
  <c r="B74" i="5"/>
  <c r="B37" i="5"/>
  <c r="B53" i="5"/>
  <c r="B35" i="5"/>
  <c r="B26" i="5"/>
  <c r="B47" i="5"/>
  <c r="B25" i="5"/>
  <c r="B20" i="5"/>
  <c r="B19" i="5"/>
  <c r="B97" i="4" l="1"/>
  <c r="B99" i="4"/>
  <c r="B106" i="4"/>
  <c r="B108" i="4" l="1"/>
  <c r="B29" i="4"/>
  <c r="B22" i="4"/>
  <c r="B31" i="4"/>
  <c r="B25" i="4"/>
  <c r="B49" i="4"/>
  <c r="B39" i="4"/>
  <c r="B12" i="4"/>
  <c r="B15" i="3"/>
  <c r="F10" i="3"/>
  <c r="F11" i="3" s="1"/>
  <c r="F12" i="3" s="1"/>
  <c r="B175" i="2" l="1"/>
  <c r="B173" i="2"/>
  <c r="B162" i="2" l="1"/>
  <c r="B140" i="2"/>
  <c r="B174" i="2"/>
  <c r="B136" i="2"/>
  <c r="B138" i="2"/>
  <c r="B36" i="2" l="1"/>
  <c r="B41" i="2"/>
  <c r="B46" i="2"/>
  <c r="B34" i="2"/>
  <c r="B13" i="2"/>
  <c r="B285" i="1"/>
  <c r="B233" i="1"/>
  <c r="B211" i="1"/>
  <c r="B210" i="1"/>
  <c r="B209" i="1"/>
  <c r="B204" i="1"/>
  <c r="B208" i="1"/>
  <c r="B201" i="1"/>
  <c r="B77" i="1"/>
  <c r="B35" i="1"/>
  <c r="B122" i="1"/>
  <c r="B120" i="1"/>
  <c r="B27" i="1"/>
  <c r="B24" i="1"/>
  <c r="B23" i="1"/>
  <c r="B18" i="1"/>
  <c r="B109" i="4" l="1"/>
  <c r="B102" i="4"/>
  <c r="B299" i="1"/>
  <c r="B251" i="1"/>
  <c r="B252" i="1"/>
  <c r="B107" i="4"/>
  <c r="B98" i="4"/>
  <c r="B96" i="4"/>
  <c r="B226" i="1"/>
  <c r="B225" i="1"/>
  <c r="B69" i="4"/>
  <c r="B272" i="1"/>
  <c r="B74" i="1"/>
  <c r="B73" i="1"/>
  <c r="B62" i="1"/>
  <c r="B30" i="1"/>
  <c r="B163" i="1"/>
  <c r="B144" i="1"/>
  <c r="B79" i="1"/>
  <c r="B78" i="1"/>
  <c r="B50" i="4"/>
  <c r="B134" i="1"/>
  <c r="B145" i="1"/>
  <c r="B67" i="4"/>
  <c r="B21" i="4"/>
  <c r="B55" i="1"/>
  <c r="B17" i="1"/>
  <c r="F9" i="4"/>
  <c r="B15" i="4"/>
  <c r="F10" i="4" l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200" i="1" s="1"/>
  <c r="F201" i="1" l="1"/>
  <c r="F216" i="1"/>
  <c r="F217" i="1" s="1"/>
  <c r="F218" i="1" s="1"/>
  <c r="F219" i="1" s="1"/>
  <c r="F220" i="1" s="1"/>
  <c r="F221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5" i="1" s="1"/>
  <c r="F286" i="1" s="1"/>
  <c r="F287" i="1" s="1"/>
  <c r="F288" i="1" s="1"/>
  <c r="F289" i="1" s="1"/>
  <c r="F290" i="1" s="1"/>
  <c r="F291" i="1" s="1"/>
  <c r="F292" i="1" s="1"/>
  <c r="F293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" i="4"/>
  <c r="F31" i="4" s="1"/>
  <c r="F32" i="4" s="1"/>
  <c r="F33" i="4" s="1"/>
  <c r="F34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6" i="4" s="1"/>
  <c r="F97" i="4" s="1"/>
  <c r="F98" i="4" s="1"/>
  <c r="F99" i="4" s="1"/>
  <c r="F100" i="4" s="1"/>
  <c r="F101" i="4" s="1"/>
  <c r="F102" i="4" s="1"/>
  <c r="F106" i="4" s="1"/>
  <c r="F107" i="4" s="1"/>
  <c r="F108" i="4" s="1"/>
  <c r="F109" i="4" s="1"/>
  <c r="F110" i="4" s="1"/>
  <c r="F111" i="4" s="1"/>
  <c r="F112" i="4" s="1"/>
  <c r="F113" i="4" s="1"/>
  <c r="F11" i="4"/>
  <c r="B161" i="5"/>
  <c r="B162" i="5"/>
  <c r="B192" i="5"/>
  <c r="B112" i="5"/>
  <c r="B190" i="1"/>
  <c r="B189" i="1"/>
  <c r="B274" i="1"/>
  <c r="B160" i="1"/>
  <c r="B131" i="1"/>
  <c r="B114" i="2"/>
  <c r="B112" i="2"/>
  <c r="B87" i="2"/>
  <c r="B148" i="2"/>
  <c r="B70" i="2"/>
  <c r="B47" i="2"/>
  <c r="B44" i="2"/>
  <c r="F117" i="4" l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B256" i="1"/>
  <c r="B126" i="1"/>
  <c r="B146" i="1"/>
  <c r="B130" i="1"/>
  <c r="B129" i="1"/>
  <c r="B143" i="1"/>
  <c r="B142" i="1"/>
  <c r="B128" i="1"/>
  <c r="B127" i="1"/>
  <c r="B123" i="1"/>
  <c r="B76" i="1"/>
  <c r="B75" i="1"/>
  <c r="B56" i="1"/>
  <c r="B72" i="1"/>
  <c r="B66" i="1"/>
  <c r="B65" i="1"/>
  <c r="B68" i="1"/>
  <c r="B67" i="1"/>
  <c r="B69" i="1"/>
  <c r="B29" i="1"/>
  <c r="B22" i="1"/>
  <c r="B200" i="1" l="1"/>
  <c r="B13" i="4"/>
  <c r="B72" i="4"/>
  <c r="B66" i="4"/>
  <c r="B65" i="4"/>
  <c r="B64" i="4"/>
  <c r="B46" i="4"/>
  <c r="B131" i="4"/>
  <c r="B130" i="4"/>
  <c r="B118" i="4"/>
  <c r="B117" i="4"/>
  <c r="B270" i="1"/>
  <c r="B258" i="1"/>
  <c r="B227" i="1"/>
  <c r="B286" i="1"/>
  <c r="B212" i="5"/>
  <c r="B113" i="5"/>
  <c r="B114" i="5"/>
  <c r="B60" i="5" l="1"/>
  <c r="B39" i="2"/>
  <c r="B45" i="2"/>
  <c r="B80" i="2"/>
  <c r="B79" i="2"/>
  <c r="B82" i="2"/>
  <c r="B83" i="2"/>
  <c r="B202" i="5" l="1"/>
  <c r="B201" i="5"/>
  <c r="B209" i="5"/>
  <c r="B208" i="5"/>
  <c r="B207" i="5"/>
  <c r="B203" i="5"/>
  <c r="B204" i="5"/>
  <c r="B191" i="5" l="1"/>
  <c r="B146" i="2" l="1"/>
  <c r="B177" i="2"/>
  <c r="B176" i="2"/>
  <c r="B141" i="2"/>
  <c r="B139" i="2"/>
  <c r="B134" i="2"/>
  <c r="B131" i="2"/>
  <c r="B152" i="5"/>
  <c r="B153" i="5"/>
  <c r="B160" i="5"/>
  <c r="B158" i="5"/>
  <c r="B151" i="5"/>
  <c r="B27" i="5"/>
  <c r="B16" i="5"/>
  <c r="B23" i="5"/>
  <c r="B29" i="5"/>
  <c r="F9" i="5"/>
  <c r="B14" i="5"/>
  <c r="B16" i="2" l="1"/>
  <c r="B18" i="2"/>
  <c r="B15" i="2" l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B16" i="3"/>
  <c r="F14" i="3"/>
  <c r="F15" i="3" s="1"/>
  <c r="F16" i="3" s="1"/>
  <c r="F17" i="3" s="1"/>
  <c r="F18" i="3" s="1"/>
  <c r="F19" i="3" s="1"/>
  <c r="F20" i="3" s="1"/>
  <c r="F24" i="3" s="1"/>
  <c r="F25" i="3" s="1"/>
  <c r="F26" i="3" s="1"/>
  <c r="F27" i="3" s="1"/>
  <c r="F28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52" i="3" s="1"/>
  <c r="F53" i="3" s="1"/>
  <c r="F54" i="3" s="1"/>
  <c r="F55" i="3" s="1"/>
  <c r="B8" i="3"/>
  <c r="B59" i="5" l="1"/>
  <c r="B64" i="5"/>
  <c r="B63" i="5"/>
  <c r="B115" i="5"/>
  <c r="B107" i="5"/>
  <c r="B48" i="2"/>
  <c r="B49" i="2"/>
  <c r="B85" i="2"/>
  <c r="B39" i="3"/>
  <c r="B24" i="3"/>
  <c r="B36" i="3"/>
  <c r="B147" i="1"/>
  <c r="B61" i="1"/>
  <c r="B188" i="1"/>
  <c r="F164" i="2" l="1"/>
  <c r="F165" i="2" s="1"/>
  <c r="F166" i="2" s="1"/>
  <c r="F167" i="2" s="1"/>
  <c r="F168" i="2" s="1"/>
  <c r="F169" i="2" s="1"/>
  <c r="F173" i="2" s="1"/>
  <c r="F174" i="2" s="1"/>
  <c r="B191" i="1"/>
  <c r="E10" i="6" l="1"/>
  <c r="C10" i="6"/>
  <c r="C8" i="6"/>
  <c r="D8" i="6" s="1"/>
  <c r="E8" i="6" s="1"/>
  <c r="B37" i="2" l="1"/>
  <c r="B244" i="1" l="1"/>
  <c r="B135" i="1"/>
  <c r="B205" i="1" l="1"/>
  <c r="B203" i="1"/>
  <c r="B126" i="4"/>
  <c r="B61" i="4"/>
  <c r="B70" i="1"/>
  <c r="B59" i="1"/>
  <c r="B38" i="4" l="1"/>
  <c r="B15" i="1"/>
  <c r="F20" i="5" l="1"/>
  <c r="B101" i="5"/>
  <c r="B98" i="5"/>
  <c r="B206" i="5"/>
  <c r="F21" i="5" l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51" i="5" s="1"/>
  <c r="F152" i="5" s="1"/>
  <c r="F153" i="5" s="1"/>
  <c r="F154" i="5" s="1"/>
  <c r="F155" i="5" s="1"/>
  <c r="F156" i="5" s="1"/>
  <c r="B190" i="5"/>
  <c r="B175" i="5"/>
  <c r="B154" i="5"/>
  <c r="B48" i="5"/>
  <c r="B54" i="5"/>
  <c r="F169" i="5" l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8" i="5" s="1"/>
  <c r="F229" i="5" s="1"/>
  <c r="F230" i="5" s="1"/>
  <c r="F231" i="5" s="1"/>
  <c r="F232" i="5" s="1"/>
  <c r="F233" i="5" s="1"/>
  <c r="F234" i="5" s="1"/>
  <c r="F235" i="5" s="1"/>
</calcChain>
</file>

<file path=xl/comments1.xml><?xml version="1.0" encoding="utf-8"?>
<comments xmlns="http://schemas.openxmlformats.org/spreadsheetml/2006/main">
  <authors>
    <author>Gabriel Cuadros Catalan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3000 puntos en 4.5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 +19 3.5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115 puntos de +19 3.5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360 puntos del +19 3.5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90 puntos en el +60
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180 puntos en +60 CE
150 puntos +60 FMT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se apunto en este ultimo torneo 3.0/3.5 quedo segundo con 1200 puntos
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en +50 3.5 CE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+50 3.5
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+50 3.5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en el +60 3.0/3.5 CE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375puntos +60 FTM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Gabriel Cuadros Catalan</author>
    <author>Microsoft Office User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del 4.5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1000 puntos en +18 3.5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5.0 CE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del +18 3.5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115+100 puntos del +18 3.5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215+100 puntos del +18 3.5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600 puntos en el +18 3.5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+18 3.5</t>
        </r>
      </text>
    </comment>
    <comment ref="E147" authorId="1" shapeId="0">
      <text>
        <r>
          <rPr>
            <b/>
            <sz val="10"/>
            <color rgb="FF000000"/>
            <rFont val="Tahoma"/>
            <family val="2"/>
          </rPr>
          <t xml:space="preserve">ESTA LICENCIA CORRESPONDE AL JUGADOR: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MARCOS GOMEZ RODRIGUEZ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en 4.5 CE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Gabriel Cuadros Catalan
25 puntos +50 3.5 prueba 4 cataluña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Gabriel Cuadros Catalan
25 puntos +50 3.5 prueba 4 cataluña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1550 en +50 3.5
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1200 puntos en el CE +60 3.5/4.5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1090 puntos del +50 3.5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1000 puntos de +60 4.5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en 60+ 3.5 CE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en 60+ 3.5 CE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1727 puntos del +18 3.5
</t>
        </r>
      </text>
    </comment>
  </commentList>
</comments>
</file>

<file path=xl/comments3.xml><?xml version="1.0" encoding="utf-8"?>
<comments xmlns="http://schemas.openxmlformats.org/spreadsheetml/2006/main">
  <authors>
    <author>Gabriel Cuadros Catalan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4000 puntos de +18 4.5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+18 4.5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+18 5.0 CE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pùntos +18 5.0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465 puntos +18 3.5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1000 puntos +18 3.5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435 puntos +18 3.5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175 +18 3.5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4000 puntos +18 3.5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+18 3.5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180 puntos en +18 3.5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180 puntos en +18 3.5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+18 3.5
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+18 4.5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 xml:space="preserve">Gabriel Cuadros 
45 puntos en +18 4.5
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 xml:space="preserve">Gabriel Cuadros 
45 puntos en +18 4.5
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180 puntos +18 5.0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750 puntos +60 dobles 4.5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+50 4.5
500 puntos en +60 FTM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+50 4.5
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1545 puntos 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del +50 3.5
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DOBLES +18 3.5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70 puntos +18 3.0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+50 3.5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90 puntos +18 4.5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+18 4.5 CE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+60 3.5 CE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400 puntos en +60 4.5 CE
45 puntos del +18 4.5
500 puntos +60 FTM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+60 4.5 CE
250 puntos en +60 FTM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+18 4.5 CE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375 puntos en +60 FTM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452 puntos del +18 3.5
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 puntos +60 FTM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+60 3.5 CE</t>
        </r>
      </text>
    </comment>
  </commentList>
</comments>
</file>

<file path=xl/comments4.xml><?xml version="1.0" encoding="utf-8"?>
<comments xmlns="http://schemas.openxmlformats.org/spreadsheetml/2006/main">
  <authors>
    <author>Gabriel Cuadros Catalan</author>
  </authors>
  <commentList>
    <comment ref="E16" authorId="0" shapeId="0">
      <text>
        <r>
          <rPr>
            <b/>
            <sz val="9"/>
            <color rgb="FF000000"/>
            <rFont val="Tahoma"/>
            <family val="2"/>
          </rPr>
          <t>Gabriel Cuadros Catalan: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11087344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18 3.5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18 3.5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+18 5.0 CE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+18 3.5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+18 5.0 CE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en +18 4.5 CE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45 puntos +18 4.5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690 puntos de +18 4.5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1075 puntos +18 3.5
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1500 puntos +18 3.5
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690 puntos +18 4.5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1000 puntos +50 3.5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2000 puntos en +50 3.5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Gabriel Cuadros Catalan:</t>
        </r>
        <r>
          <rPr>
            <sz val="9"/>
            <color indexed="81"/>
            <rFont val="Tahoma"/>
            <family val="2"/>
          </rPr>
          <t xml:space="preserve">
90 puntos +18
</t>
        </r>
      </text>
    </comment>
  </commentList>
</comments>
</file>

<file path=xl/sharedStrings.xml><?xml version="1.0" encoding="utf-8"?>
<sst xmlns="http://schemas.openxmlformats.org/spreadsheetml/2006/main" count="4537" uniqueCount="1064">
  <si>
    <t>PT.</t>
  </si>
  <si>
    <t>PUNTOS</t>
  </si>
  <si>
    <t>APELLIDOS</t>
  </si>
  <si>
    <t>NOMBRE</t>
  </si>
  <si>
    <t>N.LIC.</t>
  </si>
  <si>
    <t>NAC.</t>
  </si>
  <si>
    <t>REG.</t>
  </si>
  <si>
    <t>PROV.</t>
  </si>
  <si>
    <t>CLUB</t>
  </si>
  <si>
    <t>NOMBRE CLUB</t>
  </si>
  <si>
    <t>CAT</t>
  </si>
  <si>
    <t>OT.</t>
  </si>
  <si>
    <t>F.NAC.</t>
  </si>
  <si>
    <t xml:space="preserve">Ernesto </t>
  </si>
  <si>
    <t xml:space="preserve">Marcello </t>
  </si>
  <si>
    <t xml:space="preserve">Álvaro </t>
  </si>
  <si>
    <t>Suarez</t>
  </si>
  <si>
    <t>Pereira de Mattos</t>
  </si>
  <si>
    <t xml:space="preserve">Domini Elias </t>
  </si>
  <si>
    <t xml:space="preserve">Alejandro </t>
  </si>
  <si>
    <t>Ruiz Calvo</t>
  </si>
  <si>
    <t xml:space="preserve">Javier </t>
  </si>
  <si>
    <t>Eneko</t>
  </si>
  <si>
    <t>Hernández</t>
  </si>
  <si>
    <t xml:space="preserve">David </t>
  </si>
  <si>
    <t xml:space="preserve">Alberto </t>
  </si>
  <si>
    <t>Illescas Cases</t>
  </si>
  <si>
    <t>Marcos</t>
  </si>
  <si>
    <t xml:space="preserve">Vicente </t>
  </si>
  <si>
    <t>Francisco Javier</t>
  </si>
  <si>
    <t>Julián</t>
  </si>
  <si>
    <t>Daniel</t>
  </si>
  <si>
    <t>Antonio</t>
  </si>
  <si>
    <t>Alvaro</t>
  </si>
  <si>
    <t>Jesús</t>
  </si>
  <si>
    <t>Victor</t>
  </si>
  <si>
    <t>Javier</t>
  </si>
  <si>
    <t>Hernando García</t>
  </si>
  <si>
    <t xml:space="preserve">Guillermo </t>
  </si>
  <si>
    <t xml:space="preserve">Joan </t>
  </si>
  <si>
    <t>Alfonso</t>
  </si>
  <si>
    <t>Pedro</t>
  </si>
  <si>
    <t>Marc</t>
  </si>
  <si>
    <t>Miguel</t>
  </si>
  <si>
    <t>Hernando</t>
  </si>
  <si>
    <t xml:space="preserve">Miquel </t>
  </si>
  <si>
    <t xml:space="preserve">Pep </t>
  </si>
  <si>
    <t xml:space="preserve">Alfredo </t>
  </si>
  <si>
    <t xml:space="preserve">Manuel </t>
  </si>
  <si>
    <t>Gallofre Saura</t>
  </si>
  <si>
    <t xml:space="preserve">Pol </t>
  </si>
  <si>
    <t>Pablo</t>
  </si>
  <si>
    <t>Franquesa Perich</t>
  </si>
  <si>
    <t xml:space="preserve">Bernat </t>
  </si>
  <si>
    <t>Armentano Moreno</t>
  </si>
  <si>
    <t>Moucachen Sant Anna</t>
  </si>
  <si>
    <t xml:space="preserve">Francisco </t>
  </si>
  <si>
    <t>Lluis</t>
  </si>
  <si>
    <t>Jiménez Gonzalez</t>
  </si>
  <si>
    <t xml:space="preserve">Valentin </t>
  </si>
  <si>
    <t>Ignasi</t>
  </si>
  <si>
    <t>Joan</t>
  </si>
  <si>
    <t>Fernando</t>
  </si>
  <si>
    <t>Roberto</t>
  </si>
  <si>
    <t>Ariza Núñez</t>
  </si>
  <si>
    <t>Jose Maria</t>
  </si>
  <si>
    <t>Juan Carlos</t>
  </si>
  <si>
    <t xml:space="preserve">Vázquez Salazar </t>
  </si>
  <si>
    <t xml:space="preserve">Jose Luis </t>
  </si>
  <si>
    <t>Carlos</t>
  </si>
  <si>
    <t xml:space="preserve">Oscar </t>
  </si>
  <si>
    <t>Enrique</t>
  </si>
  <si>
    <t>Martinez Gonzalez</t>
  </si>
  <si>
    <t xml:space="preserve">Rafael </t>
  </si>
  <si>
    <t xml:space="preserve">Miguel </t>
  </si>
  <si>
    <t>Jose Agustín</t>
  </si>
  <si>
    <t>Ramón</t>
  </si>
  <si>
    <t>Garcia</t>
  </si>
  <si>
    <t>Rafael</t>
  </si>
  <si>
    <t>Juan</t>
  </si>
  <si>
    <t>David</t>
  </si>
  <si>
    <t>Vicente</t>
  </si>
  <si>
    <t xml:space="preserve">Samuel </t>
  </si>
  <si>
    <t xml:space="preserve">Sergio </t>
  </si>
  <si>
    <t>Parrilla Garcia</t>
  </si>
  <si>
    <t>Hernandez</t>
  </si>
  <si>
    <t xml:space="preserve">Alfonso </t>
  </si>
  <si>
    <t>Miranda Garcia</t>
  </si>
  <si>
    <t>11855816</t>
  </si>
  <si>
    <t xml:space="preserve">Alvaro </t>
  </si>
  <si>
    <t>Caymel Romero</t>
  </si>
  <si>
    <t xml:space="preserve">Marc </t>
  </si>
  <si>
    <t xml:space="preserve">Jordi </t>
  </si>
  <si>
    <t>Lopez Gil</t>
  </si>
  <si>
    <t xml:space="preserve">Pedro </t>
  </si>
  <si>
    <t>Casacuberta Sans</t>
  </si>
  <si>
    <t>Casacuberta Martí</t>
  </si>
  <si>
    <t xml:space="preserve">Ignasi </t>
  </si>
  <si>
    <t>Rovira Romero</t>
  </si>
  <si>
    <t xml:space="preserve">Andres Alejandro </t>
  </si>
  <si>
    <t>Marti Jareno</t>
  </si>
  <si>
    <t>Ventós Lario</t>
  </si>
  <si>
    <t xml:space="preserve">Lluís </t>
  </si>
  <si>
    <t>Simon Rubia</t>
  </si>
  <si>
    <t xml:space="preserve">Julio Cesar </t>
  </si>
  <si>
    <t>Ibáñez Hidalgo</t>
  </si>
  <si>
    <t xml:space="preserve">Roberto </t>
  </si>
  <si>
    <t>Ruiz Camara</t>
  </si>
  <si>
    <t xml:space="preserve">Sabrina </t>
  </si>
  <si>
    <t xml:space="preserve">Sara </t>
  </si>
  <si>
    <t>Derbis</t>
  </si>
  <si>
    <t xml:space="preserve">Nerea </t>
  </si>
  <si>
    <t xml:space="preserve">Rocio </t>
  </si>
  <si>
    <t xml:space="preserve">Celia </t>
  </si>
  <si>
    <t xml:space="preserve">Monica </t>
  </si>
  <si>
    <t xml:space="preserve">Ana </t>
  </si>
  <si>
    <t xml:space="preserve">Claudia </t>
  </si>
  <si>
    <t xml:space="preserve">Sheila </t>
  </si>
  <si>
    <t xml:space="preserve">Anna </t>
  </si>
  <si>
    <t xml:space="preserve">Marta </t>
  </si>
  <si>
    <t xml:space="preserve">Laura </t>
  </si>
  <si>
    <t>Patricia</t>
  </si>
  <si>
    <t>Karina</t>
  </si>
  <si>
    <t xml:space="preserve">Alicia </t>
  </si>
  <si>
    <t>Celia</t>
  </si>
  <si>
    <t>Anna</t>
  </si>
  <si>
    <t>Rosa</t>
  </si>
  <si>
    <t>Rivero Pacheco</t>
  </si>
  <si>
    <t>Gema</t>
  </si>
  <si>
    <t>Laura</t>
  </si>
  <si>
    <t>Dominguez Luna</t>
  </si>
  <si>
    <t>Claudia</t>
  </si>
  <si>
    <t>Cristina</t>
  </si>
  <si>
    <t>Serrano Lopez</t>
  </si>
  <si>
    <t>Katherina Vanessa</t>
  </si>
  <si>
    <t>Nan</t>
  </si>
  <si>
    <t>Calvo Calleja</t>
  </si>
  <si>
    <t>Asuncion</t>
  </si>
  <si>
    <t>Nerea</t>
  </si>
  <si>
    <t>Jesus</t>
  </si>
  <si>
    <t>Gallego Ruiz-Mateos</t>
  </si>
  <si>
    <t>Maria</t>
  </si>
  <si>
    <t>Alicia</t>
  </si>
  <si>
    <t>Monica</t>
  </si>
  <si>
    <t>De Marcos Del Pozo</t>
  </si>
  <si>
    <t>Alvarez Narros</t>
  </si>
  <si>
    <t>Bilbao Areitio</t>
  </si>
  <si>
    <t>Beatriz</t>
  </si>
  <si>
    <t>Jose Luis</t>
  </si>
  <si>
    <t>Alex</t>
  </si>
  <si>
    <t xml:space="preserve">Araceli </t>
  </si>
  <si>
    <t>Cabrera Jiménez</t>
  </si>
  <si>
    <t>Alberto</t>
  </si>
  <si>
    <t xml:space="preserve">Gema </t>
  </si>
  <si>
    <t>Miquel</t>
  </si>
  <si>
    <t>Francisco</t>
  </si>
  <si>
    <t>Ferrer Ramon</t>
  </si>
  <si>
    <t>Sheila</t>
  </si>
  <si>
    <t>Bernat</t>
  </si>
  <si>
    <t>Andres Alejandro</t>
  </si>
  <si>
    <t>Katherine Vanessa</t>
  </si>
  <si>
    <t>Manuel</t>
  </si>
  <si>
    <t>María José</t>
  </si>
  <si>
    <t>Ramon</t>
  </si>
  <si>
    <t>Gustavo</t>
  </si>
  <si>
    <t>Salvador</t>
  </si>
  <si>
    <t>Martinez Lopez</t>
  </si>
  <si>
    <t>Esteban</t>
  </si>
  <si>
    <t>Bitaine</t>
  </si>
  <si>
    <t>Carlota</t>
  </si>
  <si>
    <t>Emilio</t>
  </si>
  <si>
    <t>García Rollón</t>
  </si>
  <si>
    <t>Hector</t>
  </si>
  <si>
    <t>Bruno</t>
  </si>
  <si>
    <t>Jose Manuel</t>
  </si>
  <si>
    <t>Bermudo Mera</t>
  </si>
  <si>
    <t>Garrido Guerrero</t>
  </si>
  <si>
    <t>Guillermo</t>
  </si>
  <si>
    <t>Asis</t>
  </si>
  <si>
    <t>Acuyo Osorio</t>
  </si>
  <si>
    <t>Mario</t>
  </si>
  <si>
    <t>Hausmann</t>
  </si>
  <si>
    <t>Hugo</t>
  </si>
  <si>
    <t>Ismael</t>
  </si>
  <si>
    <t xml:space="preserve">Alex </t>
  </si>
  <si>
    <t>50+ 5.0 Mens Singles</t>
  </si>
  <si>
    <t>Juan Jose</t>
  </si>
  <si>
    <t>Federico</t>
  </si>
  <si>
    <t xml:space="preserve">De Miguel </t>
  </si>
  <si>
    <t>Santiago</t>
  </si>
  <si>
    <t>Pedro Luis</t>
  </si>
  <si>
    <t>Sanchez Rodriguez</t>
  </si>
  <si>
    <t>50+ 4.5 Mens Singles</t>
  </si>
  <si>
    <t>Sanz Moriñigo</t>
  </si>
  <si>
    <t>Ivan</t>
  </si>
  <si>
    <t>Miki</t>
  </si>
  <si>
    <t>Benito Ludeña</t>
  </si>
  <si>
    <t>Paul</t>
  </si>
  <si>
    <t>Sánchez Cano</t>
  </si>
  <si>
    <t>Jose Carlos</t>
  </si>
  <si>
    <t>50+ 3.5 Mens Singles</t>
  </si>
  <si>
    <t>Rodriguez Serna</t>
  </si>
  <si>
    <t>Candela</t>
  </si>
  <si>
    <t>Virginia</t>
  </si>
  <si>
    <t>Veronica</t>
  </si>
  <si>
    <t>Sarabia Navajo</t>
  </si>
  <si>
    <t>Raquel</t>
  </si>
  <si>
    <t>Ruben</t>
  </si>
  <si>
    <t>50+ 5.0 Mixto Dobles</t>
  </si>
  <si>
    <t>50+ 4.5 Mixto Dobles</t>
  </si>
  <si>
    <t>Julian</t>
  </si>
  <si>
    <t>50+ 3.5 Mixto Dobles</t>
  </si>
  <si>
    <t>Conchi</t>
  </si>
  <si>
    <t>Eva</t>
  </si>
  <si>
    <t>Hernando Alvarez</t>
  </si>
  <si>
    <t>Maria Jose</t>
  </si>
  <si>
    <t>Rito</t>
  </si>
  <si>
    <t>Angeles</t>
  </si>
  <si>
    <t>Vazquez Salazar</t>
  </si>
  <si>
    <t>Sanchez Cano</t>
  </si>
  <si>
    <t>Arias Carrasco</t>
  </si>
  <si>
    <t>Fernandez Arevalo</t>
  </si>
  <si>
    <t>Joaquin</t>
  </si>
  <si>
    <t>German</t>
  </si>
  <si>
    <t>Rodríguez Rojano</t>
  </si>
  <si>
    <t>Ortiz Villoria</t>
  </si>
  <si>
    <t>Lucas</t>
  </si>
  <si>
    <t>Silvia</t>
  </si>
  <si>
    <t>Cuadros Joglar</t>
  </si>
  <si>
    <t>García Garre</t>
  </si>
  <si>
    <t>50+ 4.0/4.5 Womens Doubles</t>
  </si>
  <si>
    <t>Begoña</t>
  </si>
  <si>
    <t>Hernando Garcia</t>
  </si>
  <si>
    <t>Andres</t>
  </si>
  <si>
    <t>Jaime</t>
  </si>
  <si>
    <t>Mendola</t>
  </si>
  <si>
    <t>Isabel</t>
  </si>
  <si>
    <t>Arias Carracedo</t>
  </si>
  <si>
    <t xml:space="preserve">Rodriguez Rojano  </t>
  </si>
  <si>
    <t>50+ 3.0/3.5 Women Dobles</t>
  </si>
  <si>
    <t xml:space="preserve">Kargahi </t>
  </si>
  <si>
    <t>Mercedes</t>
  </si>
  <si>
    <t>Joglar Alcubilla</t>
  </si>
  <si>
    <t>Lozano Moreno</t>
  </si>
  <si>
    <t>50+ 5.0 Mens Dobles</t>
  </si>
  <si>
    <t>Gomez Delgado</t>
  </si>
  <si>
    <t>Angel Luis</t>
  </si>
  <si>
    <t>50+ 4.5 Mens Dobles</t>
  </si>
  <si>
    <t>Vicente Pradales</t>
  </si>
  <si>
    <t>Juan Manuel</t>
  </si>
  <si>
    <t>Sardiña Valero</t>
  </si>
  <si>
    <t>Lopez Herreros</t>
  </si>
  <si>
    <t>Casañola Espona</t>
  </si>
  <si>
    <t>50+ 3.0/3.5 Mens Dobles</t>
  </si>
  <si>
    <t>Jose Vicente</t>
  </si>
  <si>
    <t>Raul</t>
  </si>
  <si>
    <t>Segura Gomez</t>
  </si>
  <si>
    <t>Jose Domingo</t>
  </si>
  <si>
    <t>Paiva Jardim</t>
  </si>
  <si>
    <t>FEDERACION DE TENIS DE MADRID</t>
  </si>
  <si>
    <t>Canyadell Fabregas</t>
  </si>
  <si>
    <t>CLUB DE TENIS LERIDA</t>
  </si>
  <si>
    <t>DELEGACION DE TENIS MALAGA</t>
  </si>
  <si>
    <t>Marcos lópez</t>
  </si>
  <si>
    <t>DELEGACION DE TENIS ALICANTE</t>
  </si>
  <si>
    <t>Díaz Ibáñez</t>
  </si>
  <si>
    <t>C.D.E. VIRTUALTENIS CEUTA</t>
  </si>
  <si>
    <t>DELEGACION DE TENIS CADIZ</t>
  </si>
  <si>
    <t>De Rueda De Genover</t>
  </si>
  <si>
    <t>FEDERACION ANDALUZA DE TENIS</t>
  </si>
  <si>
    <t>SABADELL PICKLEBALL CLUB</t>
  </si>
  <si>
    <t>Vega Gutierrez</t>
  </si>
  <si>
    <t>Horcajuelo Vicente</t>
  </si>
  <si>
    <t>Lopez Gomez</t>
  </si>
  <si>
    <t>Martinez Santonja</t>
  </si>
  <si>
    <t>Novales De Diago</t>
  </si>
  <si>
    <t>Parrilla Pulido</t>
  </si>
  <si>
    <t>CLUB DEPORTIVO ELEMENTAL NET SPORTS</t>
  </si>
  <si>
    <t>FEDERACION CATALANA DE TENIS</t>
  </si>
  <si>
    <t>DELEGACION DE TENIS LA CORUÑA</t>
  </si>
  <si>
    <t>Alvarez Rivero</t>
  </si>
  <si>
    <t>C.D.E. TENIS 5º SET</t>
  </si>
  <si>
    <t>Alvarez Novoa</t>
  </si>
  <si>
    <t>Javier Gaspar</t>
  </si>
  <si>
    <t>Granados Sanchez</t>
  </si>
  <si>
    <t>FEDERACION DE TENIS DE CASTILLA Y LEON</t>
  </si>
  <si>
    <t>Manuel Carlos</t>
  </si>
  <si>
    <t>Arroyo Colado</t>
  </si>
  <si>
    <t>CASINO FERROLANO-TENIS CLUB</t>
  </si>
  <si>
    <t>Blanca Delgado</t>
  </si>
  <si>
    <t>Granados Jimenez</t>
  </si>
  <si>
    <t>Fernández Bonet</t>
  </si>
  <si>
    <t>Mediero Toledano</t>
  </si>
  <si>
    <t>CLUB DE TENIS I PADEL HOSPITALET</t>
  </si>
  <si>
    <t>Palazon Marquina</t>
  </si>
  <si>
    <t>FEDERACION DE TENIS COMUNIDAD VALENCIANA</t>
  </si>
  <si>
    <t>Bitan Georget</t>
  </si>
  <si>
    <t>Linares Andrade</t>
  </si>
  <si>
    <t>Jimenez Jimenez</t>
  </si>
  <si>
    <t>FEDERACION CANTABRA DE TENIS</t>
  </si>
  <si>
    <t>Rad Rubio</t>
  </si>
  <si>
    <t>Jesus Ivan</t>
  </si>
  <si>
    <t>Tomás</t>
  </si>
  <si>
    <t>CLUB DEPORTIVO PICKLEBALL DURANGO</t>
  </si>
  <si>
    <t>Viñuela Rubio</t>
  </si>
  <si>
    <t>CLUB DE TENIS VALDEMORO</t>
  </si>
  <si>
    <t xml:space="preserve">Ange Luis </t>
  </si>
  <si>
    <t xml:space="preserve"> </t>
  </si>
  <si>
    <t>Mendez Dominguez</t>
  </si>
  <si>
    <t xml:space="preserve">C.D.E. TENIS MADRID </t>
  </si>
  <si>
    <t>Chumillas Lidón</t>
  </si>
  <si>
    <t>Cardo Rodriguez</t>
  </si>
  <si>
    <t>Vazquez Ranz</t>
  </si>
  <si>
    <t>De Miguel Gonzalez</t>
  </si>
  <si>
    <t>Cartagena S-cabezudo</t>
  </si>
  <si>
    <t>Fierro Gonzalez</t>
  </si>
  <si>
    <t>Castells Carbonell</t>
  </si>
  <si>
    <t>Castrillo Zamora</t>
  </si>
  <si>
    <t>C.D.E. TENIS ALBORAN</t>
  </si>
  <si>
    <t>CLUB DE TENIS BARA</t>
  </si>
  <si>
    <t>Perez Soto</t>
  </si>
  <si>
    <t>Carlos Alberto</t>
  </si>
  <si>
    <t>Perez Lainez</t>
  </si>
  <si>
    <t>Lainez Jimenez</t>
  </si>
  <si>
    <t>Morales Herrera</t>
  </si>
  <si>
    <t>Guerrero García</t>
  </si>
  <si>
    <t>Araceli Belen</t>
  </si>
  <si>
    <t>Capobianco Teran</t>
  </si>
  <si>
    <t>Cortes Barrio</t>
  </si>
  <si>
    <t>Puebla Prada</t>
  </si>
  <si>
    <t>Blanco Acedo</t>
  </si>
  <si>
    <t>Medina Díaz</t>
  </si>
  <si>
    <t>Rubén</t>
  </si>
  <si>
    <t>Ortiz Carrasco-Muñoz</t>
  </si>
  <si>
    <t>Belén</t>
  </si>
  <si>
    <t>10768028</t>
  </si>
  <si>
    <t>Hernandez Gomez</t>
  </si>
  <si>
    <t>Ansaldo Rosillo</t>
  </si>
  <si>
    <t>Joaquín</t>
  </si>
  <si>
    <t>FEDERACION DE TENIS CASTILLA-LA MANCHA</t>
  </si>
  <si>
    <t>Navas Rodriguez</t>
  </si>
  <si>
    <t>Heredia Landeras</t>
  </si>
  <si>
    <t>Hurtado Lorenzo</t>
  </si>
  <si>
    <t>Miguel Rodrigo</t>
  </si>
  <si>
    <t>Villoria Chacon</t>
  </si>
  <si>
    <t>M Carmen</t>
  </si>
  <si>
    <t>Ramirez Calvo</t>
  </si>
  <si>
    <t>CLUB DE TENIS FUENCARRAL</t>
  </si>
  <si>
    <t>Garcia Martin</t>
  </si>
  <si>
    <t>Alejandra Herminia</t>
  </si>
  <si>
    <t>Senciales del Moral</t>
  </si>
  <si>
    <t>Yanes Cabrera</t>
  </si>
  <si>
    <t>Prieto Jimenez</t>
  </si>
  <si>
    <t>Rosa Maria</t>
  </si>
  <si>
    <t>Martín Rodríguez</t>
  </si>
  <si>
    <t>Martínez Saiz</t>
  </si>
  <si>
    <t>Concepcion</t>
  </si>
  <si>
    <t>Díaz Navas</t>
  </si>
  <si>
    <t>Del Ama Salgado</t>
  </si>
  <si>
    <t>Campoy Rodriguez</t>
  </si>
  <si>
    <t>De La Rocha Zerolo</t>
  </si>
  <si>
    <t>Heras Hernanz</t>
  </si>
  <si>
    <t>Hernández Vozmediano</t>
  </si>
  <si>
    <t>Jacinto Trenado</t>
  </si>
  <si>
    <t>Palomo Gutierrez</t>
  </si>
  <si>
    <t>De La Peña Vizcaíno</t>
  </si>
  <si>
    <t>Maria Rosa</t>
  </si>
  <si>
    <t>Gonzalo Martin</t>
  </si>
  <si>
    <t>Rey Lopez</t>
  </si>
  <si>
    <t>Julian Francisco</t>
  </si>
  <si>
    <t>CLUB TENIS ALCORCON</t>
  </si>
  <si>
    <t>Ansaldo Hernandez</t>
  </si>
  <si>
    <t>C.D.E. OCAPA</t>
  </si>
  <si>
    <t>Montañez Cordobes</t>
  </si>
  <si>
    <t>Gonzalez Pacheco</t>
  </si>
  <si>
    <t>Gómez Navarro</t>
  </si>
  <si>
    <t>FEDERACION ARAGONESA DE TENIS</t>
  </si>
  <si>
    <t>CIRCULO CULTURAL MERCANTIL E INDUSTRIAL</t>
  </si>
  <si>
    <t>Yañez Brea</t>
  </si>
  <si>
    <t>Medina Diaz</t>
  </si>
  <si>
    <t>Jurado Gomez</t>
  </si>
  <si>
    <t>Carpio Sanchez</t>
  </si>
  <si>
    <t>DELEGACION DE TENIS CIUDAD REAL</t>
  </si>
  <si>
    <t>Gutierrez Castaño</t>
  </si>
  <si>
    <t>Mangas Luque</t>
  </si>
  <si>
    <t>CLUB DEPORTIVO PARQUE DE CATALUÑA</t>
  </si>
  <si>
    <t>Silvio Martin</t>
  </si>
  <si>
    <t>TERRITORIAL</t>
  </si>
  <si>
    <t>MADRID</t>
  </si>
  <si>
    <t>CATALUÑA</t>
  </si>
  <si>
    <t>ANDALUCIA</t>
  </si>
  <si>
    <t>CEUTA</t>
  </si>
  <si>
    <t>GALICIA</t>
  </si>
  <si>
    <t>CASTILLA LEON</t>
  </si>
  <si>
    <t>CANTABRIA</t>
  </si>
  <si>
    <t>PAIS VASCO</t>
  </si>
  <si>
    <t>CASTILLA LA MANCHA</t>
  </si>
  <si>
    <t>ARAGON</t>
  </si>
  <si>
    <t>Bravo Balmori</t>
  </si>
  <si>
    <t>Garcia Alcala-Nieto</t>
  </si>
  <si>
    <t>Ziarreta Fernandez</t>
  </si>
  <si>
    <t>C. VALENCIA</t>
  </si>
  <si>
    <t>Prieto Perez</t>
  </si>
  <si>
    <t>s/n</t>
  </si>
  <si>
    <t>Ferran</t>
  </si>
  <si>
    <t>Oliver Cruells</t>
  </si>
  <si>
    <t>Ordoñez Perez</t>
  </si>
  <si>
    <t>Ainhoa </t>
  </si>
  <si>
    <t>Perez Estrada</t>
  </si>
  <si>
    <t>Xabier</t>
  </si>
  <si>
    <t>SPORTENNIS RUBI</t>
  </si>
  <si>
    <t>FEDERACION TENIS CATALUÑA</t>
  </si>
  <si>
    <t>Nil</t>
  </si>
  <si>
    <t>CLUB TENIS BARA</t>
  </si>
  <si>
    <t>Pol</t>
  </si>
  <si>
    <t>Llagostera Belzunce</t>
  </si>
  <si>
    <t xml:space="preserve">Eugeni </t>
  </si>
  <si>
    <t>Sureda Gallardo</t>
  </si>
  <si>
    <t>01106211 </t>
  </si>
  <si>
    <t>Alvarez Torner</t>
  </si>
  <si>
    <t>Gimenez Chavarria</t>
  </si>
  <si>
    <t>Rodriguez Abad</t>
  </si>
  <si>
    <t>11856848 </t>
  </si>
  <si>
    <t>Alonso Gonzalez</t>
  </si>
  <si>
    <t>Gustavo Adolfo</t>
  </si>
  <si>
    <r>
      <rPr>
        <b/>
        <sz val="16"/>
        <color theme="1"/>
        <rFont val="Calibri"/>
        <family val="2"/>
        <scheme val="minor"/>
      </rPr>
      <t>Valor de puntuaciones del Ranking Nacional según tipo de torneo</t>
    </r>
    <r>
      <rPr>
        <b/>
        <sz val="11"/>
        <color theme="1"/>
        <rFont val="Calibri"/>
        <family val="2"/>
        <scheme val="minor"/>
      </rPr>
      <t xml:space="preserve"> </t>
    </r>
  </si>
  <si>
    <t>Obligatorio tener la licencia federativa</t>
  </si>
  <si>
    <t>Internacional</t>
  </si>
  <si>
    <t>Campeonato España</t>
  </si>
  <si>
    <t>Circuito Nacional</t>
  </si>
  <si>
    <t>Autonómico</t>
  </si>
  <si>
    <t xml:space="preserve">Provincial </t>
  </si>
  <si>
    <t>Local</t>
  </si>
  <si>
    <t>1º Oro</t>
  </si>
  <si>
    <t>2º Plata</t>
  </si>
  <si>
    <t>3º Bronce</t>
  </si>
  <si>
    <t>4º Clasificado</t>
  </si>
  <si>
    <t>Cuartos</t>
  </si>
  <si>
    <t>Grupos</t>
  </si>
  <si>
    <t>Hellin Añil</t>
  </si>
  <si>
    <t>Pascual Piqué</t>
  </si>
  <si>
    <t>Israel</t>
  </si>
  <si>
    <t>Plana Nusas</t>
  </si>
  <si>
    <t>Talavera Cortada</t>
  </si>
  <si>
    <t>Jose</t>
  </si>
  <si>
    <t>Josep Albert</t>
  </si>
  <si>
    <t>Juncosa Ollé</t>
  </si>
  <si>
    <t>Ricardo</t>
  </si>
  <si>
    <t>Jaume</t>
  </si>
  <si>
    <t>Cruells Sánchez</t>
  </si>
  <si>
    <t>Lidia</t>
  </si>
  <si>
    <t>Celeste</t>
  </si>
  <si>
    <t>Muñoz Barragan</t>
  </si>
  <si>
    <t>Modol Estruch</t>
  </si>
  <si>
    <t>Vidal  Giro</t>
  </si>
  <si>
    <t>Vidal-Abarca Armengol</t>
  </si>
  <si>
    <t>Parramon Fernandez</t>
  </si>
  <si>
    <t>Aguilar Doste</t>
  </si>
  <si>
    <t>Marimar</t>
  </si>
  <si>
    <t>Gomez Sanchez</t>
  </si>
  <si>
    <t>Mateu Otin</t>
  </si>
  <si>
    <t xml:space="preserve">Montse </t>
  </si>
  <si>
    <t>Herrero Fernandez</t>
  </si>
  <si>
    <t>Lacasa Claver</t>
  </si>
  <si>
    <t xml:space="preserve">Enrique </t>
  </si>
  <si>
    <t>Osorio Serrano</t>
  </si>
  <si>
    <t xml:space="preserve">Eva </t>
  </si>
  <si>
    <t>Rueda Perramon</t>
  </si>
  <si>
    <t>Lara Vega</t>
  </si>
  <si>
    <t xml:space="preserve">Ruth </t>
  </si>
  <si>
    <t>Paz Aragon</t>
  </si>
  <si>
    <t xml:space="preserve">Julia </t>
  </si>
  <si>
    <t>Paula</t>
  </si>
  <si>
    <t>Ruth</t>
  </si>
  <si>
    <t>Alejandra</t>
  </si>
  <si>
    <t>Ynclan Pajares</t>
  </si>
  <si>
    <t>Blanca</t>
  </si>
  <si>
    <t>Badia</t>
  </si>
  <si>
    <t>Mauro</t>
  </si>
  <si>
    <t>octavos</t>
  </si>
  <si>
    <t>Luis</t>
  </si>
  <si>
    <t>Campos de los Reyes</t>
  </si>
  <si>
    <t>Adrian</t>
  </si>
  <si>
    <t>Dóyega Rodríguez</t>
  </si>
  <si>
    <t>Angel</t>
  </si>
  <si>
    <t>Savva</t>
  </si>
  <si>
    <t xml:space="preserve">Katlin </t>
  </si>
  <si>
    <t xml:space="preserve">Carlos  </t>
  </si>
  <si>
    <t>Mesejo</t>
  </si>
  <si>
    <t>Noemi</t>
  </si>
  <si>
    <t>Carmen</t>
  </si>
  <si>
    <t>Nuria</t>
  </si>
  <si>
    <t>Peten</t>
  </si>
  <si>
    <t xml:space="preserve">De Miguel  </t>
  </si>
  <si>
    <t>Felix</t>
  </si>
  <si>
    <t>Nacarino Avila</t>
  </si>
  <si>
    <t>Ignacio</t>
  </si>
  <si>
    <t>De la Iglesia Lopez</t>
  </si>
  <si>
    <t xml:space="preserve">Mosquera Casero </t>
  </si>
  <si>
    <t>60+ 5.0 Mens Singles</t>
  </si>
  <si>
    <t>60+ 3.5 Mens Singles</t>
  </si>
  <si>
    <t>González Viedma</t>
  </si>
  <si>
    <t>Cristóbal Bermejo</t>
  </si>
  <si>
    <t>Jose Antonio</t>
  </si>
  <si>
    <t>Quintero Armas</t>
  </si>
  <si>
    <t>Laudelino</t>
  </si>
  <si>
    <t>Jimenez Gonzalez</t>
  </si>
  <si>
    <t>Valentin</t>
  </si>
  <si>
    <t>Palomo</t>
  </si>
  <si>
    <t>Riba Farrés</t>
  </si>
  <si>
    <t>Garrido Sanjuan</t>
  </si>
  <si>
    <t>Asier</t>
  </si>
  <si>
    <t>50+  Womens Singles</t>
  </si>
  <si>
    <t>Molina Duran</t>
  </si>
  <si>
    <t>Barbara</t>
  </si>
  <si>
    <t xml:space="preserve">María </t>
  </si>
  <si>
    <t>María Jesús</t>
  </si>
  <si>
    <t>Calvo López</t>
  </si>
  <si>
    <t xml:space="preserve">Valeria </t>
  </si>
  <si>
    <t>Ibáñez</t>
  </si>
  <si>
    <t>Martínez Baztán</t>
  </si>
  <si>
    <t xml:space="preserve">Carmen </t>
  </si>
  <si>
    <t>Putniņa Krupnika</t>
  </si>
  <si>
    <t xml:space="preserve">Dace </t>
  </si>
  <si>
    <t>Ivars Soriano</t>
  </si>
  <si>
    <t>Adamska</t>
  </si>
  <si>
    <t>Portabella Villela</t>
  </si>
  <si>
    <t xml:space="preserve">Sofia </t>
  </si>
  <si>
    <t>De Miguel</t>
  </si>
  <si>
    <t>Magdalena</t>
  </si>
  <si>
    <t>60+ 4.5 Mixto Dobles</t>
  </si>
  <si>
    <t>Mila</t>
  </si>
  <si>
    <t>Cesar</t>
  </si>
  <si>
    <t xml:space="preserve">Angel Luis </t>
  </si>
  <si>
    <t>Estrella</t>
  </si>
  <si>
    <t>Morales Gonzalez</t>
  </si>
  <si>
    <t>Pilar</t>
  </si>
  <si>
    <t>Prats Delgado</t>
  </si>
  <si>
    <t>Maria Teresa</t>
  </si>
  <si>
    <t>Maria de los Angeles</t>
  </si>
  <si>
    <t>Delgado Cabrera</t>
  </si>
  <si>
    <t>Peris Lopez</t>
  </si>
  <si>
    <t>Pacheco Gomez</t>
  </si>
  <si>
    <t xml:space="preserve">Maria Angeles </t>
  </si>
  <si>
    <t>Kargahi</t>
  </si>
  <si>
    <t>Almudena</t>
  </si>
  <si>
    <t xml:space="preserve">Rosa  </t>
  </si>
  <si>
    <t xml:space="preserve">Mario </t>
  </si>
  <si>
    <t>Paloma</t>
  </si>
  <si>
    <t>Baudet Vera</t>
  </si>
  <si>
    <t xml:space="preserve">Andrés </t>
  </si>
  <si>
    <t xml:space="preserve">Gonzalo </t>
  </si>
  <si>
    <t xml:space="preserve">Jesus </t>
  </si>
  <si>
    <t xml:space="preserve">Carlos </t>
  </si>
  <si>
    <t>Francés Arnau</t>
  </si>
  <si>
    <t xml:space="preserve">Joaquín </t>
  </si>
  <si>
    <t>Hinojosa</t>
  </si>
  <si>
    <t xml:space="preserve">Jose Manuel </t>
  </si>
  <si>
    <t xml:space="preserve">Marcos </t>
  </si>
  <si>
    <t xml:space="preserve">Ivan </t>
  </si>
  <si>
    <t>Alonso García</t>
  </si>
  <si>
    <t>Puerto</t>
  </si>
  <si>
    <t>Nuñez Lopez</t>
  </si>
  <si>
    <t xml:space="preserve">Oliver </t>
  </si>
  <si>
    <t>Segura Rubio</t>
  </si>
  <si>
    <t xml:space="preserve">Pere </t>
  </si>
  <si>
    <t>López Trujillo</t>
  </si>
  <si>
    <t>Yuri Santiago</t>
  </si>
  <si>
    <t>Syromolotov Netrebin</t>
  </si>
  <si>
    <t>Gómez Pujalte</t>
  </si>
  <si>
    <t>Juan Bernardo</t>
  </si>
  <si>
    <t xml:space="preserve">Sergi </t>
  </si>
  <si>
    <t>Martinez Moreno</t>
  </si>
  <si>
    <t xml:space="preserve">Jose Alberto </t>
  </si>
  <si>
    <t xml:space="preserve">Pablo </t>
  </si>
  <si>
    <t xml:space="preserve">Rubén </t>
  </si>
  <si>
    <t>Moya Barba</t>
  </si>
  <si>
    <t>Andrés</t>
  </si>
  <si>
    <t>Pérez Ledo</t>
  </si>
  <si>
    <t>18+ 5.0 Mens Singles</t>
  </si>
  <si>
    <t>18+ 4.0/4.5 Mens Singles</t>
  </si>
  <si>
    <t>18+ 3.0/3.5 Mens Singles</t>
  </si>
  <si>
    <t>18+ 5.0 Womens Singles</t>
  </si>
  <si>
    <t>18+ 4.0/4.5 Womens Singles</t>
  </si>
  <si>
    <t>18+ 3.0/3.5 Womens Singles</t>
  </si>
  <si>
    <t>18+ 5.0 Mixto Dobles</t>
  </si>
  <si>
    <t>18+ 4.0/4.5 Mixto Dobles</t>
  </si>
  <si>
    <t>18+ 3.0/3.5 Mixto Dobles</t>
  </si>
  <si>
    <t>18+ 5.0 Mens Dobles</t>
  </si>
  <si>
    <t>18+ 4.0/4.5 Mens Dobles</t>
  </si>
  <si>
    <t>18+ 3.0/3.5 Mens Dobles</t>
  </si>
  <si>
    <t>18+ 5.0 Womens Doubles</t>
  </si>
  <si>
    <t>18+ 4.0/4.5 Womens Doubles</t>
  </si>
  <si>
    <t>18+ 3.0/3.5 Women Dobles</t>
  </si>
  <si>
    <t>Ana</t>
  </si>
  <si>
    <t>Maria Jesus</t>
  </si>
  <si>
    <t>Revilla Gallego</t>
  </si>
  <si>
    <t>Flores</t>
  </si>
  <si>
    <t>Barbero</t>
  </si>
  <si>
    <t>Lorena</t>
  </si>
  <si>
    <t>Gomez Pujalte</t>
  </si>
  <si>
    <t xml:space="preserve">Portabella Villela </t>
  </si>
  <si>
    <t>Sofia</t>
  </si>
  <si>
    <t>Pere</t>
  </si>
  <si>
    <t>Alejandro</t>
  </si>
  <si>
    <t>Soledad</t>
  </si>
  <si>
    <t>Joel</t>
  </si>
  <si>
    <t>Pitzalis Morillas</t>
  </si>
  <si>
    <t>Efisio</t>
  </si>
  <si>
    <t>García Revuelto</t>
  </si>
  <si>
    <t>Alba</t>
  </si>
  <si>
    <t>Valeria</t>
  </si>
  <si>
    <t>Solar Saiz</t>
  </si>
  <si>
    <t>Garcia Aguilera</t>
  </si>
  <si>
    <t xml:space="preserve">Francisco Javier </t>
  </si>
  <si>
    <t>60+ 4.5 Mens Dobles</t>
  </si>
  <si>
    <t>60+ 3.5 Mens Dobles</t>
  </si>
  <si>
    <t xml:space="preserve">Laudelino </t>
  </si>
  <si>
    <t>Moreno de Tejada</t>
  </si>
  <si>
    <t>Alonso Morodo</t>
  </si>
  <si>
    <t>Tomas</t>
  </si>
  <si>
    <t xml:space="preserve">Angel  </t>
  </si>
  <si>
    <t>Cristobal Bermejo</t>
  </si>
  <si>
    <t>Diego</t>
  </si>
  <si>
    <t>Garrido San Juan</t>
  </si>
  <si>
    <t xml:space="preserve">Alvarez  </t>
  </si>
  <si>
    <t>Helena</t>
  </si>
  <si>
    <t>Elisa</t>
  </si>
  <si>
    <t>Barrionuevo Bajo</t>
  </si>
  <si>
    <t>Gabarda Crespo</t>
  </si>
  <si>
    <t xml:space="preserve">Estefanía </t>
  </si>
  <si>
    <t>Contis</t>
  </si>
  <si>
    <t>Clara</t>
  </si>
  <si>
    <t>Marisa</t>
  </si>
  <si>
    <t>Belen</t>
  </si>
  <si>
    <t>Kris</t>
  </si>
  <si>
    <t>Fernandez Sanchez</t>
  </si>
  <si>
    <t>50+ 5.0 Womens Doubles</t>
  </si>
  <si>
    <t>Tere</t>
  </si>
  <si>
    <t>Glauka</t>
  </si>
  <si>
    <t>Teresa</t>
  </si>
  <si>
    <t>Beltran</t>
  </si>
  <si>
    <t>Julia</t>
  </si>
  <si>
    <t>Andrea</t>
  </si>
  <si>
    <t>Katlin</t>
  </si>
  <si>
    <t>Garcia Garre</t>
  </si>
  <si>
    <t>Julio Cesar</t>
  </si>
  <si>
    <t>Gerardo</t>
  </si>
  <si>
    <t>Juan Antonio</t>
  </si>
  <si>
    <t>Doyega Rodriguez</t>
  </si>
  <si>
    <t>Iñaki</t>
  </si>
  <si>
    <t>Jose Alberto</t>
  </si>
  <si>
    <t>Tirado</t>
  </si>
  <si>
    <t>Llamas Diaz</t>
  </si>
  <si>
    <t>Gonzalez de Castejon</t>
  </si>
  <si>
    <t xml:space="preserve">Perez de Castro </t>
  </si>
  <si>
    <t>Perez Ledo</t>
  </si>
  <si>
    <t>Gonzalez Viedma</t>
  </si>
  <si>
    <t>Chillon Garcia</t>
  </si>
  <si>
    <t>Mariano</t>
  </si>
  <si>
    <t>Espinosa Sedano</t>
  </si>
  <si>
    <t>Alonso Garcia</t>
  </si>
  <si>
    <t>Lopez Trujillo</t>
  </si>
  <si>
    <t xml:space="preserve">Efisio </t>
  </si>
  <si>
    <t>Ramos Mateo</t>
  </si>
  <si>
    <t>Malo Molina</t>
  </si>
  <si>
    <t>Sarrasin Fuentes</t>
  </si>
  <si>
    <t xml:space="preserve">Puerto </t>
  </si>
  <si>
    <t>Eduardo</t>
  </si>
  <si>
    <t>Frances Arnau</t>
  </si>
  <si>
    <t>Nuñez Ramirez</t>
  </si>
  <si>
    <t>Lowy</t>
  </si>
  <si>
    <t xml:space="preserve">De Antonio </t>
  </si>
  <si>
    <t>Oliver</t>
  </si>
  <si>
    <t>Andrews</t>
  </si>
  <si>
    <t>Riba Farres</t>
  </si>
  <si>
    <t>Carles</t>
  </si>
  <si>
    <t>CLUB EGARA</t>
  </si>
  <si>
    <t>Oscar</t>
  </si>
  <si>
    <t>CT BARCINO</t>
  </si>
  <si>
    <t>Juan Pablo</t>
  </si>
  <si>
    <t>10768961</t>
  </si>
  <si>
    <t>Rosagro Escámez</t>
  </si>
  <si>
    <t>Prieto Planelles</t>
  </si>
  <si>
    <t>Servy Gómez</t>
  </si>
  <si>
    <t>Roncero Pardo</t>
  </si>
  <si>
    <t>Sanchis Melero</t>
  </si>
  <si>
    <t xml:space="preserve">Higinio </t>
  </si>
  <si>
    <t>Cot Bernat</t>
  </si>
  <si>
    <t>Natalia</t>
  </si>
  <si>
    <t>Xavier</t>
  </si>
  <si>
    <t>Sonia</t>
  </si>
  <si>
    <t>Jessica</t>
  </si>
  <si>
    <t>Yon Ander</t>
  </si>
  <si>
    <t>Joan Manel</t>
  </si>
  <si>
    <t>Ainara</t>
  </si>
  <si>
    <t>FEDERACION CASTILLA Y LEON</t>
  </si>
  <si>
    <t>CASTILLA Y LEON</t>
  </si>
  <si>
    <t>Lacasa</t>
  </si>
  <si>
    <t>Enric</t>
  </si>
  <si>
    <t>Parramon</t>
  </si>
  <si>
    <t>Maria del Mar</t>
  </si>
  <si>
    <t>Cruells</t>
  </si>
  <si>
    <t>Haoyang</t>
  </si>
  <si>
    <t>Zhang</t>
  </si>
  <si>
    <t>Narbona Mazuela</t>
  </si>
  <si>
    <t>Alfonso Juan</t>
  </si>
  <si>
    <t>De Francisco Rus</t>
  </si>
  <si>
    <t>Bajo Calderón</t>
  </si>
  <si>
    <t>Hernando Gomez</t>
  </si>
  <si>
    <t>Ojalvo Lozano</t>
  </si>
  <si>
    <t>Leganes Sanchez</t>
  </si>
  <si>
    <t xml:space="preserve">Antonio </t>
  </si>
  <si>
    <t>Almenar Gonzalez</t>
  </si>
  <si>
    <t>Camara Camara</t>
  </si>
  <si>
    <t>Alvarez Escriva</t>
  </si>
  <si>
    <t>Navas Diaz</t>
  </si>
  <si>
    <t xml:space="preserve">Borja </t>
  </si>
  <si>
    <t>Gabriel</t>
  </si>
  <si>
    <t>Laurent</t>
  </si>
  <si>
    <t>Nederlandt</t>
  </si>
  <si>
    <t>Sanchez Valverde</t>
  </si>
  <si>
    <t>Garrido Sánchez</t>
  </si>
  <si>
    <t xml:space="preserve">Quintin </t>
  </si>
  <si>
    <t>Molero Lorenzo</t>
  </si>
  <si>
    <t xml:space="preserve">Rebeca </t>
  </si>
  <si>
    <t>Castillo Erustes</t>
  </si>
  <si>
    <t xml:space="preserve">Teresa </t>
  </si>
  <si>
    <t>Prieto Martinez</t>
  </si>
  <si>
    <t>Rebeca</t>
  </si>
  <si>
    <t xml:space="preserve">Beatriz </t>
  </si>
  <si>
    <t>García Rodríguez</t>
  </si>
  <si>
    <t xml:space="preserve">Rosa </t>
  </si>
  <si>
    <t>Ana María</t>
  </si>
  <si>
    <t>Villegas Bravo</t>
  </si>
  <si>
    <t>Fernández Salvador</t>
  </si>
  <si>
    <t>Mendoza Mendoza</t>
  </si>
  <si>
    <t>Ruth Maria</t>
  </si>
  <si>
    <t>Beltran Molina</t>
  </si>
  <si>
    <t xml:space="preserve">Emilio </t>
  </si>
  <si>
    <t>González Arribas</t>
  </si>
  <si>
    <t>Manijeh Nan</t>
  </si>
  <si>
    <t>Rodriguez-Palanca priego</t>
  </si>
  <si>
    <t xml:space="preserve">Marisa </t>
  </si>
  <si>
    <t xml:space="preserve">Raul </t>
  </si>
  <si>
    <t>Muriel Gutierrez</t>
  </si>
  <si>
    <t xml:space="preserve">Paloma </t>
  </si>
  <si>
    <t>Iriarte Perez</t>
  </si>
  <si>
    <t>Palomar Framit</t>
  </si>
  <si>
    <t xml:space="preserve">Asier </t>
  </si>
  <si>
    <t>CLUB DEPORTIVO ELEMENTAL PICKLEBALL GROWTH MOSTOLES</t>
  </si>
  <si>
    <t>García Sánchez</t>
  </si>
  <si>
    <t>Corchero Ramiro</t>
  </si>
  <si>
    <t>ASOCIACION DEPORTIVA SPORTEM</t>
  </si>
  <si>
    <t>EXTREMADURA</t>
  </si>
  <si>
    <t>CLUB DE TENIS OROMANA</t>
  </si>
  <si>
    <t>Herrera González</t>
  </si>
  <si>
    <t>Aviles Olmo</t>
  </si>
  <si>
    <t>1763095 </t>
  </si>
  <si>
    <t xml:space="preserve">Noe </t>
  </si>
  <si>
    <t>Paco Sanchez</t>
  </si>
  <si>
    <t>CLUB DEPORTIVO ELEMENTAL VICALVARADA</t>
  </si>
  <si>
    <t>Castellano Moreno</t>
  </si>
  <si>
    <t>Morán Almenara</t>
  </si>
  <si>
    <t>Francisco José</t>
  </si>
  <si>
    <t>DELEGACION DE TENIS CORDOBA</t>
  </si>
  <si>
    <t>Bernal De los Santos</t>
  </si>
  <si>
    <t>Jesús Miguel</t>
  </si>
  <si>
    <t>Arthur Benoit</t>
  </si>
  <si>
    <t>Lebreton</t>
  </si>
  <si>
    <t>Simon Palomares</t>
  </si>
  <si>
    <t>VALENCIANA</t>
  </si>
  <si>
    <t>Flores Doblas</t>
  </si>
  <si>
    <t>Bravo Rodríguez</t>
  </si>
  <si>
    <t>Rodriguez-palacan Garcia</t>
  </si>
  <si>
    <t>C.D.E. TENIS MADRID</t>
  </si>
  <si>
    <t>César</t>
  </si>
  <si>
    <t>REAL CLUB DE TENIS BARCELONA-1899</t>
  </si>
  <si>
    <t>Satrústegui Coca</t>
  </si>
  <si>
    <t>González Blanco</t>
  </si>
  <si>
    <t>Junco Anos</t>
  </si>
  <si>
    <t>Montejo González</t>
  </si>
  <si>
    <t>Albert Hevia</t>
  </si>
  <si>
    <t>Fabio Daniel</t>
  </si>
  <si>
    <t>FEDERACION DE TENIS REGION DE MURCIA</t>
  </si>
  <si>
    <t>MURCIA</t>
  </si>
  <si>
    <t>Moreno Aguilar</t>
  </si>
  <si>
    <t>Catala Gutiérrez</t>
  </si>
  <si>
    <t xml:space="preserve">CLUB DE TENIS LA MORALEJA </t>
  </si>
  <si>
    <t>Gonzalez Cerezo</t>
  </si>
  <si>
    <t>Granados Sánchez</t>
  </si>
  <si>
    <t>Ramos Santos</t>
  </si>
  <si>
    <t>Mula Vivero</t>
  </si>
  <si>
    <t>Miguel Ángel</t>
  </si>
  <si>
    <t>Nuñez López</t>
  </si>
  <si>
    <t>Carabias Muñoz</t>
  </si>
  <si>
    <t>Martínez Gallego</t>
  </si>
  <si>
    <t>González De Castejón</t>
  </si>
  <si>
    <t>Coggins Núñez</t>
  </si>
  <si>
    <t>Garcia Barreras</t>
  </si>
  <si>
    <t>Tamayo De Winne</t>
  </si>
  <si>
    <t>Villodres Moreno</t>
  </si>
  <si>
    <t>Torredemer Galles</t>
  </si>
  <si>
    <t>Fernandez Folch</t>
  </si>
  <si>
    <t xml:space="preserve">CLUB DEPORTIVO TERRASSA HOCKEY </t>
  </si>
  <si>
    <t>Barceló Corral</t>
  </si>
  <si>
    <t>Mile Alonso</t>
  </si>
  <si>
    <t>CLUB DE TENIS DENIA</t>
  </si>
  <si>
    <t>Paco López</t>
  </si>
  <si>
    <t>Torres Uriel</t>
  </si>
  <si>
    <t>CLUB DE CAMPO CASINO DE BADAJOZ</t>
  </si>
  <si>
    <t>Luaces</t>
  </si>
  <si>
    <t>Cerrada Cuesta</t>
  </si>
  <si>
    <t>Carpio Sánchez</t>
  </si>
  <si>
    <t>Sanz Engel</t>
  </si>
  <si>
    <t>CLUB NATACIO LLEIDA</t>
  </si>
  <si>
    <t>Rodriguez-palanca Pliego</t>
  </si>
  <si>
    <t>Hergueta Moyano</t>
  </si>
  <si>
    <t>Marchioni Ponte</t>
  </si>
  <si>
    <t>CLUB DEPORTIVO TRIPEROS DE EUROPA</t>
  </si>
  <si>
    <t>CANARIA</t>
  </si>
  <si>
    <t>Satrústegui Escudero</t>
  </si>
  <si>
    <t>REAL CLUB DE LA PUERTA DE HIERRO</t>
  </si>
  <si>
    <t>Almazan Fernández</t>
  </si>
  <si>
    <t>CIRCULO MERCANTIL E INDUSTRIAL</t>
  </si>
  <si>
    <t>Revuelta Armengou</t>
  </si>
  <si>
    <t>Arraez Ibañez</t>
  </si>
  <si>
    <t>CLUB DEPORTIVO DEREITO-EMPRESARIAIS</t>
  </si>
  <si>
    <t>Barroso Nieto</t>
  </si>
  <si>
    <t>CLUB DE TENIS CHAMARTIN</t>
  </si>
  <si>
    <t>SPORT CENTER MANOLO SANTANA</t>
  </si>
  <si>
    <t>Prieto Martínez</t>
  </si>
  <si>
    <t>Levitskiy De Miguel</t>
  </si>
  <si>
    <t>Ruth María</t>
  </si>
  <si>
    <t>De Dorremochea Zaldivar</t>
  </si>
  <si>
    <t>Aragón Guzmán</t>
  </si>
  <si>
    <t>Fernández Sánchez</t>
  </si>
  <si>
    <t>De Miguel González</t>
  </si>
  <si>
    <t xml:space="preserve">CLUB DE TENIS VALDEMORO </t>
  </si>
  <si>
    <t>María Magdalena</t>
  </si>
  <si>
    <t>Durán Roson</t>
  </si>
  <si>
    <t>María V</t>
  </si>
  <si>
    <t>CLUB DEPORTIVO CANCERBERO TENERIFE</t>
  </si>
  <si>
    <t>Ortiz Carrasco-muñoz</t>
  </si>
  <si>
    <t xml:space="preserve">Belén </t>
  </si>
  <si>
    <t>Silvestre García</t>
  </si>
  <si>
    <t>Errejón Pérez</t>
  </si>
  <si>
    <t>Molina Durán</t>
  </si>
  <si>
    <t>Bárbara</t>
  </si>
  <si>
    <t>Cárdenas Santa</t>
  </si>
  <si>
    <t>Prieto Martóinez</t>
  </si>
  <si>
    <t>Caruso López</t>
  </si>
  <si>
    <t>Domenec Antonio</t>
  </si>
  <si>
    <t>Gamiz Ponce</t>
  </si>
  <si>
    <t>Jimenez Pueyo</t>
  </si>
  <si>
    <t>Constantino Adrian</t>
  </si>
  <si>
    <t>Reig Castro</t>
  </si>
  <si>
    <t>Óscar</t>
  </si>
  <si>
    <t>Muñoz Gutiérrez</t>
  </si>
  <si>
    <t xml:space="preserve">ASOCIACION DEPORTIVA SPORTEM </t>
  </si>
  <si>
    <t>Rojo Muñoz</t>
  </si>
  <si>
    <t>Sergio</t>
  </si>
  <si>
    <t>CASTILLA-LEON</t>
  </si>
  <si>
    <t>Alvarez Bolaños</t>
  </si>
  <si>
    <t>FEDERACION CANARIA DE TENIS</t>
  </si>
  <si>
    <t>Suarez Pereira</t>
  </si>
  <si>
    <t>Doiztúa Calero</t>
  </si>
  <si>
    <t>López Artés</t>
  </si>
  <si>
    <t>Ruiz Jiménez</t>
  </si>
  <si>
    <t>María G</t>
  </si>
  <si>
    <t>Puertas De Francisco</t>
  </si>
  <si>
    <t>García Benito</t>
  </si>
  <si>
    <t>María Milagros</t>
  </si>
  <si>
    <t>1730466 </t>
  </si>
  <si>
    <t xml:space="preserve">CLUB SPORTS TENNIS CUNIT </t>
  </si>
  <si>
    <t>Arroyo Fernández</t>
  </si>
  <si>
    <t>Pérez Flores</t>
  </si>
  <si>
    <t xml:space="preserve">Jonay Zebenzui </t>
  </si>
  <si>
    <t>Parra Santana</t>
  </si>
  <si>
    <t>Aranda Ramos</t>
  </si>
  <si>
    <t xml:space="preserve">CASINO FERROLANO-TENIS CLUB </t>
  </si>
  <si>
    <t>Campillo García</t>
  </si>
  <si>
    <t>7456397</t>
  </si>
  <si>
    <t>Barcelo Corral</t>
  </si>
  <si>
    <t>Laserna Sanchez</t>
  </si>
  <si>
    <t xml:space="preserve">FEDERACION ARAGONESA DE TENIS </t>
  </si>
  <si>
    <t>García Barreras</t>
  </si>
  <si>
    <t>Lopez Montoya</t>
  </si>
  <si>
    <t>Maria V</t>
  </si>
  <si>
    <t>Duran Roson</t>
  </si>
  <si>
    <t xml:space="preserve">CLUB DEPORTIVO CANCERBERO TENERIFE </t>
  </si>
  <si>
    <t>Joan Manuel</t>
  </si>
  <si>
    <t>Salvador Sara</t>
  </si>
  <si>
    <t>García -Villamil Valle</t>
  </si>
  <si>
    <t xml:space="preserve">DELEGACION DE TENIS CIUDAD REAL </t>
  </si>
  <si>
    <t>Osuna García</t>
  </si>
  <si>
    <t>Arevalo Huelves</t>
  </si>
  <si>
    <t>Cuadrado Vives</t>
  </si>
  <si>
    <t>Espino Esteban</t>
  </si>
  <si>
    <t>Bueno Arbas</t>
  </si>
  <si>
    <t>De La Muela Dorado</t>
  </si>
  <si>
    <t>Velazquez Ruiz-mateos</t>
  </si>
  <si>
    <t>Sarabia Haya</t>
  </si>
  <si>
    <t>Fraile Villanueva</t>
  </si>
  <si>
    <t>Vera Arroyo</t>
  </si>
  <si>
    <t>Vela Torres</t>
  </si>
  <si>
    <t>Badia Rambla</t>
  </si>
  <si>
    <t>Cobos Laguna</t>
  </si>
  <si>
    <t>Fernandez Hernández</t>
  </si>
  <si>
    <t>Lopez Gómez</t>
  </si>
  <si>
    <t>Peréz Marín</t>
  </si>
  <si>
    <t>Avilés Olmo</t>
  </si>
  <si>
    <t>Romero Frías</t>
  </si>
  <si>
    <t>Noe</t>
  </si>
  <si>
    <t>Paco Sánchez</t>
  </si>
  <si>
    <t>Orue Ortíz</t>
  </si>
  <si>
    <t>Bernardo</t>
  </si>
  <si>
    <t>Almenar González</t>
  </si>
  <si>
    <t>Rojo Múñoz</t>
  </si>
  <si>
    <t>CLUB DEPORTIVO ELEMENTAL DEBOL</t>
  </si>
  <si>
    <t>CLUB DEPORTIVO ELEMENTAL PICKLEBALL GROWTH MOSTOLES [0828227]</t>
  </si>
  <si>
    <t>Zamora Hernandez</t>
  </si>
  <si>
    <t>Martin Garcia</t>
  </si>
  <si>
    <t>Bernal De Los Santos</t>
  </si>
  <si>
    <t>Jesus Manuel</t>
  </si>
  <si>
    <t>Garrido López</t>
  </si>
  <si>
    <t>Escobal Fernandez</t>
  </si>
  <si>
    <t xml:space="preserve">CLUB DEPORTIVO PICKLEBALL DURANGO </t>
  </si>
  <si>
    <t>Lorenzo García</t>
  </si>
  <si>
    <t>Lorenzo Morales</t>
  </si>
  <si>
    <t>Gonzalez Blanco</t>
  </si>
  <si>
    <t>Mallo Alvarez</t>
  </si>
  <si>
    <t>Castelleno Moreno</t>
  </si>
  <si>
    <t>CLUB TENIS OROMANA</t>
  </si>
  <si>
    <t xml:space="preserve">CLUB DEPORTIVO ELEMENTAL VICALVARADA </t>
  </si>
  <si>
    <t xml:space="preserve">CLUB TENIS ALCORCON </t>
  </si>
  <si>
    <t>Vilar Vergara</t>
  </si>
  <si>
    <t>Sarrasin Fuentes-gue</t>
  </si>
  <si>
    <t>Iglesia López</t>
  </si>
  <si>
    <t>Javier DE la</t>
  </si>
  <si>
    <t>Gómez- Aleixandre Fernández</t>
  </si>
  <si>
    <t>José Manuel</t>
  </si>
  <si>
    <t>Guillermo Jose</t>
  </si>
  <si>
    <t>Lerner Waen</t>
  </si>
  <si>
    <t>Diego Guillermo</t>
  </si>
  <si>
    <t>Morales Medina</t>
  </si>
  <si>
    <t>Julio Antonio</t>
  </si>
  <si>
    <t>Jonay Zebenzui</t>
  </si>
  <si>
    <t>Vidal-abarca Armengol</t>
  </si>
  <si>
    <t>Campos Alonso</t>
  </si>
  <si>
    <t>Palomar Tomé</t>
  </si>
  <si>
    <t>Sarrasin Gonzalez</t>
  </si>
  <si>
    <t>CLUB DE TENIS LAS ROZAS</t>
  </si>
  <si>
    <t>Vidal-Abarca Iglesias</t>
  </si>
  <si>
    <t xml:space="preserve">CLUB DE TENIS SABADELL </t>
  </si>
  <si>
    <t>Héctor</t>
  </si>
  <si>
    <t>De Gracia Guardia</t>
  </si>
  <si>
    <t>Castano</t>
  </si>
  <si>
    <t>Morillas Poyato</t>
  </si>
  <si>
    <t>Montejo Gonzalez</t>
  </si>
  <si>
    <t>Alia Rebate</t>
  </si>
  <si>
    <t>Marin Jacobo</t>
  </si>
  <si>
    <t>EL TEJAR CLUB DE TENIS</t>
  </si>
  <si>
    <t>Campillo Garcia</t>
  </si>
  <si>
    <t>Cabrera Canales</t>
  </si>
  <si>
    <t>Sanchez Barrios</t>
  </si>
  <si>
    <t>Caturini Peleretegui</t>
  </si>
  <si>
    <t>Campos Martí</t>
  </si>
  <si>
    <t>Almazan Fernandez</t>
  </si>
  <si>
    <t xml:space="preserve">CLUB DEPORTIVO ELEMENTAL TENISCO </t>
  </si>
  <si>
    <t>Bailon Pascual</t>
  </si>
  <si>
    <t>Bravo Muro</t>
  </si>
  <si>
    <t>Moron Rodriguez</t>
  </si>
  <si>
    <t>Sergio Alejandro</t>
  </si>
  <si>
    <t>Sarda Perez</t>
  </si>
  <si>
    <t xml:space="preserve">SPORTENIS DE RUBI </t>
  </si>
  <si>
    <t>Paco Lopez</t>
  </si>
  <si>
    <t>Palomo Martin</t>
  </si>
  <si>
    <t>Yaybek Fervenza</t>
  </si>
  <si>
    <t>Martín Viviani</t>
  </si>
  <si>
    <t>Genovés Llavata</t>
  </si>
  <si>
    <t>Gaspar Pardo De Andrade</t>
  </si>
  <si>
    <t>Santa Cruz Carneros</t>
  </si>
  <si>
    <t>Vivaracho Ruiz</t>
  </si>
  <si>
    <t>Carvajal Vicente</t>
  </si>
  <si>
    <t>Medina Llantén</t>
  </si>
  <si>
    <t>Plantada Cortes</t>
  </si>
  <si>
    <t>CLUB DE TENIS EL PUIG</t>
  </si>
  <si>
    <t>Gomar Perez-Manglano</t>
  </si>
  <si>
    <t>CLUB DE TENIS NAQUERA</t>
  </si>
  <si>
    <t>Mesejo Pereira</t>
  </si>
  <si>
    <t>Aragón Gúzman</t>
  </si>
  <si>
    <t>Olmo Díaz</t>
  </si>
  <si>
    <t>CLUB DEPORT. ACQUA TENIS PLAYA ALICANTE</t>
  </si>
  <si>
    <t>Arroyo Arnau</t>
  </si>
  <si>
    <t>Franco Herrero</t>
  </si>
  <si>
    <t>Alvarez García</t>
  </si>
  <si>
    <t>Ferrando Castrillo</t>
  </si>
  <si>
    <t>Gutierrez Quiroga</t>
  </si>
  <si>
    <t>Motilla Blanch</t>
  </si>
  <si>
    <t>Cabanillas Gallego</t>
  </si>
  <si>
    <t xml:space="preserve">FEDERACION CANARIA DE TENIS </t>
  </si>
  <si>
    <t>Puente De Vera</t>
  </si>
  <si>
    <t>Aldaz Lago</t>
  </si>
  <si>
    <t>Saura Buades</t>
  </si>
  <si>
    <t>Mesa Villarroya</t>
  </si>
  <si>
    <t>Arroyo Fernandez</t>
  </si>
  <si>
    <t>Cañedo Martinez</t>
  </si>
  <si>
    <t>Ruiperez Blazquez</t>
  </si>
  <si>
    <t>CLUB ESPORTIU PLATJA BARCELONA 2020</t>
  </si>
  <si>
    <t>Roca Aso</t>
  </si>
  <si>
    <t>Blasco Benedicto</t>
  </si>
  <si>
    <t>Cordero Arilla</t>
  </si>
  <si>
    <t xml:space="preserve">Berl </t>
  </si>
  <si>
    <t>Concepción</t>
  </si>
  <si>
    <t>Lopez Artés</t>
  </si>
  <si>
    <t>Mascarell Piera</t>
  </si>
  <si>
    <t>Rosa Mary</t>
  </si>
  <si>
    <t>Rojo Villaseñor</t>
  </si>
  <si>
    <t>Pintor Rodriguez</t>
  </si>
  <si>
    <t>Ventura Roig</t>
  </si>
  <si>
    <t>REAL CLUB TENIS DEL TURO</t>
  </si>
  <si>
    <t>Perez  Estrada</t>
  </si>
  <si>
    <t>RANKING 18+ 5.0 Mens Singles</t>
  </si>
  <si>
    <t>RANKING 18+ 4.0/4.5 Mens Singles</t>
  </si>
  <si>
    <t>RANKING 18+ 3.0/3.5 Mens Singles</t>
  </si>
  <si>
    <t>RANKING 50+  Mens Singles</t>
  </si>
  <si>
    <t>RANKING 60+  Mens Singles</t>
  </si>
  <si>
    <t>RANKING 18+ 5.0 Women Singles</t>
  </si>
  <si>
    <t>RANKING 18+ 4.0/4.5 Women Singles</t>
  </si>
  <si>
    <t>RANKING 18+ 3.0/3.5 Women Singles</t>
  </si>
  <si>
    <t>RANKING 50+  Women Singles</t>
  </si>
  <si>
    <t>RANKING 18+ 5.0 Mixto Dobles</t>
  </si>
  <si>
    <t>RANKING 18+ 4.0/4.5 Mixto Dobles</t>
  </si>
  <si>
    <t>RANKING 18+ 3.0/3.5 Mixto Dobles</t>
  </si>
  <si>
    <t>RANKING 50+ 5.0 Mixto Dobles</t>
  </si>
  <si>
    <t>RANKING 50+ 4.5 Mixto Dobles</t>
  </si>
  <si>
    <t>RANKING 50+ 3.5 Mixto Dobles</t>
  </si>
  <si>
    <t>RANKING 60+ 4.5 Mixto Dobles</t>
  </si>
  <si>
    <t>RANKING 18+ 5.0 Mens Dobles</t>
  </si>
  <si>
    <t>RANKING 18+ 4.0/4.5 Mens Dobles</t>
  </si>
  <si>
    <t>RANKING 18+ 3.0/3.5 Mens Dobles</t>
  </si>
  <si>
    <t>RANKING 50+ 5.0 Mens Dobles</t>
  </si>
  <si>
    <t>RANKING 50+ 4.5 Mens Dobles</t>
  </si>
  <si>
    <t>RANKING 50+ 3.5 Mens Dobles</t>
  </si>
  <si>
    <t>RANKING 60+ 4.5 Mens Dobles</t>
  </si>
  <si>
    <t>RANKING 60+ 3.5 Mens Dobles</t>
  </si>
  <si>
    <t>RANKING 18+ 5.0 Womens Dobles</t>
  </si>
  <si>
    <t>RANKING 18+ 4.5 Womens Dobles</t>
  </si>
  <si>
    <t>RANKING 18+ 3.5 Womens Dobles</t>
  </si>
  <si>
    <t>RANKING 50+ 5.0 Womens Dobles</t>
  </si>
  <si>
    <t>RANKING 50+ 4.5 Womens Dobles</t>
  </si>
  <si>
    <t>RANKING 50+ 3.5 Womens Dobles</t>
  </si>
  <si>
    <t>Dominguez Bellanco</t>
  </si>
  <si>
    <t>Lopez Romano</t>
  </si>
  <si>
    <t>Angel Manuel</t>
  </si>
  <si>
    <t>Trigo Laureiro</t>
  </si>
  <si>
    <t>Mira Tenes</t>
  </si>
  <si>
    <t>RANKING NACIONAL MAPFRE DE PICKLEBALL INDIVIDUAL MASCULINO CIERRE A 24 DE DICIEMBRE 2024</t>
  </si>
  <si>
    <t>RANKING NACIONAL MAPFRE DE PICKLEBALL INDIVIDUAL FEMENINO CIERRE A 24 DE DICIEMBRE 2024</t>
  </si>
  <si>
    <t>RANKING NACIONAL MAPFRE DE PICKLEBALL DOBLES MIXTOS CIERRE A 24 DE DICIEMBRE 2024</t>
  </si>
  <si>
    <t>RANKING NACIONAL MAPFRE DE PICKLEBALL DOBLES MASCULINOS CIERRE A 24 DE DICIEMBRE 2024</t>
  </si>
  <si>
    <t>RANKING NACIONAL MAPFRE DE PICKLEBALL DOBLES FEMENINO CIERRE A 24 DE DICIEMBRE 2024</t>
  </si>
  <si>
    <t>Hintze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</si>
</sst>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6" fillId="0" borderId="0"/>
  </cellStyleXfs>
  <cellXfs count="109">
    <xf numFmtId="0" fontId="0" fillId="0" borderId="0" xfId="0"/>
    <xf numFmtId="49" fontId="1" fillId="0" borderId="0" xfId="0" applyNumberFormat="1" applyFont="1"/>
    <xf numFmtId="3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14" fontId="1" fillId="2" borderId="7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49" fontId="4" fillId="0" borderId="7" xfId="0" applyNumberFormat="1" applyFont="1" applyBorder="1"/>
    <xf numFmtId="49" fontId="4" fillId="0" borderId="7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Border="1"/>
    <xf numFmtId="49" fontId="4" fillId="0" borderId="7" xfId="0" applyNumberFormat="1" applyFont="1" applyBorder="1" applyAlignment="1">
      <alignment horizontal="left"/>
    </xf>
    <xf numFmtId="49" fontId="7" fillId="0" borderId="7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/>
    <xf numFmtId="0" fontId="0" fillId="0" borderId="7" xfId="0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7" xfId="1" applyFont="1" applyBorder="1" applyAlignment="1" applyProtection="1">
      <alignment horizontal="left" vertical="center"/>
      <protection locked="0"/>
    </xf>
    <xf numFmtId="49" fontId="7" fillId="0" borderId="7" xfId="0" applyNumberFormat="1" applyFont="1" applyBorder="1"/>
    <xf numFmtId="49" fontId="4" fillId="3" borderId="7" xfId="0" applyNumberFormat="1" applyFont="1" applyFill="1" applyBorder="1"/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49" fontId="1" fillId="2" borderId="11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4" fillId="0" borderId="0" xfId="0" applyFont="1"/>
    <xf numFmtId="49" fontId="2" fillId="0" borderId="0" xfId="0" applyNumberFormat="1" applyFont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 applyProtection="1">
      <alignment horizontal="center" vertical="center"/>
      <protection hidden="1"/>
    </xf>
    <xf numFmtId="49" fontId="4" fillId="3" borderId="7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right"/>
    </xf>
    <xf numFmtId="0" fontId="15" fillId="0" borderId="7" xfId="0" quotePrefix="1" applyFont="1" applyFill="1" applyBorder="1" applyAlignment="1">
      <alignment horizontal="center"/>
    </xf>
    <xf numFmtId="0" fontId="14" fillId="0" borderId="0" xfId="0" quotePrefix="1" applyFont="1" applyFill="1" applyAlignment="1">
      <alignment horizontal="center"/>
    </xf>
    <xf numFmtId="0" fontId="0" fillId="0" borderId="0" xfId="0" applyFill="1"/>
    <xf numFmtId="0" fontId="4" fillId="0" borderId="14" xfId="0" applyFont="1" applyBorder="1" applyAlignment="1">
      <alignment horizontal="center"/>
    </xf>
    <xf numFmtId="49" fontId="4" fillId="0" borderId="14" xfId="0" applyNumberFormat="1" applyFont="1" applyBorder="1"/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4" fillId="0" borderId="14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right"/>
    </xf>
    <xf numFmtId="14" fontId="4" fillId="0" borderId="14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49" fontId="4" fillId="0" borderId="0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49" fontId="4" fillId="0" borderId="1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9" fontId="21" fillId="5" borderId="9" xfId="0" applyNumberFormat="1" applyFont="1" applyFill="1" applyBorder="1" applyAlignment="1"/>
    <xf numFmtId="49" fontId="21" fillId="5" borderId="10" xfId="0" applyNumberFormat="1" applyFont="1" applyFill="1" applyBorder="1" applyAlignment="1"/>
    <xf numFmtId="49" fontId="22" fillId="5" borderId="8" xfId="0" applyNumberFormat="1" applyFont="1" applyFill="1" applyBorder="1" applyAlignment="1"/>
    <xf numFmtId="49" fontId="4" fillId="0" borderId="0" xfId="0" applyNumberFormat="1" applyFont="1" applyBorder="1" applyAlignment="1">
      <alignment horizontal="left"/>
    </xf>
    <xf numFmtId="0" fontId="4" fillId="0" borderId="14" xfId="0" applyFont="1" applyBorder="1"/>
    <xf numFmtId="0" fontId="4" fillId="0" borderId="0" xfId="0" applyFont="1" applyBorder="1"/>
    <xf numFmtId="0" fontId="14" fillId="0" borderId="7" xfId="0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49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49" fontId="7" fillId="0" borderId="14" xfId="0" applyNumberFormat="1" applyFont="1" applyBorder="1" applyAlignment="1">
      <alignment horizontal="right"/>
    </xf>
    <xf numFmtId="49" fontId="7" fillId="0" borderId="14" xfId="0" applyNumberFormat="1" applyFont="1" applyBorder="1"/>
    <xf numFmtId="49" fontId="7" fillId="0" borderId="0" xfId="0" applyNumberFormat="1" applyFont="1" applyBorder="1" applyAlignment="1">
      <alignment horizontal="right"/>
    </xf>
    <xf numFmtId="49" fontId="4" fillId="0" borderId="7" xfId="0" applyNumberFormat="1" applyFont="1" applyFill="1" applyBorder="1"/>
    <xf numFmtId="49" fontId="2" fillId="0" borderId="0" xfId="0" applyNumberFormat="1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</cellXfs>
  <cellStyles count="3">
    <cellStyle name="Normal" xfId="0" builtinId="0"/>
    <cellStyle name="Normal 2 2_2017_Modelos_Cuadros" xfId="2"/>
    <cellStyle name="Normal 3_2017_Modelos_Cuadr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28575</xdr:rowOff>
    </xdr:from>
    <xdr:to>
      <xdr:col>2</xdr:col>
      <xdr:colOff>1151404</xdr:colOff>
      <xdr:row>5</xdr:row>
      <xdr:rowOff>59570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8575"/>
          <a:ext cx="1389529" cy="86919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</xdr:row>
      <xdr:rowOff>76200</xdr:rowOff>
    </xdr:from>
    <xdr:to>
      <xdr:col>11</xdr:col>
      <xdr:colOff>1517277</xdr:colOff>
      <xdr:row>4</xdr:row>
      <xdr:rowOff>84381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19075"/>
          <a:ext cx="1393452" cy="45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0</xdr:row>
      <xdr:rowOff>114300</xdr:rowOff>
    </xdr:from>
    <xdr:to>
      <xdr:col>11</xdr:col>
      <xdr:colOff>1555377</xdr:colOff>
      <xdr:row>3</xdr:row>
      <xdr:rowOff>141531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14300"/>
          <a:ext cx="1393452" cy="45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38100</xdr:rowOff>
    </xdr:from>
    <xdr:to>
      <xdr:col>2</xdr:col>
      <xdr:colOff>1427629</xdr:colOff>
      <xdr:row>5</xdr:row>
      <xdr:rowOff>69095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8100"/>
          <a:ext cx="1389529" cy="869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47625</xdr:rowOff>
    </xdr:from>
    <xdr:to>
      <xdr:col>2</xdr:col>
      <xdr:colOff>1541929</xdr:colOff>
      <xdr:row>5</xdr:row>
      <xdr:rowOff>78620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47625"/>
          <a:ext cx="1389529" cy="86919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</xdr:row>
      <xdr:rowOff>57150</xdr:rowOff>
    </xdr:from>
    <xdr:to>
      <xdr:col>11</xdr:col>
      <xdr:colOff>1422027</xdr:colOff>
      <xdr:row>4</xdr:row>
      <xdr:rowOff>65331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200025"/>
          <a:ext cx="1393452" cy="45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</xdr:row>
      <xdr:rowOff>47625</xdr:rowOff>
    </xdr:from>
    <xdr:to>
      <xdr:col>11</xdr:col>
      <xdr:colOff>1450602</xdr:colOff>
      <xdr:row>4</xdr:row>
      <xdr:rowOff>55806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190500"/>
          <a:ext cx="1393452" cy="45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0</xdr:row>
      <xdr:rowOff>47625</xdr:rowOff>
    </xdr:from>
    <xdr:to>
      <xdr:col>2</xdr:col>
      <xdr:colOff>1522879</xdr:colOff>
      <xdr:row>5</xdr:row>
      <xdr:rowOff>78620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625"/>
          <a:ext cx="1389529" cy="8691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0</xdr:rowOff>
    </xdr:from>
    <xdr:to>
      <xdr:col>2</xdr:col>
      <xdr:colOff>1008529</xdr:colOff>
      <xdr:row>4</xdr:row>
      <xdr:rowOff>135770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389529" cy="86919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1</xdr:row>
      <xdr:rowOff>19050</xdr:rowOff>
    </xdr:from>
    <xdr:to>
      <xdr:col>11</xdr:col>
      <xdr:colOff>1498227</xdr:colOff>
      <xdr:row>3</xdr:row>
      <xdr:rowOff>93906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209550"/>
          <a:ext cx="1393452" cy="45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ortal.fctennis.cat/app/jugador/historial/11855303/3503/torneos.mensual/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ortal.fctennis.cat/app/jugador/historial/11855890/3503/torneos.mensual/2" TargetMode="External"/><Relationship Id="rId1" Type="http://schemas.openxmlformats.org/officeDocument/2006/relationships/hyperlink" Target="https://portal.fctennis.cat/app/jugador/historial/11855907/3503/torneos.mensual/2" TargetMode="External"/><Relationship Id="rId6" Type="http://schemas.openxmlformats.org/officeDocument/2006/relationships/hyperlink" Target="https://portal.fctennis.cat/app/jugador/historial/06027412/3503/torneos.mensual/2" TargetMode="External"/><Relationship Id="rId5" Type="http://schemas.openxmlformats.org/officeDocument/2006/relationships/hyperlink" Target="https://portal.fctennis.cat/app/jugador/historial/11855650/3503/torneos.mensual/2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portal.fctennis.cat/app/jugador/historial/11855650/3503/torneos.mensual/2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fctennis.cat/app/jugador/historial/11406601/3503/torneos.mensual/2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portal.fctennis.cat/app/jugador/historial/11855759/3503/torneos.mensual/2" TargetMode="External"/><Relationship Id="rId1" Type="http://schemas.openxmlformats.org/officeDocument/2006/relationships/hyperlink" Target="https://portal.fctennis.cat/app/jugador/historial/11855303/3503/torneos.mensual/2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portal.fctennis.cat/app/jugador/historial/11855907/3503/torneos.mensual/2" TargetMode="External"/><Relationship Id="rId7" Type="http://schemas.openxmlformats.org/officeDocument/2006/relationships/hyperlink" Target="https://portal.fctennis.cat/app/jugador/historial/11855650/3503/torneos.mensual/2" TargetMode="External"/><Relationship Id="rId2" Type="http://schemas.openxmlformats.org/officeDocument/2006/relationships/hyperlink" Target="https://portal.fctennis.cat/app/jugador/historial/06027412/3503/torneos.mensual/2" TargetMode="External"/><Relationship Id="rId1" Type="http://schemas.openxmlformats.org/officeDocument/2006/relationships/hyperlink" Target="https://portal.fctennis.cat/app/jugador/historial/01763095/3503/torneos.mensual/2" TargetMode="External"/><Relationship Id="rId6" Type="http://schemas.openxmlformats.org/officeDocument/2006/relationships/hyperlink" Target="https://portal.fctennis.cat/app/jugador/historial/11855650/3503/torneos.mensual/2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s://portal.fctennis.cat/app/jugador/historial/11855303/3503/torneos.mensual/2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s://portal.fctennis.cat/app/jugador/historial/11855890/3503/torneos.mensual/2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188"/>
  <sheetViews>
    <sheetView tabSelected="1" topLeftCell="A169" zoomScaleNormal="100" workbookViewId="0">
      <selection activeCell="N188" sqref="A1:N188"/>
    </sheetView>
  </sheetViews>
  <sheetFormatPr baseColWidth="10" defaultRowHeight="15" x14ac:dyDescent="0.25"/>
  <cols>
    <col min="1" max="1" width="4" customWidth="1"/>
    <col min="2" max="2" width="6.7109375" bestFit="1" customWidth="1"/>
    <col min="3" max="3" width="22.28515625" bestFit="1" customWidth="1"/>
    <col min="4" max="4" width="17.42578125" bestFit="1" customWidth="1"/>
    <col min="5" max="5" width="14" style="25" customWidth="1"/>
    <col min="6" max="6" width="4.85546875" style="40" customWidth="1"/>
    <col min="7" max="7" width="4.42578125" bestFit="1" customWidth="1"/>
    <col min="8" max="8" width="5.42578125" bestFit="1" customWidth="1"/>
    <col min="9" max="9" width="4.7109375" bestFit="1" customWidth="1"/>
    <col min="10" max="10" width="52.42578125" customWidth="1"/>
    <col min="11" max="11" width="17.42578125" customWidth="1"/>
    <col min="12" max="12" width="24.7109375" bestFit="1" customWidth="1"/>
    <col min="13" max="13" width="3.42578125" bestFit="1" customWidth="1"/>
    <col min="14" max="14" width="5.85546875" bestFit="1" customWidth="1"/>
  </cols>
  <sheetData>
    <row r="1" spans="2:14" s="1" customFormat="1" ht="11.25" x14ac:dyDescent="0.2">
      <c r="B1" s="2"/>
      <c r="E1" s="3"/>
      <c r="F1" s="4"/>
      <c r="G1" s="4"/>
      <c r="H1" s="4"/>
      <c r="I1" s="4"/>
      <c r="K1" s="4"/>
      <c r="L1" s="4"/>
      <c r="M1" s="4"/>
      <c r="N1" s="5"/>
    </row>
    <row r="2" spans="2:14" s="1" customFormat="1" ht="11.25" x14ac:dyDescent="0.2">
      <c r="B2" s="2"/>
      <c r="E2" s="3"/>
      <c r="F2" s="4"/>
      <c r="G2" s="4"/>
      <c r="H2" s="4"/>
      <c r="I2" s="4"/>
      <c r="K2" s="4"/>
      <c r="L2" s="4"/>
      <c r="M2" s="4"/>
      <c r="N2" s="6"/>
    </row>
    <row r="3" spans="2:14" s="1" customFormat="1" ht="11.25" x14ac:dyDescent="0.2">
      <c r="B3" s="2"/>
      <c r="E3" s="3"/>
      <c r="F3" s="4"/>
      <c r="G3" s="4"/>
      <c r="H3" s="4"/>
      <c r="I3" s="4"/>
      <c r="K3" s="4"/>
      <c r="L3" s="4"/>
      <c r="M3" s="4"/>
      <c r="N3" s="5"/>
    </row>
    <row r="4" spans="2:14" s="1" customFormat="1" ht="12.75" x14ac:dyDescent="0.2">
      <c r="B4" s="2"/>
      <c r="C4" s="104" t="s">
        <v>1058</v>
      </c>
      <c r="D4" s="104"/>
      <c r="E4" s="104"/>
      <c r="F4" s="104"/>
      <c r="G4" s="104"/>
      <c r="H4" s="104"/>
      <c r="I4" s="104"/>
      <c r="J4" s="104"/>
      <c r="K4" s="104"/>
      <c r="L4" s="104"/>
      <c r="M4" s="4"/>
      <c r="N4" s="5"/>
    </row>
    <row r="5" spans="2:14" s="1" customFormat="1" ht="20.100000000000001" customHeight="1" thickBot="1" x14ac:dyDescent="0.3">
      <c r="B5" s="2"/>
      <c r="E5" s="3"/>
      <c r="F5" s="4"/>
      <c r="G5" s="4"/>
      <c r="H5" s="4"/>
      <c r="I5" s="4"/>
      <c r="J5" s="73"/>
      <c r="K5" s="4"/>
      <c r="L5" s="4"/>
      <c r="M5" s="4"/>
      <c r="N5" s="5"/>
    </row>
    <row r="6" spans="2:14" s="1" customFormat="1" ht="11.25" x14ac:dyDescent="0.2">
      <c r="B6" s="2"/>
      <c r="E6" s="3"/>
      <c r="F6" s="89" t="s">
        <v>1023</v>
      </c>
      <c r="G6" s="87"/>
      <c r="H6" s="87"/>
      <c r="I6" s="88"/>
      <c r="J6" s="88"/>
      <c r="K6" s="4"/>
      <c r="L6" s="4"/>
      <c r="M6" s="14" t="s">
        <v>0</v>
      </c>
      <c r="N6" s="5"/>
    </row>
    <row r="7" spans="2:14" s="1" customFormat="1" ht="11.25" x14ac:dyDescent="0.2">
      <c r="B7" s="1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  <c r="K7" s="16" t="s">
        <v>387</v>
      </c>
      <c r="L7" s="16" t="s">
        <v>10</v>
      </c>
      <c r="M7" s="16" t="s">
        <v>11</v>
      </c>
      <c r="N7" s="17" t="s">
        <v>12</v>
      </c>
    </row>
    <row r="8" spans="2:14" x14ac:dyDescent="0.25">
      <c r="B8" s="18">
        <f>1500+180+1500</f>
        <v>3180</v>
      </c>
      <c r="C8" s="20" t="s">
        <v>260</v>
      </c>
      <c r="D8" s="20" t="s">
        <v>46</v>
      </c>
      <c r="E8" s="47">
        <v>6836467</v>
      </c>
      <c r="F8" s="39">
        <v>1</v>
      </c>
      <c r="G8" s="28"/>
      <c r="H8" s="28"/>
      <c r="I8" s="22"/>
      <c r="J8" s="20" t="s">
        <v>261</v>
      </c>
      <c r="K8" s="21" t="s">
        <v>389</v>
      </c>
      <c r="L8" s="21" t="s">
        <v>579</v>
      </c>
      <c r="M8" s="22"/>
      <c r="N8" s="23"/>
    </row>
    <row r="9" spans="2:14" x14ac:dyDescent="0.25">
      <c r="B9" s="18">
        <f>360+1500+1200</f>
        <v>3060</v>
      </c>
      <c r="C9" s="20" t="s">
        <v>268</v>
      </c>
      <c r="D9" s="20" t="s">
        <v>97</v>
      </c>
      <c r="E9" s="47">
        <v>6723903</v>
      </c>
      <c r="F9" s="39">
        <f>F8+1</f>
        <v>2</v>
      </c>
      <c r="G9" s="28"/>
      <c r="H9" s="28"/>
      <c r="I9" s="22"/>
      <c r="J9" s="20" t="s">
        <v>270</v>
      </c>
      <c r="K9" s="21" t="s">
        <v>389</v>
      </c>
      <c r="L9" s="21" t="s">
        <v>579</v>
      </c>
      <c r="M9" s="22"/>
      <c r="N9" s="23"/>
    </row>
    <row r="10" spans="2:14" x14ac:dyDescent="0.25">
      <c r="B10" s="18">
        <v>3000</v>
      </c>
      <c r="C10" s="20" t="s">
        <v>258</v>
      </c>
      <c r="D10" s="20" t="s">
        <v>14</v>
      </c>
      <c r="E10" s="47">
        <v>10768466</v>
      </c>
      <c r="F10" s="39">
        <f t="shared" ref="F10:F20" si="0">F9+1</f>
        <v>3</v>
      </c>
      <c r="G10" s="28"/>
      <c r="H10" s="28"/>
      <c r="I10" s="22"/>
      <c r="J10" s="20" t="s">
        <v>259</v>
      </c>
      <c r="K10" s="21" t="s">
        <v>388</v>
      </c>
      <c r="L10" s="21" t="s">
        <v>579</v>
      </c>
      <c r="M10" s="22"/>
      <c r="N10" s="23"/>
    </row>
    <row r="11" spans="2:14" x14ac:dyDescent="0.25">
      <c r="B11" s="18">
        <f>1590+750</f>
        <v>2340</v>
      </c>
      <c r="C11" s="20" t="s">
        <v>26</v>
      </c>
      <c r="D11" s="29" t="s">
        <v>80</v>
      </c>
      <c r="E11" s="47">
        <v>10767319</v>
      </c>
      <c r="F11" s="39">
        <f t="shared" si="0"/>
        <v>4</v>
      </c>
      <c r="G11" s="28"/>
      <c r="H11" s="28"/>
      <c r="I11" s="20"/>
      <c r="J11" s="20" t="s">
        <v>259</v>
      </c>
      <c r="K11" s="21" t="s">
        <v>388</v>
      </c>
      <c r="L11" s="21" t="s">
        <v>579</v>
      </c>
      <c r="M11" s="22"/>
      <c r="N11" s="23"/>
    </row>
    <row r="12" spans="2:14" x14ac:dyDescent="0.25">
      <c r="B12" s="18">
        <f>90+1200+400</f>
        <v>1690</v>
      </c>
      <c r="C12" s="20" t="s">
        <v>274</v>
      </c>
      <c r="D12" s="29" t="s">
        <v>167</v>
      </c>
      <c r="E12" s="47">
        <v>3039890</v>
      </c>
      <c r="F12" s="39">
        <f t="shared" si="0"/>
        <v>5</v>
      </c>
      <c r="G12" s="28"/>
      <c r="H12" s="28"/>
      <c r="I12" s="20"/>
      <c r="J12" s="20" t="s">
        <v>264</v>
      </c>
      <c r="K12" s="21" t="s">
        <v>401</v>
      </c>
      <c r="L12" s="21" t="s">
        <v>579</v>
      </c>
      <c r="M12" s="22"/>
      <c r="N12" s="23"/>
    </row>
    <row r="13" spans="2:14" x14ac:dyDescent="0.25">
      <c r="B13" s="18">
        <f>450+45+45</f>
        <v>540</v>
      </c>
      <c r="C13" s="20" t="s">
        <v>265</v>
      </c>
      <c r="D13" s="20" t="s">
        <v>83</v>
      </c>
      <c r="E13" s="46">
        <v>16307820</v>
      </c>
      <c r="F13" s="39">
        <f t="shared" si="0"/>
        <v>6</v>
      </c>
      <c r="G13" s="28"/>
      <c r="H13" s="28"/>
      <c r="I13" s="22"/>
      <c r="J13" s="20" t="s">
        <v>266</v>
      </c>
      <c r="K13" s="21" t="s">
        <v>391</v>
      </c>
      <c r="L13" s="21" t="s">
        <v>579</v>
      </c>
      <c r="M13" s="22"/>
      <c r="N13" s="23"/>
    </row>
    <row r="14" spans="2:14" x14ac:dyDescent="0.25">
      <c r="B14" s="18">
        <v>500</v>
      </c>
      <c r="C14" s="20" t="s">
        <v>714</v>
      </c>
      <c r="D14" s="29" t="s">
        <v>41</v>
      </c>
      <c r="E14" s="46">
        <v>14043335</v>
      </c>
      <c r="F14" s="39">
        <f t="shared" si="0"/>
        <v>7</v>
      </c>
      <c r="G14" s="28"/>
      <c r="H14" s="28"/>
      <c r="I14" s="22"/>
      <c r="J14" s="20" t="s">
        <v>750</v>
      </c>
      <c r="K14" s="21" t="s">
        <v>388</v>
      </c>
      <c r="L14" s="21" t="s">
        <v>579</v>
      </c>
      <c r="M14" s="22"/>
      <c r="N14" s="23"/>
    </row>
    <row r="15" spans="2:14" x14ac:dyDescent="0.25">
      <c r="B15" s="18">
        <f>450+45</f>
        <v>495</v>
      </c>
      <c r="C15" s="20" t="s">
        <v>263</v>
      </c>
      <c r="D15" s="29" t="s">
        <v>81</v>
      </c>
      <c r="E15" s="46">
        <v>13464954</v>
      </c>
      <c r="F15" s="39">
        <f t="shared" si="0"/>
        <v>8</v>
      </c>
      <c r="G15" s="28"/>
      <c r="H15" s="28"/>
      <c r="I15" s="22"/>
      <c r="J15" s="20" t="s">
        <v>264</v>
      </c>
      <c r="K15" s="21" t="s">
        <v>401</v>
      </c>
      <c r="L15" s="21" t="s">
        <v>579</v>
      </c>
      <c r="M15" s="22"/>
      <c r="N15" s="23"/>
    </row>
    <row r="16" spans="2:14" x14ac:dyDescent="0.25">
      <c r="B16" s="18">
        <f>90+75+125+45</f>
        <v>335</v>
      </c>
      <c r="C16" s="20" t="s">
        <v>90</v>
      </c>
      <c r="D16" s="20" t="s">
        <v>91</v>
      </c>
      <c r="E16" s="46">
        <v>11855642</v>
      </c>
      <c r="F16" s="39">
        <f t="shared" si="0"/>
        <v>9</v>
      </c>
      <c r="G16" s="28"/>
      <c r="H16" s="28"/>
      <c r="I16" s="24"/>
      <c r="J16" s="20" t="s">
        <v>270</v>
      </c>
      <c r="K16" s="21" t="s">
        <v>389</v>
      </c>
      <c r="L16" s="21" t="s">
        <v>579</v>
      </c>
      <c r="M16" s="22"/>
      <c r="N16" s="23"/>
    </row>
    <row r="17" spans="2:14" x14ac:dyDescent="0.25">
      <c r="B17" s="18">
        <v>250</v>
      </c>
      <c r="C17" s="44" t="s">
        <v>715</v>
      </c>
      <c r="D17" s="29" t="s">
        <v>24</v>
      </c>
      <c r="E17" s="46">
        <v>13005526</v>
      </c>
      <c r="F17" s="39">
        <f t="shared" si="0"/>
        <v>10</v>
      </c>
      <c r="G17" s="28"/>
      <c r="H17" s="28"/>
      <c r="I17" s="20"/>
      <c r="J17" s="20" t="s">
        <v>318</v>
      </c>
      <c r="K17" s="21" t="s">
        <v>388</v>
      </c>
      <c r="L17" s="21" t="s">
        <v>579</v>
      </c>
      <c r="M17" s="22"/>
      <c r="N17" s="23"/>
    </row>
    <row r="18" spans="2:14" x14ac:dyDescent="0.25">
      <c r="B18" s="18">
        <f>90+90</f>
        <v>180</v>
      </c>
      <c r="C18" s="20" t="s">
        <v>273</v>
      </c>
      <c r="D18" s="29" t="s">
        <v>43</v>
      </c>
      <c r="E18" s="47">
        <v>7404007</v>
      </c>
      <c r="F18" s="39">
        <f t="shared" si="0"/>
        <v>11</v>
      </c>
      <c r="G18" s="28"/>
      <c r="H18" s="28"/>
      <c r="I18" s="20"/>
      <c r="J18" s="20" t="s">
        <v>259</v>
      </c>
      <c r="K18" s="21" t="s">
        <v>388</v>
      </c>
      <c r="L18" s="21" t="s">
        <v>579</v>
      </c>
      <c r="M18" s="22"/>
      <c r="N18" s="23"/>
    </row>
    <row r="19" spans="2:14" x14ac:dyDescent="0.25">
      <c r="B19" s="18">
        <v>180</v>
      </c>
      <c r="C19" s="20" t="s">
        <v>477</v>
      </c>
      <c r="D19" s="29" t="s">
        <v>69</v>
      </c>
      <c r="E19" s="48">
        <v>10770742</v>
      </c>
      <c r="F19" s="39">
        <f t="shared" si="0"/>
        <v>12</v>
      </c>
      <c r="G19" s="28"/>
      <c r="H19" s="28"/>
      <c r="I19" s="20"/>
      <c r="J19" s="20" t="s">
        <v>259</v>
      </c>
      <c r="K19" s="21" t="s">
        <v>388</v>
      </c>
      <c r="L19" s="21" t="s">
        <v>579</v>
      </c>
      <c r="M19" s="22"/>
      <c r="N19" s="23"/>
    </row>
    <row r="20" spans="2:14" x14ac:dyDescent="0.25">
      <c r="B20" s="18">
        <v>180</v>
      </c>
      <c r="C20" s="20" t="s">
        <v>751</v>
      </c>
      <c r="D20" s="29" t="s">
        <v>478</v>
      </c>
      <c r="E20" s="48">
        <v>16954449</v>
      </c>
      <c r="F20" s="39">
        <f t="shared" si="0"/>
        <v>13</v>
      </c>
      <c r="G20" s="28"/>
      <c r="H20" s="28"/>
      <c r="I20" s="20"/>
      <c r="J20" s="20" t="s">
        <v>267</v>
      </c>
      <c r="K20" s="21" t="s">
        <v>390</v>
      </c>
      <c r="L20" s="21" t="s">
        <v>579</v>
      </c>
      <c r="M20" s="22"/>
      <c r="N20" s="23"/>
    </row>
    <row r="21" spans="2:14" x14ac:dyDescent="0.25">
      <c r="B21" s="18">
        <v>90</v>
      </c>
      <c r="C21" s="20" t="s">
        <v>20</v>
      </c>
      <c r="D21" s="29" t="s">
        <v>36</v>
      </c>
      <c r="E21" s="48">
        <v>10768565</v>
      </c>
      <c r="F21" s="39">
        <f t="shared" ref="F21:F80" si="1">F20+1</f>
        <v>14</v>
      </c>
      <c r="G21" s="28"/>
      <c r="H21" s="28"/>
      <c r="I21" s="20"/>
      <c r="J21" s="20" t="s">
        <v>259</v>
      </c>
      <c r="K21" s="21" t="s">
        <v>388</v>
      </c>
      <c r="L21" s="21" t="s">
        <v>579</v>
      </c>
      <c r="M21" s="22"/>
      <c r="N21" s="23"/>
    </row>
    <row r="22" spans="2:14" x14ac:dyDescent="0.25">
      <c r="B22" s="18">
        <v>90</v>
      </c>
      <c r="C22" s="20" t="s">
        <v>271</v>
      </c>
      <c r="D22" s="29" t="s">
        <v>31</v>
      </c>
      <c r="E22" s="47">
        <v>10768929</v>
      </c>
      <c r="F22" s="39">
        <f t="shared" si="1"/>
        <v>15</v>
      </c>
      <c r="G22" s="28"/>
      <c r="H22" s="28"/>
      <c r="I22" s="20"/>
      <c r="J22" s="20" t="s">
        <v>259</v>
      </c>
      <c r="K22" s="21" t="s">
        <v>388</v>
      </c>
      <c r="L22" s="21" t="s">
        <v>579</v>
      </c>
      <c r="M22" s="22"/>
      <c r="N22" s="23"/>
    </row>
    <row r="23" spans="2:14" x14ac:dyDescent="0.25">
      <c r="B23" s="18">
        <v>90</v>
      </c>
      <c r="C23" s="20" t="s">
        <v>272</v>
      </c>
      <c r="D23" s="29" t="s">
        <v>25</v>
      </c>
      <c r="E23" s="47">
        <v>10768523</v>
      </c>
      <c r="F23" s="39">
        <f t="shared" si="1"/>
        <v>16</v>
      </c>
      <c r="G23" s="28"/>
      <c r="H23" s="28"/>
      <c r="I23" s="20"/>
      <c r="J23" s="20" t="s">
        <v>259</v>
      </c>
      <c r="K23" s="21" t="s">
        <v>388</v>
      </c>
      <c r="L23" s="21" t="s">
        <v>579</v>
      </c>
      <c r="M23" s="22"/>
      <c r="N23" s="23"/>
    </row>
    <row r="24" spans="2:14" x14ac:dyDescent="0.25">
      <c r="B24" s="18">
        <v>90</v>
      </c>
      <c r="C24" s="20" t="s">
        <v>481</v>
      </c>
      <c r="D24" s="29" t="s">
        <v>139</v>
      </c>
      <c r="E24" s="47">
        <v>16954556</v>
      </c>
      <c r="F24" s="39">
        <f t="shared" si="1"/>
        <v>17</v>
      </c>
      <c r="G24" s="28"/>
      <c r="H24" s="28"/>
      <c r="I24" s="20"/>
      <c r="J24" s="20" t="s">
        <v>267</v>
      </c>
      <c r="K24" s="21" t="s">
        <v>390</v>
      </c>
      <c r="L24" s="21" t="s">
        <v>579</v>
      </c>
      <c r="M24" s="22"/>
      <c r="N24" s="23"/>
    </row>
    <row r="25" spans="2:14" x14ac:dyDescent="0.25">
      <c r="B25" s="18">
        <v>45</v>
      </c>
      <c r="C25" s="20" t="s">
        <v>275</v>
      </c>
      <c r="D25" s="29" t="s">
        <v>22</v>
      </c>
      <c r="E25" s="48">
        <v>10768060</v>
      </c>
      <c r="F25" s="39">
        <f t="shared" si="1"/>
        <v>18</v>
      </c>
      <c r="G25" s="28"/>
      <c r="H25" s="28"/>
      <c r="I25" s="20"/>
      <c r="J25" s="20" t="s">
        <v>303</v>
      </c>
      <c r="K25" s="21" t="s">
        <v>395</v>
      </c>
      <c r="L25" s="21" t="s">
        <v>579</v>
      </c>
      <c r="M25" s="22"/>
      <c r="N25" s="23"/>
    </row>
    <row r="26" spans="2:14" x14ac:dyDescent="0.25">
      <c r="B26" s="18">
        <v>45</v>
      </c>
      <c r="C26" s="20" t="s">
        <v>752</v>
      </c>
      <c r="D26" s="29" t="s">
        <v>480</v>
      </c>
      <c r="E26" s="48">
        <v>4646743</v>
      </c>
      <c r="F26" s="39">
        <f t="shared" si="1"/>
        <v>19</v>
      </c>
      <c r="G26" s="28"/>
      <c r="H26" s="28"/>
      <c r="I26" s="20"/>
      <c r="J26" s="20" t="s">
        <v>753</v>
      </c>
      <c r="K26" s="21" t="s">
        <v>754</v>
      </c>
      <c r="L26" s="21" t="s">
        <v>579</v>
      </c>
      <c r="M26" s="22"/>
      <c r="N26" s="23"/>
    </row>
    <row r="27" spans="2:14" x14ac:dyDescent="0.25">
      <c r="B27" s="18">
        <v>45</v>
      </c>
      <c r="C27" s="20" t="s">
        <v>854</v>
      </c>
      <c r="D27" s="29" t="s">
        <v>855</v>
      </c>
      <c r="E27" s="48">
        <v>10775403</v>
      </c>
      <c r="F27" s="39">
        <f t="shared" si="1"/>
        <v>20</v>
      </c>
      <c r="G27" s="28"/>
      <c r="H27" s="28"/>
      <c r="I27" s="20"/>
      <c r="J27" s="20" t="s">
        <v>259</v>
      </c>
      <c r="K27" s="21" t="s">
        <v>388</v>
      </c>
      <c r="L27" s="21" t="s">
        <v>579</v>
      </c>
      <c r="M27" s="22"/>
      <c r="N27" s="23"/>
    </row>
    <row r="28" spans="2:14" x14ac:dyDescent="0.25">
      <c r="B28" s="18">
        <v>45</v>
      </c>
      <c r="C28" s="20" t="s">
        <v>1054</v>
      </c>
      <c r="D28" s="29" t="s">
        <v>25</v>
      </c>
      <c r="E28" s="48">
        <v>12092433</v>
      </c>
      <c r="F28" s="39">
        <f t="shared" si="1"/>
        <v>21</v>
      </c>
      <c r="G28" s="28"/>
      <c r="H28" s="28"/>
      <c r="I28" s="20"/>
      <c r="J28" s="59" t="s">
        <v>696</v>
      </c>
      <c r="K28" s="58" t="s">
        <v>697</v>
      </c>
      <c r="L28" s="21" t="s">
        <v>579</v>
      </c>
      <c r="M28" s="22"/>
      <c r="N28" s="23"/>
    </row>
    <row r="29" spans="2:14" x14ac:dyDescent="0.25">
      <c r="B29" s="18">
        <v>45</v>
      </c>
      <c r="C29" s="20" t="s">
        <v>483</v>
      </c>
      <c r="D29" s="29" t="s">
        <v>89</v>
      </c>
      <c r="E29" s="48">
        <v>9425598</v>
      </c>
      <c r="F29" s="39">
        <f t="shared" si="1"/>
        <v>22</v>
      </c>
      <c r="G29" s="28"/>
      <c r="H29" s="28"/>
      <c r="I29" s="20"/>
      <c r="J29" s="20" t="s">
        <v>269</v>
      </c>
      <c r="K29" s="21" t="s">
        <v>390</v>
      </c>
      <c r="L29" s="21" t="s">
        <v>579</v>
      </c>
      <c r="M29" s="22"/>
      <c r="N29" s="23"/>
    </row>
    <row r="30" spans="2:14" x14ac:dyDescent="0.25">
      <c r="B30" s="18">
        <v>45</v>
      </c>
      <c r="C30" s="20" t="s">
        <v>1056</v>
      </c>
      <c r="D30" s="29" t="s">
        <v>1055</v>
      </c>
      <c r="E30" s="48">
        <v>12092467</v>
      </c>
      <c r="F30" s="39">
        <f t="shared" si="1"/>
        <v>23</v>
      </c>
      <c r="G30" s="28"/>
      <c r="H30" s="28"/>
      <c r="I30" s="20"/>
      <c r="J30" s="59" t="s">
        <v>696</v>
      </c>
      <c r="K30" s="58" t="s">
        <v>697</v>
      </c>
      <c r="L30" s="21" t="s">
        <v>579</v>
      </c>
      <c r="M30" s="22"/>
      <c r="N30" s="23"/>
    </row>
    <row r="31" spans="2:14" s="57" customFormat="1" ht="15.75" thickBot="1" x14ac:dyDescent="0.3">
      <c r="B31" s="65"/>
      <c r="C31" s="66"/>
      <c r="D31" s="66"/>
      <c r="E31" s="67"/>
      <c r="F31" s="68"/>
      <c r="G31" s="69"/>
      <c r="H31" s="69"/>
      <c r="I31" s="70"/>
      <c r="J31" s="66"/>
      <c r="K31" s="71"/>
      <c r="L31" s="71"/>
      <c r="M31" s="70"/>
      <c r="N31" s="72"/>
    </row>
    <row r="32" spans="2:14" s="57" customFormat="1" x14ac:dyDescent="0.25">
      <c r="B32" s="2"/>
      <c r="C32" s="1"/>
      <c r="D32" s="1"/>
      <c r="E32" s="3"/>
      <c r="F32" s="89" t="s">
        <v>1024</v>
      </c>
      <c r="G32" s="87"/>
      <c r="H32" s="87"/>
      <c r="I32" s="88"/>
      <c r="J32" s="88"/>
      <c r="K32" s="4"/>
      <c r="L32" s="4"/>
      <c r="M32" s="14" t="s">
        <v>0</v>
      </c>
      <c r="N32" s="5"/>
    </row>
    <row r="33" spans="2:14" s="57" customFormat="1" x14ac:dyDescent="0.25">
      <c r="B33" s="15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 t="s">
        <v>7</v>
      </c>
      <c r="I33" s="16" t="s">
        <v>8</v>
      </c>
      <c r="J33" s="16" t="s">
        <v>9</v>
      </c>
      <c r="K33" s="16" t="s">
        <v>387</v>
      </c>
      <c r="L33" s="16" t="s">
        <v>10</v>
      </c>
      <c r="M33" s="16" t="s">
        <v>11</v>
      </c>
      <c r="N33" s="17" t="s">
        <v>12</v>
      </c>
    </row>
    <row r="34" spans="2:14" x14ac:dyDescent="0.25">
      <c r="B34" s="18">
        <f>1500+350</f>
        <v>1850</v>
      </c>
      <c r="C34" s="20" t="s">
        <v>276</v>
      </c>
      <c r="D34" s="29" t="s">
        <v>170</v>
      </c>
      <c r="E34" s="47">
        <v>7291165</v>
      </c>
      <c r="F34" s="39">
        <f>F30+1</f>
        <v>24</v>
      </c>
      <c r="G34" s="28"/>
      <c r="H34" s="28"/>
      <c r="I34" s="20"/>
      <c r="J34" s="20" t="s">
        <v>277</v>
      </c>
      <c r="K34" s="21" t="s">
        <v>388</v>
      </c>
      <c r="L34" s="21" t="s">
        <v>580</v>
      </c>
      <c r="M34" s="22"/>
      <c r="N34" s="23"/>
    </row>
    <row r="35" spans="2:14" x14ac:dyDescent="0.25">
      <c r="B35" s="18">
        <v>1500</v>
      </c>
      <c r="C35" s="20" t="s">
        <v>568</v>
      </c>
      <c r="D35" s="29" t="s">
        <v>567</v>
      </c>
      <c r="E35" s="47">
        <v>9510381</v>
      </c>
      <c r="F35" s="39">
        <f t="shared" si="1"/>
        <v>25</v>
      </c>
      <c r="G35" s="28"/>
      <c r="H35" s="28"/>
      <c r="I35" s="20"/>
      <c r="J35" s="20" t="s">
        <v>755</v>
      </c>
      <c r="K35" s="21" t="s">
        <v>390</v>
      </c>
      <c r="L35" s="21" t="s">
        <v>580</v>
      </c>
      <c r="M35" s="22"/>
      <c r="N35" s="23"/>
    </row>
    <row r="36" spans="2:14" x14ac:dyDescent="0.25">
      <c r="B36" s="18">
        <f>1200+45</f>
        <v>1245</v>
      </c>
      <c r="C36" s="20" t="s">
        <v>569</v>
      </c>
      <c r="D36" s="29" t="s">
        <v>532</v>
      </c>
      <c r="E36" s="47">
        <v>10772409</v>
      </c>
      <c r="F36" s="39">
        <f t="shared" si="1"/>
        <v>26</v>
      </c>
      <c r="G36" s="28"/>
      <c r="H36" s="28"/>
      <c r="I36" s="20"/>
      <c r="J36" s="20" t="s">
        <v>259</v>
      </c>
      <c r="K36" s="21" t="s">
        <v>388</v>
      </c>
      <c r="L36" s="21" t="s">
        <v>580</v>
      </c>
      <c r="M36" s="22"/>
      <c r="N36" s="23"/>
    </row>
    <row r="37" spans="2:14" x14ac:dyDescent="0.25">
      <c r="B37" s="18">
        <f>1000+90</f>
        <v>1090</v>
      </c>
      <c r="C37" s="20" t="s">
        <v>84</v>
      </c>
      <c r="D37" s="29" t="s">
        <v>65</v>
      </c>
      <c r="E37" s="47">
        <v>10605866</v>
      </c>
      <c r="F37" s="39">
        <f t="shared" si="1"/>
        <v>27</v>
      </c>
      <c r="G37" s="28"/>
      <c r="H37" s="28"/>
      <c r="I37" s="20"/>
      <c r="J37" s="20" t="s">
        <v>277</v>
      </c>
      <c r="K37" s="21" t="s">
        <v>388</v>
      </c>
      <c r="L37" s="21" t="s">
        <v>580</v>
      </c>
      <c r="M37" s="22"/>
      <c r="N37" s="23"/>
    </row>
    <row r="38" spans="2:14" x14ac:dyDescent="0.25">
      <c r="B38" s="18">
        <v>750</v>
      </c>
      <c r="C38" s="20" t="s">
        <v>756</v>
      </c>
      <c r="D38" s="20" t="s">
        <v>82</v>
      </c>
      <c r="E38" s="47">
        <v>12068880</v>
      </c>
      <c r="F38" s="39">
        <f t="shared" si="1"/>
        <v>28</v>
      </c>
      <c r="G38" s="28"/>
      <c r="H38" s="28"/>
      <c r="I38" s="22"/>
      <c r="J38" s="20" t="s">
        <v>285</v>
      </c>
      <c r="K38" s="21" t="s">
        <v>393</v>
      </c>
      <c r="L38" s="21" t="s">
        <v>580</v>
      </c>
      <c r="M38" s="22"/>
      <c r="N38" s="23"/>
    </row>
    <row r="39" spans="2:14" x14ac:dyDescent="0.25">
      <c r="B39" s="18">
        <f>360+45</f>
        <v>405</v>
      </c>
      <c r="C39" s="20" t="s">
        <v>171</v>
      </c>
      <c r="D39" s="29" t="s">
        <v>80</v>
      </c>
      <c r="E39" s="47">
        <v>7456397</v>
      </c>
      <c r="F39" s="39">
        <f t="shared" si="1"/>
        <v>29</v>
      </c>
      <c r="G39" s="28"/>
      <c r="H39" s="28"/>
      <c r="I39" s="22"/>
      <c r="J39" s="20" t="s">
        <v>259</v>
      </c>
      <c r="K39" s="21" t="s">
        <v>388</v>
      </c>
      <c r="L39" s="21" t="s">
        <v>580</v>
      </c>
      <c r="M39" s="22"/>
      <c r="N39" s="23"/>
    </row>
    <row r="40" spans="2:14" x14ac:dyDescent="0.25">
      <c r="B40" s="18">
        <v>400</v>
      </c>
      <c r="C40" s="20" t="s">
        <v>757</v>
      </c>
      <c r="D40" s="29" t="s">
        <v>570</v>
      </c>
      <c r="E40" s="46">
        <v>10771261</v>
      </c>
      <c r="F40" s="39">
        <f t="shared" si="1"/>
        <v>30</v>
      </c>
      <c r="G40" s="28"/>
      <c r="H40" s="28"/>
      <c r="I40" s="22"/>
      <c r="J40" s="20" t="s">
        <v>259</v>
      </c>
      <c r="K40" s="21" t="s">
        <v>388</v>
      </c>
      <c r="L40" s="21" t="s">
        <v>580</v>
      </c>
      <c r="M40" s="22"/>
      <c r="N40" s="23"/>
    </row>
    <row r="41" spans="2:14" x14ac:dyDescent="0.25">
      <c r="B41" s="18">
        <f>90+150</f>
        <v>240</v>
      </c>
      <c r="C41" s="20" t="s">
        <v>713</v>
      </c>
      <c r="D41" s="20" t="s">
        <v>31</v>
      </c>
      <c r="E41" s="47">
        <v>10774778</v>
      </c>
      <c r="F41" s="39">
        <f t="shared" si="1"/>
        <v>31</v>
      </c>
      <c r="G41" s="28"/>
      <c r="H41" s="28"/>
      <c r="I41" s="22"/>
      <c r="J41" s="20" t="s">
        <v>259</v>
      </c>
      <c r="K41" s="21" t="s">
        <v>388</v>
      </c>
      <c r="L41" s="21" t="s">
        <v>580</v>
      </c>
      <c r="M41" s="22"/>
      <c r="N41" s="23"/>
    </row>
    <row r="42" spans="2:14" x14ac:dyDescent="0.25">
      <c r="B42" s="18">
        <v>180</v>
      </c>
      <c r="C42" s="20" t="s">
        <v>1020</v>
      </c>
      <c r="D42" s="20" t="s">
        <v>571</v>
      </c>
      <c r="E42" s="47">
        <v>6567179</v>
      </c>
      <c r="F42" s="39">
        <f t="shared" si="1"/>
        <v>32</v>
      </c>
      <c r="G42" s="28"/>
      <c r="H42" s="28"/>
      <c r="I42" s="22"/>
      <c r="J42" s="20" t="s">
        <v>1021</v>
      </c>
      <c r="K42" s="21" t="s">
        <v>389</v>
      </c>
      <c r="L42" s="21" t="s">
        <v>580</v>
      </c>
      <c r="M42" s="22"/>
      <c r="N42" s="23"/>
    </row>
    <row r="43" spans="2:14" x14ac:dyDescent="0.25">
      <c r="B43" s="18">
        <v>180</v>
      </c>
      <c r="C43" s="20" t="s">
        <v>760</v>
      </c>
      <c r="D43" s="29" t="s">
        <v>759</v>
      </c>
      <c r="E43" s="46">
        <v>13254602</v>
      </c>
      <c r="F43" s="39">
        <f t="shared" si="1"/>
        <v>33</v>
      </c>
      <c r="G43" s="28"/>
      <c r="H43" s="28"/>
      <c r="I43" s="22"/>
      <c r="J43" s="20" t="s">
        <v>259</v>
      </c>
      <c r="K43" s="21" t="s">
        <v>388</v>
      </c>
      <c r="L43" s="21" t="s">
        <v>580</v>
      </c>
      <c r="M43" s="22"/>
      <c r="N43" s="23"/>
    </row>
    <row r="44" spans="2:14" x14ac:dyDescent="0.25">
      <c r="B44" s="18">
        <f>75+100</f>
        <v>175</v>
      </c>
      <c r="C44" s="20" t="s">
        <v>49</v>
      </c>
      <c r="D44" s="20" t="s">
        <v>412</v>
      </c>
      <c r="E44" s="47">
        <v>11855907</v>
      </c>
      <c r="F44" s="39">
        <f t="shared" si="1"/>
        <v>34</v>
      </c>
      <c r="G44" s="28"/>
      <c r="H44" s="28"/>
      <c r="I44" s="22"/>
      <c r="J44" s="20" t="s">
        <v>413</v>
      </c>
      <c r="K44" s="21" t="s">
        <v>389</v>
      </c>
      <c r="L44" s="21" t="s">
        <v>580</v>
      </c>
      <c r="M44" s="22"/>
      <c r="N44" s="23"/>
    </row>
    <row r="45" spans="2:14" x14ac:dyDescent="0.25">
      <c r="B45" s="18">
        <f>90+45</f>
        <v>135</v>
      </c>
      <c r="C45" s="20" t="s">
        <v>280</v>
      </c>
      <c r="D45" s="20" t="s">
        <v>173</v>
      </c>
      <c r="E45" s="47">
        <v>7111256</v>
      </c>
      <c r="F45" s="39">
        <f t="shared" si="1"/>
        <v>35</v>
      </c>
      <c r="G45" s="28"/>
      <c r="H45" s="28"/>
      <c r="I45" s="22"/>
      <c r="J45" s="20" t="s">
        <v>281</v>
      </c>
      <c r="K45" s="21" t="s">
        <v>388</v>
      </c>
      <c r="L45" s="21" t="s">
        <v>580</v>
      </c>
      <c r="M45" s="22"/>
      <c r="N45" s="23"/>
    </row>
    <row r="46" spans="2:14" x14ac:dyDescent="0.25">
      <c r="B46" s="18">
        <f>90+45</f>
        <v>135</v>
      </c>
      <c r="C46" s="20" t="s">
        <v>175</v>
      </c>
      <c r="D46" s="20" t="s">
        <v>79</v>
      </c>
      <c r="E46" s="47">
        <v>10602250</v>
      </c>
      <c r="F46" s="39">
        <f t="shared" si="1"/>
        <v>36</v>
      </c>
      <c r="G46" s="28"/>
      <c r="H46" s="28"/>
      <c r="I46" s="22"/>
      <c r="J46" s="20" t="s">
        <v>259</v>
      </c>
      <c r="K46" s="21" t="s">
        <v>388</v>
      </c>
      <c r="L46" s="21" t="s">
        <v>580</v>
      </c>
      <c r="M46" s="22"/>
      <c r="N46" s="23"/>
    </row>
    <row r="47" spans="2:14" x14ac:dyDescent="0.25">
      <c r="B47" s="18">
        <f>45+75</f>
        <v>120</v>
      </c>
      <c r="C47" s="20" t="s">
        <v>439</v>
      </c>
      <c r="D47" s="20" t="s">
        <v>86</v>
      </c>
      <c r="E47" s="55">
        <v>11855824</v>
      </c>
      <c r="F47" s="39">
        <f t="shared" si="1"/>
        <v>37</v>
      </c>
      <c r="G47" s="28"/>
      <c r="H47" s="28"/>
      <c r="I47" s="24"/>
      <c r="J47" s="20" t="s">
        <v>270</v>
      </c>
      <c r="K47" s="21" t="s">
        <v>389</v>
      </c>
      <c r="L47" s="21" t="s">
        <v>580</v>
      </c>
      <c r="M47" s="22"/>
      <c r="N47" s="23"/>
    </row>
    <row r="48" spans="2:14" x14ac:dyDescent="0.25">
      <c r="B48" s="18">
        <f>5+100</f>
        <v>105</v>
      </c>
      <c r="C48" s="19" t="s">
        <v>405</v>
      </c>
      <c r="D48" s="20" t="s">
        <v>404</v>
      </c>
      <c r="E48" s="47">
        <v>11855303</v>
      </c>
      <c r="F48" s="39">
        <f t="shared" si="1"/>
        <v>38</v>
      </c>
      <c r="G48" s="28"/>
      <c r="H48" s="28"/>
      <c r="I48" s="22"/>
      <c r="J48" s="20" t="s">
        <v>270</v>
      </c>
      <c r="K48" s="21" t="s">
        <v>389</v>
      </c>
      <c r="L48" s="21" t="s">
        <v>580</v>
      </c>
      <c r="M48" s="22"/>
      <c r="N48" s="23"/>
    </row>
    <row r="49" spans="2:14" x14ac:dyDescent="0.25">
      <c r="B49" s="18">
        <f>2+90+5</f>
        <v>97</v>
      </c>
      <c r="C49" s="20" t="s">
        <v>98</v>
      </c>
      <c r="D49" s="20" t="s">
        <v>99</v>
      </c>
      <c r="E49" s="48">
        <v>11855155</v>
      </c>
      <c r="F49" s="39">
        <f t="shared" si="1"/>
        <v>39</v>
      </c>
      <c r="G49" s="28"/>
      <c r="H49" s="28"/>
      <c r="I49" s="24"/>
      <c r="J49" s="20" t="s">
        <v>270</v>
      </c>
      <c r="K49" s="21" t="s">
        <v>389</v>
      </c>
      <c r="L49" s="21" t="s">
        <v>580</v>
      </c>
      <c r="M49" s="22"/>
      <c r="N49" s="23"/>
    </row>
    <row r="50" spans="2:14" x14ac:dyDescent="0.25">
      <c r="B50" s="18">
        <v>90</v>
      </c>
      <c r="C50" s="20" t="s">
        <v>179</v>
      </c>
      <c r="D50" s="20" t="s">
        <v>180</v>
      </c>
      <c r="E50" s="47">
        <v>10763937</v>
      </c>
      <c r="F50" s="39">
        <f t="shared" si="1"/>
        <v>40</v>
      </c>
      <c r="G50" s="28"/>
      <c r="H50" s="28"/>
      <c r="I50" s="22"/>
      <c r="J50" s="20" t="s">
        <v>761</v>
      </c>
      <c r="K50" s="21" t="s">
        <v>388</v>
      </c>
      <c r="L50" s="21" t="s">
        <v>580</v>
      </c>
      <c r="M50" s="22"/>
      <c r="N50" s="23"/>
    </row>
    <row r="51" spans="2:14" x14ac:dyDescent="0.25">
      <c r="B51" s="18">
        <v>90</v>
      </c>
      <c r="C51" s="34" t="s">
        <v>282</v>
      </c>
      <c r="D51" s="20" t="s">
        <v>283</v>
      </c>
      <c r="E51" s="47">
        <v>10767210</v>
      </c>
      <c r="F51" s="39">
        <f t="shared" si="1"/>
        <v>41</v>
      </c>
      <c r="G51" s="28"/>
      <c r="H51" s="28"/>
      <c r="I51" s="22"/>
      <c r="J51" s="20" t="s">
        <v>259</v>
      </c>
      <c r="K51" s="21" t="s">
        <v>388</v>
      </c>
      <c r="L51" s="21" t="s">
        <v>580</v>
      </c>
      <c r="M51" s="22"/>
      <c r="N51" s="23"/>
    </row>
    <row r="52" spans="2:14" x14ac:dyDescent="0.25">
      <c r="B52" s="18">
        <v>90</v>
      </c>
      <c r="C52" s="20" t="s">
        <v>284</v>
      </c>
      <c r="D52" s="20" t="s">
        <v>174</v>
      </c>
      <c r="E52" s="47">
        <v>10768375</v>
      </c>
      <c r="F52" s="39">
        <f t="shared" si="1"/>
        <v>42</v>
      </c>
      <c r="G52" s="28"/>
      <c r="H52" s="28"/>
      <c r="I52" s="22"/>
      <c r="J52" s="20" t="s">
        <v>750</v>
      </c>
      <c r="K52" s="21" t="s">
        <v>388</v>
      </c>
      <c r="L52" s="21" t="s">
        <v>580</v>
      </c>
      <c r="M52" s="22"/>
      <c r="N52" s="23"/>
    </row>
    <row r="53" spans="2:14" x14ac:dyDescent="0.25">
      <c r="B53" s="18">
        <v>90</v>
      </c>
      <c r="C53" s="20" t="s">
        <v>572</v>
      </c>
      <c r="D53" s="20" t="s">
        <v>573</v>
      </c>
      <c r="E53" s="47">
        <v>10770859</v>
      </c>
      <c r="F53" s="39">
        <f t="shared" si="1"/>
        <v>43</v>
      </c>
      <c r="G53" s="28"/>
      <c r="H53" s="28"/>
      <c r="I53" s="22"/>
      <c r="J53" s="20" t="s">
        <v>259</v>
      </c>
      <c r="K53" s="21" t="s">
        <v>388</v>
      </c>
      <c r="L53" s="21" t="s">
        <v>580</v>
      </c>
      <c r="M53" s="22"/>
      <c r="N53" s="23"/>
    </row>
    <row r="54" spans="2:14" x14ac:dyDescent="0.25">
      <c r="B54" s="18">
        <v>90</v>
      </c>
      <c r="C54" s="20" t="s">
        <v>762</v>
      </c>
      <c r="D54" s="20" t="s">
        <v>552</v>
      </c>
      <c r="E54" s="47">
        <v>16954613</v>
      </c>
      <c r="F54" s="39">
        <f t="shared" si="1"/>
        <v>44</v>
      </c>
      <c r="G54" s="28"/>
      <c r="H54" s="28"/>
      <c r="I54" s="22"/>
      <c r="J54" s="20" t="s">
        <v>262</v>
      </c>
      <c r="K54" s="21" t="s">
        <v>390</v>
      </c>
      <c r="L54" s="21" t="s">
        <v>580</v>
      </c>
      <c r="M54" s="22"/>
      <c r="N54" s="23"/>
    </row>
    <row r="55" spans="2:14" x14ac:dyDescent="0.25">
      <c r="B55" s="18">
        <v>90</v>
      </c>
      <c r="C55" s="20" t="s">
        <v>763</v>
      </c>
      <c r="D55" s="20" t="s">
        <v>764</v>
      </c>
      <c r="E55" s="47">
        <v>16954506</v>
      </c>
      <c r="F55" s="39">
        <f t="shared" si="1"/>
        <v>45</v>
      </c>
      <c r="G55" s="28"/>
      <c r="H55" s="28"/>
      <c r="I55" s="22"/>
      <c r="J55" s="20" t="s">
        <v>765</v>
      </c>
      <c r="K55" s="21" t="s">
        <v>390</v>
      </c>
      <c r="L55" s="21" t="s">
        <v>580</v>
      </c>
      <c r="M55" s="22"/>
      <c r="N55" s="23"/>
    </row>
    <row r="56" spans="2:14" x14ac:dyDescent="0.25">
      <c r="B56" s="18">
        <v>90</v>
      </c>
      <c r="C56" s="20" t="s">
        <v>766</v>
      </c>
      <c r="D56" s="20" t="s">
        <v>767</v>
      </c>
      <c r="E56" s="47">
        <v>10771138</v>
      </c>
      <c r="F56" s="39">
        <f t="shared" si="1"/>
        <v>46</v>
      </c>
      <c r="G56" s="28"/>
      <c r="H56" s="28"/>
      <c r="I56" s="22"/>
      <c r="J56" s="20" t="s">
        <v>259</v>
      </c>
      <c r="K56" s="21" t="s">
        <v>388</v>
      </c>
      <c r="L56" s="21" t="s">
        <v>580</v>
      </c>
      <c r="M56" s="22"/>
      <c r="N56" s="23"/>
    </row>
    <row r="57" spans="2:14" x14ac:dyDescent="0.25">
      <c r="B57" s="18">
        <v>50</v>
      </c>
      <c r="C57" s="20" t="s">
        <v>769</v>
      </c>
      <c r="D57" s="20" t="s">
        <v>768</v>
      </c>
      <c r="E57" s="47">
        <v>11862390</v>
      </c>
      <c r="F57" s="39">
        <f t="shared" si="1"/>
        <v>47</v>
      </c>
      <c r="G57" s="28"/>
      <c r="H57" s="28"/>
      <c r="I57" s="24"/>
      <c r="J57" s="20" t="s">
        <v>270</v>
      </c>
      <c r="K57" s="21" t="s">
        <v>389</v>
      </c>
      <c r="L57" s="21" t="s">
        <v>580</v>
      </c>
      <c r="M57" s="22"/>
      <c r="N57" s="23"/>
    </row>
    <row r="58" spans="2:14" x14ac:dyDescent="0.25">
      <c r="B58" s="18">
        <v>45</v>
      </c>
      <c r="C58" s="20" t="s">
        <v>770</v>
      </c>
      <c r="D58" s="20" t="s">
        <v>161</v>
      </c>
      <c r="E58" s="47">
        <v>13468021</v>
      </c>
      <c r="F58" s="39">
        <f t="shared" si="1"/>
        <v>48</v>
      </c>
      <c r="G58" s="28"/>
      <c r="H58" s="28"/>
      <c r="I58" s="24"/>
      <c r="J58" s="20" t="s">
        <v>295</v>
      </c>
      <c r="K58" s="21" t="s">
        <v>771</v>
      </c>
      <c r="L58" s="21" t="s">
        <v>580</v>
      </c>
      <c r="M58" s="22"/>
      <c r="N58" s="23"/>
    </row>
    <row r="59" spans="2:14" x14ac:dyDescent="0.25">
      <c r="B59" s="18">
        <v>45</v>
      </c>
      <c r="C59" s="20" t="s">
        <v>772</v>
      </c>
      <c r="D59" s="20" t="s">
        <v>558</v>
      </c>
      <c r="E59" s="47">
        <v>10770627</v>
      </c>
      <c r="F59" s="39">
        <f t="shared" si="1"/>
        <v>49</v>
      </c>
      <c r="G59" s="28"/>
      <c r="H59" s="28"/>
      <c r="I59" s="24"/>
      <c r="J59" s="20" t="s">
        <v>259</v>
      </c>
      <c r="K59" s="21" t="s">
        <v>388</v>
      </c>
      <c r="L59" s="21" t="s">
        <v>580</v>
      </c>
      <c r="M59" s="22"/>
      <c r="N59" s="23"/>
    </row>
    <row r="60" spans="2:14" x14ac:dyDescent="0.25">
      <c r="B60" s="18">
        <v>45</v>
      </c>
      <c r="C60" s="20" t="s">
        <v>342</v>
      </c>
      <c r="D60" s="20" t="s">
        <v>343</v>
      </c>
      <c r="E60" s="47">
        <v>16307804</v>
      </c>
      <c r="F60" s="39">
        <f t="shared" si="1"/>
        <v>50</v>
      </c>
      <c r="G60" s="28"/>
      <c r="H60" s="28"/>
      <c r="I60" s="24"/>
      <c r="J60" s="20" t="s">
        <v>259</v>
      </c>
      <c r="K60" s="21" t="s">
        <v>388</v>
      </c>
      <c r="L60" s="21" t="s">
        <v>580</v>
      </c>
      <c r="M60" s="22"/>
      <c r="N60" s="23"/>
    </row>
    <row r="61" spans="2:14" x14ac:dyDescent="0.25">
      <c r="B61" s="18">
        <v>45</v>
      </c>
      <c r="C61" s="20" t="s">
        <v>773</v>
      </c>
      <c r="D61" s="20" t="s">
        <v>574</v>
      </c>
      <c r="E61" s="47">
        <v>10770718</v>
      </c>
      <c r="F61" s="39">
        <f t="shared" si="1"/>
        <v>51</v>
      </c>
      <c r="G61" s="28"/>
      <c r="H61" s="28"/>
      <c r="I61" s="24"/>
      <c r="J61" s="20" t="s">
        <v>259</v>
      </c>
      <c r="K61" s="21" t="s">
        <v>388</v>
      </c>
      <c r="L61" s="21" t="s">
        <v>580</v>
      </c>
      <c r="M61" s="22"/>
      <c r="N61" s="23"/>
    </row>
    <row r="62" spans="2:14" x14ac:dyDescent="0.25">
      <c r="B62" s="18">
        <v>45</v>
      </c>
      <c r="C62" s="20" t="s">
        <v>331</v>
      </c>
      <c r="D62" s="20" t="s">
        <v>575</v>
      </c>
      <c r="E62" s="47">
        <v>10765355</v>
      </c>
      <c r="F62" s="39">
        <f t="shared" si="1"/>
        <v>52</v>
      </c>
      <c r="G62" s="28"/>
      <c r="H62" s="28"/>
      <c r="I62" s="24"/>
      <c r="J62" s="20" t="s">
        <v>259</v>
      </c>
      <c r="K62" s="21" t="s">
        <v>388</v>
      </c>
      <c r="L62" s="21" t="s">
        <v>580</v>
      </c>
      <c r="M62" s="22"/>
      <c r="N62" s="23"/>
    </row>
    <row r="63" spans="2:14" x14ac:dyDescent="0.25">
      <c r="B63" s="18">
        <v>45</v>
      </c>
      <c r="C63" s="20" t="s">
        <v>576</v>
      </c>
      <c r="D63" s="20" t="s">
        <v>38</v>
      </c>
      <c r="E63" s="47">
        <v>10367979</v>
      </c>
      <c r="F63" s="39">
        <f t="shared" si="1"/>
        <v>53</v>
      </c>
      <c r="G63" s="28"/>
      <c r="H63" s="28"/>
      <c r="I63" s="24"/>
      <c r="J63" s="20" t="s">
        <v>370</v>
      </c>
      <c r="K63" s="21" t="s">
        <v>388</v>
      </c>
      <c r="L63" s="21" t="s">
        <v>580</v>
      </c>
      <c r="M63" s="22"/>
      <c r="N63" s="23"/>
    </row>
    <row r="64" spans="2:14" x14ac:dyDescent="0.25">
      <c r="B64" s="18">
        <v>45</v>
      </c>
      <c r="C64" s="20" t="s">
        <v>330</v>
      </c>
      <c r="D64" s="20" t="s">
        <v>614</v>
      </c>
      <c r="E64" s="47">
        <v>10765983</v>
      </c>
      <c r="F64" s="39">
        <f t="shared" si="1"/>
        <v>54</v>
      </c>
      <c r="G64" s="28"/>
      <c r="H64" s="28"/>
      <c r="I64" s="24"/>
      <c r="J64" s="20" t="s">
        <v>259</v>
      </c>
      <c r="K64" s="21" t="s">
        <v>388</v>
      </c>
      <c r="L64" s="21" t="s">
        <v>580</v>
      </c>
      <c r="M64" s="22"/>
      <c r="N64" s="23"/>
    </row>
    <row r="65" spans="2:14" x14ac:dyDescent="0.25">
      <c r="B65" s="18">
        <v>45</v>
      </c>
      <c r="C65" s="20" t="s">
        <v>378</v>
      </c>
      <c r="D65" s="20" t="s">
        <v>155</v>
      </c>
      <c r="E65" s="47">
        <v>16691926</v>
      </c>
      <c r="F65" s="39">
        <f t="shared" si="1"/>
        <v>55</v>
      </c>
      <c r="G65" s="28"/>
      <c r="H65" s="28"/>
      <c r="I65" s="24"/>
      <c r="J65" s="20" t="s">
        <v>377</v>
      </c>
      <c r="K65" s="21" t="s">
        <v>392</v>
      </c>
      <c r="L65" s="21" t="s">
        <v>580</v>
      </c>
      <c r="M65" s="22"/>
      <c r="N65" s="23"/>
    </row>
    <row r="66" spans="2:14" x14ac:dyDescent="0.25">
      <c r="B66" s="18">
        <v>45</v>
      </c>
      <c r="C66" s="20" t="s">
        <v>774</v>
      </c>
      <c r="D66" s="20" t="s">
        <v>577</v>
      </c>
      <c r="E66" s="47">
        <v>10763903</v>
      </c>
      <c r="F66" s="39">
        <f t="shared" si="1"/>
        <v>56</v>
      </c>
      <c r="G66" s="28"/>
      <c r="H66" s="28"/>
      <c r="I66" s="24"/>
      <c r="J66" s="20" t="s">
        <v>259</v>
      </c>
      <c r="K66" s="21" t="s">
        <v>388</v>
      </c>
      <c r="L66" s="21" t="s">
        <v>580</v>
      </c>
      <c r="M66" s="22"/>
      <c r="N66" s="23"/>
    </row>
    <row r="67" spans="2:14" x14ac:dyDescent="0.25">
      <c r="B67" s="18">
        <v>45</v>
      </c>
      <c r="C67" s="20" t="s">
        <v>578</v>
      </c>
      <c r="D67" s="20" t="s">
        <v>25</v>
      </c>
      <c r="E67" s="47">
        <v>10774314</v>
      </c>
      <c r="F67" s="39">
        <f t="shared" si="1"/>
        <v>57</v>
      </c>
      <c r="G67" s="28"/>
      <c r="H67" s="28"/>
      <c r="I67" s="24"/>
      <c r="J67" s="20" t="s">
        <v>259</v>
      </c>
      <c r="K67" s="21" t="s">
        <v>388</v>
      </c>
      <c r="L67" s="21" t="s">
        <v>580</v>
      </c>
      <c r="M67" s="22"/>
      <c r="N67" s="23"/>
    </row>
    <row r="68" spans="2:14" x14ac:dyDescent="0.25">
      <c r="B68" s="18">
        <v>45</v>
      </c>
      <c r="C68" s="44" t="s">
        <v>716</v>
      </c>
      <c r="D68" s="20" t="s">
        <v>717</v>
      </c>
      <c r="E68" s="47">
        <v>9754385</v>
      </c>
      <c r="F68" s="39">
        <f t="shared" si="1"/>
        <v>58</v>
      </c>
      <c r="G68" s="28"/>
      <c r="H68" s="28"/>
      <c r="I68" s="24"/>
      <c r="J68" s="20" t="s">
        <v>775</v>
      </c>
      <c r="K68" s="21" t="s">
        <v>388</v>
      </c>
      <c r="L68" s="21" t="s">
        <v>580</v>
      </c>
      <c r="M68" s="22"/>
      <c r="N68" s="23"/>
    </row>
    <row r="69" spans="2:14" x14ac:dyDescent="0.25">
      <c r="B69" s="18">
        <v>45</v>
      </c>
      <c r="C69" s="20" t="s">
        <v>600</v>
      </c>
      <c r="D69" s="20" t="s">
        <v>776</v>
      </c>
      <c r="E69" s="47">
        <v>10772409</v>
      </c>
      <c r="F69" s="39">
        <f t="shared" si="1"/>
        <v>59</v>
      </c>
      <c r="G69" s="28"/>
      <c r="H69" s="28"/>
      <c r="I69" s="24"/>
      <c r="J69" s="20" t="s">
        <v>259</v>
      </c>
      <c r="K69" s="21" t="s">
        <v>388</v>
      </c>
      <c r="L69" s="21" t="s">
        <v>580</v>
      </c>
      <c r="M69" s="22"/>
      <c r="N69" s="23"/>
    </row>
    <row r="70" spans="2:14" x14ac:dyDescent="0.25">
      <c r="B70" s="18">
        <f>5+25</f>
        <v>30</v>
      </c>
      <c r="C70" s="20" t="s">
        <v>49</v>
      </c>
      <c r="D70" s="20" t="s">
        <v>414</v>
      </c>
      <c r="E70" s="56">
        <v>11855890</v>
      </c>
      <c r="F70" s="39">
        <f t="shared" si="1"/>
        <v>60</v>
      </c>
      <c r="G70" s="28"/>
      <c r="H70" s="28"/>
      <c r="I70" s="22"/>
      <c r="J70" s="20" t="s">
        <v>413</v>
      </c>
      <c r="K70" s="21" t="s">
        <v>389</v>
      </c>
      <c r="L70" s="21" t="s">
        <v>580</v>
      </c>
      <c r="M70" s="22"/>
      <c r="N70" s="23"/>
    </row>
    <row r="71" spans="2:14" x14ac:dyDescent="0.25">
      <c r="B71" s="18">
        <v>5</v>
      </c>
      <c r="C71" s="20" t="s">
        <v>415</v>
      </c>
      <c r="D71" s="20" t="s">
        <v>416</v>
      </c>
      <c r="E71" s="50">
        <v>11855650</v>
      </c>
      <c r="F71" s="39">
        <f t="shared" si="1"/>
        <v>61</v>
      </c>
      <c r="G71" s="28"/>
      <c r="H71" s="28"/>
      <c r="I71" s="22"/>
      <c r="J71" s="20" t="s">
        <v>270</v>
      </c>
      <c r="K71" s="21" t="s">
        <v>389</v>
      </c>
      <c r="L71" s="21" t="s">
        <v>580</v>
      </c>
      <c r="M71" s="22"/>
      <c r="N71" s="23"/>
    </row>
    <row r="72" spans="2:14" x14ac:dyDescent="0.25">
      <c r="B72" s="18">
        <v>5</v>
      </c>
      <c r="C72" s="20" t="s">
        <v>417</v>
      </c>
      <c r="D72" s="20" t="s">
        <v>79</v>
      </c>
      <c r="E72" s="47">
        <v>6027412</v>
      </c>
      <c r="F72" s="39">
        <f t="shared" si="1"/>
        <v>62</v>
      </c>
      <c r="G72" s="28"/>
      <c r="H72" s="28"/>
      <c r="I72" s="22"/>
      <c r="J72" s="20" t="s">
        <v>777</v>
      </c>
      <c r="K72" s="21" t="s">
        <v>389</v>
      </c>
      <c r="L72" s="21" t="s">
        <v>580</v>
      </c>
      <c r="M72" s="22"/>
      <c r="N72" s="23"/>
    </row>
    <row r="73" spans="2:14" ht="15.75" thickBot="1" x14ac:dyDescent="0.3">
      <c r="B73" s="73"/>
      <c r="C73" s="74"/>
      <c r="D73" s="74"/>
      <c r="E73" s="67"/>
      <c r="F73" s="75"/>
      <c r="G73" s="76"/>
      <c r="H73" s="76"/>
      <c r="I73" s="77"/>
      <c r="J73" s="74"/>
      <c r="K73" s="78"/>
      <c r="L73" s="78"/>
      <c r="M73" s="77"/>
      <c r="N73" s="79"/>
    </row>
    <row r="74" spans="2:14" x14ac:dyDescent="0.25">
      <c r="B74" s="2"/>
      <c r="C74" s="1"/>
      <c r="D74" s="1"/>
      <c r="E74" s="3"/>
      <c r="F74" s="89" t="s">
        <v>1025</v>
      </c>
      <c r="G74" s="87"/>
      <c r="H74" s="87"/>
      <c r="I74" s="88"/>
      <c r="J74" s="88"/>
      <c r="K74" s="4"/>
      <c r="L74" s="4"/>
      <c r="M74" s="14" t="s">
        <v>0</v>
      </c>
      <c r="N74" s="5"/>
    </row>
    <row r="75" spans="2:14" x14ac:dyDescent="0.25">
      <c r="B75" s="15" t="s">
        <v>1</v>
      </c>
      <c r="C75" s="16" t="s">
        <v>2</v>
      </c>
      <c r="D75" s="16" t="s">
        <v>3</v>
      </c>
      <c r="E75" s="16" t="s">
        <v>4</v>
      </c>
      <c r="F75" s="16" t="s">
        <v>5</v>
      </c>
      <c r="G75" s="16" t="s">
        <v>6</v>
      </c>
      <c r="H75" s="16" t="s">
        <v>7</v>
      </c>
      <c r="I75" s="16" t="s">
        <v>8</v>
      </c>
      <c r="J75" s="16" t="s">
        <v>9</v>
      </c>
      <c r="K75" s="16" t="s">
        <v>387</v>
      </c>
      <c r="L75" s="16" t="s">
        <v>10</v>
      </c>
      <c r="M75" s="16" t="s">
        <v>11</v>
      </c>
      <c r="N75" s="17" t="s">
        <v>12</v>
      </c>
    </row>
    <row r="76" spans="2:14" x14ac:dyDescent="0.25">
      <c r="B76" s="18">
        <v>1500</v>
      </c>
      <c r="C76" s="20" t="s">
        <v>549</v>
      </c>
      <c r="D76" s="20" t="s">
        <v>73</v>
      </c>
      <c r="E76" s="47">
        <v>10775289</v>
      </c>
      <c r="F76" s="39">
        <f>F72+1</f>
        <v>63</v>
      </c>
      <c r="G76" s="28"/>
      <c r="H76" s="28"/>
      <c r="I76" s="22"/>
      <c r="J76" s="20" t="s">
        <v>259</v>
      </c>
      <c r="K76" s="21" t="s">
        <v>388</v>
      </c>
      <c r="L76" s="21" t="s">
        <v>581</v>
      </c>
      <c r="M76" s="22"/>
      <c r="N76" s="23"/>
    </row>
    <row r="77" spans="2:14" x14ac:dyDescent="0.25">
      <c r="B77" s="18">
        <v>1200</v>
      </c>
      <c r="C77" s="20" t="s">
        <v>778</v>
      </c>
      <c r="D77" s="20" t="s">
        <v>180</v>
      </c>
      <c r="E77" s="47">
        <v>10771378</v>
      </c>
      <c r="F77" s="39">
        <f t="shared" si="1"/>
        <v>64</v>
      </c>
      <c r="G77" s="28"/>
      <c r="H77" s="28"/>
      <c r="I77" s="22"/>
      <c r="J77" s="20" t="s">
        <v>259</v>
      </c>
      <c r="K77" s="21" t="s">
        <v>388</v>
      </c>
      <c r="L77" s="21" t="s">
        <v>581</v>
      </c>
      <c r="M77" s="22"/>
      <c r="N77" s="23"/>
    </row>
    <row r="78" spans="2:14" x14ac:dyDescent="0.25">
      <c r="B78" s="18">
        <v>750</v>
      </c>
      <c r="C78" s="20" t="s">
        <v>779</v>
      </c>
      <c r="D78" s="20" t="s">
        <v>550</v>
      </c>
      <c r="E78" s="47">
        <v>10770768</v>
      </c>
      <c r="F78" s="39">
        <f t="shared" si="1"/>
        <v>65</v>
      </c>
      <c r="G78" s="28"/>
      <c r="H78" s="28"/>
      <c r="I78" s="22"/>
      <c r="J78" s="20" t="s">
        <v>750</v>
      </c>
      <c r="K78" s="21" t="s">
        <v>388</v>
      </c>
      <c r="L78" s="21" t="s">
        <v>581</v>
      </c>
      <c r="M78" s="22"/>
      <c r="N78" s="23"/>
    </row>
    <row r="79" spans="2:14" x14ac:dyDescent="0.25">
      <c r="B79" s="18">
        <f>360+90</f>
        <v>450</v>
      </c>
      <c r="C79" s="20" t="s">
        <v>176</v>
      </c>
      <c r="D79" s="20" t="s">
        <v>178</v>
      </c>
      <c r="E79" s="47">
        <v>16670243</v>
      </c>
      <c r="F79" s="39">
        <f t="shared" si="1"/>
        <v>66</v>
      </c>
      <c r="G79" s="28"/>
      <c r="H79" s="28"/>
      <c r="I79" s="22"/>
      <c r="J79" s="20" t="s">
        <v>288</v>
      </c>
      <c r="K79" s="21" t="s">
        <v>392</v>
      </c>
      <c r="L79" s="21" t="s">
        <v>581</v>
      </c>
      <c r="M79" s="22"/>
      <c r="N79" s="23"/>
    </row>
    <row r="80" spans="2:14" x14ac:dyDescent="0.25">
      <c r="B80" s="18">
        <f>360+45</f>
        <v>405</v>
      </c>
      <c r="C80" s="20" t="s">
        <v>37</v>
      </c>
      <c r="D80" s="20" t="s">
        <v>177</v>
      </c>
      <c r="E80" s="47">
        <v>10768549</v>
      </c>
      <c r="F80" s="39">
        <f t="shared" si="1"/>
        <v>67</v>
      </c>
      <c r="G80" s="28"/>
      <c r="H80" s="28"/>
      <c r="I80" s="22"/>
      <c r="J80" s="20" t="s">
        <v>259</v>
      </c>
      <c r="K80" s="21" t="s">
        <v>388</v>
      </c>
      <c r="L80" s="21" t="s">
        <v>581</v>
      </c>
      <c r="M80" s="22"/>
      <c r="N80" s="23"/>
    </row>
    <row r="81" spans="2:18" x14ac:dyDescent="0.25">
      <c r="B81" s="18">
        <v>400</v>
      </c>
      <c r="C81" s="20" t="s">
        <v>780</v>
      </c>
      <c r="D81" s="20" t="s">
        <v>551</v>
      </c>
      <c r="E81" s="47">
        <v>10283737</v>
      </c>
      <c r="F81" s="39">
        <f t="shared" ref="F81:F127" si="2">F80+1</f>
        <v>68</v>
      </c>
      <c r="G81" s="28"/>
      <c r="H81" s="28"/>
      <c r="I81" s="22"/>
      <c r="J81" s="20" t="s">
        <v>259</v>
      </c>
      <c r="K81" s="21" t="s">
        <v>388</v>
      </c>
      <c r="L81" s="21" t="s">
        <v>581</v>
      </c>
      <c r="M81" s="22"/>
      <c r="N81" s="23"/>
    </row>
    <row r="82" spans="2:18" x14ac:dyDescent="0.25">
      <c r="B82" s="18">
        <f>90+180</f>
        <v>270</v>
      </c>
      <c r="C82" s="20" t="s">
        <v>781</v>
      </c>
      <c r="D82" s="20" t="s">
        <v>56</v>
      </c>
      <c r="E82" s="47">
        <v>10169135</v>
      </c>
      <c r="F82" s="39">
        <f t="shared" si="2"/>
        <v>69</v>
      </c>
      <c r="G82" s="28"/>
      <c r="H82" s="28"/>
      <c r="I82" s="22"/>
      <c r="J82" s="20" t="s">
        <v>259</v>
      </c>
      <c r="K82" s="21" t="s">
        <v>388</v>
      </c>
      <c r="L82" s="21" t="s">
        <v>581</v>
      </c>
      <c r="M82" s="22"/>
      <c r="N82" s="23"/>
    </row>
    <row r="83" spans="2:18" x14ac:dyDescent="0.25">
      <c r="B83" s="18">
        <f>90+180</f>
        <v>270</v>
      </c>
      <c r="C83" s="20" t="s">
        <v>292</v>
      </c>
      <c r="D83" s="20" t="s">
        <v>89</v>
      </c>
      <c r="E83" s="47">
        <v>10768200</v>
      </c>
      <c r="F83" s="39">
        <f t="shared" si="2"/>
        <v>70</v>
      </c>
      <c r="G83" s="28"/>
      <c r="H83" s="28"/>
      <c r="I83" s="22"/>
      <c r="J83" s="20" t="s">
        <v>259</v>
      </c>
      <c r="K83" s="21" t="s">
        <v>388</v>
      </c>
      <c r="L83" s="21" t="s">
        <v>581</v>
      </c>
      <c r="M83" s="22"/>
      <c r="N83" s="23"/>
    </row>
    <row r="84" spans="2:18" x14ac:dyDescent="0.25">
      <c r="B84" s="18">
        <v>180</v>
      </c>
      <c r="C84" s="20" t="s">
        <v>782</v>
      </c>
      <c r="D84" s="20" t="s">
        <v>783</v>
      </c>
      <c r="E84" s="48">
        <v>10773556</v>
      </c>
      <c r="F84" s="39">
        <f t="shared" si="2"/>
        <v>71</v>
      </c>
      <c r="G84" s="28"/>
      <c r="H84" s="28"/>
      <c r="I84" s="22"/>
      <c r="J84" s="20" t="s">
        <v>259</v>
      </c>
      <c r="K84" s="21" t="s">
        <v>388</v>
      </c>
      <c r="L84" s="21" t="s">
        <v>581</v>
      </c>
      <c r="M84" s="22"/>
      <c r="N84" s="23"/>
    </row>
    <row r="85" spans="2:18" x14ac:dyDescent="0.25">
      <c r="B85" s="18">
        <f>100+5</f>
        <v>105</v>
      </c>
      <c r="C85" s="20" t="s">
        <v>87</v>
      </c>
      <c r="D85" s="20" t="s">
        <v>19</v>
      </c>
      <c r="E85" s="48">
        <v>11855816</v>
      </c>
      <c r="F85" s="39">
        <f t="shared" si="2"/>
        <v>72</v>
      </c>
      <c r="G85" s="28"/>
      <c r="H85" s="28"/>
      <c r="I85" s="24"/>
      <c r="J85" s="20" t="s">
        <v>270</v>
      </c>
      <c r="K85" s="21" t="s">
        <v>389</v>
      </c>
      <c r="L85" s="21" t="s">
        <v>581</v>
      </c>
      <c r="M85" s="22"/>
      <c r="N85" s="23"/>
    </row>
    <row r="86" spans="2:18" x14ac:dyDescent="0.25">
      <c r="B86" s="18">
        <v>100</v>
      </c>
      <c r="C86" s="20" t="s">
        <v>682</v>
      </c>
      <c r="D86" s="32" t="s">
        <v>155</v>
      </c>
      <c r="E86" s="47">
        <v>15918537</v>
      </c>
      <c r="F86" s="39">
        <f t="shared" si="2"/>
        <v>73</v>
      </c>
      <c r="G86" s="28"/>
      <c r="H86" s="28"/>
      <c r="I86" s="22"/>
      <c r="J86" s="20" t="s">
        <v>784</v>
      </c>
      <c r="K86" s="21" t="s">
        <v>785</v>
      </c>
      <c r="L86" s="21" t="s">
        <v>581</v>
      </c>
      <c r="M86" s="22"/>
      <c r="N86" s="23"/>
    </row>
    <row r="87" spans="2:18" x14ac:dyDescent="0.25">
      <c r="B87" s="18">
        <f>90+2</f>
        <v>92</v>
      </c>
      <c r="C87" s="20" t="s">
        <v>289</v>
      </c>
      <c r="D87" s="20" t="s">
        <v>184</v>
      </c>
      <c r="E87" s="47">
        <v>11855593</v>
      </c>
      <c r="F87" s="39">
        <f t="shared" si="2"/>
        <v>74</v>
      </c>
      <c r="G87" s="28"/>
      <c r="H87" s="28"/>
      <c r="I87" s="22"/>
      <c r="J87" s="20" t="s">
        <v>270</v>
      </c>
      <c r="K87" s="21" t="s">
        <v>389</v>
      </c>
      <c r="L87" s="21" t="s">
        <v>581</v>
      </c>
      <c r="M87" s="22"/>
      <c r="N87" s="23"/>
    </row>
    <row r="88" spans="2:18" x14ac:dyDescent="0.25">
      <c r="B88" s="18">
        <v>90</v>
      </c>
      <c r="C88" s="20" t="s">
        <v>290</v>
      </c>
      <c r="D88" s="20" t="s">
        <v>182</v>
      </c>
      <c r="E88" s="47">
        <v>10440238</v>
      </c>
      <c r="F88" s="39">
        <f t="shared" si="2"/>
        <v>75</v>
      </c>
      <c r="G88" s="28"/>
      <c r="H88" s="28"/>
      <c r="I88" s="22"/>
      <c r="J88" s="20" t="s">
        <v>750</v>
      </c>
      <c r="K88" s="21" t="s">
        <v>388</v>
      </c>
      <c r="L88" s="21" t="s">
        <v>581</v>
      </c>
      <c r="M88" s="22"/>
      <c r="N88" s="23"/>
      <c r="R88" t="s">
        <v>307</v>
      </c>
    </row>
    <row r="89" spans="2:18" x14ac:dyDescent="0.25">
      <c r="B89" s="18">
        <v>90</v>
      </c>
      <c r="C89" s="20" t="s">
        <v>291</v>
      </c>
      <c r="D89" s="20" t="s">
        <v>183</v>
      </c>
      <c r="E89" s="47">
        <v>10766618</v>
      </c>
      <c r="F89" s="39">
        <f t="shared" si="2"/>
        <v>76</v>
      </c>
      <c r="G89" s="28"/>
      <c r="H89" s="28"/>
      <c r="I89" s="22"/>
      <c r="J89" s="20" t="s">
        <v>259</v>
      </c>
      <c r="K89" s="21" t="s">
        <v>388</v>
      </c>
      <c r="L89" s="21" t="s">
        <v>581</v>
      </c>
      <c r="M89" s="22"/>
      <c r="N89" s="23"/>
    </row>
    <row r="90" spans="2:18" x14ac:dyDescent="0.25">
      <c r="B90" s="18">
        <v>90</v>
      </c>
      <c r="C90" s="20" t="s">
        <v>786</v>
      </c>
      <c r="D90" s="20" t="s">
        <v>552</v>
      </c>
      <c r="E90" s="46">
        <v>10768482</v>
      </c>
      <c r="F90" s="39">
        <f t="shared" si="2"/>
        <v>77</v>
      </c>
      <c r="G90" s="28"/>
      <c r="H90" s="28"/>
      <c r="I90" s="22"/>
      <c r="J90" s="28" t="s">
        <v>259</v>
      </c>
      <c r="K90" s="21" t="s">
        <v>388</v>
      </c>
      <c r="L90" s="21" t="s">
        <v>581</v>
      </c>
      <c r="M90" s="22"/>
      <c r="N90" s="23"/>
    </row>
    <row r="91" spans="2:18" x14ac:dyDescent="0.25">
      <c r="B91" s="18">
        <v>90</v>
      </c>
      <c r="C91" s="20" t="s">
        <v>554</v>
      </c>
      <c r="D91" s="20" t="s">
        <v>464</v>
      </c>
      <c r="E91" s="47">
        <v>10768630</v>
      </c>
      <c r="F91" s="39">
        <f t="shared" si="2"/>
        <v>78</v>
      </c>
      <c r="G91" s="28"/>
      <c r="H91" s="28"/>
      <c r="I91" s="22"/>
      <c r="J91" s="28" t="s">
        <v>259</v>
      </c>
      <c r="K91" s="21" t="s">
        <v>388</v>
      </c>
      <c r="L91" s="21" t="s">
        <v>581</v>
      </c>
      <c r="M91" s="22"/>
      <c r="N91" s="23"/>
    </row>
    <row r="92" spans="2:18" x14ac:dyDescent="0.25">
      <c r="B92" s="18">
        <v>75</v>
      </c>
      <c r="C92" s="20" t="s">
        <v>683</v>
      </c>
      <c r="D92" s="20" t="s">
        <v>482</v>
      </c>
      <c r="E92" s="47">
        <v>13477600</v>
      </c>
      <c r="F92" s="39">
        <f t="shared" si="2"/>
        <v>79</v>
      </c>
      <c r="G92" s="28"/>
      <c r="H92" s="28"/>
      <c r="I92" s="24"/>
      <c r="J92" s="20" t="s">
        <v>295</v>
      </c>
      <c r="K92" s="21" t="s">
        <v>771</v>
      </c>
      <c r="L92" s="21" t="s">
        <v>581</v>
      </c>
      <c r="M92" s="22"/>
      <c r="N92" s="23"/>
    </row>
    <row r="93" spans="2:18" x14ac:dyDescent="0.25">
      <c r="B93" s="18">
        <v>50</v>
      </c>
      <c r="C93" s="20" t="s">
        <v>787</v>
      </c>
      <c r="D93" s="20" t="s">
        <v>32</v>
      </c>
      <c r="E93" s="47">
        <v>13477585</v>
      </c>
      <c r="F93" s="39">
        <f t="shared" si="2"/>
        <v>80</v>
      </c>
      <c r="G93" s="28"/>
      <c r="H93" s="28"/>
      <c r="I93" s="24"/>
      <c r="J93" s="20" t="s">
        <v>295</v>
      </c>
      <c r="K93" s="21" t="s">
        <v>771</v>
      </c>
      <c r="L93" s="21" t="s">
        <v>581</v>
      </c>
      <c r="M93" s="22"/>
      <c r="N93" s="23"/>
    </row>
    <row r="94" spans="2:18" x14ac:dyDescent="0.25">
      <c r="B94" s="18">
        <v>50</v>
      </c>
      <c r="C94" s="20" t="s">
        <v>55</v>
      </c>
      <c r="D94" s="20" t="s">
        <v>56</v>
      </c>
      <c r="E94" s="47">
        <v>11856038</v>
      </c>
      <c r="F94" s="39">
        <f t="shared" si="2"/>
        <v>81</v>
      </c>
      <c r="G94" s="28"/>
      <c r="H94" s="28"/>
      <c r="I94" s="24"/>
      <c r="J94" s="20" t="s">
        <v>270</v>
      </c>
      <c r="K94" s="21" t="s">
        <v>389</v>
      </c>
      <c r="L94" s="21" t="s">
        <v>581</v>
      </c>
      <c r="M94" s="22"/>
      <c r="N94" s="23"/>
    </row>
    <row r="95" spans="2:18" x14ac:dyDescent="0.25">
      <c r="B95" s="18">
        <v>45</v>
      </c>
      <c r="C95" s="20" t="s">
        <v>337</v>
      </c>
      <c r="D95" s="20" t="s">
        <v>555</v>
      </c>
      <c r="E95" s="47">
        <v>10768119</v>
      </c>
      <c r="F95" s="39">
        <f t="shared" si="2"/>
        <v>82</v>
      </c>
      <c r="G95" s="28"/>
      <c r="H95" s="28"/>
      <c r="I95" s="22"/>
      <c r="J95" s="28" t="s">
        <v>259</v>
      </c>
      <c r="K95" s="21" t="s">
        <v>388</v>
      </c>
      <c r="L95" s="21" t="s">
        <v>581</v>
      </c>
      <c r="M95" s="22"/>
      <c r="N95" s="23"/>
    </row>
    <row r="96" spans="2:18" x14ac:dyDescent="0.25">
      <c r="B96" s="18">
        <v>45</v>
      </c>
      <c r="C96" s="20" t="s">
        <v>556</v>
      </c>
      <c r="D96" s="20" t="s">
        <v>68</v>
      </c>
      <c r="E96" s="47">
        <v>7104144</v>
      </c>
      <c r="F96" s="39">
        <f t="shared" si="2"/>
        <v>83</v>
      </c>
      <c r="G96" s="28"/>
      <c r="H96" s="28"/>
      <c r="I96" s="22"/>
      <c r="J96" s="20" t="s">
        <v>788</v>
      </c>
      <c r="K96" s="21" t="s">
        <v>388</v>
      </c>
      <c r="L96" s="21" t="s">
        <v>581</v>
      </c>
      <c r="M96" s="22"/>
      <c r="N96" s="23"/>
    </row>
    <row r="97" spans="2:14" x14ac:dyDescent="0.25">
      <c r="B97" s="18">
        <v>45</v>
      </c>
      <c r="C97" s="20" t="s">
        <v>789</v>
      </c>
      <c r="D97" s="20" t="s">
        <v>557</v>
      </c>
      <c r="E97" s="47">
        <v>10770875</v>
      </c>
      <c r="F97" s="39">
        <f t="shared" si="2"/>
        <v>84</v>
      </c>
      <c r="G97" s="28"/>
      <c r="H97" s="28"/>
      <c r="I97" s="22"/>
      <c r="J97" s="20" t="s">
        <v>259</v>
      </c>
      <c r="K97" s="21" t="s">
        <v>388</v>
      </c>
      <c r="L97" s="21" t="s">
        <v>581</v>
      </c>
      <c r="M97" s="22"/>
      <c r="N97" s="23"/>
    </row>
    <row r="98" spans="2:14" x14ac:dyDescent="0.25">
      <c r="B98" s="18">
        <v>45</v>
      </c>
      <c r="C98" s="20" t="s">
        <v>790</v>
      </c>
      <c r="D98" s="20" t="s">
        <v>557</v>
      </c>
      <c r="E98" s="47">
        <v>10768375</v>
      </c>
      <c r="F98" s="39">
        <f t="shared" si="2"/>
        <v>85</v>
      </c>
      <c r="G98" s="28"/>
      <c r="H98" s="28"/>
      <c r="I98" s="22"/>
      <c r="J98" s="20" t="s">
        <v>750</v>
      </c>
      <c r="K98" s="21" t="s">
        <v>388</v>
      </c>
      <c r="L98" s="21" t="s">
        <v>581</v>
      </c>
      <c r="M98" s="22"/>
      <c r="N98" s="23"/>
    </row>
    <row r="99" spans="2:14" x14ac:dyDescent="0.25">
      <c r="B99" s="18">
        <v>45</v>
      </c>
      <c r="C99" s="20" t="s">
        <v>791</v>
      </c>
      <c r="D99" s="20" t="s">
        <v>558</v>
      </c>
      <c r="E99" s="47">
        <v>10772061</v>
      </c>
      <c r="F99" s="39">
        <f t="shared" si="2"/>
        <v>86</v>
      </c>
      <c r="G99" s="28"/>
      <c r="H99" s="28"/>
      <c r="I99" s="22"/>
      <c r="J99" s="20" t="s">
        <v>259</v>
      </c>
      <c r="K99" s="21" t="s">
        <v>388</v>
      </c>
      <c r="L99" s="21" t="s">
        <v>581</v>
      </c>
      <c r="M99" s="22"/>
      <c r="N99" s="23"/>
    </row>
    <row r="100" spans="2:14" x14ac:dyDescent="0.25">
      <c r="B100" s="18">
        <v>45</v>
      </c>
      <c r="C100" s="20" t="s">
        <v>792</v>
      </c>
      <c r="D100" s="20" t="s">
        <v>559</v>
      </c>
      <c r="E100" s="47">
        <v>10771203</v>
      </c>
      <c r="F100" s="39">
        <f t="shared" si="2"/>
        <v>87</v>
      </c>
      <c r="G100" s="28"/>
      <c r="H100" s="28"/>
      <c r="I100" s="22"/>
      <c r="J100" s="20" t="s">
        <v>259</v>
      </c>
      <c r="K100" s="21" t="s">
        <v>388</v>
      </c>
      <c r="L100" s="21" t="s">
        <v>581</v>
      </c>
      <c r="M100" s="22"/>
      <c r="N100" s="23"/>
    </row>
    <row r="101" spans="2:14" x14ac:dyDescent="0.25">
      <c r="B101" s="18">
        <v>45</v>
      </c>
      <c r="C101" s="20" t="s">
        <v>884</v>
      </c>
      <c r="D101" s="20" t="s">
        <v>19</v>
      </c>
      <c r="E101" s="47">
        <v>16307838</v>
      </c>
      <c r="F101" s="39">
        <f t="shared" si="2"/>
        <v>88</v>
      </c>
      <c r="G101" s="28"/>
      <c r="H101" s="28"/>
      <c r="I101" s="22"/>
      <c r="J101" s="20" t="s">
        <v>259</v>
      </c>
      <c r="K101" s="21"/>
      <c r="L101" s="21" t="s">
        <v>581</v>
      </c>
      <c r="M101" s="22"/>
      <c r="N101" s="23"/>
    </row>
    <row r="102" spans="2:14" x14ac:dyDescent="0.25">
      <c r="B102" s="18">
        <v>45</v>
      </c>
      <c r="C102" s="35" t="s">
        <v>560</v>
      </c>
      <c r="D102" s="20" t="s">
        <v>19</v>
      </c>
      <c r="E102" s="47">
        <v>10336700</v>
      </c>
      <c r="F102" s="39">
        <f t="shared" si="2"/>
        <v>89</v>
      </c>
      <c r="G102" s="28"/>
      <c r="H102" s="28"/>
      <c r="I102" s="22"/>
      <c r="J102" s="20" t="s">
        <v>259</v>
      </c>
      <c r="K102" s="21" t="s">
        <v>388</v>
      </c>
      <c r="L102" s="21" t="s">
        <v>581</v>
      </c>
      <c r="M102" s="22"/>
      <c r="N102" s="23"/>
    </row>
    <row r="103" spans="2:14" x14ac:dyDescent="0.25">
      <c r="B103" s="18">
        <v>45</v>
      </c>
      <c r="C103" s="20" t="s">
        <v>561</v>
      </c>
      <c r="D103" s="20" t="s">
        <v>793</v>
      </c>
      <c r="E103" s="48">
        <v>10771336</v>
      </c>
      <c r="F103" s="39">
        <f t="shared" si="2"/>
        <v>90</v>
      </c>
      <c r="G103" s="28"/>
      <c r="H103" s="28"/>
      <c r="I103" s="22"/>
      <c r="J103" s="20" t="s">
        <v>259</v>
      </c>
      <c r="K103" s="21" t="s">
        <v>388</v>
      </c>
      <c r="L103" s="21" t="s">
        <v>581</v>
      </c>
      <c r="M103" s="22"/>
      <c r="N103" s="23"/>
    </row>
    <row r="104" spans="2:14" x14ac:dyDescent="0.25">
      <c r="B104" s="18">
        <v>45</v>
      </c>
      <c r="C104" s="20" t="s">
        <v>794</v>
      </c>
      <c r="D104" s="20" t="s">
        <v>563</v>
      </c>
      <c r="E104" s="47">
        <v>10775396</v>
      </c>
      <c r="F104" s="39">
        <f t="shared" si="2"/>
        <v>91</v>
      </c>
      <c r="G104" s="28"/>
      <c r="H104" s="28"/>
      <c r="I104" s="22"/>
      <c r="J104" s="20" t="s">
        <v>259</v>
      </c>
      <c r="K104" s="21" t="s">
        <v>388</v>
      </c>
      <c r="L104" s="21" t="s">
        <v>581</v>
      </c>
      <c r="M104" s="22"/>
      <c r="N104" s="23"/>
    </row>
    <row r="105" spans="2:14" x14ac:dyDescent="0.25">
      <c r="B105" s="18">
        <v>45</v>
      </c>
      <c r="C105" s="20" t="s">
        <v>564</v>
      </c>
      <c r="D105" s="20" t="s">
        <v>565</v>
      </c>
      <c r="E105" s="46">
        <v>11855379</v>
      </c>
      <c r="F105" s="39">
        <f t="shared" si="2"/>
        <v>92</v>
      </c>
      <c r="G105" s="28"/>
      <c r="H105" s="28"/>
      <c r="I105" s="22"/>
      <c r="J105" s="20" t="s">
        <v>411</v>
      </c>
      <c r="K105" s="21" t="s">
        <v>389</v>
      </c>
      <c r="L105" s="21" t="s">
        <v>581</v>
      </c>
      <c r="M105" s="22"/>
      <c r="N105" s="23"/>
    </row>
    <row r="106" spans="2:14" x14ac:dyDescent="0.25">
      <c r="B106" s="18">
        <v>45</v>
      </c>
      <c r="C106" s="20" t="s">
        <v>795</v>
      </c>
      <c r="D106" s="20" t="s">
        <v>106</v>
      </c>
      <c r="E106" s="47">
        <v>10770677</v>
      </c>
      <c r="F106" s="39">
        <f t="shared" si="2"/>
        <v>93</v>
      </c>
      <c r="G106" s="28"/>
      <c r="H106" s="28"/>
      <c r="I106" s="22"/>
      <c r="J106" s="20" t="s">
        <v>259</v>
      </c>
      <c r="K106" s="21" t="s">
        <v>388</v>
      </c>
      <c r="L106" s="21" t="s">
        <v>581</v>
      </c>
      <c r="M106" s="22"/>
      <c r="N106" s="23"/>
    </row>
    <row r="107" spans="2:14" x14ac:dyDescent="0.25">
      <c r="B107" s="18">
        <v>45</v>
      </c>
      <c r="C107" s="20" t="s">
        <v>796</v>
      </c>
      <c r="D107" s="20" t="s">
        <v>83</v>
      </c>
      <c r="E107" s="48">
        <v>10768474</v>
      </c>
      <c r="F107" s="39">
        <f t="shared" si="2"/>
        <v>94</v>
      </c>
      <c r="G107" s="28"/>
      <c r="H107" s="28"/>
      <c r="I107" s="22"/>
      <c r="J107" s="20" t="s">
        <v>259</v>
      </c>
      <c r="K107" s="21" t="s">
        <v>388</v>
      </c>
      <c r="L107" s="21" t="s">
        <v>581</v>
      </c>
      <c r="M107" s="22"/>
      <c r="N107" s="23"/>
    </row>
    <row r="108" spans="2:14" x14ac:dyDescent="0.25">
      <c r="B108" s="18">
        <v>45</v>
      </c>
      <c r="C108" s="20" t="s">
        <v>797</v>
      </c>
      <c r="D108" s="20" t="s">
        <v>74</v>
      </c>
      <c r="E108" s="46">
        <v>10776154</v>
      </c>
      <c r="F108" s="39">
        <f t="shared" si="2"/>
        <v>95</v>
      </c>
      <c r="G108" s="28"/>
      <c r="H108" s="28"/>
      <c r="I108" s="22"/>
      <c r="J108" s="20" t="s">
        <v>259</v>
      </c>
      <c r="K108" s="21" t="s">
        <v>388</v>
      </c>
      <c r="L108" s="21" t="s">
        <v>581</v>
      </c>
      <c r="M108" s="22"/>
      <c r="N108" s="23"/>
    </row>
    <row r="109" spans="2:14" x14ac:dyDescent="0.25">
      <c r="B109" s="18">
        <v>45</v>
      </c>
      <c r="C109" s="20" t="s">
        <v>798</v>
      </c>
      <c r="D109" s="20" t="s">
        <v>31</v>
      </c>
      <c r="E109" s="48">
        <v>10770510</v>
      </c>
      <c r="F109" s="39">
        <f t="shared" si="2"/>
        <v>96</v>
      </c>
      <c r="G109" s="28"/>
      <c r="H109" s="28"/>
      <c r="I109" s="22"/>
      <c r="J109" s="20" t="s">
        <v>259</v>
      </c>
      <c r="K109" s="21" t="s">
        <v>388</v>
      </c>
      <c r="L109" s="21" t="s">
        <v>581</v>
      </c>
      <c r="M109" s="22"/>
      <c r="N109" s="23"/>
    </row>
    <row r="110" spans="2:14" x14ac:dyDescent="0.25">
      <c r="B110" s="18">
        <v>45</v>
      </c>
      <c r="C110" s="20" t="s">
        <v>799</v>
      </c>
      <c r="D110" s="20" t="s">
        <v>553</v>
      </c>
      <c r="E110" s="46">
        <v>10771120</v>
      </c>
      <c r="F110" s="39">
        <f t="shared" si="2"/>
        <v>97</v>
      </c>
      <c r="G110" s="28"/>
      <c r="H110" s="28"/>
      <c r="I110" s="22"/>
      <c r="J110" s="20" t="s">
        <v>259</v>
      </c>
      <c r="K110" s="21" t="s">
        <v>388</v>
      </c>
      <c r="L110" s="21" t="s">
        <v>581</v>
      </c>
      <c r="M110" s="22"/>
      <c r="N110" s="23"/>
    </row>
    <row r="111" spans="2:14" x14ac:dyDescent="0.25">
      <c r="B111" s="18">
        <v>45</v>
      </c>
      <c r="C111" s="20" t="s">
        <v>566</v>
      </c>
      <c r="D111" s="20" t="s">
        <v>32</v>
      </c>
      <c r="E111" s="47">
        <v>10776146</v>
      </c>
      <c r="F111" s="39">
        <f t="shared" si="2"/>
        <v>98</v>
      </c>
      <c r="G111" s="28"/>
      <c r="H111" s="28"/>
      <c r="I111" s="22"/>
      <c r="J111" s="20" t="s">
        <v>259</v>
      </c>
      <c r="K111" s="21" t="s">
        <v>388</v>
      </c>
      <c r="L111" s="21" t="s">
        <v>581</v>
      </c>
      <c r="M111" s="22"/>
      <c r="N111" s="23"/>
    </row>
    <row r="112" spans="2:14" x14ac:dyDescent="0.25">
      <c r="B112" s="18">
        <f>27+2</f>
        <v>29</v>
      </c>
      <c r="C112" s="20" t="s">
        <v>93</v>
      </c>
      <c r="D112" s="20" t="s">
        <v>94</v>
      </c>
      <c r="E112" s="48">
        <v>11855270</v>
      </c>
      <c r="F112" s="39">
        <f t="shared" si="2"/>
        <v>99</v>
      </c>
      <c r="G112" s="28"/>
      <c r="H112" s="28"/>
      <c r="I112" s="24"/>
      <c r="J112" s="20" t="s">
        <v>270</v>
      </c>
      <c r="K112" s="21" t="s">
        <v>389</v>
      </c>
      <c r="L112" s="21" t="s">
        <v>581</v>
      </c>
      <c r="M112" s="22"/>
      <c r="N112" s="23"/>
    </row>
    <row r="113" spans="2:14" x14ac:dyDescent="0.25">
      <c r="B113" s="18">
        <v>25</v>
      </c>
      <c r="C113" s="20" t="s">
        <v>684</v>
      </c>
      <c r="D113" s="20" t="s">
        <v>249</v>
      </c>
      <c r="E113" s="48">
        <v>13477577</v>
      </c>
      <c r="F113" s="39">
        <f t="shared" si="2"/>
        <v>100</v>
      </c>
      <c r="G113" s="28"/>
      <c r="H113" s="28"/>
      <c r="I113" s="24"/>
      <c r="J113" s="20" t="s">
        <v>295</v>
      </c>
      <c r="K113" s="21" t="s">
        <v>771</v>
      </c>
      <c r="L113" s="21" t="s">
        <v>581</v>
      </c>
      <c r="M113" s="22"/>
      <c r="N113" s="23"/>
    </row>
    <row r="114" spans="2:14" x14ac:dyDescent="0.25">
      <c r="B114" s="18">
        <f>2+5+2+2</f>
        <v>11</v>
      </c>
      <c r="C114" s="20" t="s">
        <v>101</v>
      </c>
      <c r="D114" s="20" t="s">
        <v>102</v>
      </c>
      <c r="E114" s="48">
        <v>11855759</v>
      </c>
      <c r="F114" s="39">
        <f t="shared" si="2"/>
        <v>101</v>
      </c>
      <c r="G114" s="28"/>
      <c r="H114" s="28"/>
      <c r="I114" s="24"/>
      <c r="J114" s="20" t="s">
        <v>270</v>
      </c>
      <c r="K114" s="21" t="s">
        <v>389</v>
      </c>
      <c r="L114" s="21" t="s">
        <v>581</v>
      </c>
      <c r="M114" s="22"/>
      <c r="N114" s="23"/>
    </row>
    <row r="115" spans="2:14" x14ac:dyDescent="0.25">
      <c r="B115" s="18">
        <v>10</v>
      </c>
      <c r="C115" s="20" t="s">
        <v>800</v>
      </c>
      <c r="D115" s="20" t="s">
        <v>92</v>
      </c>
      <c r="E115" s="48">
        <v>6068250</v>
      </c>
      <c r="F115" s="39">
        <f t="shared" si="2"/>
        <v>102</v>
      </c>
      <c r="G115" s="28"/>
      <c r="H115" s="28"/>
      <c r="I115" s="24"/>
      <c r="J115" s="20" t="s">
        <v>293</v>
      </c>
      <c r="K115" s="21" t="s">
        <v>389</v>
      </c>
      <c r="L115" s="21" t="s">
        <v>581</v>
      </c>
      <c r="M115" s="22"/>
      <c r="N115" s="23"/>
    </row>
    <row r="116" spans="2:14" x14ac:dyDescent="0.25">
      <c r="B116" s="18">
        <v>10</v>
      </c>
      <c r="C116" s="20" t="s">
        <v>95</v>
      </c>
      <c r="D116" s="20" t="s">
        <v>39</v>
      </c>
      <c r="E116" s="48">
        <v>11855262</v>
      </c>
      <c r="F116" s="39">
        <f t="shared" si="2"/>
        <v>103</v>
      </c>
      <c r="G116" s="28"/>
      <c r="H116" s="28"/>
      <c r="I116" s="24"/>
      <c r="J116" s="20" t="s">
        <v>270</v>
      </c>
      <c r="K116" s="21" t="s">
        <v>389</v>
      </c>
      <c r="L116" s="21" t="s">
        <v>581</v>
      </c>
      <c r="M116" s="22"/>
      <c r="N116" s="23"/>
    </row>
    <row r="117" spans="2:14" x14ac:dyDescent="0.25">
      <c r="B117" s="18">
        <v>7</v>
      </c>
      <c r="C117" s="20" t="s">
        <v>52</v>
      </c>
      <c r="D117" s="20" t="s">
        <v>53</v>
      </c>
      <c r="E117" s="48">
        <v>11855634</v>
      </c>
      <c r="F117" s="39">
        <f t="shared" si="2"/>
        <v>104</v>
      </c>
      <c r="G117" s="28"/>
      <c r="H117" s="28"/>
      <c r="I117" s="24"/>
      <c r="J117" s="20" t="s">
        <v>270</v>
      </c>
      <c r="K117" s="21" t="s">
        <v>389</v>
      </c>
      <c r="L117" s="21" t="s">
        <v>581</v>
      </c>
      <c r="M117" s="22"/>
      <c r="N117" s="23"/>
    </row>
    <row r="118" spans="2:14" x14ac:dyDescent="0.25">
      <c r="B118" s="18">
        <v>2</v>
      </c>
      <c r="C118" s="20" t="s">
        <v>96</v>
      </c>
      <c r="D118" s="20" t="s">
        <v>97</v>
      </c>
      <c r="E118" s="48">
        <v>11855840</v>
      </c>
      <c r="F118" s="39">
        <f t="shared" si="2"/>
        <v>105</v>
      </c>
      <c r="G118" s="28"/>
      <c r="H118" s="28"/>
      <c r="I118" s="24"/>
      <c r="J118" s="20" t="s">
        <v>270</v>
      </c>
      <c r="K118" s="21" t="s">
        <v>389</v>
      </c>
      <c r="L118" s="21" t="s">
        <v>581</v>
      </c>
      <c r="M118" s="22"/>
      <c r="N118" s="23"/>
    </row>
    <row r="119" spans="2:14" x14ac:dyDescent="0.25">
      <c r="B119" s="18">
        <v>2</v>
      </c>
      <c r="C119" s="20" t="s">
        <v>100</v>
      </c>
      <c r="D119" s="20" t="s">
        <v>45</v>
      </c>
      <c r="E119" s="48">
        <v>11633288</v>
      </c>
      <c r="F119" s="39">
        <f t="shared" si="2"/>
        <v>106</v>
      </c>
      <c r="G119" s="28"/>
      <c r="H119" s="28"/>
      <c r="I119" s="24"/>
      <c r="J119" s="20" t="s">
        <v>270</v>
      </c>
      <c r="K119" s="21" t="s">
        <v>389</v>
      </c>
      <c r="L119" s="21" t="s">
        <v>581</v>
      </c>
      <c r="M119" s="22"/>
      <c r="N119" s="23"/>
    </row>
    <row r="120" spans="2:14" x14ac:dyDescent="0.25">
      <c r="B120" s="18">
        <v>2</v>
      </c>
      <c r="C120" s="20" t="s">
        <v>801</v>
      </c>
      <c r="D120" s="20" t="s">
        <v>31</v>
      </c>
      <c r="E120" s="48">
        <v>11862407</v>
      </c>
      <c r="F120" s="39">
        <f t="shared" si="2"/>
        <v>107</v>
      </c>
      <c r="G120" s="28"/>
      <c r="H120" s="28"/>
      <c r="I120" s="24"/>
      <c r="J120" s="20" t="s">
        <v>270</v>
      </c>
      <c r="K120" s="21" t="s">
        <v>389</v>
      </c>
      <c r="L120" s="21" t="s">
        <v>581</v>
      </c>
      <c r="M120" s="22"/>
      <c r="N120" s="23"/>
    </row>
    <row r="121" spans="2:14" x14ac:dyDescent="0.25">
      <c r="B121" s="18">
        <v>2</v>
      </c>
      <c r="C121" s="20" t="s">
        <v>802</v>
      </c>
      <c r="D121" s="20" t="s">
        <v>676</v>
      </c>
      <c r="E121" s="48">
        <v>11678606</v>
      </c>
      <c r="F121" s="39">
        <f t="shared" si="2"/>
        <v>108</v>
      </c>
      <c r="G121" s="28"/>
      <c r="H121" s="28"/>
      <c r="I121" s="24"/>
      <c r="J121" s="20" t="s">
        <v>677</v>
      </c>
      <c r="K121" s="21" t="s">
        <v>389</v>
      </c>
      <c r="L121" s="21" t="s">
        <v>581</v>
      </c>
      <c r="M121" s="22"/>
      <c r="N121" s="23"/>
    </row>
    <row r="122" spans="2:14" x14ac:dyDescent="0.25">
      <c r="B122" s="18">
        <v>2</v>
      </c>
      <c r="C122" s="20" t="s">
        <v>803</v>
      </c>
      <c r="D122" s="20" t="s">
        <v>42</v>
      </c>
      <c r="E122" s="48">
        <v>11637660</v>
      </c>
      <c r="F122" s="39">
        <f t="shared" si="2"/>
        <v>109</v>
      </c>
      <c r="G122" s="28"/>
      <c r="H122" s="28"/>
      <c r="I122" s="24"/>
      <c r="J122" s="20" t="s">
        <v>804</v>
      </c>
      <c r="K122" s="21" t="s">
        <v>389</v>
      </c>
      <c r="L122" s="21" t="s">
        <v>581</v>
      </c>
      <c r="M122" s="22"/>
      <c r="N122" s="23"/>
    </row>
    <row r="123" spans="2:14" x14ac:dyDescent="0.25">
      <c r="B123" s="18">
        <v>2</v>
      </c>
      <c r="C123" s="20" t="s">
        <v>805</v>
      </c>
      <c r="D123" s="20" t="s">
        <v>172</v>
      </c>
      <c r="E123" s="48">
        <v>11862340</v>
      </c>
      <c r="F123" s="39">
        <f t="shared" si="2"/>
        <v>110</v>
      </c>
      <c r="G123" s="28"/>
      <c r="H123" s="28"/>
      <c r="I123" s="24"/>
      <c r="J123" s="20" t="s">
        <v>270</v>
      </c>
      <c r="K123" s="21" t="s">
        <v>389</v>
      </c>
      <c r="L123" s="21" t="s">
        <v>581</v>
      </c>
      <c r="M123" s="22"/>
      <c r="N123" s="23"/>
    </row>
    <row r="124" spans="2:14" x14ac:dyDescent="0.25">
      <c r="B124" s="18">
        <v>2</v>
      </c>
      <c r="C124" s="20" t="s">
        <v>806</v>
      </c>
      <c r="D124" s="20" t="s">
        <v>678</v>
      </c>
      <c r="E124" s="48">
        <v>6759437</v>
      </c>
      <c r="F124" s="39">
        <f t="shared" si="2"/>
        <v>111</v>
      </c>
      <c r="G124" s="28"/>
      <c r="H124" s="28"/>
      <c r="I124" s="24"/>
      <c r="J124" s="20" t="s">
        <v>679</v>
      </c>
      <c r="K124" s="21" t="s">
        <v>389</v>
      </c>
      <c r="L124" s="21" t="s">
        <v>581</v>
      </c>
      <c r="M124" s="22"/>
      <c r="N124" s="23"/>
    </row>
    <row r="125" spans="2:14" x14ac:dyDescent="0.25">
      <c r="B125" s="18">
        <v>2</v>
      </c>
      <c r="C125" s="20" t="s">
        <v>685</v>
      </c>
      <c r="D125" s="20" t="s">
        <v>69</v>
      </c>
      <c r="E125" s="48">
        <v>13477593</v>
      </c>
      <c r="F125" s="39">
        <f t="shared" si="2"/>
        <v>112</v>
      </c>
      <c r="G125" s="28"/>
      <c r="H125" s="28"/>
      <c r="I125" s="24"/>
      <c r="J125" s="20" t="s">
        <v>295</v>
      </c>
      <c r="K125" s="21" t="s">
        <v>771</v>
      </c>
      <c r="L125" s="21" t="s">
        <v>581</v>
      </c>
      <c r="M125" s="22"/>
      <c r="N125" s="23"/>
    </row>
    <row r="126" spans="2:14" x14ac:dyDescent="0.25">
      <c r="B126" s="18">
        <v>2</v>
      </c>
      <c r="C126" s="20" t="s">
        <v>686</v>
      </c>
      <c r="D126" s="20" t="s">
        <v>687</v>
      </c>
      <c r="E126" s="48">
        <v>13045580</v>
      </c>
      <c r="F126" s="39">
        <f t="shared" si="2"/>
        <v>113</v>
      </c>
      <c r="G126" s="28"/>
      <c r="H126" s="28"/>
      <c r="I126" s="24"/>
      <c r="J126" s="20" t="s">
        <v>807</v>
      </c>
      <c r="K126" s="21" t="s">
        <v>771</v>
      </c>
      <c r="L126" s="21" t="s">
        <v>581</v>
      </c>
      <c r="M126" s="22"/>
      <c r="N126" s="23"/>
    </row>
    <row r="127" spans="2:14" x14ac:dyDescent="0.25">
      <c r="B127" s="18">
        <v>2</v>
      </c>
      <c r="C127" s="20" t="s">
        <v>688</v>
      </c>
      <c r="D127" s="20" t="s">
        <v>286</v>
      </c>
      <c r="E127" s="48">
        <v>13476412</v>
      </c>
      <c r="F127" s="39">
        <f t="shared" si="2"/>
        <v>114</v>
      </c>
      <c r="G127" s="28"/>
      <c r="H127" s="28"/>
      <c r="I127" s="24"/>
      <c r="J127" s="20" t="s">
        <v>295</v>
      </c>
      <c r="K127" s="21" t="s">
        <v>771</v>
      </c>
      <c r="L127" s="21" t="s">
        <v>581</v>
      </c>
      <c r="M127" s="22"/>
      <c r="N127" s="23"/>
    </row>
    <row r="128" spans="2:14" ht="15.75" thickBot="1" x14ac:dyDescent="0.3">
      <c r="B128" s="73"/>
      <c r="C128" s="74"/>
      <c r="D128" s="74"/>
      <c r="E128" s="65"/>
      <c r="F128" s="75"/>
      <c r="G128" s="76"/>
      <c r="H128" s="76"/>
      <c r="I128" s="81"/>
      <c r="J128" s="74"/>
      <c r="K128" s="78"/>
      <c r="L128" s="78"/>
      <c r="M128" s="77"/>
      <c r="N128" s="79"/>
    </row>
    <row r="129" spans="2:14" x14ac:dyDescent="0.25">
      <c r="B129" s="2"/>
      <c r="C129" s="1"/>
      <c r="D129" s="1"/>
      <c r="E129" s="3"/>
      <c r="F129" s="89" t="s">
        <v>1026</v>
      </c>
      <c r="G129" s="87"/>
      <c r="H129" s="87"/>
      <c r="I129" s="88"/>
      <c r="J129" s="88"/>
      <c r="K129" s="4"/>
      <c r="L129" s="4"/>
      <c r="M129" s="14" t="s">
        <v>0</v>
      </c>
      <c r="N129" s="5"/>
    </row>
    <row r="130" spans="2:14" x14ac:dyDescent="0.25">
      <c r="B130" s="15" t="s">
        <v>1</v>
      </c>
      <c r="C130" s="16" t="s">
        <v>2</v>
      </c>
      <c r="D130" s="16" t="s">
        <v>3</v>
      </c>
      <c r="E130" s="16" t="s">
        <v>4</v>
      </c>
      <c r="F130" s="16" t="s">
        <v>5</v>
      </c>
      <c r="G130" s="16" t="s">
        <v>6</v>
      </c>
      <c r="H130" s="16" t="s">
        <v>7</v>
      </c>
      <c r="I130" s="16" t="s">
        <v>8</v>
      </c>
      <c r="J130" s="16" t="s">
        <v>9</v>
      </c>
      <c r="K130" s="16" t="s">
        <v>387</v>
      </c>
      <c r="L130" s="16" t="s">
        <v>10</v>
      </c>
      <c r="M130" s="16" t="s">
        <v>11</v>
      </c>
      <c r="N130" s="17" t="s">
        <v>12</v>
      </c>
    </row>
    <row r="131" spans="2:14" x14ac:dyDescent="0.25">
      <c r="B131" s="18">
        <f>2000+45</f>
        <v>2045</v>
      </c>
      <c r="C131" s="20" t="s">
        <v>294</v>
      </c>
      <c r="D131" s="20" t="s">
        <v>165</v>
      </c>
      <c r="E131" s="46">
        <v>13465316</v>
      </c>
      <c r="F131" s="39">
        <f>F127+1</f>
        <v>115</v>
      </c>
      <c r="G131" s="28"/>
      <c r="H131" s="28"/>
      <c r="I131" s="22"/>
      <c r="J131" s="20" t="s">
        <v>295</v>
      </c>
      <c r="K131" s="21" t="s">
        <v>401</v>
      </c>
      <c r="L131" s="21" t="s">
        <v>185</v>
      </c>
      <c r="M131" s="22"/>
      <c r="N131" s="23"/>
    </row>
    <row r="132" spans="2:14" x14ac:dyDescent="0.25">
      <c r="B132" s="18">
        <v>2000</v>
      </c>
      <c r="C132" s="19" t="s">
        <v>16</v>
      </c>
      <c r="D132" s="28" t="s">
        <v>386</v>
      </c>
      <c r="E132" s="48">
        <v>10769258</v>
      </c>
      <c r="F132" s="39">
        <f>F131+1</f>
        <v>116</v>
      </c>
      <c r="G132" s="28"/>
      <c r="H132" s="28"/>
      <c r="I132" s="22"/>
      <c r="J132" s="20" t="s">
        <v>259</v>
      </c>
      <c r="K132" s="21" t="s">
        <v>388</v>
      </c>
      <c r="L132" s="21" t="s">
        <v>185</v>
      </c>
      <c r="M132" s="22"/>
      <c r="N132" s="23"/>
    </row>
    <row r="133" spans="2:14" x14ac:dyDescent="0.25">
      <c r="B133" s="18">
        <v>1750</v>
      </c>
      <c r="C133" s="35" t="s">
        <v>1022</v>
      </c>
      <c r="D133" s="20" t="s">
        <v>409</v>
      </c>
      <c r="E133" s="48">
        <v>1106211</v>
      </c>
      <c r="F133" s="39">
        <f t="shared" ref="F133:F163" si="3">F132+1</f>
        <v>117</v>
      </c>
      <c r="G133" s="28"/>
      <c r="H133" s="28"/>
      <c r="I133" s="22"/>
      <c r="J133" s="20" t="s">
        <v>410</v>
      </c>
      <c r="K133" s="21" t="s">
        <v>389</v>
      </c>
      <c r="L133" s="21" t="s">
        <v>185</v>
      </c>
      <c r="M133" s="22"/>
      <c r="N133" s="23"/>
    </row>
    <row r="134" spans="2:14" x14ac:dyDescent="0.25">
      <c r="B134" s="18">
        <f>1500+45</f>
        <v>1545</v>
      </c>
      <c r="C134" s="35" t="s">
        <v>245</v>
      </c>
      <c r="D134" s="20" t="s">
        <v>186</v>
      </c>
      <c r="E134" s="48">
        <v>10073005</v>
      </c>
      <c r="F134" s="39">
        <f t="shared" si="3"/>
        <v>118</v>
      </c>
      <c r="G134" s="28"/>
      <c r="H134" s="28"/>
      <c r="I134" s="22"/>
      <c r="J134" s="20" t="s">
        <v>259</v>
      </c>
      <c r="K134" s="21" t="s">
        <v>388</v>
      </c>
      <c r="L134" s="21" t="s">
        <v>185</v>
      </c>
      <c r="M134" s="22"/>
      <c r="N134" s="23"/>
    </row>
    <row r="135" spans="2:14" x14ac:dyDescent="0.25">
      <c r="B135" s="18">
        <v>1200</v>
      </c>
      <c r="C135" s="20" t="s">
        <v>808</v>
      </c>
      <c r="D135" s="20" t="s">
        <v>31</v>
      </c>
      <c r="E135" s="46">
        <v>10776138</v>
      </c>
      <c r="F135" s="39">
        <f t="shared" si="3"/>
        <v>119</v>
      </c>
      <c r="G135" s="28"/>
      <c r="H135" s="28"/>
      <c r="I135" s="22"/>
      <c r="J135" s="20" t="s">
        <v>259</v>
      </c>
      <c r="K135" s="21" t="s">
        <v>388</v>
      </c>
      <c r="L135" s="21" t="s">
        <v>185</v>
      </c>
      <c r="M135" s="22"/>
      <c r="N135" s="23"/>
    </row>
    <row r="136" spans="2:14" x14ac:dyDescent="0.25">
      <c r="B136" s="18">
        <f>750+150</f>
        <v>900</v>
      </c>
      <c r="C136" s="20" t="s">
        <v>809</v>
      </c>
      <c r="D136" s="20" t="s">
        <v>494</v>
      </c>
      <c r="E136" s="48">
        <v>1733006</v>
      </c>
      <c r="F136" s="39">
        <f t="shared" si="3"/>
        <v>120</v>
      </c>
      <c r="G136" s="28"/>
      <c r="H136" s="28"/>
      <c r="I136" s="22"/>
      <c r="J136" s="20" t="s">
        <v>318</v>
      </c>
      <c r="K136" s="21" t="s">
        <v>388</v>
      </c>
      <c r="L136" s="21" t="s">
        <v>185</v>
      </c>
      <c r="M136" s="22"/>
      <c r="N136" s="23"/>
    </row>
    <row r="137" spans="2:14" x14ac:dyDescent="0.25">
      <c r="B137" s="18">
        <v>780</v>
      </c>
      <c r="C137" s="103" t="s">
        <v>1063</v>
      </c>
      <c r="D137" s="103" t="s">
        <v>66</v>
      </c>
      <c r="E137" s="86">
        <v>13464772</v>
      </c>
      <c r="F137" s="39">
        <f t="shared" si="3"/>
        <v>121</v>
      </c>
      <c r="G137" s="28"/>
      <c r="H137" s="28"/>
      <c r="I137" s="22"/>
      <c r="J137" s="20" t="s">
        <v>259</v>
      </c>
      <c r="K137" s="21" t="s">
        <v>388</v>
      </c>
      <c r="L137" s="21" t="s">
        <v>185</v>
      </c>
      <c r="M137" s="22"/>
      <c r="N137" s="23"/>
    </row>
    <row r="138" spans="2:14" x14ac:dyDescent="0.25">
      <c r="B138" s="18">
        <f>90+180+250</f>
        <v>520</v>
      </c>
      <c r="C138" s="35" t="s">
        <v>296</v>
      </c>
      <c r="D138" s="20" t="s">
        <v>187</v>
      </c>
      <c r="E138" s="48">
        <v>10081610</v>
      </c>
      <c r="F138" s="39">
        <f t="shared" si="3"/>
        <v>122</v>
      </c>
      <c r="G138" s="28"/>
      <c r="H138" s="28"/>
      <c r="I138" s="22"/>
      <c r="J138" s="20" t="s">
        <v>259</v>
      </c>
      <c r="K138" s="21" t="s">
        <v>388</v>
      </c>
      <c r="L138" s="21" t="s">
        <v>185</v>
      </c>
      <c r="M138" s="22"/>
      <c r="N138" s="23"/>
    </row>
    <row r="139" spans="2:14" x14ac:dyDescent="0.25">
      <c r="B139" s="18">
        <f>90+400</f>
        <v>490</v>
      </c>
      <c r="C139" s="20" t="s">
        <v>297</v>
      </c>
      <c r="D139" s="20" t="s">
        <v>39</v>
      </c>
      <c r="E139" s="46">
        <v>10768789</v>
      </c>
      <c r="F139" s="39">
        <f t="shared" si="3"/>
        <v>123</v>
      </c>
      <c r="G139" s="28"/>
      <c r="H139" s="28"/>
      <c r="I139" s="22"/>
      <c r="J139" s="20" t="s">
        <v>259</v>
      </c>
      <c r="K139" s="21" t="s">
        <v>388</v>
      </c>
      <c r="L139" s="21" t="s">
        <v>185</v>
      </c>
      <c r="M139" s="22"/>
      <c r="N139" s="23"/>
    </row>
    <row r="140" spans="2:14" x14ac:dyDescent="0.25">
      <c r="B140" s="18">
        <f>90+45+45</f>
        <v>180</v>
      </c>
      <c r="C140" s="20" t="s">
        <v>298</v>
      </c>
      <c r="D140" s="20" t="s">
        <v>189</v>
      </c>
      <c r="E140" s="47">
        <v>10765884</v>
      </c>
      <c r="F140" s="39">
        <f t="shared" si="3"/>
        <v>124</v>
      </c>
      <c r="G140" s="28"/>
      <c r="H140" s="28"/>
      <c r="I140" s="22"/>
      <c r="J140" s="20" t="s">
        <v>259</v>
      </c>
      <c r="K140" s="21" t="s">
        <v>388</v>
      </c>
      <c r="L140" s="21" t="s">
        <v>185</v>
      </c>
      <c r="M140" s="22"/>
      <c r="N140" s="23"/>
    </row>
    <row r="141" spans="2:14" x14ac:dyDescent="0.25">
      <c r="B141" s="18">
        <f>90+45</f>
        <v>135</v>
      </c>
      <c r="C141" s="20" t="s">
        <v>188</v>
      </c>
      <c r="D141" s="20" t="s">
        <v>139</v>
      </c>
      <c r="E141" s="46">
        <v>10767096</v>
      </c>
      <c r="F141" s="39">
        <f t="shared" si="3"/>
        <v>125</v>
      </c>
      <c r="G141" s="28"/>
      <c r="H141" s="28"/>
      <c r="I141" s="22"/>
      <c r="J141" s="20" t="s">
        <v>259</v>
      </c>
      <c r="K141" s="21" t="s">
        <v>388</v>
      </c>
      <c r="L141" s="21" t="s">
        <v>185</v>
      </c>
      <c r="M141" s="22"/>
      <c r="N141" s="23"/>
    </row>
    <row r="142" spans="2:14" x14ac:dyDescent="0.25">
      <c r="B142" s="18">
        <v>45</v>
      </c>
      <c r="C142" s="20" t="s">
        <v>103</v>
      </c>
      <c r="D142" s="20" t="s">
        <v>104</v>
      </c>
      <c r="E142" s="46">
        <v>13453650</v>
      </c>
      <c r="F142" s="39">
        <f t="shared" si="3"/>
        <v>126</v>
      </c>
      <c r="G142" s="28"/>
      <c r="H142" s="28"/>
      <c r="I142" s="22"/>
      <c r="J142" s="20" t="s">
        <v>295</v>
      </c>
      <c r="K142" s="21" t="s">
        <v>401</v>
      </c>
      <c r="L142" s="21" t="s">
        <v>185</v>
      </c>
      <c r="M142" s="22"/>
      <c r="N142" s="23"/>
    </row>
    <row r="143" spans="2:14" x14ac:dyDescent="0.25">
      <c r="B143" s="18">
        <v>45</v>
      </c>
      <c r="C143" s="20" t="s">
        <v>495</v>
      </c>
      <c r="D143" s="20" t="s">
        <v>35</v>
      </c>
      <c r="E143" s="48">
        <v>1138876</v>
      </c>
      <c r="F143" s="39">
        <f t="shared" si="3"/>
        <v>127</v>
      </c>
      <c r="G143" s="28"/>
      <c r="H143" s="28"/>
      <c r="I143" s="22"/>
      <c r="J143" s="20" t="s">
        <v>810</v>
      </c>
      <c r="K143" s="21" t="s">
        <v>754</v>
      </c>
      <c r="L143" s="21" t="s">
        <v>185</v>
      </c>
      <c r="M143" s="22"/>
      <c r="N143" s="23"/>
    </row>
    <row r="144" spans="2:14" x14ac:dyDescent="0.25">
      <c r="B144" s="18">
        <v>45</v>
      </c>
      <c r="C144" s="20" t="s">
        <v>811</v>
      </c>
      <c r="D144" s="20" t="s">
        <v>496</v>
      </c>
      <c r="E144" s="48">
        <v>10772780</v>
      </c>
      <c r="F144" s="39">
        <f t="shared" si="3"/>
        <v>128</v>
      </c>
      <c r="G144" s="28"/>
      <c r="H144" s="28"/>
      <c r="I144" s="22"/>
      <c r="J144" s="20" t="s">
        <v>259</v>
      </c>
      <c r="K144" s="21" t="s">
        <v>388</v>
      </c>
      <c r="L144" s="21" t="s">
        <v>185</v>
      </c>
      <c r="M144" s="22"/>
      <c r="N144" s="23"/>
    </row>
    <row r="145" spans="2:14" x14ac:dyDescent="0.25">
      <c r="B145" s="18">
        <v>45</v>
      </c>
      <c r="C145" s="20" t="s">
        <v>812</v>
      </c>
      <c r="D145" s="20" t="s">
        <v>32</v>
      </c>
      <c r="E145" s="48">
        <v>2022359</v>
      </c>
      <c r="F145" s="39">
        <f t="shared" si="3"/>
        <v>129</v>
      </c>
      <c r="G145" s="28"/>
      <c r="H145" s="28"/>
      <c r="I145" s="22"/>
      <c r="J145" s="20" t="s">
        <v>299</v>
      </c>
      <c r="K145" s="21" t="s">
        <v>394</v>
      </c>
      <c r="L145" s="21" t="s">
        <v>185</v>
      </c>
      <c r="M145" s="22"/>
      <c r="N145" s="23"/>
    </row>
    <row r="146" spans="2:14" x14ac:dyDescent="0.25">
      <c r="B146" s="18">
        <f>2000+45</f>
        <v>2045</v>
      </c>
      <c r="C146" s="20" t="s">
        <v>191</v>
      </c>
      <c r="D146" s="20" t="s">
        <v>190</v>
      </c>
      <c r="E146" s="47">
        <v>16951669</v>
      </c>
      <c r="F146" s="39">
        <f t="shared" si="3"/>
        <v>130</v>
      </c>
      <c r="G146" s="28"/>
      <c r="H146" s="28"/>
      <c r="I146" s="22"/>
      <c r="J146" s="20" t="s">
        <v>262</v>
      </c>
      <c r="K146" s="21" t="s">
        <v>390</v>
      </c>
      <c r="L146" s="21" t="s">
        <v>192</v>
      </c>
      <c r="M146" s="22"/>
      <c r="N146" s="23"/>
    </row>
    <row r="147" spans="2:14" x14ac:dyDescent="0.25">
      <c r="B147" s="18">
        <v>1500</v>
      </c>
      <c r="C147" s="20" t="s">
        <v>509</v>
      </c>
      <c r="D147" s="20" t="s">
        <v>57</v>
      </c>
      <c r="E147" s="47">
        <v>376774</v>
      </c>
      <c r="F147" s="39">
        <f t="shared" si="3"/>
        <v>131</v>
      </c>
      <c r="G147" s="28"/>
      <c r="H147" s="28"/>
      <c r="I147" s="22"/>
      <c r="J147" s="20" t="s">
        <v>259</v>
      </c>
      <c r="K147" s="21" t="s">
        <v>388</v>
      </c>
      <c r="L147" s="21" t="s">
        <v>192</v>
      </c>
      <c r="M147" s="22"/>
      <c r="N147" s="23"/>
    </row>
    <row r="148" spans="2:14" x14ac:dyDescent="0.25">
      <c r="B148" s="18">
        <f>1000+360+10+2</f>
        <v>1372</v>
      </c>
      <c r="C148" s="20" t="s">
        <v>287</v>
      </c>
      <c r="D148" s="20" t="s">
        <v>46</v>
      </c>
      <c r="E148" s="47">
        <v>11855551</v>
      </c>
      <c r="F148" s="39">
        <f t="shared" si="3"/>
        <v>132</v>
      </c>
      <c r="G148" s="28"/>
      <c r="H148" s="28"/>
      <c r="I148" s="22"/>
      <c r="J148" s="20" t="s">
        <v>270</v>
      </c>
      <c r="K148" s="21" t="s">
        <v>389</v>
      </c>
      <c r="L148" s="21" t="s">
        <v>192</v>
      </c>
      <c r="M148" s="22"/>
      <c r="N148" s="23"/>
    </row>
    <row r="149" spans="2:14" x14ac:dyDescent="0.25">
      <c r="B149" s="18">
        <v>1200</v>
      </c>
      <c r="C149" s="20" t="s">
        <v>508</v>
      </c>
      <c r="D149" s="20" t="s">
        <v>210</v>
      </c>
      <c r="E149" s="47">
        <v>16954621</v>
      </c>
      <c r="F149" s="39">
        <f t="shared" si="3"/>
        <v>133</v>
      </c>
      <c r="G149" s="28"/>
      <c r="H149" s="28"/>
      <c r="I149" s="22"/>
      <c r="J149" s="20" t="s">
        <v>262</v>
      </c>
      <c r="K149" s="21" t="s">
        <v>390</v>
      </c>
      <c r="L149" s="21" t="s">
        <v>192</v>
      </c>
      <c r="M149" s="22"/>
      <c r="N149" s="23"/>
    </row>
    <row r="150" spans="2:14" x14ac:dyDescent="0.25">
      <c r="B150" s="18">
        <v>400</v>
      </c>
      <c r="C150" s="20" t="s">
        <v>813</v>
      </c>
      <c r="D150" s="20" t="s">
        <v>254</v>
      </c>
      <c r="E150" s="47">
        <v>14117974</v>
      </c>
      <c r="F150" s="39">
        <f t="shared" si="3"/>
        <v>134</v>
      </c>
      <c r="G150" s="28"/>
      <c r="H150" s="28"/>
      <c r="I150" s="22"/>
      <c r="J150" s="20" t="s">
        <v>382</v>
      </c>
      <c r="K150" s="21" t="s">
        <v>396</v>
      </c>
      <c r="L150" s="21" t="s">
        <v>192</v>
      </c>
      <c r="M150" s="22"/>
      <c r="N150" s="23"/>
    </row>
    <row r="151" spans="2:14" x14ac:dyDescent="0.25">
      <c r="B151" s="18">
        <v>360</v>
      </c>
      <c r="C151" s="20" t="s">
        <v>193</v>
      </c>
      <c r="D151" s="20" t="s">
        <v>161</v>
      </c>
      <c r="E151" s="47">
        <v>7336482</v>
      </c>
      <c r="F151" s="39">
        <f t="shared" si="3"/>
        <v>135</v>
      </c>
      <c r="G151" s="28"/>
      <c r="H151" s="28"/>
      <c r="I151" s="22"/>
      <c r="J151" s="20" t="s">
        <v>259</v>
      </c>
      <c r="K151" s="21" t="s">
        <v>388</v>
      </c>
      <c r="L151" s="21" t="s">
        <v>192</v>
      </c>
      <c r="M151" s="22"/>
      <c r="N151" s="23"/>
    </row>
    <row r="152" spans="2:14" x14ac:dyDescent="0.25">
      <c r="B152" s="18">
        <v>360</v>
      </c>
      <c r="C152" s="20" t="s">
        <v>300</v>
      </c>
      <c r="D152" s="20" t="s">
        <v>301</v>
      </c>
      <c r="E152" s="47">
        <v>10509406</v>
      </c>
      <c r="F152" s="39">
        <f t="shared" si="3"/>
        <v>136</v>
      </c>
      <c r="G152" s="28"/>
      <c r="H152" s="28"/>
      <c r="I152" s="22"/>
      <c r="J152" s="20" t="s">
        <v>259</v>
      </c>
      <c r="K152" s="21" t="s">
        <v>388</v>
      </c>
      <c r="L152" s="21" t="s">
        <v>192</v>
      </c>
      <c r="M152" s="22"/>
      <c r="N152" s="23"/>
    </row>
    <row r="153" spans="2:14" x14ac:dyDescent="0.25">
      <c r="B153" s="18">
        <v>90</v>
      </c>
      <c r="C153" s="20" t="s">
        <v>67</v>
      </c>
      <c r="D153" s="20" t="s">
        <v>302</v>
      </c>
      <c r="E153" s="48">
        <v>12740602</v>
      </c>
      <c r="F153" s="39">
        <f t="shared" si="3"/>
        <v>137</v>
      </c>
      <c r="G153" s="28"/>
      <c r="H153" s="28"/>
      <c r="I153" s="22"/>
      <c r="J153" s="20" t="s">
        <v>303</v>
      </c>
      <c r="K153" s="21" t="s">
        <v>395</v>
      </c>
      <c r="L153" s="21" t="s">
        <v>192</v>
      </c>
      <c r="M153" s="22"/>
      <c r="N153" s="23"/>
    </row>
    <row r="154" spans="2:14" x14ac:dyDescent="0.25">
      <c r="B154" s="18">
        <v>45</v>
      </c>
      <c r="C154" s="20" t="s">
        <v>304</v>
      </c>
      <c r="D154" s="20" t="s">
        <v>43</v>
      </c>
      <c r="E154" s="47">
        <v>10411693</v>
      </c>
      <c r="F154" s="39">
        <f t="shared" si="3"/>
        <v>138</v>
      </c>
      <c r="G154" s="28"/>
      <c r="H154" s="28"/>
      <c r="I154" s="22"/>
      <c r="J154" s="20" t="s">
        <v>305</v>
      </c>
      <c r="K154" s="21" t="s">
        <v>388</v>
      </c>
      <c r="L154" s="21" t="s">
        <v>192</v>
      </c>
      <c r="M154" s="22"/>
      <c r="N154" s="23"/>
    </row>
    <row r="155" spans="2:14" x14ac:dyDescent="0.25">
      <c r="B155" s="18">
        <v>45</v>
      </c>
      <c r="C155" s="20" t="s">
        <v>720</v>
      </c>
      <c r="D155" s="20" t="s">
        <v>719</v>
      </c>
      <c r="E155" s="47">
        <v>10777425</v>
      </c>
      <c r="F155" s="39">
        <f t="shared" si="3"/>
        <v>139</v>
      </c>
      <c r="G155" s="28"/>
      <c r="H155" s="28"/>
      <c r="I155" s="22"/>
      <c r="J155" s="20" t="s">
        <v>750</v>
      </c>
      <c r="K155" s="21" t="s">
        <v>388</v>
      </c>
      <c r="L155" s="21" t="s">
        <v>192</v>
      </c>
      <c r="M155" s="22"/>
      <c r="N155" s="23"/>
    </row>
    <row r="156" spans="2:14" x14ac:dyDescent="0.25">
      <c r="B156" s="18">
        <v>1500</v>
      </c>
      <c r="C156" s="20" t="s">
        <v>811</v>
      </c>
      <c r="D156" s="20" t="s">
        <v>496</v>
      </c>
      <c r="E156" s="48">
        <v>10772780</v>
      </c>
      <c r="F156" s="39">
        <f t="shared" si="3"/>
        <v>140</v>
      </c>
      <c r="G156" s="28"/>
      <c r="H156" s="28"/>
      <c r="I156" s="22"/>
      <c r="J156" s="20" t="s">
        <v>259</v>
      </c>
      <c r="K156" s="21" t="s">
        <v>388</v>
      </c>
      <c r="L156" s="21" t="s">
        <v>200</v>
      </c>
      <c r="M156" s="22"/>
      <c r="N156" s="23"/>
    </row>
    <row r="157" spans="2:14" x14ac:dyDescent="0.25">
      <c r="B157" s="18">
        <v>1000</v>
      </c>
      <c r="C157" s="20" t="s">
        <v>196</v>
      </c>
      <c r="D157" s="20" t="s">
        <v>148</v>
      </c>
      <c r="E157" s="47">
        <v>10765602</v>
      </c>
      <c r="F157" s="39">
        <f t="shared" si="3"/>
        <v>141</v>
      </c>
      <c r="G157" s="28"/>
      <c r="H157" s="28"/>
      <c r="I157" s="22"/>
      <c r="J157" s="20" t="s">
        <v>259</v>
      </c>
      <c r="K157" s="21" t="s">
        <v>388</v>
      </c>
      <c r="L157" s="21" t="s">
        <v>200</v>
      </c>
      <c r="M157" s="22"/>
      <c r="N157" s="23"/>
    </row>
    <row r="158" spans="2:14" x14ac:dyDescent="0.25">
      <c r="B158" s="18">
        <v>750</v>
      </c>
      <c r="C158" s="20" t="s">
        <v>101</v>
      </c>
      <c r="D158" s="20" t="s">
        <v>57</v>
      </c>
      <c r="E158" s="47">
        <v>11855759</v>
      </c>
      <c r="F158" s="39">
        <f t="shared" si="3"/>
        <v>142</v>
      </c>
      <c r="G158" s="28"/>
      <c r="H158" s="28"/>
      <c r="I158" s="22"/>
      <c r="J158" s="20" t="s">
        <v>270</v>
      </c>
      <c r="K158" s="21" t="s">
        <v>389</v>
      </c>
      <c r="L158" s="21" t="s">
        <v>200</v>
      </c>
      <c r="M158" s="22"/>
      <c r="N158" s="23"/>
    </row>
    <row r="159" spans="2:14" x14ac:dyDescent="0.25">
      <c r="B159" s="18">
        <v>400</v>
      </c>
      <c r="C159" s="20" t="s">
        <v>814</v>
      </c>
      <c r="D159" s="20" t="s">
        <v>249</v>
      </c>
      <c r="E159" s="47">
        <v>10771310</v>
      </c>
      <c r="F159" s="39">
        <f t="shared" si="3"/>
        <v>143</v>
      </c>
      <c r="G159" s="28"/>
      <c r="H159" s="28"/>
      <c r="I159" s="22"/>
      <c r="J159" s="20" t="s">
        <v>259</v>
      </c>
      <c r="K159" s="21" t="s">
        <v>388</v>
      </c>
      <c r="L159" s="21" t="s">
        <v>200</v>
      </c>
      <c r="M159" s="22"/>
      <c r="N159" s="23"/>
    </row>
    <row r="160" spans="2:14" x14ac:dyDescent="0.25">
      <c r="B160" s="18">
        <v>375</v>
      </c>
      <c r="C160" s="20" t="s">
        <v>722</v>
      </c>
      <c r="D160" s="20" t="s">
        <v>723</v>
      </c>
      <c r="E160" s="47">
        <v>10112077</v>
      </c>
      <c r="F160" s="39">
        <f t="shared" si="3"/>
        <v>144</v>
      </c>
      <c r="G160" s="28"/>
      <c r="H160" s="28"/>
      <c r="I160" s="22"/>
      <c r="J160" s="20" t="s">
        <v>259</v>
      </c>
      <c r="K160" s="21" t="s">
        <v>388</v>
      </c>
      <c r="L160" s="21" t="s">
        <v>200</v>
      </c>
      <c r="M160" s="22"/>
      <c r="N160" s="23"/>
    </row>
    <row r="161" spans="2:14" x14ac:dyDescent="0.25">
      <c r="B161" s="18">
        <v>360</v>
      </c>
      <c r="C161" s="20" t="s">
        <v>198</v>
      </c>
      <c r="D161" s="20" t="s">
        <v>199</v>
      </c>
      <c r="E161" s="47">
        <v>10764919</v>
      </c>
      <c r="F161" s="39">
        <f t="shared" si="3"/>
        <v>145</v>
      </c>
      <c r="G161" s="28"/>
      <c r="H161" s="28"/>
      <c r="I161" s="22"/>
      <c r="J161" s="20" t="s">
        <v>761</v>
      </c>
      <c r="K161" s="21" t="s">
        <v>388</v>
      </c>
      <c r="L161" s="21" t="s">
        <v>200</v>
      </c>
      <c r="M161" s="22"/>
      <c r="N161" s="23"/>
    </row>
    <row r="162" spans="2:14" x14ac:dyDescent="0.25">
      <c r="B162" s="18">
        <f>45+45</f>
        <v>90</v>
      </c>
      <c r="C162" s="20" t="s">
        <v>510</v>
      </c>
      <c r="D162" s="20" t="s">
        <v>180</v>
      </c>
      <c r="E162" s="47">
        <v>10357326</v>
      </c>
      <c r="F162" s="39">
        <f t="shared" si="3"/>
        <v>146</v>
      </c>
      <c r="G162" s="28"/>
      <c r="H162" s="28"/>
      <c r="I162" s="22"/>
      <c r="J162" s="20" t="s">
        <v>259</v>
      </c>
      <c r="K162" s="21" t="s">
        <v>388</v>
      </c>
      <c r="L162" s="21" t="s">
        <v>200</v>
      </c>
      <c r="M162" s="22"/>
      <c r="N162" s="23"/>
    </row>
    <row r="163" spans="2:14" x14ac:dyDescent="0.25">
      <c r="B163" s="18">
        <v>75</v>
      </c>
      <c r="C163" s="20" t="s">
        <v>443</v>
      </c>
      <c r="D163" s="20" t="s">
        <v>444</v>
      </c>
      <c r="E163" s="47">
        <v>3603801</v>
      </c>
      <c r="F163" s="39">
        <f t="shared" si="3"/>
        <v>147</v>
      </c>
      <c r="G163" s="28"/>
      <c r="H163" s="28"/>
      <c r="I163" s="22"/>
      <c r="J163" s="20" t="s">
        <v>815</v>
      </c>
      <c r="K163" s="21" t="s">
        <v>389</v>
      </c>
      <c r="L163" s="21" t="s">
        <v>200</v>
      </c>
      <c r="M163" s="22"/>
      <c r="N163" s="23"/>
    </row>
    <row r="164" spans="2:14" x14ac:dyDescent="0.25">
      <c r="B164" s="18">
        <v>50</v>
      </c>
      <c r="C164" s="20" t="s">
        <v>455</v>
      </c>
      <c r="D164" s="20" t="s">
        <v>441</v>
      </c>
      <c r="E164" s="47">
        <v>6526258</v>
      </c>
      <c r="F164" s="39">
        <f t="shared" ref="F164:F169" si="4">F163+1</f>
        <v>148</v>
      </c>
      <c r="G164" s="28"/>
      <c r="H164" s="28"/>
      <c r="I164" s="22"/>
      <c r="J164" s="20" t="s">
        <v>815</v>
      </c>
      <c r="K164" s="21" t="s">
        <v>389</v>
      </c>
      <c r="L164" s="21" t="s">
        <v>200</v>
      </c>
      <c r="M164" s="22"/>
      <c r="N164" s="23"/>
    </row>
    <row r="165" spans="2:14" x14ac:dyDescent="0.25">
      <c r="B165" s="18">
        <v>45</v>
      </c>
      <c r="C165" s="20" t="s">
        <v>816</v>
      </c>
      <c r="D165" s="20" t="s">
        <v>43</v>
      </c>
      <c r="E165" s="47">
        <v>10772904</v>
      </c>
      <c r="F165" s="39">
        <f t="shared" si="4"/>
        <v>149</v>
      </c>
      <c r="G165" s="28"/>
      <c r="H165" s="28"/>
      <c r="I165" s="22"/>
      <c r="J165" s="20" t="s">
        <v>259</v>
      </c>
      <c r="K165" s="21" t="s">
        <v>388</v>
      </c>
      <c r="L165" s="21" t="s">
        <v>200</v>
      </c>
      <c r="M165" s="22"/>
      <c r="N165" s="23"/>
    </row>
    <row r="166" spans="2:14" x14ac:dyDescent="0.25">
      <c r="B166" s="18">
        <v>45</v>
      </c>
      <c r="C166" s="20" t="s">
        <v>817</v>
      </c>
      <c r="D166" s="20" t="s">
        <v>186</v>
      </c>
      <c r="E166" s="47">
        <v>10771245</v>
      </c>
      <c r="F166" s="39">
        <f t="shared" si="4"/>
        <v>150</v>
      </c>
      <c r="G166" s="28"/>
      <c r="H166" s="28"/>
      <c r="I166" s="22"/>
      <c r="J166" s="20" t="s">
        <v>259</v>
      </c>
      <c r="K166" s="21" t="s">
        <v>388</v>
      </c>
      <c r="L166" s="21" t="s">
        <v>200</v>
      </c>
      <c r="M166" s="22"/>
      <c r="N166" s="23"/>
    </row>
    <row r="167" spans="2:14" x14ac:dyDescent="0.25">
      <c r="B167" s="18">
        <v>45</v>
      </c>
      <c r="C167" s="20" t="s">
        <v>748</v>
      </c>
      <c r="D167" s="20" t="s">
        <v>511</v>
      </c>
      <c r="E167" s="47">
        <v>10770825</v>
      </c>
      <c r="F167" s="39">
        <f t="shared" si="4"/>
        <v>151</v>
      </c>
      <c r="G167" s="28"/>
      <c r="H167" s="28"/>
      <c r="I167" s="22"/>
      <c r="J167" s="20" t="s">
        <v>750</v>
      </c>
      <c r="K167" s="21" t="s">
        <v>388</v>
      </c>
      <c r="L167" s="21" t="s">
        <v>200</v>
      </c>
      <c r="M167" s="22"/>
      <c r="N167" s="23"/>
    </row>
    <row r="168" spans="2:14" x14ac:dyDescent="0.25">
      <c r="B168" s="18">
        <v>45</v>
      </c>
      <c r="C168" s="20" t="s">
        <v>818</v>
      </c>
      <c r="D168" s="20" t="s">
        <v>177</v>
      </c>
      <c r="E168" s="47">
        <v>7896204</v>
      </c>
      <c r="F168" s="39">
        <f t="shared" si="4"/>
        <v>152</v>
      </c>
      <c r="G168" s="28"/>
      <c r="H168" s="28"/>
      <c r="I168" s="22"/>
      <c r="J168" s="20" t="s">
        <v>819</v>
      </c>
      <c r="K168" s="21" t="s">
        <v>820</v>
      </c>
      <c r="L168" s="21" t="s">
        <v>200</v>
      </c>
      <c r="M168" s="22"/>
      <c r="N168" s="23"/>
    </row>
    <row r="169" spans="2:14" x14ac:dyDescent="0.25">
      <c r="B169" s="18">
        <v>45</v>
      </c>
      <c r="C169" s="20" t="s">
        <v>721</v>
      </c>
      <c r="D169" s="20" t="s">
        <v>678</v>
      </c>
      <c r="E169" s="47">
        <v>10428317</v>
      </c>
      <c r="F169" s="39">
        <f t="shared" si="4"/>
        <v>153</v>
      </c>
      <c r="G169" s="28"/>
      <c r="H169" s="28"/>
      <c r="I169" s="22"/>
      <c r="J169" s="20" t="s">
        <v>318</v>
      </c>
      <c r="K169" s="21" t="s">
        <v>388</v>
      </c>
      <c r="L169" s="21" t="s">
        <v>200</v>
      </c>
      <c r="M169" s="22"/>
      <c r="N169" s="23"/>
    </row>
    <row r="170" spans="2:14" ht="15.75" thickBot="1" x14ac:dyDescent="0.3">
      <c r="B170" s="73"/>
      <c r="C170" s="74"/>
      <c r="D170" s="74"/>
      <c r="E170" s="67"/>
      <c r="F170" s="75"/>
      <c r="G170" s="76"/>
      <c r="H170" s="76"/>
      <c r="I170" s="77"/>
      <c r="J170" s="74"/>
      <c r="K170" s="78"/>
      <c r="L170" s="78"/>
      <c r="M170" s="77"/>
      <c r="N170" s="79"/>
    </row>
    <row r="171" spans="2:14" x14ac:dyDescent="0.25">
      <c r="B171" s="2"/>
      <c r="C171" s="1"/>
      <c r="D171" s="1"/>
      <c r="E171" s="3"/>
      <c r="F171" s="89" t="s">
        <v>1027</v>
      </c>
      <c r="G171" s="87"/>
      <c r="H171" s="87"/>
      <c r="I171" s="88"/>
      <c r="J171" s="88"/>
      <c r="K171" s="4"/>
      <c r="L171" s="4"/>
      <c r="M171" s="14" t="s">
        <v>0</v>
      </c>
      <c r="N171" s="5"/>
    </row>
    <row r="172" spans="2:14" x14ac:dyDescent="0.25">
      <c r="B172" s="15" t="s">
        <v>1</v>
      </c>
      <c r="C172" s="16" t="s">
        <v>2</v>
      </c>
      <c r="D172" s="16" t="s">
        <v>3</v>
      </c>
      <c r="E172" s="16" t="s">
        <v>4</v>
      </c>
      <c r="F172" s="16" t="s">
        <v>5</v>
      </c>
      <c r="G172" s="16" t="s">
        <v>6</v>
      </c>
      <c r="H172" s="16" t="s">
        <v>7</v>
      </c>
      <c r="I172" s="16" t="s">
        <v>8</v>
      </c>
      <c r="J172" s="16" t="s">
        <v>9</v>
      </c>
      <c r="K172" s="16" t="s">
        <v>387</v>
      </c>
      <c r="L172" s="16" t="s">
        <v>10</v>
      </c>
      <c r="M172" s="16" t="s">
        <v>11</v>
      </c>
      <c r="N172" s="17" t="s">
        <v>12</v>
      </c>
    </row>
    <row r="173" spans="2:14" x14ac:dyDescent="0.25">
      <c r="B173" s="18">
        <f>2000+1200+500</f>
        <v>3700</v>
      </c>
      <c r="C173" s="20" t="s">
        <v>105</v>
      </c>
      <c r="D173" s="20" t="s">
        <v>106</v>
      </c>
      <c r="E173" s="48">
        <v>10766345</v>
      </c>
      <c r="F173" s="83">
        <f>F169+1</f>
        <v>154</v>
      </c>
      <c r="G173" s="84"/>
      <c r="H173" s="84"/>
      <c r="I173" s="22"/>
      <c r="J173" s="20" t="s">
        <v>259</v>
      </c>
      <c r="K173" s="21" t="s">
        <v>388</v>
      </c>
      <c r="L173" s="21" t="s">
        <v>499</v>
      </c>
      <c r="M173" s="22"/>
      <c r="N173" s="23"/>
    </row>
    <row r="174" spans="2:14" x14ac:dyDescent="0.25">
      <c r="B174" s="18">
        <f>1500+500</f>
        <v>2000</v>
      </c>
      <c r="C174" s="20" t="s">
        <v>821</v>
      </c>
      <c r="D174" s="20" t="s">
        <v>718</v>
      </c>
      <c r="E174" s="48">
        <v>10771097</v>
      </c>
      <c r="F174" s="83">
        <f t="shared" ref="F174:F188" si="5">F173+1</f>
        <v>155</v>
      </c>
      <c r="G174" s="84"/>
      <c r="H174" s="84"/>
      <c r="I174" s="22"/>
      <c r="J174" s="20" t="s">
        <v>259</v>
      </c>
      <c r="K174" s="21" t="s">
        <v>388</v>
      </c>
      <c r="L174" s="21" t="s">
        <v>499</v>
      </c>
      <c r="M174" s="22"/>
      <c r="N174" s="23"/>
    </row>
    <row r="175" spans="2:14" x14ac:dyDescent="0.25">
      <c r="B175" s="18">
        <f>400+250</f>
        <v>650</v>
      </c>
      <c r="C175" s="20" t="s">
        <v>497</v>
      </c>
      <c r="D175" s="20" t="s">
        <v>36</v>
      </c>
      <c r="E175" s="48">
        <v>10772871</v>
      </c>
      <c r="F175" s="83">
        <f t="shared" si="5"/>
        <v>156</v>
      </c>
      <c r="G175" s="84"/>
      <c r="H175" s="84"/>
      <c r="I175" s="22"/>
      <c r="J175" s="20" t="s">
        <v>259</v>
      </c>
      <c r="K175" s="21" t="s">
        <v>388</v>
      </c>
      <c r="L175" s="21" t="s">
        <v>499</v>
      </c>
      <c r="M175" s="22"/>
      <c r="N175" s="23"/>
    </row>
    <row r="176" spans="2:14" x14ac:dyDescent="0.25">
      <c r="B176" s="18">
        <f>90+90+45</f>
        <v>225</v>
      </c>
      <c r="C176" s="20" t="s">
        <v>107</v>
      </c>
      <c r="D176" s="20" t="s">
        <v>306</v>
      </c>
      <c r="E176" s="48">
        <v>10765404</v>
      </c>
      <c r="F176" s="83">
        <f t="shared" si="5"/>
        <v>157</v>
      </c>
      <c r="G176" s="84"/>
      <c r="H176" s="84"/>
      <c r="I176" s="22"/>
      <c r="J176" s="20" t="s">
        <v>259</v>
      </c>
      <c r="K176" s="21" t="s">
        <v>388</v>
      </c>
      <c r="L176" s="21" t="s">
        <v>499</v>
      </c>
      <c r="M176" s="22"/>
      <c r="N176" s="23"/>
    </row>
    <row r="177" spans="2:14" x14ac:dyDescent="0.25">
      <c r="B177" s="85">
        <f>90+45</f>
        <v>135</v>
      </c>
      <c r="C177" s="19" t="s">
        <v>423</v>
      </c>
      <c r="D177" s="20" t="s">
        <v>424</v>
      </c>
      <c r="E177" s="86">
        <v>9634719</v>
      </c>
      <c r="F177" s="83">
        <f t="shared" si="5"/>
        <v>158</v>
      </c>
      <c r="G177" s="84"/>
      <c r="H177" s="84"/>
      <c r="I177" s="22"/>
      <c r="J177" s="20" t="s">
        <v>267</v>
      </c>
      <c r="K177" s="18" t="s">
        <v>390</v>
      </c>
      <c r="L177" s="21" t="s">
        <v>499</v>
      </c>
      <c r="M177" s="22"/>
      <c r="N177" s="23"/>
    </row>
    <row r="178" spans="2:14" x14ac:dyDescent="0.25">
      <c r="B178" s="85">
        <v>45</v>
      </c>
      <c r="C178" s="19" t="s">
        <v>823</v>
      </c>
      <c r="D178" s="20" t="s">
        <v>69</v>
      </c>
      <c r="E178" s="86">
        <v>1427138</v>
      </c>
      <c r="F178" s="83">
        <f t="shared" si="5"/>
        <v>159</v>
      </c>
      <c r="G178" s="84"/>
      <c r="H178" s="84"/>
      <c r="I178" s="22"/>
      <c r="J178" s="20" t="s">
        <v>822</v>
      </c>
      <c r="K178" s="21" t="s">
        <v>388</v>
      </c>
      <c r="L178" s="21" t="s">
        <v>499</v>
      </c>
      <c r="M178" s="22"/>
      <c r="N178" s="23"/>
    </row>
    <row r="179" spans="2:14" x14ac:dyDescent="0.25">
      <c r="B179" s="85">
        <v>45</v>
      </c>
      <c r="C179" s="19" t="s">
        <v>825</v>
      </c>
      <c r="D179" s="20" t="s">
        <v>496</v>
      </c>
      <c r="E179" s="86">
        <v>9651367</v>
      </c>
      <c r="F179" s="83">
        <f t="shared" si="5"/>
        <v>160</v>
      </c>
      <c r="G179" s="84"/>
      <c r="H179" s="84"/>
      <c r="I179" s="22"/>
      <c r="J179" s="20" t="s">
        <v>824</v>
      </c>
      <c r="K179" s="18" t="s">
        <v>390</v>
      </c>
      <c r="L179" s="21" t="s">
        <v>499</v>
      </c>
      <c r="M179" s="22"/>
      <c r="N179" s="23"/>
    </row>
    <row r="180" spans="2:14" x14ac:dyDescent="0.25">
      <c r="B180" s="85">
        <v>45</v>
      </c>
      <c r="C180" s="19" t="s">
        <v>826</v>
      </c>
      <c r="D180" s="20" t="s">
        <v>36</v>
      </c>
      <c r="E180" s="86">
        <v>10772053</v>
      </c>
      <c r="F180" s="83">
        <f t="shared" si="5"/>
        <v>161</v>
      </c>
      <c r="G180" s="84"/>
      <c r="H180" s="84"/>
      <c r="I180" s="22"/>
      <c r="J180" s="20" t="s">
        <v>259</v>
      </c>
      <c r="K180" s="18" t="s">
        <v>388</v>
      </c>
      <c r="L180" s="21" t="s">
        <v>499</v>
      </c>
      <c r="M180" s="22"/>
      <c r="N180" s="23"/>
    </row>
    <row r="181" spans="2:14" x14ac:dyDescent="0.25">
      <c r="B181" s="85">
        <v>45</v>
      </c>
      <c r="C181" s="19" t="s">
        <v>498</v>
      </c>
      <c r="D181" s="20" t="s">
        <v>444</v>
      </c>
      <c r="E181" s="86">
        <v>7566831</v>
      </c>
      <c r="F181" s="83">
        <f t="shared" si="5"/>
        <v>162</v>
      </c>
      <c r="G181" s="84"/>
      <c r="H181" s="84"/>
      <c r="I181" s="22"/>
      <c r="J181" s="20" t="s">
        <v>827</v>
      </c>
      <c r="K181" s="18" t="s">
        <v>392</v>
      </c>
      <c r="L181" s="21" t="s">
        <v>499</v>
      </c>
      <c r="M181" s="22"/>
      <c r="N181" s="23"/>
    </row>
    <row r="182" spans="2:14" x14ac:dyDescent="0.25">
      <c r="B182" s="85">
        <v>1200</v>
      </c>
      <c r="C182" s="19" t="s">
        <v>415</v>
      </c>
      <c r="D182" s="20" t="s">
        <v>416</v>
      </c>
      <c r="E182" s="86">
        <v>11855650</v>
      </c>
      <c r="F182" s="83">
        <f t="shared" si="5"/>
        <v>163</v>
      </c>
      <c r="G182" s="84"/>
      <c r="H182" s="84"/>
      <c r="I182" s="22"/>
      <c r="J182" s="20" t="s">
        <v>270</v>
      </c>
      <c r="K182" s="18" t="s">
        <v>389</v>
      </c>
      <c r="L182" s="21" t="s">
        <v>500</v>
      </c>
      <c r="M182" s="22"/>
      <c r="N182" s="23"/>
    </row>
    <row r="183" spans="2:14" x14ac:dyDescent="0.25">
      <c r="B183" s="85">
        <v>750</v>
      </c>
      <c r="C183" s="34" t="s">
        <v>398</v>
      </c>
      <c r="D183" s="20" t="s">
        <v>65</v>
      </c>
      <c r="E183" s="86">
        <v>10239590</v>
      </c>
      <c r="F183" s="83">
        <f t="shared" si="5"/>
        <v>164</v>
      </c>
      <c r="G183" s="84"/>
      <c r="H183" s="84"/>
      <c r="I183" s="22"/>
      <c r="J183" s="20" t="s">
        <v>259</v>
      </c>
      <c r="K183" s="21" t="s">
        <v>388</v>
      </c>
      <c r="L183" s="21" t="s">
        <v>500</v>
      </c>
      <c r="M183" s="22"/>
      <c r="N183" s="23"/>
    </row>
    <row r="184" spans="2:14" x14ac:dyDescent="0.25">
      <c r="B184" s="85">
        <v>400</v>
      </c>
      <c r="C184" s="19" t="s">
        <v>501</v>
      </c>
      <c r="D184" s="20" t="s">
        <v>163</v>
      </c>
      <c r="E184" s="86">
        <v>10770437</v>
      </c>
      <c r="F184" s="83">
        <f t="shared" si="5"/>
        <v>165</v>
      </c>
      <c r="G184" s="84"/>
      <c r="H184" s="84"/>
      <c r="I184" s="22"/>
      <c r="J184" s="20" t="s">
        <v>259</v>
      </c>
      <c r="K184" s="21" t="s">
        <v>388</v>
      </c>
      <c r="L184" s="21" t="s">
        <v>500</v>
      </c>
      <c r="M184" s="22"/>
      <c r="N184" s="23"/>
    </row>
    <row r="185" spans="2:14" x14ac:dyDescent="0.25">
      <c r="B185" s="85">
        <v>45</v>
      </c>
      <c r="C185" s="19" t="s">
        <v>828</v>
      </c>
      <c r="D185" s="20" t="s">
        <v>36</v>
      </c>
      <c r="E185" s="86">
        <v>10772574</v>
      </c>
      <c r="F185" s="83">
        <f t="shared" si="5"/>
        <v>166</v>
      </c>
      <c r="G185" s="84"/>
      <c r="H185" s="84"/>
      <c r="I185" s="22"/>
      <c r="J185" s="20" t="s">
        <v>761</v>
      </c>
      <c r="K185" s="18" t="s">
        <v>388</v>
      </c>
      <c r="L185" s="21" t="s">
        <v>500</v>
      </c>
      <c r="M185" s="22"/>
      <c r="N185" s="23"/>
    </row>
    <row r="186" spans="2:14" x14ac:dyDescent="0.25">
      <c r="B186" s="85">
        <v>45</v>
      </c>
      <c r="C186" s="19" t="s">
        <v>502</v>
      </c>
      <c r="D186" s="20" t="s">
        <v>503</v>
      </c>
      <c r="E186" s="86">
        <v>10770669</v>
      </c>
      <c r="F186" s="83">
        <f t="shared" si="5"/>
        <v>167</v>
      </c>
      <c r="G186" s="84"/>
      <c r="H186" s="84"/>
      <c r="I186" s="22"/>
      <c r="J186" s="20" t="s">
        <v>259</v>
      </c>
      <c r="K186" s="21" t="s">
        <v>388</v>
      </c>
      <c r="L186" s="21" t="s">
        <v>500</v>
      </c>
      <c r="M186" s="22"/>
      <c r="N186" s="23"/>
    </row>
    <row r="187" spans="2:14" x14ac:dyDescent="0.25">
      <c r="B187" s="85">
        <v>45</v>
      </c>
      <c r="C187" s="19" t="s">
        <v>504</v>
      </c>
      <c r="D187" s="20" t="s">
        <v>505</v>
      </c>
      <c r="E187" s="86">
        <v>8068282</v>
      </c>
      <c r="F187" s="83">
        <f t="shared" si="5"/>
        <v>168</v>
      </c>
      <c r="G187" s="84"/>
      <c r="H187" s="84"/>
      <c r="I187" s="22"/>
      <c r="J187" s="20" t="s">
        <v>259</v>
      </c>
      <c r="K187" s="21" t="s">
        <v>388</v>
      </c>
      <c r="L187" s="21" t="s">
        <v>500</v>
      </c>
      <c r="M187" s="22"/>
      <c r="N187" s="23"/>
    </row>
    <row r="188" spans="2:14" x14ac:dyDescent="0.25">
      <c r="B188" s="85">
        <v>45</v>
      </c>
      <c r="C188" s="19" t="s">
        <v>506</v>
      </c>
      <c r="D188" s="20" t="s">
        <v>507</v>
      </c>
      <c r="E188" s="86">
        <v>11855543</v>
      </c>
      <c r="F188" s="83">
        <f t="shared" si="5"/>
        <v>169</v>
      </c>
      <c r="G188" s="84"/>
      <c r="H188" s="84"/>
      <c r="I188" s="22"/>
      <c r="J188" s="20" t="s">
        <v>270</v>
      </c>
      <c r="K188" s="18" t="s">
        <v>389</v>
      </c>
      <c r="L188" s="21" t="s">
        <v>500</v>
      </c>
      <c r="M188" s="22"/>
      <c r="N188" s="23"/>
    </row>
  </sheetData>
  <sortState ref="B8:M34">
    <sortCondition descending="1" ref="B8:B34"/>
  </sortState>
  <mergeCells count="1">
    <mergeCell ref="C4:L4"/>
  </mergeCells>
  <hyperlinks>
    <hyperlink ref="E44" r:id="rId1" display="https://portal.fctennis.cat/app/jugador/historial/11855907/3503/torneos.mensual/2"/>
    <hyperlink ref="E70" r:id="rId2" display="https://portal.fctennis.cat/app/jugador/historial/11855890/3503/torneos.mensual/2"/>
    <hyperlink ref="E48" r:id="rId3" display="https://portal.fctennis.cat/app/jugador/historial/11855303/3503/torneos.mensual/2"/>
    <hyperlink ref="C71" r:id="rId4" display="https://portal.fctennis.cat/app/jugador/historial/11855650/3503/torneos.mensual/2"/>
    <hyperlink ref="E71" r:id="rId5" display="https://portal.fctennis.cat/app/jugador/historial/11855650/3503/torneos.mensual/2"/>
    <hyperlink ref="E72" r:id="rId6" display="https://portal.fctennis.cat/app/jugador/historial/06027412/3503/torneos.mensual/2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6" fitToHeight="0" orientation="landscape" horizontalDpi="1200" verticalDpi="1200" r:id="rId7"/>
  <headerFooter>
    <oddFooter>&amp;A&amp;RPágina &amp;P</oddFooter>
  </headerFooter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8"/>
  <sheetViews>
    <sheetView zoomScaleNormal="100" workbookViewId="0">
      <selection activeCell="C5" sqref="C5"/>
    </sheetView>
  </sheetViews>
  <sheetFormatPr baseColWidth="10" defaultRowHeight="15" x14ac:dyDescent="0.25"/>
  <cols>
    <col min="1" max="1" width="4" customWidth="1"/>
    <col min="2" max="2" width="7" bestFit="1" customWidth="1"/>
    <col min="3" max="3" width="22.28515625" bestFit="1" customWidth="1"/>
    <col min="4" max="4" width="16.140625" customWidth="1"/>
    <col min="5" max="5" width="10.140625" style="25" bestFit="1" customWidth="1"/>
    <col min="6" max="6" width="4.7109375" bestFit="1" customWidth="1"/>
    <col min="7" max="7" width="4.42578125" bestFit="1" customWidth="1"/>
    <col min="8" max="8" width="5.42578125" bestFit="1" customWidth="1"/>
    <col min="9" max="9" width="5" bestFit="1" customWidth="1"/>
    <col min="10" max="10" width="50.85546875" customWidth="1"/>
    <col min="11" max="11" width="17.28515625" style="25" customWidth="1"/>
    <col min="12" max="12" width="27.7109375" bestFit="1" customWidth="1"/>
    <col min="13" max="13" width="3.42578125" bestFit="1" customWidth="1"/>
    <col min="14" max="14" width="5.85546875" bestFit="1" customWidth="1"/>
  </cols>
  <sheetData>
    <row r="1" spans="2:14" s="1" customFormat="1" ht="11.25" x14ac:dyDescent="0.2">
      <c r="B1" s="2"/>
      <c r="E1" s="3"/>
      <c r="F1" s="4"/>
      <c r="G1" s="4"/>
      <c r="H1" s="4"/>
      <c r="I1" s="4"/>
      <c r="K1" s="3"/>
      <c r="L1" s="4"/>
      <c r="M1" s="4"/>
      <c r="N1" s="5"/>
    </row>
    <row r="2" spans="2:14" s="1" customFormat="1" ht="11.25" x14ac:dyDescent="0.2">
      <c r="B2" s="2"/>
      <c r="E2" s="3"/>
      <c r="F2" s="4"/>
      <c r="G2" s="4"/>
      <c r="H2" s="4"/>
      <c r="I2" s="4"/>
      <c r="K2" s="3"/>
      <c r="L2" s="4"/>
      <c r="M2" s="4"/>
      <c r="N2" s="6"/>
    </row>
    <row r="3" spans="2:14" s="1" customFormat="1" ht="11.25" x14ac:dyDescent="0.2">
      <c r="B3" s="2"/>
      <c r="E3" s="3"/>
      <c r="F3" s="4"/>
      <c r="G3" s="4"/>
      <c r="H3" s="4"/>
      <c r="I3" s="4"/>
      <c r="K3" s="3"/>
      <c r="L3" s="4"/>
      <c r="M3" s="4"/>
      <c r="N3" s="5"/>
    </row>
    <row r="4" spans="2:14" s="1" customFormat="1" ht="12.75" x14ac:dyDescent="0.2">
      <c r="B4" s="2"/>
      <c r="C4" s="104" t="s">
        <v>1059</v>
      </c>
      <c r="D4" s="104"/>
      <c r="E4" s="104"/>
      <c r="F4" s="104"/>
      <c r="G4" s="104"/>
      <c r="H4" s="104"/>
      <c r="I4" s="104"/>
      <c r="J4" s="104"/>
      <c r="K4" s="104"/>
      <c r="L4" s="104"/>
      <c r="M4" s="4"/>
      <c r="N4" s="5"/>
    </row>
    <row r="5" spans="2:14" s="1" customFormat="1" ht="20.100000000000001" customHeight="1" thickBot="1" x14ac:dyDescent="0.25">
      <c r="B5" s="2"/>
      <c r="E5" s="3"/>
      <c r="F5" s="4"/>
      <c r="G5" s="4"/>
      <c r="H5" s="4"/>
      <c r="I5" s="4"/>
      <c r="J5" s="4"/>
      <c r="K5" s="3"/>
      <c r="L5" s="4"/>
      <c r="M5" s="4"/>
      <c r="N5" s="5"/>
    </row>
    <row r="6" spans="2:14" s="1" customFormat="1" ht="11.25" x14ac:dyDescent="0.2">
      <c r="B6" s="2"/>
      <c r="E6" s="3"/>
      <c r="F6" s="89" t="s">
        <v>1028</v>
      </c>
      <c r="G6" s="87"/>
      <c r="H6" s="87"/>
      <c r="I6" s="88"/>
      <c r="J6" s="88"/>
      <c r="K6" s="3"/>
      <c r="L6" s="4"/>
      <c r="M6" s="14" t="s">
        <v>0</v>
      </c>
      <c r="N6" s="5"/>
    </row>
    <row r="7" spans="2:14" s="1" customFormat="1" ht="11.25" x14ac:dyDescent="0.2">
      <c r="B7" s="1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  <c r="K7" s="16" t="s">
        <v>387</v>
      </c>
      <c r="L7" s="16" t="s">
        <v>10</v>
      </c>
      <c r="M7" s="16" t="s">
        <v>11</v>
      </c>
      <c r="N7" s="17" t="s">
        <v>12</v>
      </c>
    </row>
    <row r="8" spans="2:14" x14ac:dyDescent="0.25">
      <c r="B8" s="18">
        <f>3500+1500</f>
        <v>5000</v>
      </c>
      <c r="C8" s="20" t="s">
        <v>308</v>
      </c>
      <c r="D8" s="20" t="s">
        <v>108</v>
      </c>
      <c r="E8" s="46">
        <v>7238183</v>
      </c>
      <c r="F8" s="28">
        <v>1</v>
      </c>
      <c r="G8" s="28"/>
      <c r="H8" s="28"/>
      <c r="I8" s="21"/>
      <c r="J8" s="20" t="s">
        <v>309</v>
      </c>
      <c r="K8" s="21" t="s">
        <v>388</v>
      </c>
      <c r="L8" s="29" t="s">
        <v>582</v>
      </c>
      <c r="M8" s="22"/>
      <c r="N8" s="23"/>
    </row>
    <row r="9" spans="2:14" x14ac:dyDescent="0.25">
      <c r="B9" s="18">
        <f>190+100+250+1200+1500</f>
        <v>3240</v>
      </c>
      <c r="C9" s="20" t="s">
        <v>90</v>
      </c>
      <c r="D9" s="20" t="s">
        <v>116</v>
      </c>
      <c r="E9" s="48">
        <v>11855501</v>
      </c>
      <c r="F9" s="28">
        <v>2</v>
      </c>
      <c r="G9" s="28"/>
      <c r="H9" s="28"/>
      <c r="I9" s="18"/>
      <c r="J9" s="20" t="s">
        <v>270</v>
      </c>
      <c r="K9" s="21" t="s">
        <v>389</v>
      </c>
      <c r="L9" s="29" t="s">
        <v>582</v>
      </c>
      <c r="M9" s="22"/>
      <c r="N9" s="23"/>
    </row>
    <row r="10" spans="2:14" x14ac:dyDescent="0.25">
      <c r="B10" s="18">
        <f>690+500+1200</f>
        <v>2390</v>
      </c>
      <c r="C10" s="20" t="s">
        <v>311</v>
      </c>
      <c r="D10" s="20" t="s">
        <v>112</v>
      </c>
      <c r="E10" s="47">
        <v>10768911</v>
      </c>
      <c r="F10" s="28">
        <f>F9+1</f>
        <v>3</v>
      </c>
      <c r="G10" s="28"/>
      <c r="H10" s="28"/>
      <c r="I10" s="21"/>
      <c r="J10" s="20" t="s">
        <v>259</v>
      </c>
      <c r="K10" s="21" t="s">
        <v>388</v>
      </c>
      <c r="L10" s="29" t="s">
        <v>582</v>
      </c>
      <c r="M10" s="22"/>
      <c r="N10" s="23"/>
    </row>
    <row r="11" spans="2:14" x14ac:dyDescent="0.25">
      <c r="B11" s="18">
        <f>690+400+400</f>
        <v>1490</v>
      </c>
      <c r="C11" s="20" t="s">
        <v>310</v>
      </c>
      <c r="D11" s="20" t="s">
        <v>109</v>
      </c>
      <c r="E11" s="47">
        <v>8318942</v>
      </c>
      <c r="F11" s="28">
        <f>F10+1</f>
        <v>4</v>
      </c>
      <c r="G11" s="28"/>
      <c r="H11" s="28"/>
      <c r="I11" s="21"/>
      <c r="J11" s="20" t="s">
        <v>295</v>
      </c>
      <c r="K11" s="21" t="s">
        <v>771</v>
      </c>
      <c r="L11" s="29" t="s">
        <v>582</v>
      </c>
      <c r="M11" s="22"/>
      <c r="N11" s="23"/>
    </row>
    <row r="12" spans="2:14" x14ac:dyDescent="0.25">
      <c r="B12" s="18">
        <f>375+750</f>
        <v>1125</v>
      </c>
      <c r="C12" s="44" t="s">
        <v>724</v>
      </c>
      <c r="D12" s="20" t="s">
        <v>725</v>
      </c>
      <c r="E12" s="47">
        <v>5830585</v>
      </c>
      <c r="F12" s="28">
        <f>F11+1</f>
        <v>5</v>
      </c>
      <c r="G12" s="28"/>
      <c r="H12" s="28"/>
      <c r="I12" s="21"/>
      <c r="J12" s="20" t="s">
        <v>829</v>
      </c>
      <c r="K12" s="21" t="s">
        <v>388</v>
      </c>
      <c r="L12" s="29" t="s">
        <v>582</v>
      </c>
      <c r="M12" s="22"/>
      <c r="N12" s="23"/>
    </row>
    <row r="13" spans="2:14" x14ac:dyDescent="0.25">
      <c r="B13" s="18">
        <v>1090</v>
      </c>
      <c r="C13" s="38" t="s">
        <v>110</v>
      </c>
      <c r="D13" s="38" t="s">
        <v>111</v>
      </c>
      <c r="E13" s="53">
        <v>10769042</v>
      </c>
      <c r="F13" s="54" t="s">
        <v>403</v>
      </c>
      <c r="G13" s="28"/>
      <c r="H13" s="28"/>
      <c r="I13" s="21"/>
      <c r="J13" s="20" t="s">
        <v>259</v>
      </c>
      <c r="K13" s="21" t="s">
        <v>388</v>
      </c>
      <c r="L13" s="29" t="s">
        <v>582</v>
      </c>
      <c r="M13" s="22"/>
      <c r="N13" s="23"/>
    </row>
    <row r="14" spans="2:14" x14ac:dyDescent="0.25">
      <c r="B14" s="18">
        <v>250</v>
      </c>
      <c r="C14" s="44" t="s">
        <v>726</v>
      </c>
      <c r="D14" s="20" t="s">
        <v>727</v>
      </c>
      <c r="E14" s="47">
        <v>10771584</v>
      </c>
      <c r="F14" s="28">
        <f>F12+1</f>
        <v>6</v>
      </c>
      <c r="G14" s="28"/>
      <c r="H14" s="28"/>
      <c r="I14" s="21"/>
      <c r="J14" s="20" t="s">
        <v>259</v>
      </c>
      <c r="K14" s="21" t="s">
        <v>388</v>
      </c>
      <c r="L14" s="29" t="s">
        <v>582</v>
      </c>
      <c r="M14" s="22"/>
      <c r="N14" s="23"/>
    </row>
    <row r="15" spans="2:14" x14ac:dyDescent="0.25">
      <c r="B15" s="18">
        <f>45+150</f>
        <v>195</v>
      </c>
      <c r="C15" s="20" t="s">
        <v>475</v>
      </c>
      <c r="D15" s="20" t="s">
        <v>474</v>
      </c>
      <c r="E15" s="47">
        <v>10498716</v>
      </c>
      <c r="F15" s="28">
        <f t="shared" ref="F15:F55" si="0">F14+1</f>
        <v>7</v>
      </c>
      <c r="G15" s="28"/>
      <c r="H15" s="28"/>
      <c r="I15" s="21"/>
      <c r="J15" s="20" t="s">
        <v>830</v>
      </c>
      <c r="K15" s="21" t="s">
        <v>388</v>
      </c>
      <c r="L15" s="29" t="s">
        <v>582</v>
      </c>
      <c r="M15" s="22"/>
      <c r="N15" s="23"/>
    </row>
    <row r="16" spans="2:14" x14ac:dyDescent="0.25">
      <c r="B16" s="18">
        <f>90+45</f>
        <v>135</v>
      </c>
      <c r="C16" s="20" t="s">
        <v>312</v>
      </c>
      <c r="D16" s="20" t="s">
        <v>122</v>
      </c>
      <c r="E16" s="47">
        <v>10768078</v>
      </c>
      <c r="F16" s="28">
        <f t="shared" si="0"/>
        <v>8</v>
      </c>
      <c r="G16" s="28"/>
      <c r="H16" s="28"/>
      <c r="I16" s="21"/>
      <c r="J16" s="20" t="s">
        <v>295</v>
      </c>
      <c r="K16" s="21" t="s">
        <v>771</v>
      </c>
      <c r="L16" s="29" t="s">
        <v>582</v>
      </c>
      <c r="M16" s="22"/>
      <c r="N16" s="23"/>
    </row>
    <row r="17" spans="2:14" x14ac:dyDescent="0.25">
      <c r="B17" s="18">
        <v>45</v>
      </c>
      <c r="C17" s="20" t="s">
        <v>831</v>
      </c>
      <c r="D17" s="20" t="s">
        <v>215</v>
      </c>
      <c r="E17" s="47">
        <v>10771328</v>
      </c>
      <c r="F17" s="28">
        <f t="shared" si="0"/>
        <v>9</v>
      </c>
      <c r="G17" s="28"/>
      <c r="H17" s="28"/>
      <c r="I17" s="21"/>
      <c r="J17" s="20" t="s">
        <v>259</v>
      </c>
      <c r="K17" s="21" t="s">
        <v>388</v>
      </c>
      <c r="L17" s="29" t="s">
        <v>582</v>
      </c>
      <c r="M17" s="22"/>
      <c r="N17" s="23"/>
    </row>
    <row r="18" spans="2:14" x14ac:dyDescent="0.25">
      <c r="B18" s="18">
        <v>45</v>
      </c>
      <c r="C18" s="20" t="s">
        <v>832</v>
      </c>
      <c r="D18" s="20" t="s">
        <v>472</v>
      </c>
      <c r="E18" s="47">
        <v>9484320</v>
      </c>
      <c r="F18" s="28">
        <f t="shared" si="0"/>
        <v>10</v>
      </c>
      <c r="G18" s="28"/>
      <c r="H18" s="28"/>
      <c r="I18" s="21"/>
      <c r="J18" s="20" t="s">
        <v>269</v>
      </c>
      <c r="K18" s="21" t="s">
        <v>390</v>
      </c>
      <c r="L18" s="29" t="s">
        <v>582</v>
      </c>
      <c r="M18" s="22"/>
      <c r="N18" s="23"/>
    </row>
    <row r="19" spans="2:14" x14ac:dyDescent="0.25">
      <c r="B19" s="18">
        <v>45</v>
      </c>
      <c r="C19" s="20" t="s">
        <v>736</v>
      </c>
      <c r="D19" s="20" t="s">
        <v>833</v>
      </c>
      <c r="E19" s="47">
        <v>13271193</v>
      </c>
      <c r="F19" s="28">
        <f t="shared" si="0"/>
        <v>11</v>
      </c>
      <c r="G19" s="28"/>
      <c r="H19" s="28"/>
      <c r="I19" s="21"/>
      <c r="J19" s="20" t="s">
        <v>259</v>
      </c>
      <c r="K19" s="21" t="s">
        <v>388</v>
      </c>
      <c r="L19" s="29" t="s">
        <v>582</v>
      </c>
      <c r="M19" s="22"/>
      <c r="N19" s="23"/>
    </row>
    <row r="20" spans="2:14" x14ac:dyDescent="0.25">
      <c r="B20" s="18">
        <v>45</v>
      </c>
      <c r="C20" s="20" t="s">
        <v>834</v>
      </c>
      <c r="D20" s="20" t="s">
        <v>476</v>
      </c>
      <c r="E20" s="47">
        <v>10611649</v>
      </c>
      <c r="F20" s="28">
        <f t="shared" si="0"/>
        <v>12</v>
      </c>
      <c r="G20" s="28"/>
      <c r="H20" s="28"/>
      <c r="I20" s="21"/>
      <c r="J20" s="20" t="s">
        <v>750</v>
      </c>
      <c r="K20" s="21" t="s">
        <v>388</v>
      </c>
      <c r="L20" s="29" t="s">
        <v>582</v>
      </c>
      <c r="M20" s="22"/>
      <c r="N20" s="23"/>
    </row>
    <row r="21" spans="2:14" ht="15.75" thickBot="1" x14ac:dyDescent="0.3">
      <c r="B21" s="73"/>
      <c r="C21" s="74"/>
      <c r="D21" s="74"/>
      <c r="E21" s="67"/>
      <c r="F21" s="76"/>
      <c r="G21" s="76"/>
      <c r="H21" s="76"/>
      <c r="I21" s="78"/>
      <c r="J21" s="74"/>
      <c r="K21" s="78"/>
      <c r="L21" s="90"/>
      <c r="M21" s="77"/>
      <c r="N21" s="79"/>
    </row>
    <row r="22" spans="2:14" x14ac:dyDescent="0.25">
      <c r="B22" s="2"/>
      <c r="C22" s="1"/>
      <c r="D22" s="1"/>
      <c r="E22" s="3"/>
      <c r="F22" s="89" t="s">
        <v>1029</v>
      </c>
      <c r="G22" s="87"/>
      <c r="H22" s="87"/>
      <c r="I22" s="88"/>
      <c r="J22" s="88"/>
      <c r="K22" s="3"/>
      <c r="L22" s="4"/>
      <c r="M22" s="14" t="s">
        <v>0</v>
      </c>
      <c r="N22" s="5"/>
    </row>
    <row r="23" spans="2:14" x14ac:dyDescent="0.25">
      <c r="B23" s="15" t="s">
        <v>1</v>
      </c>
      <c r="C23" s="16" t="s">
        <v>2</v>
      </c>
      <c r="D23" s="16" t="s">
        <v>3</v>
      </c>
      <c r="E23" s="16" t="s">
        <v>4</v>
      </c>
      <c r="F23" s="16" t="s">
        <v>5</v>
      </c>
      <c r="G23" s="16" t="s">
        <v>6</v>
      </c>
      <c r="H23" s="16" t="s">
        <v>7</v>
      </c>
      <c r="I23" s="16" t="s">
        <v>8</v>
      </c>
      <c r="J23" s="16" t="s">
        <v>9</v>
      </c>
      <c r="K23" s="16" t="s">
        <v>387</v>
      </c>
      <c r="L23" s="16" t="s">
        <v>10</v>
      </c>
      <c r="M23" s="16" t="s">
        <v>11</v>
      </c>
      <c r="N23" s="17" t="s">
        <v>12</v>
      </c>
    </row>
    <row r="24" spans="2:14" x14ac:dyDescent="0.25">
      <c r="B24" s="18">
        <f>1000+50+188</f>
        <v>1238</v>
      </c>
      <c r="C24" s="20" t="s">
        <v>133</v>
      </c>
      <c r="D24" s="20" t="s">
        <v>160</v>
      </c>
      <c r="E24" s="47">
        <v>11855163</v>
      </c>
      <c r="F24" s="28">
        <f>F20+1</f>
        <v>13</v>
      </c>
      <c r="G24" s="28"/>
      <c r="H24" s="28"/>
      <c r="I24" s="18"/>
      <c r="J24" s="20" t="s">
        <v>278</v>
      </c>
      <c r="K24" s="21" t="s">
        <v>389</v>
      </c>
      <c r="L24" s="29" t="s">
        <v>583</v>
      </c>
      <c r="M24" s="22"/>
      <c r="N24" s="23"/>
    </row>
    <row r="25" spans="2:14" x14ac:dyDescent="0.25">
      <c r="B25" s="18">
        <v>600</v>
      </c>
      <c r="C25" s="20" t="s">
        <v>313</v>
      </c>
      <c r="D25" s="20" t="s">
        <v>141</v>
      </c>
      <c r="E25" s="47">
        <v>10768804</v>
      </c>
      <c r="F25" s="28">
        <f t="shared" si="0"/>
        <v>14</v>
      </c>
      <c r="G25" s="28"/>
      <c r="H25" s="28"/>
      <c r="I25" s="21"/>
      <c r="J25" s="20" t="s">
        <v>761</v>
      </c>
      <c r="K25" s="21" t="s">
        <v>388</v>
      </c>
      <c r="L25" s="29" t="s">
        <v>583</v>
      </c>
      <c r="M25" s="22"/>
      <c r="N25" s="23"/>
    </row>
    <row r="26" spans="2:14" x14ac:dyDescent="0.25">
      <c r="B26" s="18">
        <v>90</v>
      </c>
      <c r="C26" s="20" t="s">
        <v>168</v>
      </c>
      <c r="D26" s="20" t="s">
        <v>149</v>
      </c>
      <c r="E26" s="47">
        <v>10767418</v>
      </c>
      <c r="F26" s="28">
        <f t="shared" si="0"/>
        <v>15</v>
      </c>
      <c r="G26" s="28"/>
      <c r="H26" s="28"/>
      <c r="I26" s="21"/>
      <c r="J26" s="20" t="s">
        <v>259</v>
      </c>
      <c r="K26" s="21" t="s">
        <v>388</v>
      </c>
      <c r="L26" s="29" t="s">
        <v>583</v>
      </c>
      <c r="M26" s="22"/>
      <c r="N26" s="23"/>
    </row>
    <row r="27" spans="2:14" x14ac:dyDescent="0.25">
      <c r="B27" s="18">
        <v>90</v>
      </c>
      <c r="C27" s="20" t="s">
        <v>314</v>
      </c>
      <c r="D27" s="20" t="s">
        <v>169</v>
      </c>
      <c r="E27" s="47">
        <v>10058320</v>
      </c>
      <c r="F27" s="28">
        <f t="shared" si="0"/>
        <v>16</v>
      </c>
      <c r="G27" s="28"/>
      <c r="H27" s="28"/>
      <c r="I27" s="21"/>
      <c r="J27" s="20" t="s">
        <v>259</v>
      </c>
      <c r="K27" s="21" t="s">
        <v>388</v>
      </c>
      <c r="L27" s="29" t="s">
        <v>583</v>
      </c>
      <c r="M27" s="22"/>
      <c r="N27" s="23"/>
    </row>
    <row r="28" spans="2:14" x14ac:dyDescent="0.25">
      <c r="B28" s="18">
        <v>90</v>
      </c>
      <c r="C28" s="20" t="s">
        <v>315</v>
      </c>
      <c r="D28" s="20" t="s">
        <v>114</v>
      </c>
      <c r="E28" s="47">
        <v>10767161</v>
      </c>
      <c r="F28" s="28">
        <f t="shared" si="0"/>
        <v>17</v>
      </c>
      <c r="G28" s="28"/>
      <c r="H28" s="28"/>
      <c r="I28" s="21"/>
      <c r="J28" s="20" t="s">
        <v>259</v>
      </c>
      <c r="K28" s="21" t="s">
        <v>388</v>
      </c>
      <c r="L28" s="29" t="s">
        <v>583</v>
      </c>
      <c r="M28" s="22"/>
      <c r="N28" s="23"/>
    </row>
    <row r="29" spans="2:14" ht="15.75" thickBot="1" x14ac:dyDescent="0.3">
      <c r="B29" s="73"/>
      <c r="C29" s="74"/>
      <c r="D29" s="74"/>
      <c r="E29" s="67"/>
      <c r="F29" s="76"/>
      <c r="G29" s="76"/>
      <c r="H29" s="76"/>
      <c r="I29" s="78"/>
      <c r="J29" s="74"/>
      <c r="K29" s="78"/>
      <c r="L29" s="90"/>
      <c r="M29" s="77"/>
      <c r="N29" s="79"/>
    </row>
    <row r="30" spans="2:14" x14ac:dyDescent="0.25">
      <c r="B30" s="2"/>
      <c r="C30" s="1"/>
      <c r="D30" s="1"/>
      <c r="E30" s="3"/>
      <c r="F30" s="89" t="s">
        <v>1030</v>
      </c>
      <c r="G30" s="87"/>
      <c r="H30" s="87"/>
      <c r="I30" s="88"/>
      <c r="J30" s="88"/>
      <c r="K30" s="3"/>
      <c r="L30" s="4"/>
      <c r="M30" s="14" t="s">
        <v>0</v>
      </c>
      <c r="N30" s="5"/>
    </row>
    <row r="31" spans="2:14" x14ac:dyDescent="0.25">
      <c r="B31" s="15" t="s">
        <v>1</v>
      </c>
      <c r="C31" s="16" t="s">
        <v>2</v>
      </c>
      <c r="D31" s="16" t="s">
        <v>3</v>
      </c>
      <c r="E31" s="16" t="s">
        <v>4</v>
      </c>
      <c r="F31" s="16" t="s">
        <v>5</v>
      </c>
      <c r="G31" s="16" t="s">
        <v>6</v>
      </c>
      <c r="H31" s="16" t="s">
        <v>7</v>
      </c>
      <c r="I31" s="16" t="s">
        <v>8</v>
      </c>
      <c r="J31" s="16" t="s">
        <v>9</v>
      </c>
      <c r="K31" s="16" t="s">
        <v>387</v>
      </c>
      <c r="L31" s="16" t="s">
        <v>10</v>
      </c>
      <c r="M31" s="16" t="s">
        <v>11</v>
      </c>
      <c r="N31" s="17" t="s">
        <v>12</v>
      </c>
    </row>
    <row r="32" spans="2:14" x14ac:dyDescent="0.25">
      <c r="B32" s="18">
        <v>1500</v>
      </c>
      <c r="C32" s="20" t="s">
        <v>835</v>
      </c>
      <c r="D32" s="20" t="s">
        <v>515</v>
      </c>
      <c r="E32" s="48">
        <v>16954473</v>
      </c>
      <c r="F32" s="28">
        <f>F28+1</f>
        <v>18</v>
      </c>
      <c r="G32" s="28"/>
      <c r="H32" s="28"/>
      <c r="I32" s="18"/>
      <c r="J32" s="20" t="s">
        <v>269</v>
      </c>
      <c r="K32" s="21" t="s">
        <v>390</v>
      </c>
      <c r="L32" s="29" t="s">
        <v>584</v>
      </c>
      <c r="M32" s="22"/>
      <c r="N32" s="23"/>
    </row>
    <row r="33" spans="2:14" x14ac:dyDescent="0.25">
      <c r="B33" s="18">
        <v>1200</v>
      </c>
      <c r="C33" s="20" t="s">
        <v>836</v>
      </c>
      <c r="D33" s="20" t="s">
        <v>516</v>
      </c>
      <c r="E33" s="48">
        <v>4246907</v>
      </c>
      <c r="F33" s="28">
        <f t="shared" si="0"/>
        <v>19</v>
      </c>
      <c r="G33" s="28"/>
      <c r="H33" s="28"/>
      <c r="I33" s="18"/>
      <c r="J33" s="20" t="s">
        <v>753</v>
      </c>
      <c r="K33" s="21" t="s">
        <v>754</v>
      </c>
      <c r="L33" s="29" t="s">
        <v>584</v>
      </c>
      <c r="M33" s="22"/>
      <c r="N33" s="23"/>
    </row>
    <row r="34" spans="2:14" x14ac:dyDescent="0.25">
      <c r="B34" s="18">
        <v>750</v>
      </c>
      <c r="C34" s="20" t="s">
        <v>837</v>
      </c>
      <c r="D34" s="20" t="s">
        <v>515</v>
      </c>
      <c r="E34" s="48">
        <v>10768804</v>
      </c>
      <c r="F34" s="28">
        <f t="shared" si="0"/>
        <v>20</v>
      </c>
      <c r="G34" s="28"/>
      <c r="H34" s="28"/>
      <c r="I34" s="18"/>
      <c r="J34" s="20" t="s">
        <v>761</v>
      </c>
      <c r="K34" s="21" t="s">
        <v>388</v>
      </c>
      <c r="L34" s="29" t="s">
        <v>584</v>
      </c>
      <c r="M34" s="22"/>
      <c r="N34" s="23"/>
    </row>
    <row r="35" spans="2:14" x14ac:dyDescent="0.25">
      <c r="B35" s="18">
        <v>400</v>
      </c>
      <c r="C35" s="20" t="s">
        <v>517</v>
      </c>
      <c r="D35" s="20" t="s">
        <v>518</v>
      </c>
      <c r="E35" s="48">
        <v>10640755</v>
      </c>
      <c r="F35" s="28">
        <f t="shared" si="0"/>
        <v>21</v>
      </c>
      <c r="G35" s="28"/>
      <c r="H35" s="28"/>
      <c r="I35" s="18"/>
      <c r="J35" s="20" t="s">
        <v>838</v>
      </c>
      <c r="K35" s="21" t="s">
        <v>388</v>
      </c>
      <c r="L35" s="29" t="s">
        <v>584</v>
      </c>
      <c r="M35" s="22"/>
      <c r="N35" s="23"/>
    </row>
    <row r="36" spans="2:14" x14ac:dyDescent="0.25">
      <c r="B36" s="18">
        <f>75+125</f>
        <v>200</v>
      </c>
      <c r="C36" s="19" t="s">
        <v>130</v>
      </c>
      <c r="D36" s="20" t="s">
        <v>157</v>
      </c>
      <c r="E36" s="48">
        <v>11087344</v>
      </c>
      <c r="F36" s="28">
        <f t="shared" si="0"/>
        <v>22</v>
      </c>
      <c r="G36" s="28"/>
      <c r="H36" s="28"/>
      <c r="I36" s="18"/>
      <c r="J36" s="20" t="s">
        <v>319</v>
      </c>
      <c r="K36" s="18" t="s">
        <v>389</v>
      </c>
      <c r="L36" s="29" t="s">
        <v>584</v>
      </c>
      <c r="M36" s="22"/>
      <c r="N36" s="23"/>
    </row>
    <row r="37" spans="2:14" x14ac:dyDescent="0.25">
      <c r="B37" s="18">
        <v>180</v>
      </c>
      <c r="C37" s="20" t="s">
        <v>519</v>
      </c>
      <c r="D37" s="20" t="s">
        <v>113</v>
      </c>
      <c r="E37" s="48">
        <v>10772631</v>
      </c>
      <c r="F37" s="28">
        <f t="shared" si="0"/>
        <v>23</v>
      </c>
      <c r="G37" s="28"/>
      <c r="H37" s="28"/>
      <c r="I37" s="18"/>
      <c r="J37" s="20" t="s">
        <v>761</v>
      </c>
      <c r="K37" s="21" t="s">
        <v>388</v>
      </c>
      <c r="L37" s="29" t="s">
        <v>584</v>
      </c>
      <c r="M37" s="22"/>
      <c r="N37" s="23"/>
    </row>
    <row r="38" spans="2:14" x14ac:dyDescent="0.25">
      <c r="B38" s="18">
        <v>180</v>
      </c>
      <c r="C38" s="20" t="s">
        <v>520</v>
      </c>
      <c r="D38" s="20" t="s">
        <v>521</v>
      </c>
      <c r="E38" s="48">
        <v>10770726</v>
      </c>
      <c r="F38" s="28">
        <f t="shared" si="0"/>
        <v>24</v>
      </c>
      <c r="G38" s="28"/>
      <c r="H38" s="28"/>
      <c r="I38" s="18"/>
      <c r="J38" s="20" t="s">
        <v>259</v>
      </c>
      <c r="K38" s="21" t="s">
        <v>388</v>
      </c>
      <c r="L38" s="29" t="s">
        <v>584</v>
      </c>
      <c r="M38" s="22"/>
      <c r="N38" s="23"/>
    </row>
    <row r="39" spans="2:14" x14ac:dyDescent="0.25">
      <c r="B39" s="18">
        <f>25+75</f>
        <v>100</v>
      </c>
      <c r="C39" s="20" t="s">
        <v>316</v>
      </c>
      <c r="D39" s="20" t="s">
        <v>118</v>
      </c>
      <c r="E39" s="48">
        <v>11855626</v>
      </c>
      <c r="F39" s="28">
        <f t="shared" si="0"/>
        <v>25</v>
      </c>
      <c r="G39" s="28"/>
      <c r="H39" s="28"/>
      <c r="I39" s="18"/>
      <c r="J39" s="20" t="s">
        <v>270</v>
      </c>
      <c r="K39" s="21" t="s">
        <v>389</v>
      </c>
      <c r="L39" s="29" t="s">
        <v>584</v>
      </c>
      <c r="M39" s="22"/>
      <c r="N39" s="23"/>
    </row>
    <row r="40" spans="2:14" x14ac:dyDescent="0.25">
      <c r="B40" s="18">
        <v>2</v>
      </c>
      <c r="C40" s="20" t="s">
        <v>156</v>
      </c>
      <c r="D40" s="20" t="s">
        <v>119</v>
      </c>
      <c r="E40" s="48">
        <v>11856046</v>
      </c>
      <c r="F40" s="28">
        <f t="shared" si="0"/>
        <v>26</v>
      </c>
      <c r="G40" s="28"/>
      <c r="H40" s="28"/>
      <c r="I40" s="18"/>
      <c r="J40" s="20" t="s">
        <v>278</v>
      </c>
      <c r="K40" s="21" t="s">
        <v>389</v>
      </c>
      <c r="L40" s="29" t="s">
        <v>584</v>
      </c>
      <c r="M40" s="22"/>
      <c r="N40" s="23"/>
    </row>
    <row r="41" spans="2:14" x14ac:dyDescent="0.25">
      <c r="B41" s="18">
        <v>2</v>
      </c>
      <c r="C41" s="20" t="s">
        <v>23</v>
      </c>
      <c r="D41" s="20" t="s">
        <v>120</v>
      </c>
      <c r="E41" s="48">
        <v>11855288</v>
      </c>
      <c r="F41" s="28">
        <f t="shared" si="0"/>
        <v>27</v>
      </c>
      <c r="G41" s="28"/>
      <c r="H41" s="28"/>
      <c r="I41" s="18"/>
      <c r="J41" s="20" t="s">
        <v>270</v>
      </c>
      <c r="K41" s="21" t="s">
        <v>389</v>
      </c>
      <c r="L41" s="29" t="s">
        <v>584</v>
      </c>
      <c r="M41" s="22"/>
      <c r="N41" s="23"/>
    </row>
    <row r="42" spans="2:14" x14ac:dyDescent="0.25">
      <c r="B42" s="18">
        <v>45</v>
      </c>
      <c r="C42" s="20" t="s">
        <v>522</v>
      </c>
      <c r="D42" s="20" t="s">
        <v>523</v>
      </c>
      <c r="E42" s="48">
        <v>10770312</v>
      </c>
      <c r="F42" s="28">
        <f t="shared" si="0"/>
        <v>28</v>
      </c>
      <c r="G42" s="28"/>
      <c r="H42" s="28"/>
      <c r="I42" s="18"/>
      <c r="J42" s="20" t="s">
        <v>259</v>
      </c>
      <c r="K42" s="21" t="s">
        <v>388</v>
      </c>
      <c r="L42" s="29" t="s">
        <v>584</v>
      </c>
      <c r="M42" s="22"/>
      <c r="N42" s="23"/>
    </row>
    <row r="43" spans="2:14" x14ac:dyDescent="0.25">
      <c r="B43" s="18">
        <v>45</v>
      </c>
      <c r="C43" s="20" t="s">
        <v>524</v>
      </c>
      <c r="D43" s="20" t="s">
        <v>839</v>
      </c>
      <c r="E43" s="48">
        <v>10770700</v>
      </c>
      <c r="F43" s="28">
        <f t="shared" si="0"/>
        <v>29</v>
      </c>
      <c r="G43" s="28"/>
      <c r="H43" s="28"/>
      <c r="I43" s="18"/>
      <c r="J43" s="20" t="s">
        <v>259</v>
      </c>
      <c r="K43" s="21" t="s">
        <v>388</v>
      </c>
      <c r="L43" s="29" t="s">
        <v>584</v>
      </c>
      <c r="M43" s="22"/>
      <c r="N43" s="23"/>
    </row>
    <row r="44" spans="2:14" x14ac:dyDescent="0.25">
      <c r="B44" s="18">
        <v>45</v>
      </c>
      <c r="C44" s="20" t="s">
        <v>840</v>
      </c>
      <c r="D44" s="20" t="s">
        <v>841</v>
      </c>
      <c r="E44" s="48">
        <v>10764290</v>
      </c>
      <c r="F44" s="28">
        <f t="shared" si="0"/>
        <v>30</v>
      </c>
      <c r="G44" s="28"/>
      <c r="H44" s="28"/>
      <c r="I44" s="18"/>
      <c r="J44" s="20" t="s">
        <v>842</v>
      </c>
      <c r="K44" s="21" t="s">
        <v>820</v>
      </c>
      <c r="L44" s="29" t="s">
        <v>584</v>
      </c>
      <c r="M44" s="22"/>
      <c r="N44" s="23"/>
    </row>
    <row r="45" spans="2:14" x14ac:dyDescent="0.25">
      <c r="B45" s="18">
        <v>45</v>
      </c>
      <c r="C45" s="20" t="s">
        <v>525</v>
      </c>
      <c r="D45" s="20" t="s">
        <v>118</v>
      </c>
      <c r="E45" s="48">
        <v>10771500</v>
      </c>
      <c r="F45" s="28">
        <f t="shared" si="0"/>
        <v>31</v>
      </c>
      <c r="G45" s="28"/>
      <c r="H45" s="28"/>
      <c r="I45" s="18"/>
      <c r="J45" s="20" t="s">
        <v>259</v>
      </c>
      <c r="K45" s="21" t="s">
        <v>388</v>
      </c>
      <c r="L45" s="29" t="s">
        <v>584</v>
      </c>
      <c r="M45" s="22"/>
      <c r="N45" s="23"/>
    </row>
    <row r="46" spans="2:14" x14ac:dyDescent="0.25">
      <c r="B46" s="18">
        <v>45</v>
      </c>
      <c r="C46" s="20" t="s">
        <v>843</v>
      </c>
      <c r="D46" s="20" t="s">
        <v>844</v>
      </c>
      <c r="E46" s="48">
        <v>10675421</v>
      </c>
      <c r="F46" s="28">
        <f t="shared" si="0"/>
        <v>32</v>
      </c>
      <c r="G46" s="28"/>
      <c r="H46" s="28"/>
      <c r="I46" s="18"/>
      <c r="J46" s="20" t="s">
        <v>259</v>
      </c>
      <c r="K46" s="21" t="s">
        <v>388</v>
      </c>
      <c r="L46" s="29" t="s">
        <v>584</v>
      </c>
      <c r="M46" s="22"/>
      <c r="N46" s="23"/>
    </row>
    <row r="47" spans="2:14" x14ac:dyDescent="0.25">
      <c r="B47" s="18">
        <v>45</v>
      </c>
      <c r="C47" s="20" t="s">
        <v>845</v>
      </c>
      <c r="D47" s="20" t="s">
        <v>109</v>
      </c>
      <c r="E47" s="48">
        <v>10774794</v>
      </c>
      <c r="F47" s="28">
        <f t="shared" si="0"/>
        <v>33</v>
      </c>
      <c r="G47" s="28"/>
      <c r="H47" s="28"/>
      <c r="I47" s="18"/>
      <c r="J47" s="20" t="s">
        <v>259</v>
      </c>
      <c r="K47" s="21" t="s">
        <v>388</v>
      </c>
      <c r="L47" s="29" t="s">
        <v>584</v>
      </c>
      <c r="M47" s="22"/>
      <c r="N47" s="23"/>
    </row>
    <row r="48" spans="2:14" x14ac:dyDescent="0.25">
      <c r="B48" s="18">
        <v>45</v>
      </c>
      <c r="C48" s="20" t="s">
        <v>526</v>
      </c>
      <c r="D48" s="20" t="s">
        <v>527</v>
      </c>
      <c r="E48" s="48">
        <v>10772095</v>
      </c>
      <c r="F48" s="28">
        <f t="shared" si="0"/>
        <v>34</v>
      </c>
      <c r="G48" s="28"/>
      <c r="H48" s="28"/>
      <c r="I48" s="18"/>
      <c r="J48" s="20" t="s">
        <v>259</v>
      </c>
      <c r="K48" s="21" t="s">
        <v>388</v>
      </c>
      <c r="L48" s="29" t="s">
        <v>584</v>
      </c>
      <c r="M48" s="22"/>
      <c r="N48" s="23"/>
    </row>
    <row r="49" spans="2:14" ht="15.75" thickBot="1" x14ac:dyDescent="0.3">
      <c r="B49" s="73"/>
      <c r="C49" s="74"/>
      <c r="D49" s="74"/>
      <c r="E49" s="65"/>
      <c r="F49" s="76"/>
      <c r="G49" s="76"/>
      <c r="H49" s="76"/>
      <c r="I49" s="73"/>
      <c r="J49" s="74"/>
      <c r="K49" s="78"/>
      <c r="L49" s="90"/>
      <c r="M49" s="77"/>
      <c r="N49" s="79"/>
    </row>
    <row r="50" spans="2:14" x14ac:dyDescent="0.25">
      <c r="B50" s="2"/>
      <c r="C50" s="1"/>
      <c r="D50" s="1"/>
      <c r="E50" s="3"/>
      <c r="F50" s="89" t="s">
        <v>1031</v>
      </c>
      <c r="G50" s="87"/>
      <c r="H50" s="87"/>
      <c r="I50" s="88"/>
      <c r="J50" s="88"/>
      <c r="K50" s="3"/>
      <c r="L50" s="4"/>
      <c r="M50" s="14" t="s">
        <v>0</v>
      </c>
      <c r="N50" s="5"/>
    </row>
    <row r="51" spans="2:14" x14ac:dyDescent="0.25">
      <c r="B51" s="15" t="s">
        <v>1</v>
      </c>
      <c r="C51" s="16" t="s">
        <v>2</v>
      </c>
      <c r="D51" s="16" t="s">
        <v>3</v>
      </c>
      <c r="E51" s="16" t="s">
        <v>4</v>
      </c>
      <c r="F51" s="16" t="s">
        <v>5</v>
      </c>
      <c r="G51" s="16" t="s">
        <v>6</v>
      </c>
      <c r="H51" s="16" t="s">
        <v>7</v>
      </c>
      <c r="I51" s="16" t="s">
        <v>8</v>
      </c>
      <c r="J51" s="16" t="s">
        <v>9</v>
      </c>
      <c r="K51" s="16" t="s">
        <v>387</v>
      </c>
      <c r="L51" s="16" t="s">
        <v>10</v>
      </c>
      <c r="M51" s="16" t="s">
        <v>11</v>
      </c>
      <c r="N51" s="17" t="s">
        <v>12</v>
      </c>
    </row>
    <row r="52" spans="2:14" x14ac:dyDescent="0.25">
      <c r="B52" s="18">
        <v>1500</v>
      </c>
      <c r="C52" s="20" t="s">
        <v>346</v>
      </c>
      <c r="D52" s="20" t="s">
        <v>114</v>
      </c>
      <c r="E52" s="47">
        <v>10326462</v>
      </c>
      <c r="F52" s="28">
        <f>F48+1</f>
        <v>35</v>
      </c>
      <c r="G52" s="28"/>
      <c r="H52" s="28"/>
      <c r="I52" s="21"/>
      <c r="J52" s="20" t="s">
        <v>347</v>
      </c>
      <c r="K52" s="21" t="s">
        <v>388</v>
      </c>
      <c r="L52" s="29" t="s">
        <v>512</v>
      </c>
      <c r="M52" s="22"/>
      <c r="N52" s="23"/>
    </row>
    <row r="53" spans="2:14" x14ac:dyDescent="0.25">
      <c r="B53" s="18">
        <v>1200</v>
      </c>
      <c r="C53" s="20" t="s">
        <v>846</v>
      </c>
      <c r="D53" s="20" t="s">
        <v>490</v>
      </c>
      <c r="E53" s="47">
        <v>10770495</v>
      </c>
      <c r="F53" s="28">
        <f t="shared" si="0"/>
        <v>36</v>
      </c>
      <c r="G53" s="28"/>
      <c r="H53" s="28"/>
      <c r="I53" s="21"/>
      <c r="J53" s="20" t="s">
        <v>259</v>
      </c>
      <c r="K53" s="21" t="s">
        <v>388</v>
      </c>
      <c r="L53" s="29" t="s">
        <v>512</v>
      </c>
      <c r="M53" s="22"/>
      <c r="N53" s="23"/>
    </row>
    <row r="54" spans="2:14" x14ac:dyDescent="0.25">
      <c r="B54" s="18">
        <v>400</v>
      </c>
      <c r="C54" s="20" t="s">
        <v>847</v>
      </c>
      <c r="D54" s="20" t="s">
        <v>848</v>
      </c>
      <c r="E54" s="48">
        <v>10772706</v>
      </c>
      <c r="F54" s="28">
        <f t="shared" si="0"/>
        <v>37</v>
      </c>
      <c r="G54" s="28"/>
      <c r="H54" s="28"/>
      <c r="I54" s="18"/>
      <c r="J54" s="20" t="s">
        <v>259</v>
      </c>
      <c r="K54" s="21" t="s">
        <v>388</v>
      </c>
      <c r="L54" s="29" t="s">
        <v>512</v>
      </c>
      <c r="M54" s="22"/>
      <c r="N54" s="23"/>
    </row>
    <row r="55" spans="2:14" x14ac:dyDescent="0.25">
      <c r="B55" s="18">
        <v>45</v>
      </c>
      <c r="C55" s="20" t="s">
        <v>165</v>
      </c>
      <c r="D55" s="20" t="s">
        <v>491</v>
      </c>
      <c r="E55" s="47">
        <v>11141893</v>
      </c>
      <c r="F55" s="28">
        <f t="shared" si="0"/>
        <v>38</v>
      </c>
      <c r="G55" s="28"/>
      <c r="H55" s="28"/>
      <c r="I55" s="18"/>
      <c r="J55" s="20" t="s">
        <v>270</v>
      </c>
      <c r="K55" s="21" t="s">
        <v>389</v>
      </c>
      <c r="L55" s="29" t="s">
        <v>512</v>
      </c>
      <c r="M55" s="22"/>
      <c r="N55" s="23"/>
    </row>
    <row r="58" spans="2:14" x14ac:dyDescent="0.25">
      <c r="D58" s="33" t="s">
        <v>307</v>
      </c>
      <c r="K58" s="13"/>
    </row>
  </sheetData>
  <sortState ref="B8:M16">
    <sortCondition descending="1" ref="B8:B16"/>
  </sortState>
  <mergeCells count="1">
    <mergeCell ref="C4:L4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200" verticalDpi="1200" r:id="rId1"/>
  <headerFooter>
    <oddFooter>&amp;A&amp;RPágina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238"/>
  <sheetViews>
    <sheetView zoomScaleNormal="100" workbookViewId="0">
      <selection activeCell="C171" sqref="C171"/>
    </sheetView>
  </sheetViews>
  <sheetFormatPr baseColWidth="10" defaultRowHeight="15" x14ac:dyDescent="0.25"/>
  <cols>
    <col min="1" max="1" width="3.42578125" customWidth="1"/>
    <col min="2" max="2" width="7" bestFit="1" customWidth="1"/>
    <col min="3" max="3" width="25" customWidth="1"/>
    <col min="4" max="4" width="19.42578125" bestFit="1" customWidth="1"/>
    <col min="5" max="5" width="10.140625" style="25" bestFit="1" customWidth="1"/>
    <col min="6" max="6" width="4.7109375" bestFit="1" customWidth="1"/>
    <col min="7" max="7" width="4.42578125" bestFit="1" customWidth="1"/>
    <col min="8" max="8" width="5.42578125" bestFit="1" customWidth="1"/>
    <col min="9" max="9" width="5" bestFit="1" customWidth="1"/>
    <col min="10" max="10" width="49.140625" customWidth="1"/>
    <col min="11" max="11" width="18" style="25" customWidth="1"/>
    <col min="12" max="12" width="22.7109375" style="25" bestFit="1" customWidth="1"/>
    <col min="13" max="13" width="3.42578125" bestFit="1" customWidth="1"/>
    <col min="14" max="14" width="5.85546875" bestFit="1" customWidth="1"/>
  </cols>
  <sheetData>
    <row r="1" spans="2:14" s="1" customFormat="1" ht="11.25" x14ac:dyDescent="0.2">
      <c r="B1" s="2"/>
      <c r="E1" s="3"/>
      <c r="F1" s="3"/>
      <c r="G1" s="4"/>
      <c r="H1" s="4"/>
      <c r="I1" s="4"/>
      <c r="K1" s="3"/>
      <c r="L1" s="3"/>
      <c r="M1" s="4"/>
      <c r="N1" s="5"/>
    </row>
    <row r="2" spans="2:14" s="1" customFormat="1" ht="11.25" x14ac:dyDescent="0.2">
      <c r="B2" s="2"/>
      <c r="E2" s="3"/>
      <c r="F2" s="3"/>
      <c r="G2" s="4"/>
      <c r="H2" s="4"/>
      <c r="I2" s="4"/>
      <c r="K2" s="3"/>
      <c r="L2" s="3"/>
      <c r="M2" s="4"/>
      <c r="N2" s="6"/>
    </row>
    <row r="3" spans="2:14" s="1" customFormat="1" ht="11.25" x14ac:dyDescent="0.2">
      <c r="B3" s="2"/>
      <c r="E3" s="3"/>
      <c r="F3" s="3"/>
      <c r="G3" s="4"/>
      <c r="H3" s="4"/>
      <c r="I3" s="4"/>
      <c r="K3" s="3"/>
      <c r="L3" s="3"/>
      <c r="M3" s="4"/>
      <c r="N3" s="5"/>
    </row>
    <row r="4" spans="2:14" s="1" customFormat="1" ht="12.75" x14ac:dyDescent="0.2">
      <c r="B4" s="2"/>
      <c r="C4" s="104" t="s">
        <v>1060</v>
      </c>
      <c r="D4" s="104"/>
      <c r="E4" s="104"/>
      <c r="F4" s="104"/>
      <c r="G4" s="104"/>
      <c r="H4" s="104"/>
      <c r="I4" s="104"/>
      <c r="J4" s="104"/>
      <c r="K4" s="104"/>
      <c r="L4" s="104"/>
      <c r="M4" s="4"/>
      <c r="N4" s="5"/>
    </row>
    <row r="5" spans="2:14" s="1" customFormat="1" ht="20.100000000000001" customHeight="1" thickBot="1" x14ac:dyDescent="0.25">
      <c r="B5" s="2"/>
      <c r="E5" s="3"/>
      <c r="F5" s="3"/>
      <c r="G5" s="4"/>
      <c r="H5" s="4"/>
      <c r="I5" s="4"/>
      <c r="J5" s="4"/>
      <c r="K5" s="3"/>
      <c r="L5" s="3"/>
      <c r="M5" s="4"/>
      <c r="N5" s="5"/>
    </row>
    <row r="6" spans="2:14" s="1" customFormat="1" ht="15.75" customHeight="1" thickBot="1" x14ac:dyDescent="0.25">
      <c r="B6" s="2"/>
      <c r="E6" s="3"/>
      <c r="F6" s="89" t="s">
        <v>1032</v>
      </c>
      <c r="G6" s="87"/>
      <c r="H6" s="87"/>
      <c r="I6" s="88"/>
      <c r="J6" s="88"/>
      <c r="K6" s="3"/>
      <c r="L6" s="3"/>
      <c r="M6" s="7" t="s">
        <v>0</v>
      </c>
      <c r="N6" s="5"/>
    </row>
    <row r="7" spans="2:14" s="1" customFormat="1" ht="11.25" x14ac:dyDescent="0.2">
      <c r="B7" s="8" t="s">
        <v>1</v>
      </c>
      <c r="C7" s="9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9" t="s">
        <v>9</v>
      </c>
      <c r="K7" s="41" t="s">
        <v>387</v>
      </c>
      <c r="L7" s="9" t="s">
        <v>10</v>
      </c>
      <c r="M7" s="11" t="s">
        <v>11</v>
      </c>
      <c r="N7" s="12" t="s">
        <v>12</v>
      </c>
    </row>
    <row r="8" spans="2:14" x14ac:dyDescent="0.25">
      <c r="B8" s="18">
        <f>3000+1200+1200</f>
        <v>5400</v>
      </c>
      <c r="C8" s="20" t="s">
        <v>310</v>
      </c>
      <c r="D8" s="20" t="s">
        <v>109</v>
      </c>
      <c r="E8" s="47">
        <v>8318942</v>
      </c>
      <c r="F8" s="28">
        <v>1</v>
      </c>
      <c r="G8" s="28"/>
      <c r="H8" s="28"/>
      <c r="I8" s="22"/>
      <c r="J8" s="20" t="s">
        <v>295</v>
      </c>
      <c r="K8" s="21" t="s">
        <v>771</v>
      </c>
      <c r="L8" s="18" t="s">
        <v>585</v>
      </c>
      <c r="M8" s="22"/>
      <c r="N8" s="23"/>
    </row>
    <row r="9" spans="2:14" x14ac:dyDescent="0.25">
      <c r="B9" s="18">
        <f>3000+1200+1200</f>
        <v>5400</v>
      </c>
      <c r="C9" s="20" t="s">
        <v>26</v>
      </c>
      <c r="D9" s="29" t="s">
        <v>80</v>
      </c>
      <c r="E9" s="46">
        <v>10767319</v>
      </c>
      <c r="F9" s="28">
        <f>F8+1</f>
        <v>2</v>
      </c>
      <c r="G9" s="28"/>
      <c r="H9" s="28"/>
      <c r="I9" s="22"/>
      <c r="J9" s="20" t="s">
        <v>259</v>
      </c>
      <c r="K9" s="21" t="s">
        <v>388</v>
      </c>
      <c r="L9" s="18" t="s">
        <v>585</v>
      </c>
      <c r="M9" s="22"/>
      <c r="N9" s="23"/>
    </row>
    <row r="10" spans="2:14" x14ac:dyDescent="0.25">
      <c r="B10" s="18">
        <f>2500+180+1500</f>
        <v>4180</v>
      </c>
      <c r="C10" s="20" t="s">
        <v>308</v>
      </c>
      <c r="D10" s="20" t="s">
        <v>108</v>
      </c>
      <c r="E10" s="46">
        <v>7238183</v>
      </c>
      <c r="F10" s="28">
        <f t="shared" ref="F10:F16" si="0">F9+1</f>
        <v>3</v>
      </c>
      <c r="G10" s="28"/>
      <c r="H10" s="28"/>
      <c r="I10" s="21"/>
      <c r="J10" s="20" t="s">
        <v>309</v>
      </c>
      <c r="K10" s="21" t="s">
        <v>388</v>
      </c>
      <c r="L10" s="18" t="s">
        <v>585</v>
      </c>
      <c r="M10" s="22"/>
      <c r="N10" s="23"/>
    </row>
    <row r="11" spans="2:14" x14ac:dyDescent="0.25">
      <c r="B11" s="18">
        <f>360+1500+1500</f>
        <v>3360</v>
      </c>
      <c r="C11" s="19" t="s">
        <v>260</v>
      </c>
      <c r="D11" s="20" t="s">
        <v>46</v>
      </c>
      <c r="E11" s="47">
        <v>6836467</v>
      </c>
      <c r="F11" s="28">
        <f t="shared" si="0"/>
        <v>4</v>
      </c>
      <c r="G11" s="28"/>
      <c r="H11" s="28"/>
      <c r="I11" s="21"/>
      <c r="J11" s="20" t="s">
        <v>261</v>
      </c>
      <c r="K11" s="18" t="s">
        <v>389</v>
      </c>
      <c r="L11" s="18" t="s">
        <v>585</v>
      </c>
      <c r="M11" s="22"/>
      <c r="N11" s="23"/>
    </row>
    <row r="12" spans="2:14" x14ac:dyDescent="0.25">
      <c r="B12" s="18">
        <v>3000</v>
      </c>
      <c r="C12" s="20" t="s">
        <v>258</v>
      </c>
      <c r="D12" s="20" t="s">
        <v>14</v>
      </c>
      <c r="E12" s="46">
        <v>10768466</v>
      </c>
      <c r="F12" s="28">
        <f t="shared" si="0"/>
        <v>5</v>
      </c>
      <c r="G12" s="28"/>
      <c r="H12" s="28"/>
      <c r="I12" s="21"/>
      <c r="J12" s="20" t="s">
        <v>259</v>
      </c>
      <c r="K12" s="21" t="s">
        <v>388</v>
      </c>
      <c r="L12" s="18" t="s">
        <v>585</v>
      </c>
      <c r="M12" s="22"/>
      <c r="N12" s="23"/>
    </row>
    <row r="13" spans="2:14" x14ac:dyDescent="0.25">
      <c r="B13" s="18">
        <f>1590+45+750</f>
        <v>2385</v>
      </c>
      <c r="C13" s="20" t="s">
        <v>263</v>
      </c>
      <c r="D13" s="29" t="s">
        <v>81</v>
      </c>
      <c r="E13" s="46">
        <v>13464954</v>
      </c>
      <c r="F13" s="28">
        <f t="shared" si="0"/>
        <v>6</v>
      </c>
      <c r="G13" s="28"/>
      <c r="H13" s="28"/>
      <c r="I13" s="22"/>
      <c r="J13" s="20" t="s">
        <v>264</v>
      </c>
      <c r="K13" s="21" t="s">
        <v>771</v>
      </c>
      <c r="L13" s="18" t="s">
        <v>585</v>
      </c>
      <c r="M13" s="22"/>
      <c r="N13" s="23"/>
    </row>
    <row r="14" spans="2:14" x14ac:dyDescent="0.25">
      <c r="B14" s="18">
        <f>600+1500</f>
        <v>2100</v>
      </c>
      <c r="C14" s="19" t="s">
        <v>201</v>
      </c>
      <c r="D14" s="20" t="s">
        <v>141</v>
      </c>
      <c r="E14" s="47">
        <v>10767327</v>
      </c>
      <c r="F14" s="28">
        <f t="shared" si="0"/>
        <v>7</v>
      </c>
      <c r="G14" s="28"/>
      <c r="H14" s="28"/>
      <c r="I14" s="21"/>
      <c r="J14" s="20" t="s">
        <v>259</v>
      </c>
      <c r="K14" s="21" t="s">
        <v>388</v>
      </c>
      <c r="L14" s="18" t="s">
        <v>585</v>
      </c>
      <c r="M14" s="22"/>
      <c r="N14" s="23"/>
    </row>
    <row r="15" spans="2:14" x14ac:dyDescent="0.25">
      <c r="B15" s="18">
        <f>1200+375+400</f>
        <v>1975</v>
      </c>
      <c r="C15" s="20" t="s">
        <v>402</v>
      </c>
      <c r="D15" s="29" t="s">
        <v>15</v>
      </c>
      <c r="E15" s="46" t="s">
        <v>681</v>
      </c>
      <c r="F15" s="28">
        <f t="shared" si="0"/>
        <v>8</v>
      </c>
      <c r="G15" s="28"/>
      <c r="H15" s="28"/>
      <c r="I15" s="21"/>
      <c r="J15" s="20" t="s">
        <v>750</v>
      </c>
      <c r="K15" s="21" t="s">
        <v>388</v>
      </c>
      <c r="L15" s="18" t="s">
        <v>585</v>
      </c>
      <c r="M15" s="22"/>
      <c r="N15" s="23"/>
    </row>
    <row r="16" spans="2:14" x14ac:dyDescent="0.25">
      <c r="B16" s="18">
        <f>1590+45</f>
        <v>1635</v>
      </c>
      <c r="C16" s="20" t="s">
        <v>312</v>
      </c>
      <c r="D16" s="20" t="s">
        <v>122</v>
      </c>
      <c r="E16" s="47">
        <v>10768078</v>
      </c>
      <c r="F16" s="28">
        <f t="shared" si="0"/>
        <v>9</v>
      </c>
      <c r="G16" s="28"/>
      <c r="H16" s="28"/>
      <c r="I16" s="22"/>
      <c r="J16" s="20" t="s">
        <v>295</v>
      </c>
      <c r="K16" s="21" t="s">
        <v>388</v>
      </c>
      <c r="L16" s="18" t="s">
        <v>585</v>
      </c>
      <c r="M16" s="22"/>
      <c r="N16" s="23"/>
    </row>
    <row r="17" spans="2:14" x14ac:dyDescent="0.25">
      <c r="B17" s="18">
        <v>1590</v>
      </c>
      <c r="C17" s="38" t="s">
        <v>110</v>
      </c>
      <c r="D17" s="38" t="s">
        <v>111</v>
      </c>
      <c r="E17" s="38">
        <v>10769042</v>
      </c>
      <c r="F17" s="39" t="s">
        <v>403</v>
      </c>
      <c r="G17" s="28"/>
      <c r="H17" s="28"/>
      <c r="I17" s="21"/>
      <c r="J17" s="20" t="s">
        <v>259</v>
      </c>
      <c r="K17" s="21" t="s">
        <v>388</v>
      </c>
      <c r="L17" s="18" t="s">
        <v>585</v>
      </c>
      <c r="M17" s="22"/>
      <c r="N17" s="23"/>
    </row>
    <row r="18" spans="2:14" x14ac:dyDescent="0.25">
      <c r="B18" s="18">
        <f>360+100+188+180+750</f>
        <v>1578</v>
      </c>
      <c r="C18" s="20" t="s">
        <v>90</v>
      </c>
      <c r="D18" s="20" t="s">
        <v>116</v>
      </c>
      <c r="E18" s="48">
        <v>11855501</v>
      </c>
      <c r="F18" s="28">
        <f>F16+1</f>
        <v>10</v>
      </c>
      <c r="G18" s="28"/>
      <c r="H18" s="28"/>
      <c r="I18" s="24"/>
      <c r="J18" s="20" t="s">
        <v>270</v>
      </c>
      <c r="K18" s="18" t="s">
        <v>389</v>
      </c>
      <c r="L18" s="18" t="s">
        <v>585</v>
      </c>
      <c r="M18" s="22"/>
      <c r="N18" s="23"/>
    </row>
    <row r="19" spans="2:14" x14ac:dyDescent="0.25">
      <c r="B19" s="18">
        <f>90+750+500</f>
        <v>1340</v>
      </c>
      <c r="C19" s="19" t="s">
        <v>320</v>
      </c>
      <c r="D19" s="20" t="s">
        <v>321</v>
      </c>
      <c r="E19" s="46">
        <v>10767103</v>
      </c>
      <c r="F19" s="28">
        <f>F18+1</f>
        <v>11</v>
      </c>
      <c r="G19" s="28"/>
      <c r="H19" s="28"/>
      <c r="I19" s="24"/>
      <c r="J19" s="20" t="s">
        <v>750</v>
      </c>
      <c r="K19" s="18" t="s">
        <v>388</v>
      </c>
      <c r="L19" s="18" t="s">
        <v>585</v>
      </c>
      <c r="M19" s="22"/>
      <c r="N19" s="23"/>
    </row>
    <row r="20" spans="2:14" x14ac:dyDescent="0.25">
      <c r="B20" s="18">
        <f>90+750+500</f>
        <v>1340</v>
      </c>
      <c r="C20" s="19" t="s">
        <v>322</v>
      </c>
      <c r="D20" s="20" t="s">
        <v>202</v>
      </c>
      <c r="E20" s="47">
        <v>10767111</v>
      </c>
      <c r="F20" s="28">
        <f t="shared" ref="F20:F85" si="1">F19+1</f>
        <v>12</v>
      </c>
      <c r="G20" s="28"/>
      <c r="H20" s="28"/>
      <c r="I20" s="24"/>
      <c r="J20" s="20" t="s">
        <v>750</v>
      </c>
      <c r="K20" s="18" t="s">
        <v>388</v>
      </c>
      <c r="L20" s="18" t="s">
        <v>585</v>
      </c>
      <c r="M20" s="22"/>
      <c r="N20" s="23"/>
    </row>
    <row r="21" spans="2:14" x14ac:dyDescent="0.25">
      <c r="B21" s="18">
        <f>400+375+400</f>
        <v>1175</v>
      </c>
      <c r="C21" s="20" t="s">
        <v>485</v>
      </c>
      <c r="D21" s="29" t="s">
        <v>486</v>
      </c>
      <c r="E21" s="48">
        <v>10771609</v>
      </c>
      <c r="F21" s="28">
        <f t="shared" si="1"/>
        <v>13</v>
      </c>
      <c r="G21" s="28"/>
      <c r="H21" s="28"/>
      <c r="I21" s="21"/>
      <c r="J21" s="20" t="s">
        <v>259</v>
      </c>
      <c r="K21" s="21" t="s">
        <v>388</v>
      </c>
      <c r="L21" s="18" t="s">
        <v>585</v>
      </c>
      <c r="M21" s="22"/>
      <c r="N21" s="23"/>
    </row>
    <row r="22" spans="2:14" x14ac:dyDescent="0.25">
      <c r="B22" s="18">
        <v>1000</v>
      </c>
      <c r="C22" s="20" t="s">
        <v>849</v>
      </c>
      <c r="D22" s="20" t="s">
        <v>13</v>
      </c>
      <c r="E22" s="47">
        <v>10768185</v>
      </c>
      <c r="F22" s="28">
        <f t="shared" si="1"/>
        <v>14</v>
      </c>
      <c r="G22" s="28"/>
      <c r="H22" s="28"/>
      <c r="I22" s="21"/>
      <c r="J22" s="20" t="s">
        <v>259</v>
      </c>
      <c r="K22" s="21" t="s">
        <v>388</v>
      </c>
      <c r="L22" s="18" t="s">
        <v>585</v>
      </c>
      <c r="M22" s="22"/>
      <c r="N22" s="23"/>
    </row>
    <row r="23" spans="2:14" x14ac:dyDescent="0.25">
      <c r="B23" s="18">
        <f>360+100+188+180</f>
        <v>828</v>
      </c>
      <c r="C23" s="20" t="s">
        <v>90</v>
      </c>
      <c r="D23" s="20" t="s">
        <v>91</v>
      </c>
      <c r="E23" s="48">
        <v>11855642</v>
      </c>
      <c r="F23" s="28">
        <f t="shared" si="1"/>
        <v>15</v>
      </c>
      <c r="G23" s="28"/>
      <c r="H23" s="28"/>
      <c r="I23" s="24"/>
      <c r="J23" s="20" t="s">
        <v>270</v>
      </c>
      <c r="K23" s="18" t="s">
        <v>389</v>
      </c>
      <c r="L23" s="18" t="s">
        <v>585</v>
      </c>
      <c r="M23" s="22"/>
      <c r="N23" s="23"/>
    </row>
    <row r="24" spans="2:14" x14ac:dyDescent="0.25">
      <c r="B24" s="18">
        <v>720</v>
      </c>
      <c r="C24" s="20" t="s">
        <v>311</v>
      </c>
      <c r="D24" s="20" t="s">
        <v>112</v>
      </c>
      <c r="E24" s="47">
        <v>10768911</v>
      </c>
      <c r="F24" s="28">
        <f t="shared" si="1"/>
        <v>16</v>
      </c>
      <c r="G24" s="28"/>
      <c r="H24" s="28"/>
      <c r="I24" s="21"/>
      <c r="J24" s="20" t="s">
        <v>259</v>
      </c>
      <c r="K24" s="21" t="s">
        <v>388</v>
      </c>
      <c r="L24" s="18" t="s">
        <v>585</v>
      </c>
      <c r="M24" s="22"/>
      <c r="N24" s="23"/>
    </row>
    <row r="25" spans="2:14" x14ac:dyDescent="0.25">
      <c r="B25" s="18">
        <f>180+180+250</f>
        <v>610</v>
      </c>
      <c r="C25" s="20" t="s">
        <v>20</v>
      </c>
      <c r="D25" s="20" t="s">
        <v>21</v>
      </c>
      <c r="E25" s="47">
        <v>10768565</v>
      </c>
      <c r="F25" s="28">
        <f t="shared" si="1"/>
        <v>17</v>
      </c>
      <c r="G25" s="28"/>
      <c r="H25" s="28"/>
      <c r="I25" s="21"/>
      <c r="J25" s="20" t="s">
        <v>259</v>
      </c>
      <c r="K25" s="21" t="s">
        <v>388</v>
      </c>
      <c r="L25" s="18" t="s">
        <v>585</v>
      </c>
      <c r="M25" s="22"/>
      <c r="N25" s="23"/>
    </row>
    <row r="26" spans="2:14" x14ac:dyDescent="0.25">
      <c r="B26" s="18">
        <f>400+150</f>
        <v>550</v>
      </c>
      <c r="C26" s="20" t="s">
        <v>265</v>
      </c>
      <c r="D26" s="20" t="s">
        <v>83</v>
      </c>
      <c r="E26" s="46">
        <v>16307820</v>
      </c>
      <c r="F26" s="28">
        <f t="shared" si="1"/>
        <v>18</v>
      </c>
      <c r="G26" s="28"/>
      <c r="H26" s="28"/>
      <c r="I26" s="21"/>
      <c r="J26" s="20" t="s">
        <v>259</v>
      </c>
      <c r="K26" s="21" t="s">
        <v>388</v>
      </c>
      <c r="L26" s="18" t="s">
        <v>585</v>
      </c>
      <c r="M26" s="22"/>
      <c r="N26" s="23"/>
    </row>
    <row r="27" spans="2:14" x14ac:dyDescent="0.25">
      <c r="B27" s="18">
        <f>90+50+250+45</f>
        <v>435</v>
      </c>
      <c r="C27" s="20" t="s">
        <v>130</v>
      </c>
      <c r="D27" s="29" t="s">
        <v>157</v>
      </c>
      <c r="E27" s="48">
        <v>11087344</v>
      </c>
      <c r="F27" s="28">
        <f t="shared" si="1"/>
        <v>19</v>
      </c>
      <c r="G27" s="28"/>
      <c r="H27" s="28"/>
      <c r="I27" s="21"/>
      <c r="J27" s="20" t="s">
        <v>319</v>
      </c>
      <c r="K27" s="21" t="s">
        <v>389</v>
      </c>
      <c r="L27" s="18" t="s">
        <v>585</v>
      </c>
      <c r="M27" s="22"/>
      <c r="N27" s="23"/>
    </row>
    <row r="28" spans="2:14" x14ac:dyDescent="0.25">
      <c r="B28" s="18">
        <v>360</v>
      </c>
      <c r="C28" s="20" t="s">
        <v>17</v>
      </c>
      <c r="D28" s="29" t="s">
        <v>18</v>
      </c>
      <c r="E28" s="46">
        <v>16937065</v>
      </c>
      <c r="F28" s="28">
        <f t="shared" si="1"/>
        <v>20</v>
      </c>
      <c r="G28" s="28"/>
      <c r="H28" s="28"/>
      <c r="I28" s="22"/>
      <c r="J28" s="20" t="s">
        <v>269</v>
      </c>
      <c r="K28" s="21" t="s">
        <v>390</v>
      </c>
      <c r="L28" s="18" t="s">
        <v>585</v>
      </c>
      <c r="M28" s="22"/>
      <c r="N28" s="23"/>
    </row>
    <row r="29" spans="2:14" x14ac:dyDescent="0.25">
      <c r="B29" s="18">
        <f>180+180</f>
        <v>360</v>
      </c>
      <c r="C29" s="20" t="s">
        <v>140</v>
      </c>
      <c r="D29" s="20" t="s">
        <v>36</v>
      </c>
      <c r="E29" s="47">
        <v>16953342</v>
      </c>
      <c r="F29" s="28">
        <f t="shared" si="1"/>
        <v>21</v>
      </c>
      <c r="G29" s="28"/>
      <c r="H29" s="28"/>
      <c r="I29" s="22"/>
      <c r="J29" s="20" t="s">
        <v>267</v>
      </c>
      <c r="K29" s="21" t="s">
        <v>390</v>
      </c>
      <c r="L29" s="18" t="s">
        <v>585</v>
      </c>
      <c r="M29" s="22"/>
      <c r="N29" s="23"/>
    </row>
    <row r="30" spans="2:14" x14ac:dyDescent="0.25">
      <c r="B30" s="18">
        <v>250</v>
      </c>
      <c r="C30" s="20" t="s">
        <v>166</v>
      </c>
      <c r="D30" s="20" t="s">
        <v>548</v>
      </c>
      <c r="E30" s="48">
        <v>10777532</v>
      </c>
      <c r="F30" s="28">
        <f t="shared" si="1"/>
        <v>22</v>
      </c>
      <c r="G30" s="28"/>
      <c r="H30" s="28"/>
      <c r="I30" s="21"/>
      <c r="J30" s="20" t="s">
        <v>259</v>
      </c>
      <c r="K30" s="21" t="s">
        <v>388</v>
      </c>
      <c r="L30" s="18" t="s">
        <v>585</v>
      </c>
      <c r="M30" s="22"/>
      <c r="N30" s="23"/>
    </row>
    <row r="31" spans="2:14" x14ac:dyDescent="0.25">
      <c r="B31" s="18">
        <v>180</v>
      </c>
      <c r="C31" s="20" t="s">
        <v>317</v>
      </c>
      <c r="D31" s="20" t="s">
        <v>121</v>
      </c>
      <c r="E31" s="47">
        <v>10530089</v>
      </c>
      <c r="F31" s="28">
        <f t="shared" si="1"/>
        <v>23</v>
      </c>
      <c r="G31" s="28"/>
      <c r="H31" s="28"/>
      <c r="I31" s="21"/>
      <c r="J31" s="20" t="s">
        <v>318</v>
      </c>
      <c r="K31" s="21" t="s">
        <v>388</v>
      </c>
      <c r="L31" s="18" t="s">
        <v>585</v>
      </c>
      <c r="M31" s="22"/>
      <c r="N31" s="23"/>
    </row>
    <row r="32" spans="2:14" x14ac:dyDescent="0.25">
      <c r="B32" s="18">
        <v>180</v>
      </c>
      <c r="C32" s="20" t="s">
        <v>850</v>
      </c>
      <c r="D32" s="20" t="s">
        <v>162</v>
      </c>
      <c r="E32" s="47">
        <v>10771328</v>
      </c>
      <c r="F32" s="28">
        <f t="shared" si="1"/>
        <v>24</v>
      </c>
      <c r="G32" s="28"/>
      <c r="H32" s="28"/>
      <c r="I32" s="21"/>
      <c r="J32" s="20" t="s">
        <v>259</v>
      </c>
      <c r="K32" s="21" t="s">
        <v>388</v>
      </c>
      <c r="L32" s="18" t="s">
        <v>585</v>
      </c>
      <c r="M32" s="22"/>
      <c r="N32" s="23"/>
    </row>
    <row r="33" spans="2:14" x14ac:dyDescent="0.25">
      <c r="B33" s="18">
        <v>180</v>
      </c>
      <c r="C33" s="20" t="s">
        <v>832</v>
      </c>
      <c r="D33" s="20" t="s">
        <v>472</v>
      </c>
      <c r="E33" s="47">
        <v>9484320</v>
      </c>
      <c r="F33" s="28">
        <f t="shared" si="1"/>
        <v>25</v>
      </c>
      <c r="G33" s="28"/>
      <c r="H33" s="28"/>
      <c r="I33" s="21"/>
      <c r="J33" s="20" t="s">
        <v>269</v>
      </c>
      <c r="K33" s="21" t="s">
        <v>390</v>
      </c>
      <c r="L33" s="18" t="s">
        <v>585</v>
      </c>
      <c r="M33" s="22"/>
      <c r="N33" s="23"/>
    </row>
    <row r="34" spans="2:14" x14ac:dyDescent="0.25">
      <c r="B34" s="18">
        <v>180</v>
      </c>
      <c r="C34" s="20" t="s">
        <v>483</v>
      </c>
      <c r="D34" s="29" t="s">
        <v>89</v>
      </c>
      <c r="E34" s="48">
        <v>9425598</v>
      </c>
      <c r="F34" s="28">
        <f t="shared" si="1"/>
        <v>26</v>
      </c>
      <c r="G34" s="28"/>
      <c r="H34" s="28"/>
      <c r="I34" s="21"/>
      <c r="J34" s="20" t="s">
        <v>269</v>
      </c>
      <c r="K34" s="21" t="s">
        <v>390</v>
      </c>
      <c r="L34" s="18" t="s">
        <v>585</v>
      </c>
      <c r="M34" s="22"/>
      <c r="N34" s="23"/>
    </row>
    <row r="35" spans="2:14" x14ac:dyDescent="0.25">
      <c r="B35" s="18">
        <f>90+45+45</f>
        <v>180</v>
      </c>
      <c r="C35" s="19" t="s">
        <v>323</v>
      </c>
      <c r="D35" s="20" t="s">
        <v>203</v>
      </c>
      <c r="E35" s="47">
        <v>10767129</v>
      </c>
      <c r="F35" s="28">
        <f t="shared" si="1"/>
        <v>27</v>
      </c>
      <c r="G35" s="28"/>
      <c r="H35" s="28"/>
      <c r="I35" s="21"/>
      <c r="J35" s="20" t="s">
        <v>750</v>
      </c>
      <c r="K35" s="18" t="s">
        <v>388</v>
      </c>
      <c r="L35" s="18" t="s">
        <v>585</v>
      </c>
      <c r="M35" s="22"/>
      <c r="N35" s="23"/>
    </row>
    <row r="36" spans="2:14" x14ac:dyDescent="0.25">
      <c r="B36" s="18">
        <v>90</v>
      </c>
      <c r="C36" s="19" t="s">
        <v>268</v>
      </c>
      <c r="D36" s="20" t="s">
        <v>60</v>
      </c>
      <c r="E36" s="47">
        <v>6723903</v>
      </c>
      <c r="F36" s="28">
        <f t="shared" si="1"/>
        <v>28</v>
      </c>
      <c r="G36" s="28"/>
      <c r="H36" s="28"/>
      <c r="I36" s="21"/>
      <c r="J36" s="20" t="s">
        <v>270</v>
      </c>
      <c r="K36" s="21" t="s">
        <v>389</v>
      </c>
      <c r="L36" s="18" t="s">
        <v>585</v>
      </c>
      <c r="M36" s="22"/>
      <c r="N36" s="23"/>
    </row>
    <row r="37" spans="2:14" x14ac:dyDescent="0.25">
      <c r="B37" s="18">
        <f>45+45</f>
        <v>90</v>
      </c>
      <c r="C37" s="20" t="s">
        <v>736</v>
      </c>
      <c r="D37" s="20" t="s">
        <v>737</v>
      </c>
      <c r="E37" s="47">
        <v>13271193</v>
      </c>
      <c r="F37" s="28">
        <f t="shared" si="1"/>
        <v>29</v>
      </c>
      <c r="G37" s="28"/>
      <c r="H37" s="28"/>
      <c r="I37" s="18"/>
      <c r="J37" s="20" t="s">
        <v>259</v>
      </c>
      <c r="K37" s="18" t="s">
        <v>388</v>
      </c>
      <c r="L37" s="18" t="s">
        <v>585</v>
      </c>
      <c r="M37" s="22"/>
      <c r="N37" s="23"/>
    </row>
    <row r="38" spans="2:14" x14ac:dyDescent="0.25">
      <c r="B38" s="18">
        <v>45</v>
      </c>
      <c r="C38" s="20" t="s">
        <v>275</v>
      </c>
      <c r="D38" s="29" t="s">
        <v>22</v>
      </c>
      <c r="E38" s="48">
        <v>10768060</v>
      </c>
      <c r="F38" s="28">
        <f t="shared" si="1"/>
        <v>30</v>
      </c>
      <c r="G38" s="28"/>
      <c r="H38" s="28"/>
      <c r="I38" s="18"/>
      <c r="J38" s="20" t="s">
        <v>303</v>
      </c>
      <c r="K38" s="21" t="s">
        <v>395</v>
      </c>
      <c r="L38" s="18" t="s">
        <v>585</v>
      </c>
      <c r="M38" s="22"/>
      <c r="N38" s="23"/>
    </row>
    <row r="39" spans="2:14" x14ac:dyDescent="0.25">
      <c r="B39" s="18">
        <v>45</v>
      </c>
      <c r="C39" s="20" t="s">
        <v>834</v>
      </c>
      <c r="D39" s="29" t="s">
        <v>476</v>
      </c>
      <c r="E39" s="48">
        <v>10611649</v>
      </c>
      <c r="F39" s="28">
        <f t="shared" si="1"/>
        <v>31</v>
      </c>
      <c r="G39" s="28"/>
      <c r="H39" s="28"/>
      <c r="I39" s="18"/>
      <c r="J39" s="20" t="s">
        <v>750</v>
      </c>
      <c r="K39" s="18" t="s">
        <v>388</v>
      </c>
      <c r="L39" s="18" t="s">
        <v>585</v>
      </c>
      <c r="M39" s="22"/>
      <c r="N39" s="23"/>
    </row>
    <row r="40" spans="2:14" x14ac:dyDescent="0.25">
      <c r="B40" s="18">
        <v>45</v>
      </c>
      <c r="C40" s="20" t="s">
        <v>851</v>
      </c>
      <c r="D40" s="29" t="s">
        <v>852</v>
      </c>
      <c r="E40" s="48">
        <v>10768664</v>
      </c>
      <c r="F40" s="28">
        <f t="shared" si="1"/>
        <v>32</v>
      </c>
      <c r="G40" s="28"/>
      <c r="H40" s="28"/>
      <c r="I40" s="18"/>
      <c r="J40" s="20" t="s">
        <v>259</v>
      </c>
      <c r="K40" s="18" t="s">
        <v>388</v>
      </c>
      <c r="L40" s="18" t="s">
        <v>585</v>
      </c>
      <c r="M40" s="22"/>
      <c r="N40" s="23"/>
    </row>
    <row r="41" spans="2:14" x14ac:dyDescent="0.25">
      <c r="B41" s="18">
        <v>45</v>
      </c>
      <c r="C41" s="20" t="s">
        <v>853</v>
      </c>
      <c r="D41" s="29" t="s">
        <v>487</v>
      </c>
      <c r="E41" s="48">
        <v>16954382</v>
      </c>
      <c r="F41" s="28">
        <f t="shared" si="1"/>
        <v>33</v>
      </c>
      <c r="G41" s="28"/>
      <c r="H41" s="28"/>
      <c r="I41" s="18"/>
      <c r="J41" s="20" t="s">
        <v>269</v>
      </c>
      <c r="K41" s="18" t="s">
        <v>390</v>
      </c>
      <c r="L41" s="18" t="s">
        <v>585</v>
      </c>
      <c r="M41" s="22"/>
      <c r="N41" s="23"/>
    </row>
    <row r="42" spans="2:14" x14ac:dyDescent="0.25">
      <c r="B42" s="18">
        <v>45</v>
      </c>
      <c r="C42" s="20" t="s">
        <v>488</v>
      </c>
      <c r="D42" s="29" t="s">
        <v>489</v>
      </c>
      <c r="E42" s="48">
        <v>16954415</v>
      </c>
      <c r="F42" s="28">
        <f t="shared" si="1"/>
        <v>34</v>
      </c>
      <c r="G42" s="28"/>
      <c r="H42" s="28"/>
      <c r="I42" s="18"/>
      <c r="J42" s="20" t="s">
        <v>269</v>
      </c>
      <c r="K42" s="18" t="s">
        <v>390</v>
      </c>
      <c r="L42" s="18" t="s">
        <v>585</v>
      </c>
      <c r="M42" s="22"/>
      <c r="N42" s="23"/>
    </row>
    <row r="43" spans="2:14" x14ac:dyDescent="0.25">
      <c r="B43" s="18">
        <v>45</v>
      </c>
      <c r="C43" s="20" t="s">
        <v>854</v>
      </c>
      <c r="D43" s="29" t="s">
        <v>855</v>
      </c>
      <c r="E43" s="48">
        <v>10775403</v>
      </c>
      <c r="F43" s="28">
        <f t="shared" si="1"/>
        <v>35</v>
      </c>
      <c r="G43" s="28"/>
      <c r="H43" s="28"/>
      <c r="I43" s="18"/>
      <c r="J43" s="20" t="s">
        <v>259</v>
      </c>
      <c r="K43" s="18" t="s">
        <v>388</v>
      </c>
      <c r="L43" s="18" t="s">
        <v>585</v>
      </c>
      <c r="M43" s="22"/>
      <c r="N43" s="23"/>
    </row>
    <row r="44" spans="2:14" ht="15.75" thickBot="1" x14ac:dyDescent="0.3">
      <c r="B44" s="73"/>
      <c r="C44" s="74"/>
      <c r="D44" s="90"/>
      <c r="E44" s="65"/>
      <c r="F44" s="76"/>
      <c r="G44" s="76"/>
      <c r="H44" s="76"/>
      <c r="I44" s="73"/>
      <c r="J44" s="74"/>
      <c r="K44" s="73"/>
      <c r="L44" s="73"/>
      <c r="M44" s="77"/>
      <c r="N44" s="79"/>
    </row>
    <row r="45" spans="2:14" ht="15.75" thickBot="1" x14ac:dyDescent="0.3">
      <c r="B45" s="2"/>
      <c r="C45" s="1"/>
      <c r="D45" s="1"/>
      <c r="E45" s="3"/>
      <c r="F45" s="89" t="s">
        <v>1033</v>
      </c>
      <c r="G45" s="87"/>
      <c r="H45" s="87"/>
      <c r="I45" s="88"/>
      <c r="J45" s="88"/>
      <c r="K45" s="3"/>
      <c r="L45" s="3"/>
      <c r="M45" s="7" t="s">
        <v>0</v>
      </c>
      <c r="N45" s="5"/>
    </row>
    <row r="46" spans="2:14" x14ac:dyDescent="0.25">
      <c r="B46" s="8" t="s">
        <v>1</v>
      </c>
      <c r="C46" s="9" t="s">
        <v>2</v>
      </c>
      <c r="D46" s="9" t="s">
        <v>3</v>
      </c>
      <c r="E46" s="9" t="s">
        <v>4</v>
      </c>
      <c r="F46" s="10" t="s">
        <v>5</v>
      </c>
      <c r="G46" s="10" t="s">
        <v>6</v>
      </c>
      <c r="H46" s="10" t="s">
        <v>7</v>
      </c>
      <c r="I46" s="10" t="s">
        <v>8</v>
      </c>
      <c r="J46" s="9" t="s">
        <v>9</v>
      </c>
      <c r="K46" s="41" t="s">
        <v>387</v>
      </c>
      <c r="L46" s="9" t="s">
        <v>10</v>
      </c>
      <c r="M46" s="11" t="s">
        <v>11</v>
      </c>
      <c r="N46" s="12" t="s">
        <v>12</v>
      </c>
    </row>
    <row r="47" spans="2:14" x14ac:dyDescent="0.25">
      <c r="B47" s="18">
        <f>1500+150</f>
        <v>1650</v>
      </c>
      <c r="C47" s="19" t="s">
        <v>325</v>
      </c>
      <c r="D47" s="20" t="s">
        <v>326</v>
      </c>
      <c r="E47" s="47">
        <v>10766189</v>
      </c>
      <c r="F47" s="28">
        <f>F43+1</f>
        <v>36</v>
      </c>
      <c r="G47" s="28"/>
      <c r="H47" s="28"/>
      <c r="I47" s="18"/>
      <c r="J47" s="20" t="s">
        <v>259</v>
      </c>
      <c r="K47" s="18" t="s">
        <v>388</v>
      </c>
      <c r="L47" s="18" t="s">
        <v>586</v>
      </c>
      <c r="M47" s="22"/>
      <c r="N47" s="23"/>
    </row>
    <row r="48" spans="2:14" x14ac:dyDescent="0.25">
      <c r="B48" s="18">
        <f>1500+90</f>
        <v>1590</v>
      </c>
      <c r="C48" s="19" t="s">
        <v>324</v>
      </c>
      <c r="D48" s="20" t="s">
        <v>490</v>
      </c>
      <c r="E48" s="47">
        <v>16953235</v>
      </c>
      <c r="F48" s="28">
        <f t="shared" si="1"/>
        <v>37</v>
      </c>
      <c r="G48" s="28"/>
      <c r="H48" s="28"/>
      <c r="I48" s="22"/>
      <c r="J48" s="20" t="s">
        <v>262</v>
      </c>
      <c r="K48" s="18" t="s">
        <v>390</v>
      </c>
      <c r="L48" s="18" t="s">
        <v>586</v>
      </c>
      <c r="M48" s="22"/>
      <c r="N48" s="23"/>
    </row>
    <row r="49" spans="2:14" x14ac:dyDescent="0.25">
      <c r="B49" s="18">
        <v>1500</v>
      </c>
      <c r="C49" s="19" t="s">
        <v>229</v>
      </c>
      <c r="D49" s="20" t="s">
        <v>139</v>
      </c>
      <c r="E49" s="47">
        <v>4458510</v>
      </c>
      <c r="F49" s="28">
        <f t="shared" si="1"/>
        <v>38</v>
      </c>
      <c r="G49" s="28"/>
      <c r="H49" s="28"/>
      <c r="I49" s="18"/>
      <c r="J49" s="20" t="s">
        <v>259</v>
      </c>
      <c r="K49" s="18" t="s">
        <v>388</v>
      </c>
      <c r="L49" s="18" t="s">
        <v>586</v>
      </c>
      <c r="M49" s="22"/>
      <c r="N49" s="23"/>
    </row>
    <row r="50" spans="2:14" x14ac:dyDescent="0.25">
      <c r="B50" s="18">
        <v>1500</v>
      </c>
      <c r="C50" s="19" t="s">
        <v>229</v>
      </c>
      <c r="D50" s="20" t="s">
        <v>594</v>
      </c>
      <c r="E50" s="47">
        <v>4412475</v>
      </c>
      <c r="F50" s="28">
        <f t="shared" si="1"/>
        <v>39</v>
      </c>
      <c r="G50" s="28"/>
      <c r="H50" s="28"/>
      <c r="I50" s="18"/>
      <c r="J50" s="20" t="s">
        <v>259</v>
      </c>
      <c r="K50" s="18" t="s">
        <v>388</v>
      </c>
      <c r="L50" s="18" t="s">
        <v>586</v>
      </c>
      <c r="M50" s="22"/>
      <c r="N50" s="23"/>
    </row>
    <row r="51" spans="2:14" x14ac:dyDescent="0.25">
      <c r="B51" s="18">
        <v>1200</v>
      </c>
      <c r="C51" s="19" t="s">
        <v>856</v>
      </c>
      <c r="D51" s="20" t="s">
        <v>857</v>
      </c>
      <c r="E51" s="47">
        <v>16954481</v>
      </c>
      <c r="F51" s="28">
        <f t="shared" si="1"/>
        <v>40</v>
      </c>
      <c r="G51" s="28"/>
      <c r="H51" s="28"/>
      <c r="I51" s="18"/>
      <c r="J51" s="20" t="s">
        <v>269</v>
      </c>
      <c r="K51" s="18" t="s">
        <v>390</v>
      </c>
      <c r="L51" s="18" t="s">
        <v>586</v>
      </c>
      <c r="M51" s="22"/>
      <c r="N51" s="23"/>
    </row>
    <row r="52" spans="2:14" x14ac:dyDescent="0.25">
      <c r="B52" s="18">
        <v>1200</v>
      </c>
      <c r="C52" s="19" t="s">
        <v>835</v>
      </c>
      <c r="D52" s="20" t="s">
        <v>515</v>
      </c>
      <c r="E52" s="47">
        <v>16954473</v>
      </c>
      <c r="F52" s="28">
        <f t="shared" si="1"/>
        <v>41</v>
      </c>
      <c r="G52" s="28"/>
      <c r="H52" s="28"/>
      <c r="I52" s="18"/>
      <c r="J52" s="20" t="s">
        <v>269</v>
      </c>
      <c r="K52" s="18" t="s">
        <v>390</v>
      </c>
      <c r="L52" s="18" t="s">
        <v>586</v>
      </c>
      <c r="M52" s="22"/>
      <c r="N52" s="23"/>
    </row>
    <row r="53" spans="2:14" x14ac:dyDescent="0.25">
      <c r="B53" s="18">
        <f>90+1000+45</f>
        <v>1135</v>
      </c>
      <c r="C53" s="19" t="s">
        <v>144</v>
      </c>
      <c r="D53" s="20" t="s">
        <v>29</v>
      </c>
      <c r="E53" s="46">
        <v>10767153</v>
      </c>
      <c r="F53" s="28">
        <f t="shared" si="1"/>
        <v>42</v>
      </c>
      <c r="G53" s="28"/>
      <c r="H53" s="28"/>
      <c r="I53" s="22"/>
      <c r="J53" s="20" t="s">
        <v>259</v>
      </c>
      <c r="K53" s="18" t="s">
        <v>388</v>
      </c>
      <c r="L53" s="18" t="s">
        <v>586</v>
      </c>
      <c r="M53" s="22"/>
      <c r="N53" s="23"/>
    </row>
    <row r="54" spans="2:14" x14ac:dyDescent="0.25">
      <c r="B54" s="18">
        <f>90+1000</f>
        <v>1090</v>
      </c>
      <c r="C54" s="19" t="s">
        <v>315</v>
      </c>
      <c r="D54" s="20" t="s">
        <v>143</v>
      </c>
      <c r="E54" s="48">
        <v>10767161</v>
      </c>
      <c r="F54" s="28">
        <f t="shared" si="1"/>
        <v>43</v>
      </c>
      <c r="G54" s="28"/>
      <c r="H54" s="28"/>
      <c r="I54" s="22"/>
      <c r="J54" s="20" t="s">
        <v>259</v>
      </c>
      <c r="K54" s="18" t="s">
        <v>388</v>
      </c>
      <c r="L54" s="18" t="s">
        <v>586</v>
      </c>
      <c r="M54" s="22"/>
      <c r="N54" s="23"/>
    </row>
    <row r="55" spans="2:14" x14ac:dyDescent="0.25">
      <c r="B55" s="18">
        <v>750</v>
      </c>
      <c r="C55" s="19" t="s">
        <v>858</v>
      </c>
      <c r="D55" s="20" t="s">
        <v>35</v>
      </c>
      <c r="E55" s="48">
        <v>16954530</v>
      </c>
      <c r="F55" s="28">
        <f t="shared" si="1"/>
        <v>44</v>
      </c>
      <c r="G55" s="28"/>
      <c r="H55" s="28"/>
      <c r="I55" s="22"/>
      <c r="J55" s="20" t="s">
        <v>262</v>
      </c>
      <c r="K55" s="18" t="s">
        <v>390</v>
      </c>
      <c r="L55" s="18" t="s">
        <v>586</v>
      </c>
      <c r="M55" s="22"/>
      <c r="N55" s="23"/>
    </row>
    <row r="56" spans="2:14" x14ac:dyDescent="0.25">
      <c r="B56" s="18">
        <v>600</v>
      </c>
      <c r="C56" s="19" t="s">
        <v>273</v>
      </c>
      <c r="D56" s="20" t="s">
        <v>43</v>
      </c>
      <c r="E56" s="47">
        <v>7404007</v>
      </c>
      <c r="F56" s="28">
        <f t="shared" si="1"/>
        <v>45</v>
      </c>
      <c r="G56" s="28"/>
      <c r="H56" s="28"/>
      <c r="I56" s="22"/>
      <c r="J56" s="20" t="s">
        <v>259</v>
      </c>
      <c r="K56" s="18" t="s">
        <v>388</v>
      </c>
      <c r="L56" s="18" t="s">
        <v>586</v>
      </c>
      <c r="M56" s="22"/>
      <c r="N56" s="23"/>
    </row>
    <row r="57" spans="2:14" x14ac:dyDescent="0.25">
      <c r="B57" s="18">
        <v>400</v>
      </c>
      <c r="C57" s="19" t="s">
        <v>179</v>
      </c>
      <c r="D57" s="20" t="s">
        <v>180</v>
      </c>
      <c r="E57" s="46">
        <v>10763937</v>
      </c>
      <c r="F57" s="28">
        <f t="shared" si="1"/>
        <v>46</v>
      </c>
      <c r="G57" s="28"/>
      <c r="H57" s="28"/>
      <c r="I57" s="22"/>
      <c r="J57" s="20" t="s">
        <v>761</v>
      </c>
      <c r="K57" s="18" t="s">
        <v>388</v>
      </c>
      <c r="L57" s="18" t="s">
        <v>586</v>
      </c>
      <c r="M57" s="22"/>
      <c r="N57" s="23"/>
    </row>
    <row r="58" spans="2:14" x14ac:dyDescent="0.25">
      <c r="B58" s="18">
        <v>400</v>
      </c>
      <c r="C58" s="19" t="s">
        <v>636</v>
      </c>
      <c r="D58" s="20" t="s">
        <v>595</v>
      </c>
      <c r="E58" s="47">
        <v>4246907</v>
      </c>
      <c r="F58" s="28">
        <f t="shared" si="1"/>
        <v>47</v>
      </c>
      <c r="G58" s="28"/>
      <c r="H58" s="28"/>
      <c r="I58" s="22"/>
      <c r="J58" s="20" t="s">
        <v>859</v>
      </c>
      <c r="K58" s="18"/>
      <c r="L58" s="18" t="s">
        <v>586</v>
      </c>
      <c r="M58" s="22"/>
      <c r="N58" s="23"/>
    </row>
    <row r="59" spans="2:14" x14ac:dyDescent="0.25">
      <c r="B59" s="18">
        <f>250+75</f>
        <v>325</v>
      </c>
      <c r="C59" s="19" t="s">
        <v>405</v>
      </c>
      <c r="D59" s="20" t="s">
        <v>404</v>
      </c>
      <c r="E59" s="48">
        <v>11855303</v>
      </c>
      <c r="F59" s="28">
        <f t="shared" si="1"/>
        <v>48</v>
      </c>
      <c r="G59" s="28"/>
      <c r="H59" s="28"/>
      <c r="I59" s="24"/>
      <c r="J59" s="20" t="s">
        <v>270</v>
      </c>
      <c r="K59" s="18" t="s">
        <v>389</v>
      </c>
      <c r="L59" s="18" t="s">
        <v>586</v>
      </c>
      <c r="M59" s="22"/>
      <c r="N59" s="23"/>
    </row>
    <row r="60" spans="2:14" x14ac:dyDescent="0.25">
      <c r="B60" s="18">
        <f>90+180</f>
        <v>270</v>
      </c>
      <c r="C60" s="19" t="s">
        <v>145</v>
      </c>
      <c r="D60" s="20" t="s">
        <v>132</v>
      </c>
      <c r="E60" s="48">
        <v>10574079</v>
      </c>
      <c r="F60" s="28">
        <f t="shared" si="1"/>
        <v>49</v>
      </c>
      <c r="G60" s="28"/>
      <c r="H60" s="28"/>
      <c r="I60" s="22"/>
      <c r="J60" s="20" t="s">
        <v>259</v>
      </c>
      <c r="K60" s="21" t="s">
        <v>388</v>
      </c>
      <c r="L60" s="18" t="s">
        <v>586</v>
      </c>
      <c r="M60" s="22"/>
      <c r="N60" s="23"/>
    </row>
    <row r="61" spans="2:14" x14ac:dyDescent="0.25">
      <c r="B61" s="18">
        <v>180</v>
      </c>
      <c r="C61" s="19" t="s">
        <v>860</v>
      </c>
      <c r="D61" s="20" t="s">
        <v>861</v>
      </c>
      <c r="E61" s="47">
        <v>10771782</v>
      </c>
      <c r="F61" s="28">
        <f t="shared" si="1"/>
        <v>50</v>
      </c>
      <c r="G61" s="28"/>
      <c r="H61" s="28"/>
      <c r="I61" s="22"/>
      <c r="J61" s="20" t="s">
        <v>259</v>
      </c>
      <c r="K61" s="21" t="s">
        <v>388</v>
      </c>
      <c r="L61" s="18" t="s">
        <v>586</v>
      </c>
      <c r="M61" s="22"/>
      <c r="N61" s="23"/>
    </row>
    <row r="62" spans="2:14" x14ac:dyDescent="0.25">
      <c r="B62" s="18">
        <v>180</v>
      </c>
      <c r="C62" s="19" t="s">
        <v>713</v>
      </c>
      <c r="D62" s="20" t="s">
        <v>31</v>
      </c>
      <c r="E62" s="48">
        <v>10774778</v>
      </c>
      <c r="F62" s="28">
        <f t="shared" si="1"/>
        <v>51</v>
      </c>
      <c r="G62" s="28"/>
      <c r="H62" s="28"/>
      <c r="I62" s="22"/>
      <c r="J62" s="20" t="s">
        <v>259</v>
      </c>
      <c r="K62" s="21" t="s">
        <v>388</v>
      </c>
      <c r="L62" s="18" t="s">
        <v>586</v>
      </c>
      <c r="M62" s="22"/>
      <c r="N62" s="23"/>
    </row>
    <row r="63" spans="2:14" x14ac:dyDescent="0.25">
      <c r="B63" s="18">
        <f>2+90+75</f>
        <v>167</v>
      </c>
      <c r="C63" s="19" t="s">
        <v>98</v>
      </c>
      <c r="D63" s="20" t="s">
        <v>159</v>
      </c>
      <c r="E63" s="47">
        <v>11855155</v>
      </c>
      <c r="F63" s="28">
        <f t="shared" si="1"/>
        <v>52</v>
      </c>
      <c r="G63" s="28"/>
      <c r="H63" s="28"/>
      <c r="I63" s="24"/>
      <c r="J63" s="20" t="s">
        <v>270</v>
      </c>
      <c r="K63" s="18" t="s">
        <v>389</v>
      </c>
      <c r="L63" s="18" t="s">
        <v>586</v>
      </c>
      <c r="M63" s="22"/>
      <c r="N63" s="23"/>
    </row>
    <row r="64" spans="2:14" x14ac:dyDescent="0.25">
      <c r="B64" s="18">
        <f>2+90+75</f>
        <v>167</v>
      </c>
      <c r="C64" s="19" t="s">
        <v>133</v>
      </c>
      <c r="D64" s="20" t="s">
        <v>160</v>
      </c>
      <c r="E64" s="48">
        <v>11855163</v>
      </c>
      <c r="F64" s="28">
        <f t="shared" si="1"/>
        <v>53</v>
      </c>
      <c r="G64" s="28"/>
      <c r="H64" s="28"/>
      <c r="I64" s="24"/>
      <c r="J64" s="20" t="s">
        <v>278</v>
      </c>
      <c r="K64" s="18" t="s">
        <v>389</v>
      </c>
      <c r="L64" s="18" t="s">
        <v>586</v>
      </c>
      <c r="M64" s="22"/>
      <c r="N64" s="23"/>
    </row>
    <row r="65" spans="2:14" x14ac:dyDescent="0.25">
      <c r="B65" s="18">
        <v>90</v>
      </c>
      <c r="C65" s="19" t="s">
        <v>327</v>
      </c>
      <c r="D65" s="20" t="s">
        <v>204</v>
      </c>
      <c r="E65" s="48">
        <v>11857763</v>
      </c>
      <c r="F65" s="28">
        <f t="shared" si="1"/>
        <v>54</v>
      </c>
      <c r="G65" s="28"/>
      <c r="H65" s="28"/>
      <c r="I65" s="24"/>
      <c r="J65" s="20" t="s">
        <v>319</v>
      </c>
      <c r="K65" s="18" t="s">
        <v>389</v>
      </c>
      <c r="L65" s="18" t="s">
        <v>586</v>
      </c>
      <c r="M65" s="22"/>
      <c r="N65" s="23"/>
    </row>
    <row r="66" spans="2:14" x14ac:dyDescent="0.25">
      <c r="B66" s="18">
        <v>90</v>
      </c>
      <c r="C66" s="34" t="s">
        <v>328</v>
      </c>
      <c r="D66" s="20" t="s">
        <v>65</v>
      </c>
      <c r="E66" s="47">
        <v>10766303</v>
      </c>
      <c r="F66" s="28">
        <f t="shared" si="1"/>
        <v>55</v>
      </c>
      <c r="G66" s="28"/>
      <c r="H66" s="28"/>
      <c r="I66" s="24"/>
      <c r="J66" s="20" t="s">
        <v>259</v>
      </c>
      <c r="K66" s="18" t="s">
        <v>388</v>
      </c>
      <c r="L66" s="18" t="s">
        <v>586</v>
      </c>
      <c r="M66" s="22"/>
      <c r="N66" s="23"/>
    </row>
    <row r="67" spans="2:14" x14ac:dyDescent="0.25">
      <c r="B67" s="18">
        <v>90</v>
      </c>
      <c r="C67" s="34" t="s">
        <v>400</v>
      </c>
      <c r="D67" s="20" t="s">
        <v>138</v>
      </c>
      <c r="E67" s="47">
        <v>10769349</v>
      </c>
      <c r="F67" s="28">
        <f t="shared" si="1"/>
        <v>56</v>
      </c>
      <c r="G67" s="28"/>
      <c r="H67" s="28"/>
      <c r="I67" s="24"/>
      <c r="J67" s="20" t="s">
        <v>259</v>
      </c>
      <c r="K67" s="18" t="s">
        <v>388</v>
      </c>
      <c r="L67" s="18" t="s">
        <v>586</v>
      </c>
      <c r="M67" s="22"/>
      <c r="N67" s="23"/>
    </row>
    <row r="68" spans="2:14" x14ac:dyDescent="0.25">
      <c r="B68" s="18">
        <v>90</v>
      </c>
      <c r="C68" s="19" t="s">
        <v>205</v>
      </c>
      <c r="D68" s="20" t="s">
        <v>206</v>
      </c>
      <c r="E68" s="47">
        <v>10766254</v>
      </c>
      <c r="F68" s="28">
        <f t="shared" si="1"/>
        <v>57</v>
      </c>
      <c r="G68" s="28"/>
      <c r="H68" s="28"/>
      <c r="I68" s="24"/>
      <c r="J68" s="20" t="s">
        <v>259</v>
      </c>
      <c r="K68" s="18" t="s">
        <v>388</v>
      </c>
      <c r="L68" s="18" t="s">
        <v>586</v>
      </c>
      <c r="M68" s="22"/>
      <c r="N68" s="23"/>
    </row>
    <row r="69" spans="2:14" x14ac:dyDescent="0.25">
      <c r="B69" s="18">
        <v>90</v>
      </c>
      <c r="C69" s="19" t="s">
        <v>329</v>
      </c>
      <c r="D69" s="20" t="s">
        <v>71</v>
      </c>
      <c r="E69" s="47">
        <v>10766296</v>
      </c>
      <c r="F69" s="28">
        <f t="shared" si="1"/>
        <v>58</v>
      </c>
      <c r="G69" s="28"/>
      <c r="H69" s="28"/>
      <c r="I69" s="24"/>
      <c r="J69" s="20" t="s">
        <v>259</v>
      </c>
      <c r="K69" s="18" t="s">
        <v>388</v>
      </c>
      <c r="L69" s="18" t="s">
        <v>586</v>
      </c>
      <c r="M69" s="22"/>
      <c r="N69" s="23"/>
    </row>
    <row r="70" spans="2:14" x14ac:dyDescent="0.25">
      <c r="B70" s="18">
        <v>90</v>
      </c>
      <c r="C70" s="19" t="s">
        <v>168</v>
      </c>
      <c r="D70" s="20" t="s">
        <v>149</v>
      </c>
      <c r="E70" s="47">
        <v>10767418</v>
      </c>
      <c r="F70" s="28">
        <f t="shared" si="1"/>
        <v>59</v>
      </c>
      <c r="G70" s="28"/>
      <c r="H70" s="28"/>
      <c r="I70" s="24"/>
      <c r="J70" s="20" t="s">
        <v>259</v>
      </c>
      <c r="K70" s="18" t="s">
        <v>388</v>
      </c>
      <c r="L70" s="18" t="s">
        <v>586</v>
      </c>
      <c r="M70" s="22"/>
      <c r="N70" s="23"/>
    </row>
    <row r="71" spans="2:14" x14ac:dyDescent="0.25">
      <c r="B71" s="18">
        <v>90</v>
      </c>
      <c r="C71" s="34" t="s">
        <v>330</v>
      </c>
      <c r="D71" s="20" t="s">
        <v>29</v>
      </c>
      <c r="E71" s="47">
        <v>10765983</v>
      </c>
      <c r="F71" s="28">
        <f t="shared" si="1"/>
        <v>60</v>
      </c>
      <c r="G71" s="28"/>
      <c r="H71" s="28"/>
      <c r="I71" s="24"/>
      <c r="J71" s="20" t="s">
        <v>259</v>
      </c>
      <c r="K71" s="18" t="s">
        <v>388</v>
      </c>
      <c r="L71" s="18" t="s">
        <v>586</v>
      </c>
      <c r="M71" s="22"/>
      <c r="N71" s="23"/>
    </row>
    <row r="72" spans="2:14" x14ac:dyDescent="0.25">
      <c r="B72" s="18">
        <v>90</v>
      </c>
      <c r="C72" s="20" t="s">
        <v>84</v>
      </c>
      <c r="D72" s="29" t="s">
        <v>65</v>
      </c>
      <c r="E72" s="47">
        <v>10605866</v>
      </c>
      <c r="F72" s="28">
        <f t="shared" si="1"/>
        <v>61</v>
      </c>
      <c r="G72" s="28"/>
      <c r="H72" s="28"/>
      <c r="I72" s="22"/>
      <c r="J72" s="20" t="s">
        <v>277</v>
      </c>
      <c r="K72" s="18" t="s">
        <v>388</v>
      </c>
      <c r="L72" s="18" t="s">
        <v>586</v>
      </c>
      <c r="M72" s="22"/>
      <c r="N72" s="23"/>
    </row>
    <row r="73" spans="2:14" x14ac:dyDescent="0.25">
      <c r="B73" s="18">
        <v>90</v>
      </c>
      <c r="C73" s="19" t="s">
        <v>146</v>
      </c>
      <c r="D73" s="20" t="s">
        <v>147</v>
      </c>
      <c r="E73" s="47">
        <v>10574095</v>
      </c>
      <c r="F73" s="28">
        <f t="shared" si="1"/>
        <v>62</v>
      </c>
      <c r="G73" s="28"/>
      <c r="H73" s="28"/>
      <c r="I73" s="22"/>
      <c r="J73" s="20" t="s">
        <v>259</v>
      </c>
      <c r="K73" s="21" t="s">
        <v>388</v>
      </c>
      <c r="L73" s="18" t="s">
        <v>586</v>
      </c>
      <c r="M73" s="22"/>
      <c r="N73" s="23"/>
    </row>
    <row r="74" spans="2:14" x14ac:dyDescent="0.25">
      <c r="B74" s="18">
        <f>45+45</f>
        <v>90</v>
      </c>
      <c r="C74" s="19" t="s">
        <v>572</v>
      </c>
      <c r="D74" s="20" t="s">
        <v>573</v>
      </c>
      <c r="E74" s="47">
        <v>10770859</v>
      </c>
      <c r="F74" s="28">
        <f t="shared" si="1"/>
        <v>63</v>
      </c>
      <c r="G74" s="28"/>
      <c r="H74" s="28"/>
      <c r="I74" s="22"/>
      <c r="J74" s="20" t="s">
        <v>259</v>
      </c>
      <c r="K74" s="21" t="s">
        <v>388</v>
      </c>
      <c r="L74" s="18" t="s">
        <v>586</v>
      </c>
      <c r="M74" s="22"/>
      <c r="N74" s="23"/>
    </row>
    <row r="75" spans="2:14" x14ac:dyDescent="0.25">
      <c r="B75" s="18">
        <f>45+45</f>
        <v>90</v>
      </c>
      <c r="C75" s="20" t="s">
        <v>314</v>
      </c>
      <c r="D75" s="20" t="s">
        <v>169</v>
      </c>
      <c r="E75" s="47">
        <v>10058320</v>
      </c>
      <c r="F75" s="28">
        <f t="shared" si="1"/>
        <v>64</v>
      </c>
      <c r="G75" s="28"/>
      <c r="H75" s="28"/>
      <c r="I75" s="22"/>
      <c r="J75" s="20" t="s">
        <v>259</v>
      </c>
      <c r="K75" s="18" t="s">
        <v>388</v>
      </c>
      <c r="L75" s="18" t="s">
        <v>586</v>
      </c>
      <c r="M75" s="22"/>
      <c r="N75" s="23"/>
    </row>
    <row r="76" spans="2:14" x14ac:dyDescent="0.25">
      <c r="B76" s="18">
        <v>45</v>
      </c>
      <c r="C76" s="19" t="s">
        <v>1053</v>
      </c>
      <c r="D76" s="20" t="s">
        <v>594</v>
      </c>
      <c r="E76" s="47">
        <v>12092459</v>
      </c>
      <c r="F76" s="28">
        <f t="shared" si="1"/>
        <v>65</v>
      </c>
      <c r="G76" s="28"/>
      <c r="H76" s="28"/>
      <c r="I76" s="22"/>
      <c r="J76" s="20" t="s">
        <v>285</v>
      </c>
      <c r="K76" s="21" t="s">
        <v>862</v>
      </c>
      <c r="L76" s="18" t="s">
        <v>586</v>
      </c>
      <c r="M76" s="22"/>
      <c r="N76" s="23"/>
    </row>
    <row r="77" spans="2:14" x14ac:dyDescent="0.25">
      <c r="B77" s="18">
        <v>45</v>
      </c>
      <c r="C77" s="19" t="s">
        <v>596</v>
      </c>
      <c r="D77" s="20" t="s">
        <v>148</v>
      </c>
      <c r="E77" s="47">
        <v>12092425</v>
      </c>
      <c r="F77" s="28">
        <f t="shared" si="1"/>
        <v>66</v>
      </c>
      <c r="G77" s="28"/>
      <c r="H77" s="28"/>
      <c r="I77" s="22"/>
      <c r="J77" s="20" t="s">
        <v>285</v>
      </c>
      <c r="K77" s="21" t="s">
        <v>862</v>
      </c>
      <c r="L77" s="18" t="s">
        <v>586</v>
      </c>
      <c r="M77" s="22"/>
      <c r="N77" s="23"/>
    </row>
    <row r="78" spans="2:14" x14ac:dyDescent="0.25">
      <c r="B78" s="18">
        <v>45</v>
      </c>
      <c r="C78" s="19" t="s">
        <v>863</v>
      </c>
      <c r="D78" s="20" t="s">
        <v>137</v>
      </c>
      <c r="E78" s="48">
        <v>10768490</v>
      </c>
      <c r="F78" s="28">
        <f t="shared" si="1"/>
        <v>67</v>
      </c>
      <c r="G78" s="28"/>
      <c r="H78" s="28"/>
      <c r="I78" s="22"/>
      <c r="J78" s="20" t="s">
        <v>750</v>
      </c>
      <c r="K78" s="21" t="s">
        <v>388</v>
      </c>
      <c r="L78" s="18" t="s">
        <v>586</v>
      </c>
      <c r="M78" s="22"/>
      <c r="N78" s="23"/>
    </row>
    <row r="79" spans="2:14" x14ac:dyDescent="0.25">
      <c r="B79" s="18">
        <v>45</v>
      </c>
      <c r="C79" s="19" t="s">
        <v>597</v>
      </c>
      <c r="D79" s="20" t="s">
        <v>27</v>
      </c>
      <c r="E79" s="48">
        <v>10770627</v>
      </c>
      <c r="F79" s="28">
        <f t="shared" si="1"/>
        <v>68</v>
      </c>
      <c r="G79" s="28"/>
      <c r="H79" s="28"/>
      <c r="I79" s="22"/>
      <c r="J79" s="20" t="s">
        <v>259</v>
      </c>
      <c r="K79" s="21" t="s">
        <v>388</v>
      </c>
      <c r="L79" s="18" t="s">
        <v>586</v>
      </c>
      <c r="M79" s="22"/>
      <c r="N79" s="23"/>
    </row>
    <row r="80" spans="2:14" x14ac:dyDescent="0.25">
      <c r="B80" s="18">
        <v>45</v>
      </c>
      <c r="C80" s="19" t="s">
        <v>85</v>
      </c>
      <c r="D80" s="20" t="s">
        <v>129</v>
      </c>
      <c r="E80" s="48">
        <v>11855288</v>
      </c>
      <c r="F80" s="28">
        <f t="shared" si="1"/>
        <v>69</v>
      </c>
      <c r="G80" s="28"/>
      <c r="H80" s="28"/>
      <c r="I80" s="24"/>
      <c r="J80" s="20" t="s">
        <v>270</v>
      </c>
      <c r="K80" s="18" t="s">
        <v>389</v>
      </c>
      <c r="L80" s="18" t="s">
        <v>586</v>
      </c>
      <c r="M80" s="22"/>
      <c r="N80" s="23"/>
    </row>
    <row r="81" spans="2:14" x14ac:dyDescent="0.25">
      <c r="B81" s="18">
        <v>45</v>
      </c>
      <c r="C81" s="36" t="s">
        <v>93</v>
      </c>
      <c r="D81" s="20" t="s">
        <v>41</v>
      </c>
      <c r="E81" s="49">
        <v>11855270</v>
      </c>
      <c r="F81" s="28">
        <f t="shared" si="1"/>
        <v>70</v>
      </c>
      <c r="G81" s="28"/>
      <c r="H81" s="28"/>
      <c r="I81" s="24"/>
      <c r="J81" s="20" t="s">
        <v>270</v>
      </c>
      <c r="K81" s="18" t="s">
        <v>389</v>
      </c>
      <c r="L81" s="18" t="s">
        <v>586</v>
      </c>
      <c r="M81" s="22"/>
      <c r="N81" s="23"/>
    </row>
    <row r="82" spans="2:14" x14ac:dyDescent="0.25">
      <c r="B82" s="18">
        <v>45</v>
      </c>
      <c r="C82" s="19" t="s">
        <v>598</v>
      </c>
      <c r="D82" s="20" t="s">
        <v>599</v>
      </c>
      <c r="E82" s="48">
        <v>10772920</v>
      </c>
      <c r="F82" s="28">
        <f t="shared" si="1"/>
        <v>71</v>
      </c>
      <c r="G82" s="28"/>
      <c r="H82" s="28"/>
      <c r="I82" s="22"/>
      <c r="J82" s="20" t="s">
        <v>259</v>
      </c>
      <c r="K82" s="21" t="s">
        <v>388</v>
      </c>
      <c r="L82" s="18" t="s">
        <v>586</v>
      </c>
      <c r="M82" s="22"/>
      <c r="N82" s="23"/>
    </row>
    <row r="83" spans="2:14" x14ac:dyDescent="0.25">
      <c r="B83" s="18">
        <v>45</v>
      </c>
      <c r="C83" s="19" t="s">
        <v>600</v>
      </c>
      <c r="D83" s="20" t="s">
        <v>532</v>
      </c>
      <c r="E83" s="47">
        <v>10772409</v>
      </c>
      <c r="F83" s="28">
        <f t="shared" si="1"/>
        <v>72</v>
      </c>
      <c r="G83" s="28"/>
      <c r="H83" s="28"/>
      <c r="I83" s="22"/>
      <c r="J83" s="20" t="s">
        <v>259</v>
      </c>
      <c r="K83" s="21" t="s">
        <v>388</v>
      </c>
      <c r="L83" s="18" t="s">
        <v>586</v>
      </c>
      <c r="M83" s="22"/>
      <c r="N83" s="23"/>
    </row>
    <row r="84" spans="2:14" x14ac:dyDescent="0.25">
      <c r="B84" s="18">
        <v>45</v>
      </c>
      <c r="C84" s="19" t="s">
        <v>865</v>
      </c>
      <c r="D84" s="20" t="s">
        <v>121</v>
      </c>
      <c r="E84" s="47">
        <v>16720121</v>
      </c>
      <c r="F84" s="28">
        <f t="shared" si="1"/>
        <v>73</v>
      </c>
      <c r="G84" s="28"/>
      <c r="H84" s="28"/>
      <c r="I84" s="22"/>
      <c r="J84" s="20" t="s">
        <v>864</v>
      </c>
      <c r="K84" s="21" t="s">
        <v>820</v>
      </c>
      <c r="L84" s="18" t="s">
        <v>586</v>
      </c>
      <c r="M84" s="22"/>
      <c r="N84" s="23"/>
    </row>
    <row r="85" spans="2:14" x14ac:dyDescent="0.25">
      <c r="B85" s="18">
        <v>45</v>
      </c>
      <c r="C85" s="20" t="s">
        <v>439</v>
      </c>
      <c r="D85" s="20" t="s">
        <v>86</v>
      </c>
      <c r="E85" s="47">
        <v>11855824</v>
      </c>
      <c r="F85" s="28">
        <f t="shared" si="1"/>
        <v>74</v>
      </c>
      <c r="G85" s="28"/>
      <c r="H85" s="28"/>
      <c r="I85" s="24"/>
      <c r="J85" s="20" t="s">
        <v>270</v>
      </c>
      <c r="K85" s="21" t="s">
        <v>389</v>
      </c>
      <c r="L85" s="18" t="s">
        <v>586</v>
      </c>
      <c r="M85" s="22"/>
      <c r="N85" s="23"/>
    </row>
    <row r="86" spans="2:14" x14ac:dyDescent="0.25">
      <c r="B86" s="18">
        <v>45</v>
      </c>
      <c r="C86" s="19" t="s">
        <v>601</v>
      </c>
      <c r="D86" s="20" t="s">
        <v>602</v>
      </c>
      <c r="E86" s="47">
        <v>10772095</v>
      </c>
      <c r="F86" s="28">
        <f t="shared" ref="F86:F155" si="2">F85+1</f>
        <v>75</v>
      </c>
      <c r="G86" s="28"/>
      <c r="H86" s="28"/>
      <c r="I86" s="22"/>
      <c r="J86" s="20" t="s">
        <v>259</v>
      </c>
      <c r="K86" s="18" t="s">
        <v>388</v>
      </c>
      <c r="L86" s="18" t="s">
        <v>586</v>
      </c>
      <c r="M86" s="22"/>
      <c r="N86" s="23"/>
    </row>
    <row r="87" spans="2:14" x14ac:dyDescent="0.25">
      <c r="B87" s="18">
        <v>45</v>
      </c>
      <c r="C87" s="36" t="s">
        <v>331</v>
      </c>
      <c r="D87" s="20" t="s">
        <v>332</v>
      </c>
      <c r="E87" s="48">
        <v>10765355</v>
      </c>
      <c r="F87" s="28">
        <f t="shared" si="2"/>
        <v>76</v>
      </c>
      <c r="G87" s="28"/>
      <c r="H87" s="28"/>
      <c r="I87" s="22"/>
      <c r="J87" s="20" t="s">
        <v>259</v>
      </c>
      <c r="K87" s="18" t="s">
        <v>388</v>
      </c>
      <c r="L87" s="18" t="s">
        <v>586</v>
      </c>
      <c r="M87" s="22"/>
      <c r="N87" s="23"/>
    </row>
    <row r="88" spans="2:14" x14ac:dyDescent="0.25">
      <c r="B88" s="18">
        <v>45</v>
      </c>
      <c r="C88" s="19" t="s">
        <v>738</v>
      </c>
      <c r="D88" s="20" t="s">
        <v>471</v>
      </c>
      <c r="E88" s="48">
        <v>5819521</v>
      </c>
      <c r="F88" s="28">
        <f t="shared" si="2"/>
        <v>77</v>
      </c>
      <c r="G88" s="28"/>
      <c r="H88" s="28"/>
      <c r="I88" s="22"/>
      <c r="J88" s="20" t="s">
        <v>259</v>
      </c>
      <c r="K88" s="21" t="s">
        <v>388</v>
      </c>
      <c r="L88" s="18" t="s">
        <v>586</v>
      </c>
      <c r="M88" s="22"/>
      <c r="N88" s="23"/>
    </row>
    <row r="89" spans="2:14" x14ac:dyDescent="0.25">
      <c r="B89" s="18">
        <v>45</v>
      </c>
      <c r="C89" s="19" t="s">
        <v>276</v>
      </c>
      <c r="D89" s="20" t="s">
        <v>739</v>
      </c>
      <c r="E89" s="48">
        <v>7291165</v>
      </c>
      <c r="F89" s="28">
        <f t="shared" si="2"/>
        <v>78</v>
      </c>
      <c r="G89" s="28"/>
      <c r="H89" s="28"/>
      <c r="I89" s="22"/>
      <c r="J89" s="20" t="s">
        <v>277</v>
      </c>
      <c r="K89" s="21" t="s">
        <v>388</v>
      </c>
      <c r="L89" s="18" t="s">
        <v>586</v>
      </c>
      <c r="M89" s="22"/>
      <c r="N89" s="23"/>
    </row>
    <row r="90" spans="2:14" x14ac:dyDescent="0.25">
      <c r="B90" s="18">
        <v>45</v>
      </c>
      <c r="C90" s="19" t="s">
        <v>740</v>
      </c>
      <c r="D90" s="20" t="s">
        <v>614</v>
      </c>
      <c r="E90" s="47">
        <v>10777483</v>
      </c>
      <c r="F90" s="28">
        <f t="shared" si="2"/>
        <v>79</v>
      </c>
      <c r="G90" s="28"/>
      <c r="H90" s="28"/>
      <c r="I90" s="22"/>
      <c r="J90" s="20" t="s">
        <v>259</v>
      </c>
      <c r="K90" s="21" t="s">
        <v>388</v>
      </c>
      <c r="L90" s="18" t="s">
        <v>586</v>
      </c>
      <c r="M90" s="22"/>
      <c r="N90" s="23"/>
    </row>
    <row r="91" spans="2:14" ht="15.75" thickBot="1" x14ac:dyDescent="0.3">
      <c r="B91" s="73"/>
      <c r="C91" s="92"/>
      <c r="D91" s="74"/>
      <c r="E91" s="67"/>
      <c r="F91" s="76"/>
      <c r="G91" s="76"/>
      <c r="H91" s="76"/>
      <c r="I91" s="77"/>
      <c r="J91" s="74"/>
      <c r="K91" s="78"/>
      <c r="L91" s="73"/>
      <c r="M91" s="77"/>
      <c r="N91" s="79"/>
    </row>
    <row r="92" spans="2:14" ht="15.75" thickBot="1" x14ac:dyDescent="0.3">
      <c r="B92" s="2"/>
      <c r="C92" s="1"/>
      <c r="D92" s="1"/>
      <c r="E92" s="3"/>
      <c r="F92" s="89" t="s">
        <v>1034</v>
      </c>
      <c r="G92" s="87"/>
      <c r="H92" s="87"/>
      <c r="I92" s="88"/>
      <c r="J92" s="88"/>
      <c r="K92" s="3"/>
      <c r="L92" s="3"/>
      <c r="M92" s="7" t="s">
        <v>0</v>
      </c>
      <c r="N92" s="5"/>
    </row>
    <row r="93" spans="2:14" x14ac:dyDescent="0.25">
      <c r="B93" s="8" t="s">
        <v>1</v>
      </c>
      <c r="C93" s="9" t="s">
        <v>2</v>
      </c>
      <c r="D93" s="9" t="s">
        <v>3</v>
      </c>
      <c r="E93" s="9" t="s">
        <v>4</v>
      </c>
      <c r="F93" s="10" t="s">
        <v>5</v>
      </c>
      <c r="G93" s="10" t="s">
        <v>6</v>
      </c>
      <c r="H93" s="10" t="s">
        <v>7</v>
      </c>
      <c r="I93" s="10" t="s">
        <v>8</v>
      </c>
      <c r="J93" s="9" t="s">
        <v>9</v>
      </c>
      <c r="K93" s="41" t="s">
        <v>387</v>
      </c>
      <c r="L93" s="9" t="s">
        <v>10</v>
      </c>
      <c r="M93" s="11" t="s">
        <v>11</v>
      </c>
      <c r="N93" s="12" t="s">
        <v>12</v>
      </c>
    </row>
    <row r="94" spans="2:14" x14ac:dyDescent="0.25">
      <c r="B94" s="18">
        <v>1500</v>
      </c>
      <c r="C94" s="19" t="s">
        <v>175</v>
      </c>
      <c r="D94" s="20" t="s">
        <v>79</v>
      </c>
      <c r="E94" s="47">
        <v>10602250</v>
      </c>
      <c r="F94" s="28">
        <f>F90+1</f>
        <v>80</v>
      </c>
      <c r="G94" s="28"/>
      <c r="H94" s="28"/>
      <c r="I94" s="22"/>
      <c r="J94" s="20" t="s">
        <v>259</v>
      </c>
      <c r="K94" s="18" t="s">
        <v>388</v>
      </c>
      <c r="L94" s="18" t="s">
        <v>587</v>
      </c>
      <c r="M94" s="22"/>
      <c r="N94" s="23"/>
    </row>
    <row r="95" spans="2:14" x14ac:dyDescent="0.25">
      <c r="B95" s="18">
        <v>1500</v>
      </c>
      <c r="C95" s="19" t="s">
        <v>313</v>
      </c>
      <c r="D95" s="20" t="s">
        <v>141</v>
      </c>
      <c r="E95" s="48">
        <v>10768804</v>
      </c>
      <c r="F95" s="28">
        <f t="shared" si="2"/>
        <v>81</v>
      </c>
      <c r="G95" s="28"/>
      <c r="H95" s="28"/>
      <c r="I95" s="22"/>
      <c r="J95" s="20" t="s">
        <v>761</v>
      </c>
      <c r="K95" s="18" t="s">
        <v>388</v>
      </c>
      <c r="L95" s="18" t="s">
        <v>587</v>
      </c>
      <c r="M95" s="22"/>
      <c r="N95" s="23"/>
    </row>
    <row r="96" spans="2:14" x14ac:dyDescent="0.25">
      <c r="B96" s="18">
        <v>1500</v>
      </c>
      <c r="C96" s="19" t="s">
        <v>400</v>
      </c>
      <c r="D96" s="20" t="s">
        <v>138</v>
      </c>
      <c r="E96" s="48">
        <v>10769349</v>
      </c>
      <c r="F96" s="28">
        <f t="shared" si="2"/>
        <v>82</v>
      </c>
      <c r="G96" s="28"/>
      <c r="H96" s="28"/>
      <c r="I96" s="22"/>
      <c r="J96" s="20" t="s">
        <v>259</v>
      </c>
      <c r="K96" s="18" t="s">
        <v>388</v>
      </c>
      <c r="L96" s="18" t="s">
        <v>587</v>
      </c>
      <c r="M96" s="22"/>
      <c r="N96" s="23"/>
    </row>
    <row r="97" spans="2:14" x14ac:dyDescent="0.25">
      <c r="B97" s="18">
        <v>1500</v>
      </c>
      <c r="C97" s="19" t="s">
        <v>292</v>
      </c>
      <c r="D97" s="20" t="s">
        <v>89</v>
      </c>
      <c r="E97" s="48">
        <v>10768200</v>
      </c>
      <c r="F97" s="28">
        <f t="shared" si="2"/>
        <v>83</v>
      </c>
      <c r="G97" s="28"/>
      <c r="H97" s="28"/>
      <c r="I97" s="22"/>
      <c r="J97" s="20" t="s">
        <v>259</v>
      </c>
      <c r="K97" s="18" t="s">
        <v>388</v>
      </c>
      <c r="L97" s="18" t="s">
        <v>587</v>
      </c>
      <c r="M97" s="22"/>
      <c r="N97" s="23"/>
    </row>
    <row r="98" spans="2:14" x14ac:dyDescent="0.25">
      <c r="B98" s="18">
        <f>360+1000</f>
        <v>1360</v>
      </c>
      <c r="C98" s="19" t="s">
        <v>333</v>
      </c>
      <c r="D98" s="20" t="s">
        <v>334</v>
      </c>
      <c r="E98" s="49">
        <v>10675421</v>
      </c>
      <c r="F98" s="28">
        <f t="shared" si="2"/>
        <v>84</v>
      </c>
      <c r="G98" s="28"/>
      <c r="H98" s="28"/>
      <c r="I98" s="22"/>
      <c r="J98" s="20" t="s">
        <v>259</v>
      </c>
      <c r="K98" s="18" t="s">
        <v>388</v>
      </c>
      <c r="L98" s="18" t="s">
        <v>587</v>
      </c>
      <c r="M98" s="22"/>
      <c r="N98" s="23"/>
    </row>
    <row r="99" spans="2:14" x14ac:dyDescent="0.25">
      <c r="B99" s="18">
        <v>1200</v>
      </c>
      <c r="C99" s="19" t="s">
        <v>878</v>
      </c>
      <c r="D99" s="20" t="s">
        <v>113</v>
      </c>
      <c r="E99" s="48">
        <v>16954605</v>
      </c>
      <c r="F99" s="28">
        <f t="shared" si="2"/>
        <v>85</v>
      </c>
      <c r="G99" s="28"/>
      <c r="H99" s="28"/>
      <c r="I99" s="22"/>
      <c r="J99" s="20" t="s">
        <v>262</v>
      </c>
      <c r="K99" s="18" t="s">
        <v>390</v>
      </c>
      <c r="L99" s="18" t="s">
        <v>587</v>
      </c>
      <c r="M99" s="22"/>
      <c r="N99" s="23"/>
    </row>
    <row r="100" spans="2:14" x14ac:dyDescent="0.25">
      <c r="B100" s="18">
        <v>1200</v>
      </c>
      <c r="C100" s="19" t="s">
        <v>564</v>
      </c>
      <c r="D100" s="20" t="s">
        <v>603</v>
      </c>
      <c r="E100" s="48">
        <v>11855379</v>
      </c>
      <c r="F100" s="28">
        <f t="shared" si="2"/>
        <v>86</v>
      </c>
      <c r="G100" s="28"/>
      <c r="H100" s="28"/>
      <c r="I100" s="22"/>
      <c r="J100" s="20" t="s">
        <v>278</v>
      </c>
      <c r="K100" s="18" t="s">
        <v>389</v>
      </c>
      <c r="L100" s="18" t="s">
        <v>587</v>
      </c>
      <c r="M100" s="22"/>
      <c r="N100" s="23"/>
    </row>
    <row r="101" spans="2:14" x14ac:dyDescent="0.25">
      <c r="B101" s="18">
        <f>90+600</f>
        <v>690</v>
      </c>
      <c r="C101" s="19" t="s">
        <v>127</v>
      </c>
      <c r="D101" s="20" t="s">
        <v>153</v>
      </c>
      <c r="E101" s="46">
        <v>10768531</v>
      </c>
      <c r="F101" s="28">
        <f t="shared" si="2"/>
        <v>87</v>
      </c>
      <c r="G101" s="28"/>
      <c r="H101" s="28"/>
      <c r="I101" s="22"/>
      <c r="J101" s="20" t="s">
        <v>750</v>
      </c>
      <c r="K101" s="18" t="s">
        <v>388</v>
      </c>
      <c r="L101" s="18" t="s">
        <v>587</v>
      </c>
      <c r="M101" s="22"/>
      <c r="N101" s="23"/>
    </row>
    <row r="102" spans="2:14" x14ac:dyDescent="0.25">
      <c r="B102" s="18">
        <v>600</v>
      </c>
      <c r="C102" s="19" t="s">
        <v>221</v>
      </c>
      <c r="D102" s="20" t="s">
        <v>148</v>
      </c>
      <c r="E102" s="46">
        <v>10767426</v>
      </c>
      <c r="F102" s="28">
        <f t="shared" si="2"/>
        <v>88</v>
      </c>
      <c r="G102" s="28"/>
      <c r="H102" s="28"/>
      <c r="I102" s="22"/>
      <c r="J102" s="20" t="s">
        <v>750</v>
      </c>
      <c r="K102" s="18" t="s">
        <v>388</v>
      </c>
      <c r="L102" s="18" t="s">
        <v>587</v>
      </c>
      <c r="M102" s="22"/>
      <c r="N102" s="23"/>
    </row>
    <row r="103" spans="2:14" x14ac:dyDescent="0.25">
      <c r="B103" s="18">
        <v>400</v>
      </c>
      <c r="C103" s="19" t="s">
        <v>879</v>
      </c>
      <c r="D103" s="20" t="s">
        <v>79</v>
      </c>
      <c r="E103" s="48">
        <v>16954514</v>
      </c>
      <c r="F103" s="28">
        <f t="shared" si="2"/>
        <v>89</v>
      </c>
      <c r="G103" s="28"/>
      <c r="H103" s="28"/>
      <c r="I103" s="22"/>
      <c r="J103" s="20" t="s">
        <v>262</v>
      </c>
      <c r="K103" s="18" t="s">
        <v>390</v>
      </c>
      <c r="L103" s="18" t="s">
        <v>587</v>
      </c>
      <c r="M103" s="22"/>
      <c r="N103" s="23"/>
    </row>
    <row r="104" spans="2:14" x14ac:dyDescent="0.25">
      <c r="B104" s="18">
        <v>360</v>
      </c>
      <c r="C104" s="19" t="s">
        <v>336</v>
      </c>
      <c r="D104" s="20" t="s">
        <v>236</v>
      </c>
      <c r="E104" s="46" t="s">
        <v>335</v>
      </c>
      <c r="F104" s="28">
        <f t="shared" si="2"/>
        <v>90</v>
      </c>
      <c r="G104" s="28"/>
      <c r="H104" s="28"/>
      <c r="I104" s="22"/>
      <c r="J104" s="20" t="s">
        <v>259</v>
      </c>
      <c r="K104" s="18" t="s">
        <v>388</v>
      </c>
      <c r="L104" s="18" t="s">
        <v>587</v>
      </c>
      <c r="M104" s="22"/>
      <c r="N104" s="23"/>
    </row>
    <row r="105" spans="2:14" x14ac:dyDescent="0.25">
      <c r="B105" s="18">
        <v>360</v>
      </c>
      <c r="C105" s="19" t="s">
        <v>337</v>
      </c>
      <c r="D105" s="20" t="s">
        <v>338</v>
      </c>
      <c r="E105" s="48">
        <v>10768119</v>
      </c>
      <c r="F105" s="28">
        <f t="shared" si="2"/>
        <v>91</v>
      </c>
      <c r="G105" s="28"/>
      <c r="H105" s="28"/>
      <c r="I105" s="22"/>
      <c r="J105" s="20" t="s">
        <v>259</v>
      </c>
      <c r="K105" s="18" t="s">
        <v>388</v>
      </c>
      <c r="L105" s="18" t="s">
        <v>587</v>
      </c>
      <c r="M105" s="22"/>
      <c r="N105" s="23"/>
    </row>
    <row r="106" spans="2:14" x14ac:dyDescent="0.25">
      <c r="B106" s="18">
        <v>360</v>
      </c>
      <c r="C106" s="19" t="s">
        <v>151</v>
      </c>
      <c r="D106" s="20" t="s">
        <v>30</v>
      </c>
      <c r="E106" s="47">
        <v>14120159</v>
      </c>
      <c r="F106" s="28">
        <f t="shared" si="2"/>
        <v>92</v>
      </c>
      <c r="G106" s="28"/>
      <c r="H106" s="28"/>
      <c r="I106" s="22"/>
      <c r="J106" s="20" t="s">
        <v>339</v>
      </c>
      <c r="K106" s="18" t="s">
        <v>396</v>
      </c>
      <c r="L106" s="18" t="s">
        <v>587</v>
      </c>
      <c r="M106" s="22"/>
      <c r="N106" s="23"/>
    </row>
    <row r="107" spans="2:14" x14ac:dyDescent="0.25">
      <c r="B107" s="18">
        <f>90+25+100</f>
        <v>215</v>
      </c>
      <c r="C107" s="36" t="s">
        <v>93</v>
      </c>
      <c r="D107" s="20" t="s">
        <v>41</v>
      </c>
      <c r="E107" s="49">
        <v>11855270</v>
      </c>
      <c r="F107" s="28">
        <f t="shared" si="2"/>
        <v>93</v>
      </c>
      <c r="G107" s="28"/>
      <c r="H107" s="28"/>
      <c r="I107" s="24"/>
      <c r="J107" s="20" t="s">
        <v>270</v>
      </c>
      <c r="K107" s="18" t="s">
        <v>389</v>
      </c>
      <c r="L107" s="18" t="s">
        <v>587</v>
      </c>
      <c r="M107" s="22"/>
      <c r="N107" s="23"/>
    </row>
    <row r="108" spans="2:14" x14ac:dyDescent="0.25">
      <c r="B108" s="18">
        <v>180</v>
      </c>
      <c r="C108" s="19" t="s">
        <v>176</v>
      </c>
      <c r="D108" s="20" t="s">
        <v>178</v>
      </c>
      <c r="E108" s="49">
        <v>16670243</v>
      </c>
      <c r="F108" s="28">
        <f t="shared" si="2"/>
        <v>94</v>
      </c>
      <c r="G108" s="28"/>
      <c r="H108" s="28"/>
      <c r="I108" s="24"/>
      <c r="J108" s="20" t="s">
        <v>880</v>
      </c>
      <c r="K108" s="18" t="s">
        <v>392</v>
      </c>
      <c r="L108" s="18" t="s">
        <v>587</v>
      </c>
      <c r="M108" s="22"/>
      <c r="N108" s="23"/>
    </row>
    <row r="109" spans="2:14" x14ac:dyDescent="0.25">
      <c r="B109" s="18">
        <v>180</v>
      </c>
      <c r="C109" s="19" t="s">
        <v>636</v>
      </c>
      <c r="D109" s="20" t="s">
        <v>605</v>
      </c>
      <c r="E109" s="49">
        <v>4163721</v>
      </c>
      <c r="F109" s="28">
        <f t="shared" si="2"/>
        <v>95</v>
      </c>
      <c r="G109" s="28"/>
      <c r="H109" s="28"/>
      <c r="I109" s="24"/>
      <c r="J109" s="20" t="s">
        <v>753</v>
      </c>
      <c r="K109" s="18" t="s">
        <v>754</v>
      </c>
      <c r="L109" s="18" t="s">
        <v>587</v>
      </c>
      <c r="M109" s="22"/>
      <c r="N109" s="23"/>
    </row>
    <row r="110" spans="2:14" x14ac:dyDescent="0.25">
      <c r="B110" s="18">
        <v>180</v>
      </c>
      <c r="C110" s="19" t="s">
        <v>881</v>
      </c>
      <c r="D110" s="20" t="s">
        <v>606</v>
      </c>
      <c r="E110" s="49">
        <v>10772566</v>
      </c>
      <c r="F110" s="28">
        <f t="shared" si="2"/>
        <v>96</v>
      </c>
      <c r="G110" s="28"/>
      <c r="H110" s="28"/>
      <c r="I110" s="24"/>
      <c r="J110" s="20" t="s">
        <v>761</v>
      </c>
      <c r="K110" s="18" t="s">
        <v>388</v>
      </c>
      <c r="L110" s="18" t="s">
        <v>587</v>
      </c>
      <c r="M110" s="22"/>
      <c r="N110" s="23"/>
    </row>
    <row r="111" spans="2:14" x14ac:dyDescent="0.25">
      <c r="B111" s="18">
        <v>180</v>
      </c>
      <c r="C111" s="19" t="s">
        <v>607</v>
      </c>
      <c r="D111" s="20" t="s">
        <v>608</v>
      </c>
      <c r="E111" s="49">
        <v>16954374</v>
      </c>
      <c r="F111" s="28">
        <f t="shared" si="2"/>
        <v>97</v>
      </c>
      <c r="G111" s="28"/>
      <c r="H111" s="28"/>
      <c r="I111" s="24"/>
      <c r="J111" s="20" t="s">
        <v>262</v>
      </c>
      <c r="K111" s="18" t="s">
        <v>390</v>
      </c>
      <c r="L111" s="18" t="s">
        <v>587</v>
      </c>
      <c r="M111" s="22"/>
      <c r="N111" s="23"/>
    </row>
    <row r="112" spans="2:14" x14ac:dyDescent="0.25">
      <c r="B112" s="18">
        <f>90+75</f>
        <v>165</v>
      </c>
      <c r="C112" s="29" t="s">
        <v>287</v>
      </c>
      <c r="D112" s="20" t="s">
        <v>46</v>
      </c>
      <c r="E112" s="46">
        <v>11855551</v>
      </c>
      <c r="F112" s="28">
        <f t="shared" si="2"/>
        <v>98</v>
      </c>
      <c r="G112" s="28"/>
      <c r="H112" s="28"/>
      <c r="I112" s="22"/>
      <c r="J112" s="20" t="s">
        <v>270</v>
      </c>
      <c r="K112" s="18" t="s">
        <v>389</v>
      </c>
      <c r="L112" s="18" t="s">
        <v>587</v>
      </c>
      <c r="M112" s="22"/>
      <c r="N112" s="23"/>
    </row>
    <row r="113" spans="2:14" x14ac:dyDescent="0.25">
      <c r="B113" s="18">
        <f>90+45</f>
        <v>135</v>
      </c>
      <c r="C113" s="19" t="s">
        <v>224</v>
      </c>
      <c r="D113" s="20" t="s">
        <v>132</v>
      </c>
      <c r="E113" s="46">
        <v>10765579</v>
      </c>
      <c r="F113" s="28">
        <f t="shared" si="2"/>
        <v>99</v>
      </c>
      <c r="G113" s="28"/>
      <c r="H113" s="28"/>
      <c r="I113" s="22"/>
      <c r="J113" s="20" t="s">
        <v>259</v>
      </c>
      <c r="K113" s="18" t="s">
        <v>388</v>
      </c>
      <c r="L113" s="18" t="s">
        <v>587</v>
      </c>
      <c r="M113" s="22"/>
      <c r="N113" s="23"/>
    </row>
    <row r="114" spans="2:14" x14ac:dyDescent="0.25">
      <c r="B114" s="18">
        <f>90+45</f>
        <v>135</v>
      </c>
      <c r="C114" s="19" t="s">
        <v>342</v>
      </c>
      <c r="D114" s="20" t="s">
        <v>343</v>
      </c>
      <c r="E114" s="46">
        <v>16307804</v>
      </c>
      <c r="F114" s="28">
        <f t="shared" si="2"/>
        <v>100</v>
      </c>
      <c r="G114" s="28"/>
      <c r="H114" s="28"/>
      <c r="I114" s="22"/>
      <c r="J114" s="20" t="s">
        <v>259</v>
      </c>
      <c r="K114" s="18" t="s">
        <v>388</v>
      </c>
      <c r="L114" s="18" t="s">
        <v>587</v>
      </c>
      <c r="M114" s="22"/>
      <c r="N114" s="23"/>
    </row>
    <row r="115" spans="2:14" x14ac:dyDescent="0.25">
      <c r="B115" s="18">
        <f>2+125</f>
        <v>127</v>
      </c>
      <c r="C115" s="19" t="s">
        <v>52</v>
      </c>
      <c r="D115" s="20" t="s">
        <v>158</v>
      </c>
      <c r="E115" s="49">
        <v>11855634</v>
      </c>
      <c r="F115" s="28">
        <f t="shared" si="2"/>
        <v>101</v>
      </c>
      <c r="G115" s="28"/>
      <c r="H115" s="28"/>
      <c r="I115" s="24"/>
      <c r="J115" s="20" t="s">
        <v>270</v>
      </c>
      <c r="K115" s="18" t="s">
        <v>389</v>
      </c>
      <c r="L115" s="18" t="s">
        <v>587</v>
      </c>
      <c r="M115" s="22"/>
      <c r="N115" s="23"/>
    </row>
    <row r="116" spans="2:14" x14ac:dyDescent="0.25">
      <c r="B116" s="18">
        <v>90</v>
      </c>
      <c r="C116" s="19" t="s">
        <v>340</v>
      </c>
      <c r="D116" s="20" t="s">
        <v>223</v>
      </c>
      <c r="E116" s="46">
        <v>10767260</v>
      </c>
      <c r="F116" s="28">
        <f t="shared" si="2"/>
        <v>102</v>
      </c>
      <c r="G116" s="28"/>
      <c r="H116" s="28"/>
      <c r="I116" s="22"/>
      <c r="J116" s="20" t="s">
        <v>259</v>
      </c>
      <c r="K116" s="18" t="s">
        <v>388</v>
      </c>
      <c r="L116" s="18" t="s">
        <v>587</v>
      </c>
      <c r="M116" s="22"/>
      <c r="N116" s="23"/>
    </row>
    <row r="117" spans="2:14" x14ac:dyDescent="0.25">
      <c r="B117" s="18">
        <v>90</v>
      </c>
      <c r="C117" s="19" t="s">
        <v>171</v>
      </c>
      <c r="D117" s="20" t="s">
        <v>80</v>
      </c>
      <c r="E117" s="46" t="s">
        <v>882</v>
      </c>
      <c r="F117" s="28">
        <f t="shared" si="2"/>
        <v>103</v>
      </c>
      <c r="G117" s="28"/>
      <c r="H117" s="28"/>
      <c r="I117" s="22"/>
      <c r="J117" s="20" t="s">
        <v>259</v>
      </c>
      <c r="K117" s="18" t="s">
        <v>388</v>
      </c>
      <c r="L117" s="18" t="s">
        <v>587</v>
      </c>
      <c r="M117" s="22"/>
      <c r="N117" s="23"/>
    </row>
    <row r="118" spans="2:14" x14ac:dyDescent="0.25">
      <c r="B118" s="18">
        <v>90</v>
      </c>
      <c r="C118" s="19" t="s">
        <v>341</v>
      </c>
      <c r="D118" s="20" t="s">
        <v>132</v>
      </c>
      <c r="E118" s="46">
        <v>10767864</v>
      </c>
      <c r="F118" s="28">
        <f t="shared" si="2"/>
        <v>104</v>
      </c>
      <c r="G118" s="28"/>
      <c r="H118" s="28"/>
      <c r="I118" s="22"/>
      <c r="J118" s="20" t="s">
        <v>259</v>
      </c>
      <c r="K118" s="18" t="s">
        <v>388</v>
      </c>
      <c r="L118" s="18" t="s">
        <v>587</v>
      </c>
      <c r="M118" s="22"/>
      <c r="N118" s="23"/>
    </row>
    <row r="119" spans="2:14" x14ac:dyDescent="0.25">
      <c r="B119" s="18">
        <v>90</v>
      </c>
      <c r="C119" s="34" t="s">
        <v>344</v>
      </c>
      <c r="D119" s="20" t="s">
        <v>345</v>
      </c>
      <c r="E119" s="47">
        <v>10767880</v>
      </c>
      <c r="F119" s="28">
        <f t="shared" si="2"/>
        <v>105</v>
      </c>
      <c r="G119" s="28"/>
      <c r="H119" s="28"/>
      <c r="I119" s="22"/>
      <c r="J119" s="20" t="s">
        <v>750</v>
      </c>
      <c r="K119" s="18" t="s">
        <v>388</v>
      </c>
      <c r="L119" s="18" t="s">
        <v>587</v>
      </c>
      <c r="M119" s="22"/>
      <c r="N119" s="23"/>
    </row>
    <row r="120" spans="2:14" x14ac:dyDescent="0.25">
      <c r="B120" s="18">
        <v>90</v>
      </c>
      <c r="C120" s="19" t="s">
        <v>225</v>
      </c>
      <c r="D120" s="20" t="s">
        <v>226</v>
      </c>
      <c r="E120" s="47">
        <v>10767872</v>
      </c>
      <c r="F120" s="28">
        <f t="shared" si="2"/>
        <v>106</v>
      </c>
      <c r="G120" s="28"/>
      <c r="H120" s="28"/>
      <c r="I120" s="22"/>
      <c r="J120" s="20" t="s">
        <v>750</v>
      </c>
      <c r="K120" s="18" t="s">
        <v>388</v>
      </c>
      <c r="L120" s="18" t="s">
        <v>587</v>
      </c>
      <c r="M120" s="22"/>
      <c r="N120" s="23"/>
    </row>
    <row r="121" spans="2:14" x14ac:dyDescent="0.25">
      <c r="B121" s="18">
        <v>90</v>
      </c>
      <c r="C121" s="19" t="s">
        <v>282</v>
      </c>
      <c r="D121" s="20" t="s">
        <v>283</v>
      </c>
      <c r="E121" s="47">
        <v>10767210</v>
      </c>
      <c r="F121" s="28">
        <f t="shared" si="2"/>
        <v>107</v>
      </c>
      <c r="G121" s="28"/>
      <c r="H121" s="28"/>
      <c r="I121" s="22"/>
      <c r="J121" s="20" t="s">
        <v>259</v>
      </c>
      <c r="K121" s="18" t="s">
        <v>388</v>
      </c>
      <c r="L121" s="18" t="s">
        <v>587</v>
      </c>
      <c r="M121" s="22"/>
      <c r="N121" s="23"/>
    </row>
    <row r="122" spans="2:14" x14ac:dyDescent="0.25">
      <c r="B122" s="18">
        <v>90</v>
      </c>
      <c r="C122" s="19" t="s">
        <v>100</v>
      </c>
      <c r="D122" s="20" t="s">
        <v>154</v>
      </c>
      <c r="E122" s="47">
        <v>11633288</v>
      </c>
      <c r="F122" s="28">
        <f t="shared" si="2"/>
        <v>108</v>
      </c>
      <c r="G122" s="28"/>
      <c r="H122" s="28"/>
      <c r="I122" s="22"/>
      <c r="J122" s="20" t="s">
        <v>270</v>
      </c>
      <c r="K122" s="18" t="s">
        <v>389</v>
      </c>
      <c r="L122" s="18" t="s">
        <v>587</v>
      </c>
      <c r="M122" s="22"/>
      <c r="N122" s="23"/>
    </row>
    <row r="123" spans="2:14" x14ac:dyDescent="0.25">
      <c r="B123" s="18">
        <v>75</v>
      </c>
      <c r="C123" s="19" t="s">
        <v>55</v>
      </c>
      <c r="D123" s="20" t="s">
        <v>155</v>
      </c>
      <c r="E123" s="47">
        <v>11856038</v>
      </c>
      <c r="F123" s="28">
        <f t="shared" si="2"/>
        <v>109</v>
      </c>
      <c r="G123" s="28"/>
      <c r="H123" s="28"/>
      <c r="I123" s="24"/>
      <c r="J123" s="20" t="s">
        <v>270</v>
      </c>
      <c r="K123" s="18" t="s">
        <v>389</v>
      </c>
      <c r="L123" s="18" t="s">
        <v>587</v>
      </c>
      <c r="M123" s="22"/>
      <c r="N123" s="23"/>
    </row>
    <row r="124" spans="2:14" x14ac:dyDescent="0.25">
      <c r="B124" s="18">
        <v>75</v>
      </c>
      <c r="C124" s="19" t="s">
        <v>875</v>
      </c>
      <c r="D124" s="20" t="s">
        <v>213</v>
      </c>
      <c r="E124" s="48">
        <v>11855569</v>
      </c>
      <c r="F124" s="28">
        <f t="shared" si="2"/>
        <v>110</v>
      </c>
      <c r="G124" s="28"/>
      <c r="H124" s="28"/>
      <c r="I124" s="24"/>
      <c r="J124" s="20" t="s">
        <v>270</v>
      </c>
      <c r="K124" s="18" t="s">
        <v>389</v>
      </c>
      <c r="L124" s="18" t="s">
        <v>587</v>
      </c>
      <c r="M124" s="22"/>
      <c r="N124" s="23"/>
    </row>
    <row r="125" spans="2:14" x14ac:dyDescent="0.25">
      <c r="B125" s="18">
        <v>50</v>
      </c>
      <c r="C125" s="19" t="s">
        <v>460</v>
      </c>
      <c r="D125" s="20" t="s">
        <v>461</v>
      </c>
      <c r="E125" s="46">
        <v>11862647</v>
      </c>
      <c r="F125" s="28">
        <f t="shared" si="2"/>
        <v>111</v>
      </c>
      <c r="G125" s="28"/>
      <c r="H125" s="28"/>
      <c r="I125" s="24"/>
      <c r="J125" s="20" t="s">
        <v>815</v>
      </c>
      <c r="K125" s="18" t="s">
        <v>389</v>
      </c>
      <c r="L125" s="18" t="s">
        <v>587</v>
      </c>
      <c r="M125" s="22"/>
      <c r="N125" s="23"/>
    </row>
    <row r="126" spans="2:14" x14ac:dyDescent="0.25">
      <c r="B126" s="18">
        <v>50</v>
      </c>
      <c r="C126" s="19" t="s">
        <v>462</v>
      </c>
      <c r="D126" s="20" t="s">
        <v>21</v>
      </c>
      <c r="E126" s="46">
        <v>11862655</v>
      </c>
      <c r="F126" s="28">
        <f t="shared" si="2"/>
        <v>112</v>
      </c>
      <c r="G126" s="28"/>
      <c r="H126" s="28"/>
      <c r="I126" s="24"/>
      <c r="J126" s="20" t="s">
        <v>815</v>
      </c>
      <c r="K126" s="18" t="s">
        <v>389</v>
      </c>
      <c r="L126" s="18" t="s">
        <v>587</v>
      </c>
      <c r="M126" s="22"/>
      <c r="N126" s="23"/>
    </row>
    <row r="127" spans="2:14" x14ac:dyDescent="0.25">
      <c r="B127" s="18">
        <v>50</v>
      </c>
      <c r="C127" s="19" t="s">
        <v>883</v>
      </c>
      <c r="D127" s="20" t="s">
        <v>172</v>
      </c>
      <c r="E127" s="47">
        <v>11862340</v>
      </c>
      <c r="F127" s="28">
        <f t="shared" si="2"/>
        <v>113</v>
      </c>
      <c r="G127" s="28"/>
      <c r="H127" s="28"/>
      <c r="I127" s="13"/>
      <c r="J127" s="20" t="s">
        <v>270</v>
      </c>
      <c r="K127" s="18" t="s">
        <v>389</v>
      </c>
      <c r="L127" s="18" t="s">
        <v>587</v>
      </c>
      <c r="M127" s="22"/>
      <c r="N127" s="23"/>
    </row>
    <row r="128" spans="2:14" x14ac:dyDescent="0.25">
      <c r="B128" s="18">
        <v>45</v>
      </c>
      <c r="C128" s="19" t="s">
        <v>884</v>
      </c>
      <c r="D128" s="20" t="s">
        <v>604</v>
      </c>
      <c r="E128" s="48">
        <v>16307838</v>
      </c>
      <c r="F128" s="28">
        <f t="shared" si="2"/>
        <v>114</v>
      </c>
      <c r="G128" s="28"/>
      <c r="H128" s="28"/>
      <c r="I128" s="24"/>
      <c r="J128" s="20" t="s">
        <v>259</v>
      </c>
      <c r="K128" s="18" t="s">
        <v>388</v>
      </c>
      <c r="L128" s="18" t="s">
        <v>587</v>
      </c>
      <c r="M128" s="22"/>
      <c r="N128" s="23"/>
    </row>
    <row r="129" spans="2:14" x14ac:dyDescent="0.25">
      <c r="B129" s="18">
        <v>45</v>
      </c>
      <c r="C129" s="19" t="s">
        <v>524</v>
      </c>
      <c r="D129" s="20" t="s">
        <v>839</v>
      </c>
      <c r="E129" s="47">
        <v>10770700</v>
      </c>
      <c r="F129" s="28">
        <f t="shared" si="2"/>
        <v>115</v>
      </c>
      <c r="G129" s="28"/>
      <c r="H129" s="28"/>
      <c r="I129" s="24"/>
      <c r="J129" s="20" t="s">
        <v>259</v>
      </c>
      <c r="K129" s="18" t="s">
        <v>388</v>
      </c>
      <c r="L129" s="18" t="s">
        <v>587</v>
      </c>
      <c r="M129" s="22"/>
      <c r="N129" s="23"/>
    </row>
    <row r="130" spans="2:14" x14ac:dyDescent="0.25">
      <c r="B130" s="18">
        <v>45</v>
      </c>
      <c r="C130" s="20" t="s">
        <v>525</v>
      </c>
      <c r="D130" s="20" t="s">
        <v>118</v>
      </c>
      <c r="E130" s="48">
        <v>10771500</v>
      </c>
      <c r="F130" s="28">
        <f t="shared" si="2"/>
        <v>116</v>
      </c>
      <c r="G130" s="28"/>
      <c r="H130" s="28"/>
      <c r="I130" s="24"/>
      <c r="J130" s="20" t="s">
        <v>259</v>
      </c>
      <c r="K130" s="18" t="s">
        <v>388</v>
      </c>
      <c r="L130" s="18" t="s">
        <v>587</v>
      </c>
      <c r="M130" s="22"/>
      <c r="N130" s="23"/>
    </row>
    <row r="131" spans="2:14" x14ac:dyDescent="0.25">
      <c r="B131" s="18">
        <v>45</v>
      </c>
      <c r="C131" s="19" t="s">
        <v>252</v>
      </c>
      <c r="D131" s="20" t="s">
        <v>69</v>
      </c>
      <c r="E131" s="47">
        <v>16063646</v>
      </c>
      <c r="F131" s="28">
        <f t="shared" si="2"/>
        <v>117</v>
      </c>
      <c r="G131" s="28"/>
      <c r="H131" s="28"/>
      <c r="I131" s="24"/>
      <c r="J131" s="20" t="s">
        <v>885</v>
      </c>
      <c r="K131" s="18" t="s">
        <v>397</v>
      </c>
      <c r="L131" s="18" t="s">
        <v>587</v>
      </c>
      <c r="M131" s="22"/>
      <c r="N131" s="23"/>
    </row>
    <row r="132" spans="2:14" x14ac:dyDescent="0.25">
      <c r="B132" s="18">
        <v>45</v>
      </c>
      <c r="C132" s="19" t="s">
        <v>609</v>
      </c>
      <c r="D132" s="20" t="s">
        <v>610</v>
      </c>
      <c r="E132" s="47">
        <v>16063729</v>
      </c>
      <c r="F132" s="28">
        <f t="shared" si="2"/>
        <v>118</v>
      </c>
      <c r="G132" s="28"/>
      <c r="H132" s="28"/>
      <c r="I132" s="24"/>
      <c r="J132" s="20" t="s">
        <v>885</v>
      </c>
      <c r="K132" s="18" t="s">
        <v>397</v>
      </c>
      <c r="L132" s="18" t="s">
        <v>587</v>
      </c>
      <c r="M132" s="22"/>
      <c r="N132" s="23"/>
    </row>
    <row r="133" spans="2:14" x14ac:dyDescent="0.25">
      <c r="B133" s="18">
        <v>45</v>
      </c>
      <c r="C133" s="19" t="s">
        <v>886</v>
      </c>
      <c r="D133" s="20" t="s">
        <v>69</v>
      </c>
      <c r="E133" s="48">
        <v>10771120</v>
      </c>
      <c r="F133" s="28">
        <f t="shared" si="2"/>
        <v>119</v>
      </c>
      <c r="G133" s="28"/>
      <c r="H133" s="28"/>
      <c r="I133" s="24"/>
      <c r="J133" s="20" t="s">
        <v>259</v>
      </c>
      <c r="K133" s="18" t="s">
        <v>388</v>
      </c>
      <c r="L133" s="18" t="s">
        <v>587</v>
      </c>
      <c r="M133" s="22"/>
      <c r="N133" s="23"/>
    </row>
    <row r="134" spans="2:14" x14ac:dyDescent="0.25">
      <c r="B134" s="18">
        <v>45</v>
      </c>
      <c r="C134" s="19" t="s">
        <v>887</v>
      </c>
      <c r="D134" s="20" t="s">
        <v>109</v>
      </c>
      <c r="E134" s="46">
        <v>10771170</v>
      </c>
      <c r="F134" s="28">
        <f t="shared" si="2"/>
        <v>120</v>
      </c>
      <c r="G134" s="28"/>
      <c r="H134" s="28"/>
      <c r="I134" s="24"/>
      <c r="J134" s="20" t="s">
        <v>259</v>
      </c>
      <c r="K134" s="18" t="s">
        <v>388</v>
      </c>
      <c r="L134" s="18" t="s">
        <v>587</v>
      </c>
      <c r="M134" s="22"/>
      <c r="N134" s="23"/>
    </row>
    <row r="135" spans="2:14" x14ac:dyDescent="0.25">
      <c r="B135" s="18">
        <v>45</v>
      </c>
      <c r="C135" s="19" t="s">
        <v>561</v>
      </c>
      <c r="D135" s="20" t="s">
        <v>793</v>
      </c>
      <c r="E135" s="48">
        <v>10771336</v>
      </c>
      <c r="F135" s="28">
        <f t="shared" si="2"/>
        <v>121</v>
      </c>
      <c r="G135" s="28"/>
      <c r="H135" s="28"/>
      <c r="I135" s="24"/>
      <c r="J135" s="20" t="s">
        <v>259</v>
      </c>
      <c r="K135" s="18" t="s">
        <v>388</v>
      </c>
      <c r="L135" s="18" t="s">
        <v>587</v>
      </c>
      <c r="M135" s="22"/>
      <c r="N135" s="23"/>
    </row>
    <row r="136" spans="2:14" x14ac:dyDescent="0.25">
      <c r="B136" s="18">
        <v>45</v>
      </c>
      <c r="C136" s="19" t="s">
        <v>37</v>
      </c>
      <c r="D136" s="20" t="s">
        <v>177</v>
      </c>
      <c r="E136" s="47">
        <v>10768549</v>
      </c>
      <c r="F136" s="28">
        <f t="shared" si="2"/>
        <v>122</v>
      </c>
      <c r="G136" s="28"/>
      <c r="H136" s="28"/>
      <c r="I136" s="24"/>
      <c r="J136" s="20" t="s">
        <v>259</v>
      </c>
      <c r="K136" s="18" t="s">
        <v>388</v>
      </c>
      <c r="L136" s="18" t="s">
        <v>587</v>
      </c>
      <c r="M136" s="22"/>
      <c r="N136" s="23"/>
    </row>
    <row r="137" spans="2:14" x14ac:dyDescent="0.25">
      <c r="B137" s="18">
        <v>45</v>
      </c>
      <c r="C137" s="19" t="s">
        <v>517</v>
      </c>
      <c r="D137" s="20" t="s">
        <v>611</v>
      </c>
      <c r="E137" s="46">
        <v>10640755</v>
      </c>
      <c r="F137" s="28">
        <f t="shared" si="2"/>
        <v>123</v>
      </c>
      <c r="G137" s="28"/>
      <c r="H137" s="28"/>
      <c r="I137" s="24"/>
      <c r="J137" s="20" t="s">
        <v>838</v>
      </c>
      <c r="K137" s="18" t="s">
        <v>388</v>
      </c>
      <c r="L137" s="18" t="s">
        <v>587</v>
      </c>
      <c r="M137" s="22"/>
      <c r="N137" s="23"/>
    </row>
    <row r="138" spans="2:14" x14ac:dyDescent="0.25">
      <c r="B138" s="18">
        <v>45</v>
      </c>
      <c r="C138" s="19" t="s">
        <v>341</v>
      </c>
      <c r="D138" s="20" t="s">
        <v>132</v>
      </c>
      <c r="E138" s="47">
        <v>10767864</v>
      </c>
      <c r="F138" s="28">
        <f t="shared" si="2"/>
        <v>124</v>
      </c>
      <c r="G138" s="28"/>
      <c r="H138" s="28"/>
      <c r="I138" s="24"/>
      <c r="J138" s="20" t="s">
        <v>259</v>
      </c>
      <c r="K138" s="18" t="s">
        <v>388</v>
      </c>
      <c r="L138" s="18" t="s">
        <v>587</v>
      </c>
      <c r="M138" s="22"/>
      <c r="N138" s="23"/>
    </row>
    <row r="139" spans="2:14" x14ac:dyDescent="0.25">
      <c r="B139" s="18">
        <v>45</v>
      </c>
      <c r="C139" s="19" t="s">
        <v>578</v>
      </c>
      <c r="D139" s="20" t="s">
        <v>152</v>
      </c>
      <c r="E139" s="47">
        <v>10774314</v>
      </c>
      <c r="F139" s="28">
        <f t="shared" si="2"/>
        <v>125</v>
      </c>
      <c r="G139" s="28"/>
      <c r="H139" s="28"/>
      <c r="I139" s="24"/>
      <c r="J139" s="20" t="s">
        <v>259</v>
      </c>
      <c r="K139" s="18" t="s">
        <v>388</v>
      </c>
      <c r="L139" s="18" t="s">
        <v>587</v>
      </c>
      <c r="M139" s="22"/>
      <c r="N139" s="23"/>
    </row>
    <row r="140" spans="2:14" x14ac:dyDescent="0.25">
      <c r="B140" s="18">
        <v>45</v>
      </c>
      <c r="C140" s="19" t="s">
        <v>876</v>
      </c>
      <c r="D140" s="20" t="s">
        <v>877</v>
      </c>
      <c r="E140" s="48">
        <v>7922893</v>
      </c>
      <c r="F140" s="28">
        <f t="shared" si="2"/>
        <v>126</v>
      </c>
      <c r="G140" s="28"/>
      <c r="H140" s="28"/>
      <c r="I140" s="24"/>
      <c r="J140" s="20" t="s">
        <v>819</v>
      </c>
      <c r="K140" s="18" t="s">
        <v>820</v>
      </c>
      <c r="L140" s="18" t="s">
        <v>587</v>
      </c>
      <c r="M140" s="22"/>
      <c r="N140" s="23"/>
    </row>
    <row r="141" spans="2:14" x14ac:dyDescent="0.25">
      <c r="B141" s="18">
        <v>45</v>
      </c>
      <c r="C141" s="19" t="s">
        <v>889</v>
      </c>
      <c r="D141" s="20" t="s">
        <v>888</v>
      </c>
      <c r="E141" s="46">
        <v>10764290</v>
      </c>
      <c r="F141" s="28">
        <f t="shared" si="2"/>
        <v>127</v>
      </c>
      <c r="G141" s="28"/>
      <c r="H141" s="28"/>
      <c r="I141" s="24"/>
      <c r="J141" s="20" t="s">
        <v>890</v>
      </c>
      <c r="K141" s="18" t="s">
        <v>820</v>
      </c>
      <c r="L141" s="18" t="s">
        <v>587</v>
      </c>
      <c r="M141" s="22"/>
      <c r="N141" s="23"/>
    </row>
    <row r="142" spans="2:14" x14ac:dyDescent="0.25">
      <c r="B142" s="18">
        <v>25</v>
      </c>
      <c r="C142" s="19" t="s">
        <v>463</v>
      </c>
      <c r="D142" s="20" t="s">
        <v>464</v>
      </c>
      <c r="E142" s="48">
        <v>6556982</v>
      </c>
      <c r="F142" s="28">
        <f t="shared" si="2"/>
        <v>128</v>
      </c>
      <c r="G142" s="28"/>
      <c r="H142" s="28"/>
      <c r="I142" s="24"/>
      <c r="J142" s="20" t="s">
        <v>815</v>
      </c>
      <c r="K142" s="18" t="s">
        <v>389</v>
      </c>
      <c r="L142" s="18" t="s">
        <v>587</v>
      </c>
      <c r="M142" s="22"/>
      <c r="N142" s="23"/>
    </row>
    <row r="143" spans="2:14" x14ac:dyDescent="0.25">
      <c r="B143" s="18">
        <v>2</v>
      </c>
      <c r="C143" s="19" t="s">
        <v>465</v>
      </c>
      <c r="D143" s="20" t="s">
        <v>466</v>
      </c>
      <c r="E143" s="46">
        <v>11862506</v>
      </c>
      <c r="F143" s="28">
        <f t="shared" si="2"/>
        <v>129</v>
      </c>
      <c r="G143" s="28"/>
      <c r="H143" s="28"/>
      <c r="I143" s="24"/>
      <c r="J143" s="20" t="s">
        <v>815</v>
      </c>
      <c r="K143" s="18" t="s">
        <v>389</v>
      </c>
      <c r="L143" s="18" t="s">
        <v>587</v>
      </c>
      <c r="M143" s="22"/>
      <c r="N143" s="23"/>
    </row>
    <row r="144" spans="2:14" x14ac:dyDescent="0.25">
      <c r="B144" s="18">
        <v>2</v>
      </c>
      <c r="C144" s="34" t="s">
        <v>467</v>
      </c>
      <c r="D144" s="20" t="s">
        <v>39</v>
      </c>
      <c r="E144" s="47">
        <v>11862473</v>
      </c>
      <c r="F144" s="28">
        <f t="shared" si="2"/>
        <v>130</v>
      </c>
      <c r="G144" s="28"/>
      <c r="H144" s="28"/>
      <c r="I144" s="24"/>
      <c r="J144" s="20" t="s">
        <v>815</v>
      </c>
      <c r="K144" s="18" t="s">
        <v>389</v>
      </c>
      <c r="L144" s="18" t="s">
        <v>587</v>
      </c>
      <c r="M144" s="22"/>
      <c r="N144" s="23"/>
    </row>
    <row r="145" spans="2:14" x14ac:dyDescent="0.25">
      <c r="B145" s="18">
        <v>2</v>
      </c>
      <c r="C145" s="19" t="s">
        <v>468</v>
      </c>
      <c r="D145" s="20" t="s">
        <v>469</v>
      </c>
      <c r="E145" s="47">
        <v>11862457</v>
      </c>
      <c r="F145" s="28">
        <f t="shared" si="2"/>
        <v>131</v>
      </c>
      <c r="G145" s="28"/>
      <c r="H145" s="28"/>
      <c r="I145" s="24"/>
      <c r="J145" s="20" t="s">
        <v>815</v>
      </c>
      <c r="K145" s="18" t="s">
        <v>389</v>
      </c>
      <c r="L145" s="18" t="s">
        <v>587</v>
      </c>
      <c r="M145" s="22"/>
      <c r="N145" s="23"/>
    </row>
    <row r="146" spans="2:14" x14ac:dyDescent="0.25">
      <c r="B146" s="18">
        <v>2</v>
      </c>
      <c r="C146" s="19" t="s">
        <v>470</v>
      </c>
      <c r="D146" s="20" t="s">
        <v>471</v>
      </c>
      <c r="E146" s="47">
        <v>11817395</v>
      </c>
      <c r="F146" s="28">
        <f t="shared" si="2"/>
        <v>132</v>
      </c>
      <c r="G146" s="28"/>
      <c r="H146" s="28"/>
      <c r="I146" s="24"/>
      <c r="J146" s="20" t="s">
        <v>815</v>
      </c>
      <c r="K146" s="18" t="s">
        <v>389</v>
      </c>
      <c r="L146" s="18" t="s">
        <v>587</v>
      </c>
      <c r="M146" s="22"/>
      <c r="N146" s="23"/>
    </row>
    <row r="147" spans="2:14" x14ac:dyDescent="0.25">
      <c r="B147" s="18">
        <v>2</v>
      </c>
      <c r="C147" s="19" t="s">
        <v>440</v>
      </c>
      <c r="D147" s="20" t="s">
        <v>80</v>
      </c>
      <c r="E147" s="47">
        <v>11817882</v>
      </c>
      <c r="F147" s="28">
        <f t="shared" si="2"/>
        <v>133</v>
      </c>
      <c r="G147" s="28"/>
      <c r="H147" s="28"/>
      <c r="I147" s="24"/>
      <c r="J147" s="20" t="s">
        <v>815</v>
      </c>
      <c r="K147" s="18" t="s">
        <v>389</v>
      </c>
      <c r="L147" s="18" t="s">
        <v>587</v>
      </c>
      <c r="M147" s="22"/>
      <c r="N147" s="23"/>
    </row>
    <row r="148" spans="2:14" ht="15.75" thickBot="1" x14ac:dyDescent="0.3">
      <c r="B148" s="73"/>
      <c r="C148" s="92"/>
      <c r="D148" s="74"/>
      <c r="E148" s="67"/>
      <c r="F148" s="76"/>
      <c r="G148" s="76"/>
      <c r="H148" s="76"/>
      <c r="I148" s="81"/>
      <c r="J148" s="74"/>
      <c r="K148" s="73"/>
      <c r="L148" s="73"/>
      <c r="M148" s="77"/>
      <c r="N148" s="79"/>
    </row>
    <row r="149" spans="2:14" ht="15.75" thickBot="1" x14ac:dyDescent="0.3">
      <c r="B149" s="2"/>
      <c r="C149" s="1"/>
      <c r="D149" s="1"/>
      <c r="E149" s="3"/>
      <c r="F149" s="89" t="s">
        <v>1035</v>
      </c>
      <c r="G149" s="87"/>
      <c r="H149" s="87"/>
      <c r="I149" s="88"/>
      <c r="J149" s="88"/>
      <c r="K149" s="3"/>
      <c r="L149" s="3"/>
      <c r="M149" s="7" t="s">
        <v>0</v>
      </c>
      <c r="N149" s="5"/>
    </row>
    <row r="150" spans="2:14" x14ac:dyDescent="0.25">
      <c r="B150" s="8" t="s">
        <v>1</v>
      </c>
      <c r="C150" s="9" t="s">
        <v>2</v>
      </c>
      <c r="D150" s="9" t="s">
        <v>3</v>
      </c>
      <c r="E150" s="9" t="s">
        <v>4</v>
      </c>
      <c r="F150" s="10" t="s">
        <v>5</v>
      </c>
      <c r="G150" s="10" t="s">
        <v>6</v>
      </c>
      <c r="H150" s="10" t="s">
        <v>7</v>
      </c>
      <c r="I150" s="10" t="s">
        <v>8</v>
      </c>
      <c r="J150" s="9" t="s">
        <v>9</v>
      </c>
      <c r="K150" s="41" t="s">
        <v>387</v>
      </c>
      <c r="L150" s="9" t="s">
        <v>10</v>
      </c>
      <c r="M150" s="11" t="s">
        <v>11</v>
      </c>
      <c r="N150" s="12" t="s">
        <v>12</v>
      </c>
    </row>
    <row r="151" spans="2:14" x14ac:dyDescent="0.25">
      <c r="B151" s="18">
        <f>360+2000+1500</f>
        <v>3860</v>
      </c>
      <c r="C151" s="19" t="s">
        <v>350</v>
      </c>
      <c r="D151" s="20" t="s">
        <v>150</v>
      </c>
      <c r="E151" s="47">
        <v>1178913</v>
      </c>
      <c r="F151" s="28">
        <f>F147+1</f>
        <v>134</v>
      </c>
      <c r="G151" s="28"/>
      <c r="H151" s="28"/>
      <c r="I151" s="21"/>
      <c r="J151" s="20" t="s">
        <v>269</v>
      </c>
      <c r="K151" s="18" t="s">
        <v>390</v>
      </c>
      <c r="L151" s="18" t="s">
        <v>208</v>
      </c>
      <c r="M151" s="22"/>
      <c r="N151" s="23"/>
    </row>
    <row r="152" spans="2:14" x14ac:dyDescent="0.25">
      <c r="B152" s="18">
        <f>2000+1000+45</f>
        <v>3045</v>
      </c>
      <c r="C152" s="29" t="s">
        <v>348</v>
      </c>
      <c r="D152" s="20" t="s">
        <v>349</v>
      </c>
      <c r="E152" s="46">
        <v>10766197</v>
      </c>
      <c r="F152" s="28">
        <f t="shared" si="2"/>
        <v>135</v>
      </c>
      <c r="G152" s="28"/>
      <c r="H152" s="28"/>
      <c r="I152" s="22"/>
      <c r="J152" s="20" t="s">
        <v>259</v>
      </c>
      <c r="K152" s="18" t="s">
        <v>388</v>
      </c>
      <c r="L152" s="18" t="s">
        <v>208</v>
      </c>
      <c r="M152" s="22"/>
      <c r="N152" s="23"/>
    </row>
    <row r="153" spans="2:14" x14ac:dyDescent="0.25">
      <c r="B153" s="18">
        <f>2000+1000+45</f>
        <v>3045</v>
      </c>
      <c r="C153" s="19" t="s">
        <v>64</v>
      </c>
      <c r="D153" s="20" t="s">
        <v>161</v>
      </c>
      <c r="E153" s="47">
        <v>10766163</v>
      </c>
      <c r="F153" s="28">
        <f t="shared" si="2"/>
        <v>136</v>
      </c>
      <c r="G153" s="28"/>
      <c r="H153" s="28"/>
      <c r="I153" s="22"/>
      <c r="J153" s="20" t="s">
        <v>259</v>
      </c>
      <c r="K153" s="18" t="s">
        <v>388</v>
      </c>
      <c r="L153" s="18" t="s">
        <v>208</v>
      </c>
      <c r="M153" s="22"/>
      <c r="N153" s="23"/>
    </row>
    <row r="154" spans="2:14" x14ac:dyDescent="0.25">
      <c r="B154" s="18">
        <f>90+2000</f>
        <v>2090</v>
      </c>
      <c r="C154" s="19" t="s">
        <v>16</v>
      </c>
      <c r="D154" s="28" t="s">
        <v>386</v>
      </c>
      <c r="E154" s="48">
        <v>10769258</v>
      </c>
      <c r="F154" s="28">
        <f t="shared" si="2"/>
        <v>137</v>
      </c>
      <c r="G154" s="28"/>
      <c r="H154" s="28"/>
      <c r="I154" s="21"/>
      <c r="J154" s="20" t="s">
        <v>259</v>
      </c>
      <c r="K154" s="18" t="s">
        <v>388</v>
      </c>
      <c r="L154" s="18" t="s">
        <v>208</v>
      </c>
      <c r="M154" s="22"/>
      <c r="N154" s="23"/>
    </row>
    <row r="155" spans="2:14" x14ac:dyDescent="0.25">
      <c r="B155" s="18">
        <f>1500+375</f>
        <v>1875</v>
      </c>
      <c r="C155" s="19" t="s">
        <v>297</v>
      </c>
      <c r="D155" s="20" t="s">
        <v>891</v>
      </c>
      <c r="E155" s="47">
        <v>10768789</v>
      </c>
      <c r="F155" s="28">
        <f t="shared" si="2"/>
        <v>138</v>
      </c>
      <c r="G155" s="28"/>
      <c r="H155" s="28"/>
      <c r="I155" s="22"/>
      <c r="J155" s="20" t="s">
        <v>259</v>
      </c>
      <c r="K155" s="18" t="s">
        <v>388</v>
      </c>
      <c r="L155" s="21" t="s">
        <v>208</v>
      </c>
      <c r="M155" s="22"/>
      <c r="N155" s="23"/>
    </row>
    <row r="156" spans="2:14" x14ac:dyDescent="0.25">
      <c r="B156" s="18">
        <f>1200+500</f>
        <v>1700</v>
      </c>
      <c r="C156" s="20" t="s">
        <v>245</v>
      </c>
      <c r="D156" s="20" t="s">
        <v>186</v>
      </c>
      <c r="E156" s="47">
        <v>10073005</v>
      </c>
      <c r="F156" s="28">
        <f t="shared" ref="F156:F229" si="3">F155+1</f>
        <v>139</v>
      </c>
      <c r="G156" s="28"/>
      <c r="H156" s="28"/>
      <c r="I156" s="22"/>
      <c r="J156" s="20" t="s">
        <v>259</v>
      </c>
      <c r="K156" s="18" t="s">
        <v>388</v>
      </c>
      <c r="L156" s="21" t="s">
        <v>208</v>
      </c>
      <c r="M156" s="22"/>
      <c r="N156" s="23"/>
    </row>
    <row r="157" spans="2:14" x14ac:dyDescent="0.25">
      <c r="B157" s="18">
        <f>1200+500</f>
        <v>1700</v>
      </c>
      <c r="C157" s="19" t="s">
        <v>346</v>
      </c>
      <c r="D157" s="20" t="s">
        <v>143</v>
      </c>
      <c r="E157" s="47">
        <v>10326462</v>
      </c>
      <c r="F157" s="28">
        <f t="shared" si="3"/>
        <v>140</v>
      </c>
      <c r="G157" s="28"/>
      <c r="H157" s="28"/>
      <c r="I157" s="22"/>
      <c r="J157" s="20" t="s">
        <v>347</v>
      </c>
      <c r="K157" s="18" t="s">
        <v>388</v>
      </c>
      <c r="L157" s="21" t="s">
        <v>208</v>
      </c>
      <c r="M157" s="22"/>
      <c r="N157" s="23"/>
    </row>
    <row r="158" spans="2:14" x14ac:dyDescent="0.25">
      <c r="B158" s="18">
        <f>600+750</f>
        <v>1350</v>
      </c>
      <c r="C158" s="19" t="s">
        <v>294</v>
      </c>
      <c r="D158" s="20" t="s">
        <v>165</v>
      </c>
      <c r="E158" s="47">
        <v>13465316</v>
      </c>
      <c r="F158" s="28">
        <f t="shared" si="3"/>
        <v>141</v>
      </c>
      <c r="G158" s="28"/>
      <c r="H158" s="28"/>
      <c r="I158" s="22"/>
      <c r="J158" s="20" t="s">
        <v>295</v>
      </c>
      <c r="K158" s="21" t="s">
        <v>771</v>
      </c>
      <c r="L158" s="21" t="s">
        <v>208</v>
      </c>
      <c r="M158" s="22"/>
      <c r="N158" s="23"/>
    </row>
    <row r="159" spans="2:14" x14ac:dyDescent="0.25">
      <c r="B159" s="18">
        <f>750+375</f>
        <v>1125</v>
      </c>
      <c r="C159" s="19" t="s">
        <v>846</v>
      </c>
      <c r="D159" s="20" t="s">
        <v>490</v>
      </c>
      <c r="E159" s="48">
        <v>10770495</v>
      </c>
      <c r="F159" s="28">
        <f t="shared" si="3"/>
        <v>142</v>
      </c>
      <c r="G159" s="28"/>
      <c r="H159" s="28"/>
      <c r="I159" s="22"/>
      <c r="J159" s="20" t="s">
        <v>259</v>
      </c>
      <c r="K159" s="21" t="s">
        <v>388</v>
      </c>
      <c r="L159" s="21" t="s">
        <v>208</v>
      </c>
      <c r="M159" s="22"/>
      <c r="N159" s="23"/>
    </row>
    <row r="160" spans="2:14" x14ac:dyDescent="0.25">
      <c r="B160" s="18">
        <f>360+600</f>
        <v>960</v>
      </c>
      <c r="C160" s="19" t="s">
        <v>351</v>
      </c>
      <c r="D160" s="20" t="s">
        <v>142</v>
      </c>
      <c r="E160" s="48">
        <v>16953251</v>
      </c>
      <c r="F160" s="28">
        <f t="shared" si="3"/>
        <v>143</v>
      </c>
      <c r="G160" s="28"/>
      <c r="H160" s="28"/>
      <c r="I160" s="22"/>
      <c r="J160" s="20" t="s">
        <v>269</v>
      </c>
      <c r="K160" s="21" t="s">
        <v>390</v>
      </c>
      <c r="L160" s="21" t="s">
        <v>208</v>
      </c>
      <c r="M160" s="22"/>
      <c r="N160" s="23"/>
    </row>
    <row r="161" spans="2:14" x14ac:dyDescent="0.25">
      <c r="B161" s="18">
        <f>400</f>
        <v>400</v>
      </c>
      <c r="C161" s="19" t="s">
        <v>892</v>
      </c>
      <c r="D161" s="20" t="s">
        <v>491</v>
      </c>
      <c r="E161" s="48">
        <v>11141893</v>
      </c>
      <c r="F161" s="28">
        <f t="shared" si="3"/>
        <v>144</v>
      </c>
      <c r="G161" s="28"/>
      <c r="H161" s="28"/>
      <c r="I161" s="22"/>
      <c r="J161" s="20" t="s">
        <v>270</v>
      </c>
      <c r="K161" s="21" t="s">
        <v>389</v>
      </c>
      <c r="L161" s="21" t="s">
        <v>208</v>
      </c>
      <c r="M161" s="22"/>
      <c r="N161" s="23"/>
    </row>
    <row r="162" spans="2:14" x14ac:dyDescent="0.25">
      <c r="B162" s="18">
        <f>400</f>
        <v>400</v>
      </c>
      <c r="C162" s="19" t="s">
        <v>419</v>
      </c>
      <c r="D162" s="20" t="s">
        <v>174</v>
      </c>
      <c r="E162" s="48">
        <v>6720529</v>
      </c>
      <c r="F162" s="28">
        <f t="shared" si="3"/>
        <v>145</v>
      </c>
      <c r="G162" s="28"/>
      <c r="H162" s="28"/>
      <c r="I162" s="22"/>
      <c r="J162" s="20" t="s">
        <v>270</v>
      </c>
      <c r="K162" s="21" t="s">
        <v>389</v>
      </c>
      <c r="L162" s="21" t="s">
        <v>208</v>
      </c>
      <c r="M162" s="22"/>
      <c r="N162" s="23"/>
    </row>
    <row r="163" spans="2:14" x14ac:dyDescent="0.25">
      <c r="B163" s="18">
        <v>45</v>
      </c>
      <c r="C163" s="103" t="s">
        <v>1063</v>
      </c>
      <c r="D163" s="103" t="s">
        <v>66</v>
      </c>
      <c r="E163" s="86">
        <v>13464772</v>
      </c>
      <c r="F163" s="28">
        <f t="shared" si="3"/>
        <v>146</v>
      </c>
      <c r="G163" s="28"/>
      <c r="H163" s="28"/>
      <c r="I163" s="22"/>
      <c r="J163" s="20" t="s">
        <v>259</v>
      </c>
      <c r="K163" s="18" t="s">
        <v>388</v>
      </c>
      <c r="L163" s="21" t="s">
        <v>208</v>
      </c>
      <c r="M163" s="22"/>
      <c r="N163" s="23"/>
    </row>
    <row r="164" spans="2:14" x14ac:dyDescent="0.25">
      <c r="B164" s="18">
        <v>45</v>
      </c>
      <c r="C164" s="19" t="s">
        <v>710</v>
      </c>
      <c r="D164" s="20" t="s">
        <v>147</v>
      </c>
      <c r="E164" s="48">
        <v>10770635</v>
      </c>
      <c r="F164" s="28">
        <f t="shared" si="3"/>
        <v>147</v>
      </c>
      <c r="G164" s="28"/>
      <c r="H164" s="28"/>
      <c r="I164" s="22"/>
      <c r="J164" s="20" t="s">
        <v>259</v>
      </c>
      <c r="K164" s="18" t="s">
        <v>388</v>
      </c>
      <c r="L164" s="21" t="s">
        <v>208</v>
      </c>
      <c r="M164" s="22"/>
      <c r="N164" s="23"/>
    </row>
    <row r="165" spans="2:14" x14ac:dyDescent="0.25">
      <c r="B165" s="18">
        <v>45</v>
      </c>
      <c r="C165" s="19" t="s">
        <v>493</v>
      </c>
      <c r="D165" s="20" t="s">
        <v>139</v>
      </c>
      <c r="E165" s="48">
        <v>10767096</v>
      </c>
      <c r="F165" s="28">
        <f t="shared" si="3"/>
        <v>148</v>
      </c>
      <c r="G165" s="28"/>
      <c r="H165" s="28"/>
      <c r="I165" s="22"/>
      <c r="J165" s="20" t="s">
        <v>259</v>
      </c>
      <c r="K165" s="18" t="s">
        <v>388</v>
      </c>
      <c r="L165" s="21" t="s">
        <v>208</v>
      </c>
      <c r="M165" s="22"/>
      <c r="N165" s="23"/>
    </row>
    <row r="166" spans="2:14" ht="15.75" thickBot="1" x14ac:dyDescent="0.3">
      <c r="B166" s="73"/>
      <c r="C166" s="92"/>
      <c r="D166" s="74"/>
      <c r="E166" s="65"/>
      <c r="F166" s="76"/>
      <c r="G166" s="76"/>
      <c r="H166" s="76"/>
      <c r="I166" s="77"/>
      <c r="J166" s="74"/>
      <c r="K166" s="73"/>
      <c r="L166" s="78"/>
      <c r="M166" s="77"/>
      <c r="N166" s="79"/>
    </row>
    <row r="167" spans="2:14" ht="15.75" thickBot="1" x14ac:dyDescent="0.3">
      <c r="B167" s="2"/>
      <c r="C167" s="1"/>
      <c r="D167" s="1"/>
      <c r="E167" s="3"/>
      <c r="F167" s="89" t="s">
        <v>1036</v>
      </c>
      <c r="G167" s="87"/>
      <c r="H167" s="87"/>
      <c r="I167" s="88"/>
      <c r="J167" s="88"/>
      <c r="K167" s="3"/>
      <c r="L167" s="3"/>
      <c r="M167" s="7" t="s">
        <v>0</v>
      </c>
      <c r="N167" s="5"/>
    </row>
    <row r="168" spans="2:14" x14ac:dyDescent="0.25">
      <c r="B168" s="8" t="s">
        <v>1</v>
      </c>
      <c r="C168" s="9" t="s">
        <v>2</v>
      </c>
      <c r="D168" s="9" t="s">
        <v>3</v>
      </c>
      <c r="E168" s="9" t="s">
        <v>4</v>
      </c>
      <c r="F168" s="10" t="s">
        <v>5</v>
      </c>
      <c r="G168" s="10" t="s">
        <v>6</v>
      </c>
      <c r="H168" s="10" t="s">
        <v>7</v>
      </c>
      <c r="I168" s="10" t="s">
        <v>8</v>
      </c>
      <c r="J168" s="9" t="s">
        <v>9</v>
      </c>
      <c r="K168" s="41" t="s">
        <v>387</v>
      </c>
      <c r="L168" s="9" t="s">
        <v>10</v>
      </c>
      <c r="M168" s="11" t="s">
        <v>11</v>
      </c>
      <c r="N168" s="12" t="s">
        <v>12</v>
      </c>
    </row>
    <row r="169" spans="2:14" x14ac:dyDescent="0.25">
      <c r="B169" s="18">
        <f>360+1500+45+45</f>
        <v>1950</v>
      </c>
      <c r="C169" s="19" t="s">
        <v>352</v>
      </c>
      <c r="D169" s="20" t="s">
        <v>353</v>
      </c>
      <c r="E169" s="46">
        <v>10766551</v>
      </c>
      <c r="F169" s="28">
        <f>F165+1</f>
        <v>149</v>
      </c>
      <c r="G169" s="28"/>
      <c r="H169" s="28"/>
      <c r="I169" s="22"/>
      <c r="J169" s="20" t="s">
        <v>761</v>
      </c>
      <c r="K169" s="21" t="s">
        <v>388</v>
      </c>
      <c r="L169" s="21" t="s">
        <v>209</v>
      </c>
      <c r="M169" s="22"/>
      <c r="N169" s="23"/>
    </row>
    <row r="170" spans="2:14" x14ac:dyDescent="0.25">
      <c r="B170" s="18">
        <f>360+1500+45+45</f>
        <v>1950</v>
      </c>
      <c r="C170" s="34" t="s">
        <v>250</v>
      </c>
      <c r="D170" s="20" t="s">
        <v>65</v>
      </c>
      <c r="E170" s="47">
        <v>10766543</v>
      </c>
      <c r="F170" s="28">
        <f t="shared" si="3"/>
        <v>150</v>
      </c>
      <c r="G170" s="28"/>
      <c r="H170" s="28"/>
      <c r="I170" s="22"/>
      <c r="J170" s="20" t="s">
        <v>761</v>
      </c>
      <c r="K170" s="21" t="s">
        <v>388</v>
      </c>
      <c r="L170" s="21" t="s">
        <v>209</v>
      </c>
      <c r="M170" s="22"/>
      <c r="N170" s="23"/>
    </row>
    <row r="171" spans="2:14" x14ac:dyDescent="0.25">
      <c r="B171" s="18">
        <v>1500</v>
      </c>
      <c r="C171" s="20" t="s">
        <v>191</v>
      </c>
      <c r="D171" s="20" t="s">
        <v>190</v>
      </c>
      <c r="E171" s="47">
        <v>16951669</v>
      </c>
      <c r="F171" s="28">
        <f t="shared" si="3"/>
        <v>151</v>
      </c>
      <c r="G171" s="28"/>
      <c r="H171" s="28"/>
      <c r="I171" s="22"/>
      <c r="J171" s="20" t="s">
        <v>262</v>
      </c>
      <c r="K171" s="21" t="s">
        <v>390</v>
      </c>
      <c r="L171" s="21" t="s">
        <v>209</v>
      </c>
      <c r="M171" s="22"/>
      <c r="N171" s="23"/>
    </row>
    <row r="172" spans="2:14" x14ac:dyDescent="0.25">
      <c r="B172" s="18">
        <f>90+1000+150</f>
        <v>1240</v>
      </c>
      <c r="C172" s="19" t="s">
        <v>354</v>
      </c>
      <c r="D172" s="20" t="s">
        <v>78</v>
      </c>
      <c r="E172" s="48">
        <v>10766270</v>
      </c>
      <c r="F172" s="28">
        <f t="shared" si="3"/>
        <v>152</v>
      </c>
      <c r="G172" s="28"/>
      <c r="H172" s="28"/>
      <c r="I172" s="22"/>
      <c r="J172" s="20" t="s">
        <v>259</v>
      </c>
      <c r="K172" s="21" t="s">
        <v>388</v>
      </c>
      <c r="L172" s="21" t="s">
        <v>209</v>
      </c>
      <c r="M172" s="22"/>
      <c r="N172" s="23"/>
    </row>
    <row r="173" spans="2:14" x14ac:dyDescent="0.25">
      <c r="B173" s="18">
        <v>1200</v>
      </c>
      <c r="C173" s="19" t="s">
        <v>358</v>
      </c>
      <c r="D173" s="20" t="s">
        <v>66</v>
      </c>
      <c r="E173" s="48">
        <v>11855296</v>
      </c>
      <c r="F173" s="28">
        <f t="shared" si="3"/>
        <v>153</v>
      </c>
      <c r="G173" s="28"/>
      <c r="H173" s="28"/>
      <c r="I173" s="24"/>
      <c r="J173" s="20" t="s">
        <v>270</v>
      </c>
      <c r="K173" s="21" t="s">
        <v>389</v>
      </c>
      <c r="L173" s="21" t="s">
        <v>209</v>
      </c>
      <c r="M173" s="22"/>
      <c r="N173" s="23"/>
    </row>
    <row r="174" spans="2:14" x14ac:dyDescent="0.25">
      <c r="B174" s="18">
        <v>1200</v>
      </c>
      <c r="C174" s="19" t="s">
        <v>537</v>
      </c>
      <c r="D174" s="20" t="s">
        <v>538</v>
      </c>
      <c r="E174" s="48">
        <v>11862423</v>
      </c>
      <c r="F174" s="28">
        <f t="shared" si="3"/>
        <v>154</v>
      </c>
      <c r="G174" s="28"/>
      <c r="H174" s="28"/>
      <c r="I174" s="24"/>
      <c r="J174" s="20" t="s">
        <v>270</v>
      </c>
      <c r="K174" s="21" t="s">
        <v>389</v>
      </c>
      <c r="L174" s="21" t="s">
        <v>209</v>
      </c>
      <c r="M174" s="22"/>
      <c r="N174" s="23"/>
    </row>
    <row r="175" spans="2:14" x14ac:dyDescent="0.25">
      <c r="B175" s="18">
        <f>90+1000</f>
        <v>1090</v>
      </c>
      <c r="C175" s="19" t="s">
        <v>136</v>
      </c>
      <c r="D175" s="20" t="s">
        <v>137</v>
      </c>
      <c r="E175" s="48">
        <v>10766361</v>
      </c>
      <c r="F175" s="28">
        <f t="shared" si="3"/>
        <v>155</v>
      </c>
      <c r="G175" s="28"/>
      <c r="H175" s="28"/>
      <c r="I175" s="22"/>
      <c r="J175" s="20" t="s">
        <v>259</v>
      </c>
      <c r="K175" s="21" t="s">
        <v>388</v>
      </c>
      <c r="L175" s="21" t="s">
        <v>209</v>
      </c>
      <c r="M175" s="22"/>
      <c r="N175" s="23"/>
    </row>
    <row r="176" spans="2:14" x14ac:dyDescent="0.25">
      <c r="B176" s="18">
        <v>750</v>
      </c>
      <c r="C176" s="19" t="s">
        <v>540</v>
      </c>
      <c r="D176" s="20" t="s">
        <v>539</v>
      </c>
      <c r="E176" s="47">
        <v>10770479</v>
      </c>
      <c r="F176" s="28">
        <f t="shared" si="3"/>
        <v>156</v>
      </c>
      <c r="G176" s="28"/>
      <c r="H176" s="28"/>
      <c r="I176" s="22"/>
      <c r="J176" s="20" t="s">
        <v>259</v>
      </c>
      <c r="K176" s="21" t="s">
        <v>388</v>
      </c>
      <c r="L176" s="21" t="s">
        <v>209</v>
      </c>
      <c r="M176" s="22"/>
      <c r="N176" s="23"/>
    </row>
    <row r="177" spans="2:14" x14ac:dyDescent="0.25">
      <c r="B177" s="18">
        <v>600</v>
      </c>
      <c r="C177" s="19" t="s">
        <v>355</v>
      </c>
      <c r="D177" s="20" t="s">
        <v>356</v>
      </c>
      <c r="E177" s="47">
        <v>10768010</v>
      </c>
      <c r="F177" s="28">
        <f t="shared" si="3"/>
        <v>157</v>
      </c>
      <c r="G177" s="28"/>
      <c r="H177" s="28"/>
      <c r="I177" s="22"/>
      <c r="J177" s="20" t="s">
        <v>750</v>
      </c>
      <c r="K177" s="21" t="s">
        <v>388</v>
      </c>
      <c r="L177" s="21" t="s">
        <v>209</v>
      </c>
      <c r="M177" s="22"/>
      <c r="N177" s="23"/>
    </row>
    <row r="178" spans="2:14" x14ac:dyDescent="0.25">
      <c r="B178" s="18">
        <v>400</v>
      </c>
      <c r="C178" s="19" t="s">
        <v>541</v>
      </c>
      <c r="D178" s="20" t="s">
        <v>241</v>
      </c>
      <c r="E178" s="47">
        <v>10770461</v>
      </c>
      <c r="F178" s="28">
        <f t="shared" si="3"/>
        <v>158</v>
      </c>
      <c r="G178" s="28"/>
      <c r="H178" s="28"/>
      <c r="I178" s="22"/>
      <c r="J178" s="20" t="s">
        <v>259</v>
      </c>
      <c r="K178" s="21" t="s">
        <v>388</v>
      </c>
      <c r="L178" s="21" t="s">
        <v>209</v>
      </c>
      <c r="M178" s="22"/>
      <c r="N178" s="23"/>
    </row>
    <row r="179" spans="2:14" x14ac:dyDescent="0.25">
      <c r="B179" s="18">
        <v>400</v>
      </c>
      <c r="C179" s="19" t="s">
        <v>359</v>
      </c>
      <c r="D179" s="20" t="s">
        <v>75</v>
      </c>
      <c r="E179" s="48">
        <v>10768044</v>
      </c>
      <c r="F179" s="28">
        <f t="shared" si="3"/>
        <v>159</v>
      </c>
      <c r="G179" s="28"/>
      <c r="H179" s="28"/>
      <c r="I179" s="22"/>
      <c r="J179" s="20" t="s">
        <v>259</v>
      </c>
      <c r="K179" s="21" t="s">
        <v>388</v>
      </c>
      <c r="L179" s="21" t="s">
        <v>209</v>
      </c>
      <c r="M179" s="22"/>
      <c r="N179" s="23"/>
    </row>
    <row r="180" spans="2:14" x14ac:dyDescent="0.25">
      <c r="B180" s="18">
        <v>250</v>
      </c>
      <c r="C180" s="19" t="s">
        <v>742</v>
      </c>
      <c r="D180" s="37" t="s">
        <v>74</v>
      </c>
      <c r="E180" s="48">
        <v>10772904</v>
      </c>
      <c r="F180" s="28">
        <f t="shared" si="3"/>
        <v>160</v>
      </c>
      <c r="G180" s="28"/>
      <c r="H180" s="28"/>
      <c r="I180" s="24"/>
      <c r="J180" s="20" t="s">
        <v>259</v>
      </c>
      <c r="K180" s="21" t="s">
        <v>388</v>
      </c>
      <c r="L180" s="21" t="s">
        <v>209</v>
      </c>
      <c r="M180" s="22"/>
      <c r="N180" s="23"/>
    </row>
    <row r="181" spans="2:14" x14ac:dyDescent="0.25">
      <c r="B181" s="18">
        <v>250</v>
      </c>
      <c r="C181" s="19" t="s">
        <v>893</v>
      </c>
      <c r="D181" s="37" t="s">
        <v>689</v>
      </c>
      <c r="E181" s="48">
        <v>10773811</v>
      </c>
      <c r="F181" s="28">
        <f t="shared" si="3"/>
        <v>161</v>
      </c>
      <c r="G181" s="28"/>
      <c r="H181" s="28"/>
      <c r="I181" s="24"/>
      <c r="J181" s="20" t="s">
        <v>259</v>
      </c>
      <c r="K181" s="21" t="s">
        <v>388</v>
      </c>
      <c r="L181" s="21" t="s">
        <v>209</v>
      </c>
      <c r="M181" s="22"/>
      <c r="N181" s="23"/>
    </row>
    <row r="182" spans="2:14" x14ac:dyDescent="0.25">
      <c r="B182" s="18">
        <f>45+150</f>
        <v>195</v>
      </c>
      <c r="C182" s="19" t="s">
        <v>544</v>
      </c>
      <c r="D182" s="37" t="s">
        <v>741</v>
      </c>
      <c r="E182" s="48">
        <v>10772722</v>
      </c>
      <c r="F182" s="28">
        <f t="shared" si="3"/>
        <v>162</v>
      </c>
      <c r="G182" s="28"/>
      <c r="H182" s="28"/>
      <c r="I182" s="24"/>
      <c r="J182" s="20" t="s">
        <v>259</v>
      </c>
      <c r="K182" s="18" t="s">
        <v>388</v>
      </c>
      <c r="L182" s="21" t="s">
        <v>209</v>
      </c>
      <c r="M182" s="22"/>
      <c r="N182" s="23"/>
    </row>
    <row r="183" spans="2:14" x14ac:dyDescent="0.25">
      <c r="B183" s="18">
        <v>45</v>
      </c>
      <c r="C183" s="19" t="s">
        <v>423</v>
      </c>
      <c r="D183" s="20" t="s">
        <v>424</v>
      </c>
      <c r="E183" s="48">
        <v>9634719</v>
      </c>
      <c r="F183" s="28">
        <f t="shared" si="3"/>
        <v>163</v>
      </c>
      <c r="G183" s="28"/>
      <c r="H183" s="28"/>
      <c r="I183" s="24"/>
      <c r="J183" s="20" t="s">
        <v>267</v>
      </c>
      <c r="K183" s="21" t="s">
        <v>390</v>
      </c>
      <c r="L183" s="21" t="s">
        <v>209</v>
      </c>
      <c r="M183" s="22"/>
      <c r="N183" s="23"/>
    </row>
    <row r="184" spans="2:14" x14ac:dyDescent="0.25">
      <c r="B184" s="18">
        <v>45</v>
      </c>
      <c r="C184" s="19" t="s">
        <v>542</v>
      </c>
      <c r="D184" s="20" t="s">
        <v>543</v>
      </c>
      <c r="E184" s="48">
        <v>10776039</v>
      </c>
      <c r="F184" s="28">
        <f t="shared" si="3"/>
        <v>164</v>
      </c>
      <c r="G184" s="28"/>
      <c r="H184" s="28"/>
      <c r="I184" s="24"/>
      <c r="J184" s="20" t="s">
        <v>259</v>
      </c>
      <c r="K184" s="21" t="s">
        <v>388</v>
      </c>
      <c r="L184" s="21" t="s">
        <v>209</v>
      </c>
      <c r="M184" s="22"/>
      <c r="N184" s="23"/>
    </row>
    <row r="185" spans="2:14" x14ac:dyDescent="0.25">
      <c r="B185" s="18">
        <v>45</v>
      </c>
      <c r="C185" s="19" t="s">
        <v>248</v>
      </c>
      <c r="D185" s="37" t="s">
        <v>152</v>
      </c>
      <c r="E185" s="47">
        <v>16307705</v>
      </c>
      <c r="F185" s="28">
        <f t="shared" si="3"/>
        <v>165</v>
      </c>
      <c r="G185" s="28"/>
      <c r="H185" s="28"/>
      <c r="I185" s="24"/>
      <c r="J185" s="20" t="s">
        <v>259</v>
      </c>
      <c r="K185" s="18" t="s">
        <v>388</v>
      </c>
      <c r="L185" s="21" t="s">
        <v>209</v>
      </c>
      <c r="M185" s="22"/>
      <c r="N185" s="23"/>
    </row>
    <row r="186" spans="2:14" x14ac:dyDescent="0.25">
      <c r="B186" s="18">
        <v>45</v>
      </c>
      <c r="C186" s="19" t="s">
        <v>813</v>
      </c>
      <c r="D186" s="20" t="s">
        <v>254</v>
      </c>
      <c r="E186" s="47">
        <v>14117974</v>
      </c>
      <c r="F186" s="28">
        <f t="shared" si="3"/>
        <v>166</v>
      </c>
      <c r="G186" s="28"/>
      <c r="H186" s="28"/>
      <c r="I186" s="24"/>
      <c r="J186" s="20" t="s">
        <v>894</v>
      </c>
      <c r="K186" s="18" t="s">
        <v>396</v>
      </c>
      <c r="L186" s="21" t="s">
        <v>209</v>
      </c>
      <c r="M186" s="22"/>
      <c r="N186" s="23"/>
    </row>
    <row r="187" spans="2:14" ht="15.75" thickBot="1" x14ac:dyDescent="0.3">
      <c r="B187" s="73"/>
      <c r="C187" s="92"/>
      <c r="D187" s="74"/>
      <c r="E187" s="67"/>
      <c r="F187" s="76"/>
      <c r="G187" s="76"/>
      <c r="H187" s="76"/>
      <c r="I187" s="81"/>
      <c r="J187" s="74"/>
      <c r="K187" s="73"/>
      <c r="L187" s="78"/>
      <c r="M187" s="77"/>
      <c r="N187" s="79"/>
    </row>
    <row r="188" spans="2:14" ht="15.75" thickBot="1" x14ac:dyDescent="0.3">
      <c r="B188" s="2"/>
      <c r="C188" s="1"/>
      <c r="D188" s="1"/>
      <c r="E188" s="3"/>
      <c r="F188" s="89" t="s">
        <v>1037</v>
      </c>
      <c r="G188" s="87"/>
      <c r="H188" s="87"/>
      <c r="I188" s="88"/>
      <c r="J188" s="88"/>
      <c r="K188" s="3"/>
      <c r="L188" s="3"/>
      <c r="M188" s="7" t="s">
        <v>0</v>
      </c>
      <c r="N188" s="5"/>
    </row>
    <row r="189" spans="2:14" x14ac:dyDescent="0.25">
      <c r="B189" s="8" t="s">
        <v>1</v>
      </c>
      <c r="C189" s="9" t="s">
        <v>2</v>
      </c>
      <c r="D189" s="9" t="s">
        <v>3</v>
      </c>
      <c r="E189" s="9" t="s">
        <v>4</v>
      </c>
      <c r="F189" s="10" t="s">
        <v>5</v>
      </c>
      <c r="G189" s="10" t="s">
        <v>6</v>
      </c>
      <c r="H189" s="10" t="s">
        <v>7</v>
      </c>
      <c r="I189" s="10" t="s">
        <v>8</v>
      </c>
      <c r="J189" s="9" t="s">
        <v>9</v>
      </c>
      <c r="K189" s="41" t="s">
        <v>387</v>
      </c>
      <c r="L189" s="9" t="s">
        <v>10</v>
      </c>
      <c r="M189" s="11" t="s">
        <v>11</v>
      </c>
      <c r="N189" s="12" t="s">
        <v>12</v>
      </c>
    </row>
    <row r="190" spans="2:14" x14ac:dyDescent="0.25">
      <c r="B190" s="18">
        <f>90+2000</f>
        <v>2090</v>
      </c>
      <c r="C190" s="28" t="s">
        <v>357</v>
      </c>
      <c r="D190" s="20" t="s">
        <v>76</v>
      </c>
      <c r="E190" s="47">
        <v>16307812</v>
      </c>
      <c r="F190" s="28">
        <f>F186+1</f>
        <v>167</v>
      </c>
      <c r="G190" s="28"/>
      <c r="H190" s="28"/>
      <c r="I190" s="22"/>
      <c r="J190" s="20" t="s">
        <v>761</v>
      </c>
      <c r="K190" s="21" t="s">
        <v>388</v>
      </c>
      <c r="L190" s="21" t="s">
        <v>211</v>
      </c>
      <c r="M190" s="22"/>
      <c r="N190" s="23"/>
    </row>
    <row r="191" spans="2:14" x14ac:dyDescent="0.25">
      <c r="B191" s="18">
        <f>90+2000</f>
        <v>2090</v>
      </c>
      <c r="C191" s="34" t="s">
        <v>72</v>
      </c>
      <c r="D191" s="20" t="s">
        <v>213</v>
      </c>
      <c r="E191" s="47">
        <v>10768242</v>
      </c>
      <c r="F191" s="28">
        <f t="shared" si="3"/>
        <v>168</v>
      </c>
      <c r="G191" s="28"/>
      <c r="H191" s="28"/>
      <c r="I191" s="22"/>
      <c r="J191" s="20" t="s">
        <v>259</v>
      </c>
      <c r="K191" s="21" t="s">
        <v>388</v>
      </c>
      <c r="L191" s="21" t="s">
        <v>211</v>
      </c>
      <c r="M191" s="22"/>
      <c r="N191" s="23"/>
    </row>
    <row r="192" spans="2:14" x14ac:dyDescent="0.25">
      <c r="B192" s="18">
        <f>1500+2+125+100+45+50</f>
        <v>1822</v>
      </c>
      <c r="C192" s="19" t="s">
        <v>316</v>
      </c>
      <c r="D192" s="20" t="s">
        <v>118</v>
      </c>
      <c r="E192" s="48">
        <v>11855626</v>
      </c>
      <c r="F192" s="28">
        <f t="shared" si="3"/>
        <v>169</v>
      </c>
      <c r="G192" s="28"/>
      <c r="H192" s="28"/>
      <c r="I192" s="24"/>
      <c r="J192" s="20" t="s">
        <v>270</v>
      </c>
      <c r="K192" s="21" t="s">
        <v>389</v>
      </c>
      <c r="L192" s="21" t="s">
        <v>211</v>
      </c>
      <c r="M192" s="22"/>
      <c r="N192" s="23"/>
    </row>
    <row r="193" spans="2:14" x14ac:dyDescent="0.25">
      <c r="B193" s="18">
        <f>1500+45</f>
        <v>1545</v>
      </c>
      <c r="C193" s="19" t="s">
        <v>214</v>
      </c>
      <c r="D193" s="20" t="s">
        <v>119</v>
      </c>
      <c r="E193" s="47">
        <v>10767799</v>
      </c>
      <c r="F193" s="28">
        <f t="shared" si="3"/>
        <v>170</v>
      </c>
      <c r="G193" s="28"/>
      <c r="H193" s="28"/>
      <c r="I193" s="24"/>
      <c r="J193" s="20" t="s">
        <v>750</v>
      </c>
      <c r="K193" s="21" t="s">
        <v>388</v>
      </c>
      <c r="L193" s="21" t="s">
        <v>211</v>
      </c>
      <c r="M193" s="22"/>
      <c r="N193" s="23"/>
    </row>
    <row r="194" spans="2:14" x14ac:dyDescent="0.25">
      <c r="B194" s="18">
        <v>1500</v>
      </c>
      <c r="C194" s="19" t="s">
        <v>895</v>
      </c>
      <c r="D194" s="20" t="s">
        <v>545</v>
      </c>
      <c r="E194" s="48">
        <v>10772657</v>
      </c>
      <c r="F194" s="28">
        <f t="shared" si="3"/>
        <v>171</v>
      </c>
      <c r="G194" s="28"/>
      <c r="H194" s="28"/>
      <c r="I194" s="24"/>
      <c r="J194" s="20" t="s">
        <v>761</v>
      </c>
      <c r="K194" s="21" t="s">
        <v>388</v>
      </c>
      <c r="L194" s="21" t="s">
        <v>211</v>
      </c>
      <c r="M194" s="22"/>
      <c r="N194" s="23"/>
    </row>
    <row r="195" spans="2:14" x14ac:dyDescent="0.25">
      <c r="B195" s="18">
        <v>1500</v>
      </c>
      <c r="C195" s="19" t="s">
        <v>896</v>
      </c>
      <c r="D195" s="20" t="s">
        <v>69</v>
      </c>
      <c r="E195" s="48">
        <v>10772649</v>
      </c>
      <c r="F195" s="28">
        <f t="shared" si="3"/>
        <v>172</v>
      </c>
      <c r="G195" s="28"/>
      <c r="H195" s="28"/>
      <c r="I195" s="24"/>
      <c r="J195" s="20" t="s">
        <v>761</v>
      </c>
      <c r="K195" s="21" t="s">
        <v>388</v>
      </c>
      <c r="L195" s="21" t="s">
        <v>211</v>
      </c>
      <c r="M195" s="22"/>
      <c r="N195" s="23"/>
    </row>
    <row r="196" spans="2:14" x14ac:dyDescent="0.25">
      <c r="B196" s="18">
        <v>1200</v>
      </c>
      <c r="C196" s="19" t="s">
        <v>814</v>
      </c>
      <c r="D196" s="20" t="s">
        <v>249</v>
      </c>
      <c r="E196" s="48">
        <v>10771310</v>
      </c>
      <c r="F196" s="28">
        <f t="shared" si="3"/>
        <v>173</v>
      </c>
      <c r="G196" s="28"/>
      <c r="H196" s="28"/>
      <c r="I196" s="24"/>
      <c r="J196" s="20" t="s">
        <v>259</v>
      </c>
      <c r="K196" s="21" t="s">
        <v>388</v>
      </c>
      <c r="L196" s="21" t="s">
        <v>211</v>
      </c>
      <c r="M196" s="22"/>
      <c r="N196" s="23"/>
    </row>
    <row r="197" spans="2:14" x14ac:dyDescent="0.25">
      <c r="B197" s="18">
        <v>1200</v>
      </c>
      <c r="C197" s="19" t="s">
        <v>897</v>
      </c>
      <c r="D197" s="20" t="s">
        <v>490</v>
      </c>
      <c r="E197" s="48">
        <v>10772714</v>
      </c>
      <c r="F197" s="28">
        <f t="shared" si="3"/>
        <v>174</v>
      </c>
      <c r="G197" s="28"/>
      <c r="H197" s="28"/>
      <c r="I197" s="24"/>
      <c r="J197" s="20" t="s">
        <v>259</v>
      </c>
      <c r="K197" s="21" t="s">
        <v>388</v>
      </c>
      <c r="L197" s="21" t="s">
        <v>211</v>
      </c>
      <c r="M197" s="22"/>
      <c r="N197" s="23"/>
    </row>
    <row r="198" spans="2:14" x14ac:dyDescent="0.25">
      <c r="B198" s="18">
        <v>1000</v>
      </c>
      <c r="C198" s="19" t="s">
        <v>360</v>
      </c>
      <c r="D198" s="20" t="s">
        <v>141</v>
      </c>
      <c r="E198" s="48">
        <v>10768094</v>
      </c>
      <c r="F198" s="28">
        <f t="shared" si="3"/>
        <v>175</v>
      </c>
      <c r="G198" s="28"/>
      <c r="H198" s="28"/>
      <c r="I198" s="24"/>
      <c r="J198" s="20" t="s">
        <v>761</v>
      </c>
      <c r="K198" s="21" t="s">
        <v>388</v>
      </c>
      <c r="L198" s="21" t="s">
        <v>211</v>
      </c>
      <c r="M198" s="22"/>
      <c r="N198" s="23"/>
    </row>
    <row r="199" spans="2:14" x14ac:dyDescent="0.25">
      <c r="B199" s="18">
        <v>750</v>
      </c>
      <c r="C199" s="19" t="s">
        <v>898</v>
      </c>
      <c r="D199" s="20" t="s">
        <v>546</v>
      </c>
      <c r="E199" s="47">
        <v>10765701</v>
      </c>
      <c r="F199" s="28">
        <f t="shared" si="3"/>
        <v>176</v>
      </c>
      <c r="G199" s="28"/>
      <c r="H199" s="28"/>
      <c r="I199" s="24"/>
      <c r="J199" s="20" t="s">
        <v>259</v>
      </c>
      <c r="K199" s="21" t="s">
        <v>388</v>
      </c>
      <c r="L199" s="21" t="s">
        <v>211</v>
      </c>
      <c r="M199" s="22"/>
      <c r="N199" s="23"/>
    </row>
    <row r="200" spans="2:14" x14ac:dyDescent="0.25">
      <c r="B200" s="18">
        <v>750</v>
      </c>
      <c r="C200" s="20" t="s">
        <v>300</v>
      </c>
      <c r="D200" s="20" t="s">
        <v>301</v>
      </c>
      <c r="E200" s="47">
        <v>10509406</v>
      </c>
      <c r="F200" s="28">
        <f t="shared" si="3"/>
        <v>177</v>
      </c>
      <c r="G200" s="28"/>
      <c r="H200" s="28"/>
      <c r="I200" s="24"/>
      <c r="J200" s="20" t="s">
        <v>259</v>
      </c>
      <c r="K200" s="21" t="s">
        <v>388</v>
      </c>
      <c r="L200" s="21" t="s">
        <v>211</v>
      </c>
      <c r="M200" s="22"/>
      <c r="N200" s="23"/>
    </row>
    <row r="201" spans="2:14" x14ac:dyDescent="0.25">
      <c r="B201" s="18">
        <f>720+45</f>
        <v>765</v>
      </c>
      <c r="C201" s="19" t="s">
        <v>361</v>
      </c>
      <c r="D201" s="20" t="s">
        <v>174</v>
      </c>
      <c r="E201" s="47">
        <v>16307713</v>
      </c>
      <c r="F201" s="28">
        <f t="shared" si="3"/>
        <v>178</v>
      </c>
      <c r="G201" s="28"/>
      <c r="H201" s="28"/>
      <c r="I201" s="24"/>
      <c r="J201" s="20" t="s">
        <v>259</v>
      </c>
      <c r="K201" s="21" t="s">
        <v>388</v>
      </c>
      <c r="L201" s="21" t="s">
        <v>211</v>
      </c>
      <c r="M201" s="22"/>
      <c r="N201" s="23"/>
    </row>
    <row r="202" spans="2:14" x14ac:dyDescent="0.25">
      <c r="B202" s="18">
        <f>720+45</f>
        <v>765</v>
      </c>
      <c r="C202" s="19" t="s">
        <v>362</v>
      </c>
      <c r="D202" s="20" t="s">
        <v>215</v>
      </c>
      <c r="E202" s="47">
        <v>16307721</v>
      </c>
      <c r="F202" s="28">
        <f t="shared" si="3"/>
        <v>179</v>
      </c>
      <c r="G202" s="28"/>
      <c r="H202" s="28"/>
      <c r="I202" s="24"/>
      <c r="J202" s="20" t="s">
        <v>259</v>
      </c>
      <c r="K202" s="21" t="s">
        <v>388</v>
      </c>
      <c r="L202" s="21" t="s">
        <v>211</v>
      </c>
      <c r="M202" s="22"/>
      <c r="N202" s="23"/>
    </row>
    <row r="203" spans="2:14" x14ac:dyDescent="0.25">
      <c r="B203" s="18">
        <f>90+360+45</f>
        <v>495</v>
      </c>
      <c r="C203" s="19" t="s">
        <v>218</v>
      </c>
      <c r="D203" s="20" t="s">
        <v>302</v>
      </c>
      <c r="E203" s="47">
        <v>12740602</v>
      </c>
      <c r="F203" s="28">
        <f t="shared" si="3"/>
        <v>180</v>
      </c>
      <c r="G203" s="28"/>
      <c r="H203" s="28"/>
      <c r="I203" s="24"/>
      <c r="J203" s="20" t="s">
        <v>303</v>
      </c>
      <c r="K203" s="21" t="s">
        <v>395</v>
      </c>
      <c r="L203" s="21" t="s">
        <v>211</v>
      </c>
      <c r="M203" s="22"/>
      <c r="N203" s="23"/>
    </row>
    <row r="204" spans="2:14" ht="15.75" customHeight="1" x14ac:dyDescent="0.25">
      <c r="B204" s="18">
        <f>75+400</f>
        <v>475</v>
      </c>
      <c r="C204" s="19" t="s">
        <v>449</v>
      </c>
      <c r="D204" s="20" t="s">
        <v>450</v>
      </c>
      <c r="E204" s="48">
        <v>11862358</v>
      </c>
      <c r="F204" s="28">
        <f t="shared" si="3"/>
        <v>181</v>
      </c>
      <c r="G204" s="28"/>
      <c r="H204" s="28"/>
      <c r="I204" s="22"/>
      <c r="J204" s="20" t="s">
        <v>270</v>
      </c>
      <c r="K204" s="21" t="s">
        <v>389</v>
      </c>
      <c r="L204" s="21" t="s">
        <v>211</v>
      </c>
      <c r="M204" s="22"/>
      <c r="N204" s="23"/>
    </row>
    <row r="205" spans="2:14" ht="15.75" customHeight="1" x14ac:dyDescent="0.25">
      <c r="B205" s="18">
        <v>400</v>
      </c>
      <c r="C205" s="19" t="s">
        <v>506</v>
      </c>
      <c r="D205" s="20" t="s">
        <v>59</v>
      </c>
      <c r="E205" s="48">
        <v>11855543</v>
      </c>
      <c r="F205" s="28">
        <f t="shared" si="3"/>
        <v>182</v>
      </c>
      <c r="G205" s="28"/>
      <c r="H205" s="28"/>
      <c r="I205" s="22"/>
      <c r="J205" s="20" t="s">
        <v>270</v>
      </c>
      <c r="K205" s="21" t="s">
        <v>389</v>
      </c>
      <c r="L205" s="21" t="s">
        <v>211</v>
      </c>
      <c r="M205" s="22"/>
      <c r="N205" s="23"/>
    </row>
    <row r="206" spans="2:14" x14ac:dyDescent="0.25">
      <c r="B206" s="18">
        <f>90+90</f>
        <v>180</v>
      </c>
      <c r="C206" s="34" t="s">
        <v>363</v>
      </c>
      <c r="D206" s="20" t="s">
        <v>162</v>
      </c>
      <c r="E206" s="47">
        <v>10766585</v>
      </c>
      <c r="F206" s="28">
        <f t="shared" si="3"/>
        <v>183</v>
      </c>
      <c r="G206" s="28"/>
      <c r="H206" s="28"/>
      <c r="I206" s="22"/>
      <c r="J206" s="20" t="s">
        <v>259</v>
      </c>
      <c r="K206" s="21" t="s">
        <v>388</v>
      </c>
      <c r="L206" s="21" t="s">
        <v>211</v>
      </c>
      <c r="M206" s="22"/>
      <c r="N206" s="23"/>
    </row>
    <row r="207" spans="2:14" x14ac:dyDescent="0.25">
      <c r="B207" s="18">
        <f>90+45</f>
        <v>135</v>
      </c>
      <c r="C207" s="19" t="s">
        <v>364</v>
      </c>
      <c r="D207" s="20" t="s">
        <v>217</v>
      </c>
      <c r="E207" s="47">
        <v>10763565</v>
      </c>
      <c r="F207" s="28">
        <f t="shared" si="3"/>
        <v>184</v>
      </c>
      <c r="G207" s="28"/>
      <c r="H207" s="28"/>
      <c r="I207" s="24"/>
      <c r="J207" s="20" t="s">
        <v>259</v>
      </c>
      <c r="K207" s="21" t="s">
        <v>388</v>
      </c>
      <c r="L207" s="21" t="s">
        <v>211</v>
      </c>
      <c r="M207" s="22"/>
      <c r="N207" s="23"/>
    </row>
    <row r="208" spans="2:14" x14ac:dyDescent="0.25">
      <c r="B208" s="18">
        <f t="shared" ref="B208:B209" si="4">90+45</f>
        <v>135</v>
      </c>
      <c r="C208" s="19" t="s">
        <v>365</v>
      </c>
      <c r="D208" s="20" t="s">
        <v>212</v>
      </c>
      <c r="E208" s="47">
        <v>10764943</v>
      </c>
      <c r="F208" s="28">
        <f t="shared" si="3"/>
        <v>185</v>
      </c>
      <c r="G208" s="28"/>
      <c r="H208" s="28"/>
      <c r="I208" s="24"/>
      <c r="J208" s="20" t="s">
        <v>761</v>
      </c>
      <c r="K208" s="21" t="s">
        <v>388</v>
      </c>
      <c r="L208" s="21" t="s">
        <v>211</v>
      </c>
      <c r="M208" s="22"/>
      <c r="N208" s="23"/>
    </row>
    <row r="209" spans="2:14" x14ac:dyDescent="0.25">
      <c r="B209" s="18">
        <f t="shared" si="4"/>
        <v>135</v>
      </c>
      <c r="C209" s="19" t="s">
        <v>219</v>
      </c>
      <c r="D209" s="20" t="s">
        <v>199</v>
      </c>
      <c r="E209" s="48">
        <v>10764919</v>
      </c>
      <c r="F209" s="28">
        <f t="shared" si="3"/>
        <v>186</v>
      </c>
      <c r="G209" s="28"/>
      <c r="H209" s="28"/>
      <c r="I209" s="24"/>
      <c r="J209" s="20" t="s">
        <v>761</v>
      </c>
      <c r="K209" s="21" t="s">
        <v>388</v>
      </c>
      <c r="L209" s="21" t="s">
        <v>211</v>
      </c>
      <c r="M209" s="22"/>
      <c r="N209" s="23"/>
    </row>
    <row r="210" spans="2:14" x14ac:dyDescent="0.25">
      <c r="B210" s="18">
        <v>90</v>
      </c>
      <c r="C210" s="34" t="s">
        <v>220</v>
      </c>
      <c r="D210" s="20" t="s">
        <v>366</v>
      </c>
      <c r="E210" s="47">
        <v>10768581</v>
      </c>
      <c r="F210" s="28">
        <f t="shared" si="3"/>
        <v>187</v>
      </c>
      <c r="G210" s="28"/>
      <c r="H210" s="28"/>
      <c r="I210" s="24"/>
      <c r="J210" s="20" t="s">
        <v>259</v>
      </c>
      <c r="K210" s="21" t="s">
        <v>388</v>
      </c>
      <c r="L210" s="21" t="s">
        <v>211</v>
      </c>
      <c r="M210" s="22"/>
      <c r="N210" s="23"/>
    </row>
    <row r="211" spans="2:14" x14ac:dyDescent="0.25">
      <c r="B211" s="18">
        <v>90</v>
      </c>
      <c r="C211" s="19" t="s">
        <v>367</v>
      </c>
      <c r="D211" s="20" t="s">
        <v>216</v>
      </c>
      <c r="E211" s="47">
        <v>10766569</v>
      </c>
      <c r="F211" s="28">
        <f t="shared" si="3"/>
        <v>188</v>
      </c>
      <c r="G211" s="28"/>
      <c r="H211" s="28"/>
      <c r="I211" s="24"/>
      <c r="J211" s="20" t="s">
        <v>259</v>
      </c>
      <c r="K211" s="21" t="s">
        <v>388</v>
      </c>
      <c r="L211" s="21" t="s">
        <v>211</v>
      </c>
      <c r="M211" s="22"/>
      <c r="N211" s="23"/>
    </row>
    <row r="212" spans="2:14" x14ac:dyDescent="0.25">
      <c r="B212" s="18">
        <f>5+45</f>
        <v>50</v>
      </c>
      <c r="C212" s="19" t="s">
        <v>101</v>
      </c>
      <c r="D212" s="20" t="s">
        <v>102</v>
      </c>
      <c r="E212" s="47">
        <v>11855759</v>
      </c>
      <c r="F212" s="28">
        <f t="shared" si="3"/>
        <v>189</v>
      </c>
      <c r="G212" s="28"/>
      <c r="H212" s="28"/>
      <c r="I212" s="24"/>
      <c r="J212" s="20" t="s">
        <v>270</v>
      </c>
      <c r="K212" s="21" t="s">
        <v>389</v>
      </c>
      <c r="L212" s="21" t="s">
        <v>211</v>
      </c>
      <c r="M212" s="22"/>
      <c r="N212" s="23"/>
    </row>
    <row r="213" spans="2:14" ht="15.75" customHeight="1" x14ac:dyDescent="0.25">
      <c r="B213" s="18">
        <v>45</v>
      </c>
      <c r="C213" s="19" t="s">
        <v>510</v>
      </c>
      <c r="D213" s="20" t="s">
        <v>547</v>
      </c>
      <c r="E213" s="48">
        <v>10357326</v>
      </c>
      <c r="F213" s="28">
        <f t="shared" si="3"/>
        <v>190</v>
      </c>
      <c r="G213" s="28"/>
      <c r="H213" s="28"/>
      <c r="I213" s="24"/>
      <c r="J213" s="20" t="s">
        <v>259</v>
      </c>
      <c r="K213" s="21" t="s">
        <v>388</v>
      </c>
      <c r="L213" s="21" t="s">
        <v>211</v>
      </c>
      <c r="M213" s="22"/>
      <c r="N213" s="23"/>
    </row>
    <row r="214" spans="2:14" ht="15.75" customHeight="1" x14ac:dyDescent="0.25">
      <c r="B214" s="18">
        <v>45</v>
      </c>
      <c r="C214" s="19" t="s">
        <v>899</v>
      </c>
      <c r="D214" s="20" t="s">
        <v>743</v>
      </c>
      <c r="E214" s="48">
        <v>10773150</v>
      </c>
      <c r="F214" s="28">
        <f t="shared" si="3"/>
        <v>191</v>
      </c>
      <c r="G214" s="28"/>
      <c r="H214" s="28"/>
      <c r="I214" s="24"/>
      <c r="J214" s="20" t="s">
        <v>385</v>
      </c>
      <c r="K214" s="21" t="s">
        <v>388</v>
      </c>
      <c r="L214" s="21" t="s">
        <v>211</v>
      </c>
      <c r="M214" s="22"/>
      <c r="N214" s="23"/>
    </row>
    <row r="215" spans="2:14" ht="15.75" customHeight="1" x14ac:dyDescent="0.25">
      <c r="B215" s="18">
        <v>45</v>
      </c>
      <c r="C215" s="19" t="s">
        <v>900</v>
      </c>
      <c r="D215" s="20" t="s">
        <v>744</v>
      </c>
      <c r="E215" s="48">
        <v>10773077</v>
      </c>
      <c r="F215" s="28">
        <f t="shared" si="3"/>
        <v>192</v>
      </c>
      <c r="G215" s="28"/>
      <c r="H215" s="28"/>
      <c r="I215" s="24"/>
      <c r="J215" s="20" t="s">
        <v>761</v>
      </c>
      <c r="K215" s="21" t="s">
        <v>388</v>
      </c>
      <c r="L215" s="21" t="s">
        <v>211</v>
      </c>
      <c r="M215" s="22"/>
      <c r="N215" s="23"/>
    </row>
    <row r="216" spans="2:14" ht="15.75" customHeight="1" x14ac:dyDescent="0.25">
      <c r="B216" s="18">
        <v>45</v>
      </c>
      <c r="C216" s="19" t="s">
        <v>745</v>
      </c>
      <c r="D216" s="20" t="s">
        <v>746</v>
      </c>
      <c r="E216" s="48">
        <v>10772855</v>
      </c>
      <c r="F216" s="28">
        <f t="shared" si="3"/>
        <v>193</v>
      </c>
      <c r="G216" s="28"/>
      <c r="H216" s="28"/>
      <c r="I216" s="24"/>
      <c r="J216" s="20" t="s">
        <v>259</v>
      </c>
      <c r="K216" s="21" t="s">
        <v>388</v>
      </c>
      <c r="L216" s="21" t="s">
        <v>211</v>
      </c>
      <c r="M216" s="22"/>
      <c r="N216" s="23"/>
    </row>
    <row r="217" spans="2:14" ht="15.75" customHeight="1" x14ac:dyDescent="0.25">
      <c r="B217" s="18">
        <v>45</v>
      </c>
      <c r="C217" s="19" t="s">
        <v>747</v>
      </c>
      <c r="D217" s="20" t="s">
        <v>718</v>
      </c>
      <c r="E217" s="48">
        <v>10772847</v>
      </c>
      <c r="F217" s="28">
        <f t="shared" si="3"/>
        <v>194</v>
      </c>
      <c r="G217" s="28"/>
      <c r="H217" s="28"/>
      <c r="I217" s="24"/>
      <c r="J217" s="20" t="s">
        <v>259</v>
      </c>
      <c r="K217" s="21" t="s">
        <v>388</v>
      </c>
      <c r="L217" s="21" t="s">
        <v>211</v>
      </c>
      <c r="M217" s="22"/>
      <c r="N217" s="23"/>
    </row>
    <row r="218" spans="2:14" ht="15.75" customHeight="1" x14ac:dyDescent="0.25">
      <c r="B218" s="18">
        <v>45</v>
      </c>
      <c r="C218" s="19" t="s">
        <v>748</v>
      </c>
      <c r="D218" s="20" t="s">
        <v>749</v>
      </c>
      <c r="E218" s="48">
        <v>10770825</v>
      </c>
      <c r="F218" s="28">
        <f t="shared" si="3"/>
        <v>195</v>
      </c>
      <c r="G218" s="28"/>
      <c r="H218" s="28"/>
      <c r="I218" s="24"/>
      <c r="J218" s="20" t="s">
        <v>750</v>
      </c>
      <c r="K218" s="21" t="s">
        <v>388</v>
      </c>
      <c r="L218" s="21" t="s">
        <v>211</v>
      </c>
      <c r="M218" s="22"/>
      <c r="N218" s="23"/>
    </row>
    <row r="219" spans="2:14" ht="15.75" customHeight="1" x14ac:dyDescent="0.25">
      <c r="B219" s="18">
        <v>25</v>
      </c>
      <c r="C219" s="19" t="s">
        <v>456</v>
      </c>
      <c r="D219" s="20" t="s">
        <v>451</v>
      </c>
      <c r="E219" s="48">
        <v>11862639</v>
      </c>
      <c r="F219" s="28">
        <f t="shared" si="3"/>
        <v>196</v>
      </c>
      <c r="G219" s="28"/>
      <c r="H219" s="28"/>
      <c r="I219" s="24"/>
      <c r="J219" s="20" t="s">
        <v>815</v>
      </c>
      <c r="K219" s="21" t="s">
        <v>389</v>
      </c>
      <c r="L219" s="21" t="s">
        <v>211</v>
      </c>
      <c r="M219" s="22"/>
      <c r="N219" s="23"/>
    </row>
    <row r="220" spans="2:14" ht="15.75" customHeight="1" x14ac:dyDescent="0.25">
      <c r="B220" s="18">
        <v>5</v>
      </c>
      <c r="C220" s="19" t="s">
        <v>406</v>
      </c>
      <c r="D220" s="20" t="s">
        <v>407</v>
      </c>
      <c r="E220" s="48">
        <v>11406601</v>
      </c>
      <c r="F220" s="28">
        <f t="shared" si="3"/>
        <v>197</v>
      </c>
      <c r="G220" s="28"/>
      <c r="H220" s="28"/>
      <c r="I220" s="22"/>
      <c r="J220" s="20" t="s">
        <v>319</v>
      </c>
      <c r="K220" s="21" t="s">
        <v>389</v>
      </c>
      <c r="L220" s="21" t="s">
        <v>211</v>
      </c>
      <c r="M220" s="22"/>
      <c r="N220" s="23"/>
    </row>
    <row r="221" spans="2:14" ht="15.75" customHeight="1" x14ac:dyDescent="0.25">
      <c r="B221" s="18">
        <v>5</v>
      </c>
      <c r="C221" s="19" t="s">
        <v>406</v>
      </c>
      <c r="D221" s="20" t="s">
        <v>164</v>
      </c>
      <c r="E221" s="48" t="s">
        <v>873</v>
      </c>
      <c r="F221" s="28">
        <f t="shared" si="3"/>
        <v>198</v>
      </c>
      <c r="G221" s="28"/>
      <c r="H221" s="28"/>
      <c r="I221" s="24"/>
      <c r="J221" s="20" t="s">
        <v>874</v>
      </c>
      <c r="K221" s="21" t="s">
        <v>389</v>
      </c>
      <c r="L221" s="21" t="s">
        <v>211</v>
      </c>
      <c r="M221" s="22"/>
      <c r="N221" s="23"/>
    </row>
    <row r="222" spans="2:14" x14ac:dyDescent="0.25">
      <c r="B222" s="18">
        <v>2</v>
      </c>
      <c r="C222" s="19" t="s">
        <v>457</v>
      </c>
      <c r="D222" s="20" t="s">
        <v>458</v>
      </c>
      <c r="E222" s="47">
        <v>11805027</v>
      </c>
      <c r="F222" s="28">
        <f t="shared" si="3"/>
        <v>199</v>
      </c>
      <c r="G222" s="28"/>
      <c r="H222" s="28"/>
      <c r="I222" s="24"/>
      <c r="J222" s="20" t="s">
        <v>815</v>
      </c>
      <c r="K222" s="21" t="s">
        <v>389</v>
      </c>
      <c r="L222" s="21" t="s">
        <v>211</v>
      </c>
      <c r="M222" s="22"/>
      <c r="N222" s="23"/>
    </row>
    <row r="223" spans="2:14" x14ac:dyDescent="0.25">
      <c r="B223" s="18">
        <v>2</v>
      </c>
      <c r="C223" s="19" t="s">
        <v>442</v>
      </c>
      <c r="D223" s="20" t="s">
        <v>61</v>
      </c>
      <c r="E223" s="48">
        <v>11805035</v>
      </c>
      <c r="F223" s="28">
        <f t="shared" si="3"/>
        <v>200</v>
      </c>
      <c r="G223" s="28"/>
      <c r="H223" s="28"/>
      <c r="I223" s="24"/>
      <c r="J223" s="20" t="s">
        <v>815</v>
      </c>
      <c r="K223" s="21" t="s">
        <v>389</v>
      </c>
      <c r="L223" s="21" t="s">
        <v>211</v>
      </c>
      <c r="M223" s="22"/>
      <c r="N223" s="23"/>
    </row>
    <row r="224" spans="2:14" x14ac:dyDescent="0.25">
      <c r="B224" s="18">
        <v>2</v>
      </c>
      <c r="C224" s="19" t="s">
        <v>459</v>
      </c>
      <c r="D224" s="20" t="s">
        <v>27</v>
      </c>
      <c r="E224" s="48">
        <v>11862481</v>
      </c>
      <c r="F224" s="28">
        <f t="shared" si="3"/>
        <v>201</v>
      </c>
      <c r="G224" s="28"/>
      <c r="H224" s="28"/>
      <c r="I224" s="24"/>
      <c r="J224" s="20" t="s">
        <v>815</v>
      </c>
      <c r="K224" s="21" t="s">
        <v>389</v>
      </c>
      <c r="L224" s="21" t="s">
        <v>211</v>
      </c>
      <c r="M224" s="22"/>
      <c r="N224" s="23"/>
    </row>
    <row r="225" spans="2:14" ht="15.75" thickBot="1" x14ac:dyDescent="0.3">
      <c r="B225" s="73"/>
      <c r="C225" s="92"/>
      <c r="D225" s="74"/>
      <c r="E225" s="65"/>
      <c r="F225" s="76"/>
      <c r="G225" s="76"/>
      <c r="H225" s="76"/>
      <c r="I225" s="81"/>
      <c r="J225" s="74"/>
      <c r="K225" s="78"/>
      <c r="L225" s="78"/>
      <c r="M225" s="77"/>
      <c r="N225" s="79"/>
    </row>
    <row r="226" spans="2:14" ht="15.75" thickBot="1" x14ac:dyDescent="0.3">
      <c r="B226" s="2"/>
      <c r="C226" s="1"/>
      <c r="D226" s="1"/>
      <c r="E226" s="3"/>
      <c r="F226" s="89" t="s">
        <v>1038</v>
      </c>
      <c r="G226" s="87"/>
      <c r="H226" s="87"/>
      <c r="I226" s="88"/>
      <c r="J226" s="88"/>
      <c r="K226" s="3"/>
      <c r="L226" s="3"/>
      <c r="M226" s="7" t="s">
        <v>0</v>
      </c>
      <c r="N226" s="5"/>
    </row>
    <row r="227" spans="2:14" x14ac:dyDescent="0.25">
      <c r="B227" s="8" t="s">
        <v>1</v>
      </c>
      <c r="C227" s="9" t="s">
        <v>2</v>
      </c>
      <c r="D227" s="9" t="s">
        <v>3</v>
      </c>
      <c r="E227" s="9" t="s">
        <v>4</v>
      </c>
      <c r="F227" s="10" t="s">
        <v>5</v>
      </c>
      <c r="G227" s="10" t="s">
        <v>6</v>
      </c>
      <c r="H227" s="10" t="s">
        <v>7</v>
      </c>
      <c r="I227" s="10" t="s">
        <v>8</v>
      </c>
      <c r="J227" s="9" t="s">
        <v>9</v>
      </c>
      <c r="K227" s="41" t="s">
        <v>387</v>
      </c>
      <c r="L227" s="9" t="s">
        <v>10</v>
      </c>
      <c r="M227" s="11" t="s">
        <v>11</v>
      </c>
      <c r="N227" s="12" t="s">
        <v>12</v>
      </c>
    </row>
    <row r="228" spans="2:14" x14ac:dyDescent="0.25">
      <c r="B228" s="18">
        <v>750</v>
      </c>
      <c r="C228" s="19" t="s">
        <v>871</v>
      </c>
      <c r="D228" s="20" t="s">
        <v>872</v>
      </c>
      <c r="E228" s="47">
        <v>10772988</v>
      </c>
      <c r="F228" s="28">
        <f>F224+1</f>
        <v>202</v>
      </c>
      <c r="G228" s="28"/>
      <c r="H228" s="28"/>
      <c r="I228" s="24"/>
      <c r="J228" s="20" t="s">
        <v>259</v>
      </c>
      <c r="K228" s="21" t="s">
        <v>388</v>
      </c>
      <c r="L228" s="21" t="s">
        <v>530</v>
      </c>
      <c r="M228" s="22"/>
      <c r="N228" s="23"/>
    </row>
    <row r="229" spans="2:14" x14ac:dyDescent="0.25">
      <c r="B229" s="18">
        <v>750</v>
      </c>
      <c r="C229" s="19" t="s">
        <v>870</v>
      </c>
      <c r="D229" s="20" t="s">
        <v>776</v>
      </c>
      <c r="E229" s="48">
        <v>10772475</v>
      </c>
      <c r="F229" s="28">
        <f t="shared" si="3"/>
        <v>203</v>
      </c>
      <c r="G229" s="28"/>
      <c r="H229" s="28"/>
      <c r="I229" s="24"/>
      <c r="J229" s="20" t="s">
        <v>259</v>
      </c>
      <c r="K229" s="21" t="s">
        <v>388</v>
      </c>
      <c r="L229" s="21" t="s">
        <v>530</v>
      </c>
      <c r="M229" s="22"/>
      <c r="N229" s="23"/>
    </row>
    <row r="230" spans="2:14" x14ac:dyDescent="0.25">
      <c r="B230" s="18">
        <v>400</v>
      </c>
      <c r="C230" s="93" t="s">
        <v>107</v>
      </c>
      <c r="D230" s="20" t="s">
        <v>533</v>
      </c>
      <c r="E230" s="47">
        <v>10765404</v>
      </c>
      <c r="F230" s="28">
        <f t="shared" ref="F230:F235" si="5">F229+1</f>
        <v>204</v>
      </c>
      <c r="G230" s="28"/>
      <c r="H230" s="28"/>
      <c r="I230" s="24"/>
      <c r="J230" s="20" t="s">
        <v>259</v>
      </c>
      <c r="K230" s="21" t="s">
        <v>388</v>
      </c>
      <c r="L230" s="21" t="s">
        <v>530</v>
      </c>
      <c r="M230" s="22"/>
      <c r="N230" s="23"/>
    </row>
    <row r="231" spans="2:14" x14ac:dyDescent="0.25">
      <c r="B231" s="18">
        <v>400</v>
      </c>
      <c r="C231" s="19" t="s">
        <v>868</v>
      </c>
      <c r="D231" s="20" t="s">
        <v>869</v>
      </c>
      <c r="E231" s="48">
        <v>10771732</v>
      </c>
      <c r="F231" s="28">
        <f t="shared" si="5"/>
        <v>205</v>
      </c>
      <c r="G231" s="28"/>
      <c r="H231" s="28"/>
      <c r="I231" s="24"/>
      <c r="J231" s="20" t="s">
        <v>259</v>
      </c>
      <c r="K231" s="21" t="s">
        <v>388</v>
      </c>
      <c r="L231" s="21" t="s">
        <v>530</v>
      </c>
      <c r="M231" s="22"/>
      <c r="N231" s="23"/>
    </row>
    <row r="232" spans="2:14" x14ac:dyDescent="0.25">
      <c r="B232" s="18">
        <v>45</v>
      </c>
      <c r="C232" s="93" t="s">
        <v>867</v>
      </c>
      <c r="D232" s="20" t="s">
        <v>534</v>
      </c>
      <c r="E232" s="47">
        <v>10772954</v>
      </c>
      <c r="F232" s="28">
        <f t="shared" si="5"/>
        <v>206</v>
      </c>
      <c r="G232" s="28"/>
      <c r="H232" s="28"/>
      <c r="I232" s="24"/>
      <c r="J232" s="20" t="s">
        <v>259</v>
      </c>
      <c r="K232" s="21" t="s">
        <v>388</v>
      </c>
      <c r="L232" s="21" t="s">
        <v>530</v>
      </c>
      <c r="M232" s="22"/>
      <c r="N232" s="23"/>
    </row>
    <row r="233" spans="2:14" x14ac:dyDescent="0.25">
      <c r="B233" s="18">
        <v>45</v>
      </c>
      <c r="C233" s="19" t="s">
        <v>535</v>
      </c>
      <c r="D233" s="20" t="s">
        <v>43</v>
      </c>
      <c r="E233" s="48">
        <v>10772764</v>
      </c>
      <c r="F233" s="28">
        <f t="shared" si="5"/>
        <v>207</v>
      </c>
      <c r="G233" s="28"/>
      <c r="H233" s="28"/>
      <c r="I233" s="24"/>
      <c r="J233" s="20" t="s">
        <v>259</v>
      </c>
      <c r="K233" s="21" t="s">
        <v>388</v>
      </c>
      <c r="L233" s="21" t="s">
        <v>530</v>
      </c>
      <c r="M233" s="22"/>
      <c r="N233" s="23"/>
    </row>
    <row r="234" spans="2:14" x14ac:dyDescent="0.25">
      <c r="B234" s="18">
        <v>45</v>
      </c>
      <c r="C234" s="93" t="s">
        <v>866</v>
      </c>
      <c r="D234" s="20" t="s">
        <v>536</v>
      </c>
      <c r="E234" s="47">
        <v>10770643</v>
      </c>
      <c r="F234" s="28">
        <f t="shared" si="5"/>
        <v>208</v>
      </c>
      <c r="G234" s="28"/>
      <c r="H234" s="28"/>
      <c r="I234" s="24"/>
      <c r="J234" s="20" t="s">
        <v>259</v>
      </c>
      <c r="K234" s="21" t="s">
        <v>388</v>
      </c>
      <c r="L234" s="21" t="s">
        <v>530</v>
      </c>
      <c r="M234" s="22"/>
      <c r="N234" s="23"/>
    </row>
    <row r="235" spans="2:14" x14ac:dyDescent="0.25">
      <c r="B235" s="18">
        <v>45</v>
      </c>
      <c r="C235" s="19" t="s">
        <v>828</v>
      </c>
      <c r="D235" s="20" t="s">
        <v>36</v>
      </c>
      <c r="E235" s="48">
        <v>10772574</v>
      </c>
      <c r="F235" s="28">
        <f t="shared" si="5"/>
        <v>209</v>
      </c>
      <c r="G235" s="28"/>
      <c r="H235" s="28"/>
      <c r="I235" s="24"/>
      <c r="J235" s="20" t="s">
        <v>761</v>
      </c>
      <c r="K235" s="21" t="s">
        <v>388</v>
      </c>
      <c r="L235" s="21" t="s">
        <v>530</v>
      </c>
      <c r="M235" s="22"/>
      <c r="N235" s="23"/>
    </row>
    <row r="236" spans="2:14" x14ac:dyDescent="0.25">
      <c r="E236"/>
    </row>
    <row r="237" spans="2:14" x14ac:dyDescent="0.25">
      <c r="E237"/>
    </row>
    <row r="238" spans="2:14" x14ac:dyDescent="0.25">
      <c r="E238"/>
    </row>
  </sheetData>
  <sortState ref="B8:M47">
    <sortCondition descending="1" ref="B8:B47"/>
  </sortState>
  <mergeCells count="1">
    <mergeCell ref="C4:L4"/>
  </mergeCells>
  <hyperlinks>
    <hyperlink ref="E59" r:id="rId1" display="https://portal.fctennis.cat/app/jugador/historial/11855303/3503/torneos.mensual/2"/>
    <hyperlink ref="E212" r:id="rId2" display="https://portal.fctennis.cat/app/jugador/historial/11855759/3503/torneos.mensual/2"/>
    <hyperlink ref="E220" r:id="rId3" display="https://portal.fctennis.cat/app/jugador/historial/11406601/3503/torneos.mensual/2"/>
  </hyperlink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4"/>
  <headerFooter>
    <oddFooter>&amp;A&amp;RPágina &amp;P</oddFooter>
  </headerFooter>
  <ignoredErrors>
    <ignoredError sqref="E104" numberStoredAsText="1"/>
  </ignoredError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308"/>
  <sheetViews>
    <sheetView topLeftCell="A283" zoomScaleNormal="100" workbookViewId="0">
      <selection activeCell="D212" sqref="D212"/>
    </sheetView>
  </sheetViews>
  <sheetFormatPr baseColWidth="10" defaultRowHeight="15" x14ac:dyDescent="0.25"/>
  <cols>
    <col min="1" max="1" width="3.42578125" customWidth="1"/>
    <col min="2" max="2" width="6.7109375" bestFit="1" customWidth="1"/>
    <col min="3" max="3" width="27.42578125" bestFit="1" customWidth="1"/>
    <col min="4" max="4" width="17" bestFit="1" customWidth="1"/>
    <col min="5" max="5" width="10.140625" style="25" bestFit="1" customWidth="1"/>
    <col min="6" max="6" width="9.42578125" bestFit="1" customWidth="1"/>
    <col min="7" max="7" width="4.42578125" bestFit="1" customWidth="1"/>
    <col min="8" max="8" width="5.42578125" bestFit="1" customWidth="1"/>
    <col min="9" max="9" width="5" bestFit="1" customWidth="1"/>
    <col min="10" max="10" width="49.140625" customWidth="1"/>
    <col min="11" max="11" width="20.28515625" style="25" customWidth="1"/>
    <col min="12" max="12" width="22.42578125" bestFit="1" customWidth="1"/>
    <col min="13" max="13" width="3.42578125" bestFit="1" customWidth="1"/>
    <col min="14" max="14" width="5.85546875" bestFit="1" customWidth="1"/>
  </cols>
  <sheetData>
    <row r="1" spans="2:14" s="1" customFormat="1" ht="11.25" x14ac:dyDescent="0.2">
      <c r="B1" s="2"/>
      <c r="E1" s="3"/>
      <c r="F1" s="3"/>
      <c r="G1" s="4"/>
      <c r="H1" s="4"/>
      <c r="I1" s="4"/>
      <c r="K1" s="3"/>
      <c r="L1" s="4"/>
      <c r="M1" s="4"/>
      <c r="N1" s="5"/>
    </row>
    <row r="2" spans="2:14" s="1" customFormat="1" ht="11.25" x14ac:dyDescent="0.2">
      <c r="B2" s="2"/>
      <c r="E2" s="3"/>
      <c r="F2" s="3"/>
      <c r="G2" s="4"/>
      <c r="H2" s="4"/>
      <c r="I2" s="4"/>
      <c r="K2" s="3"/>
      <c r="L2" s="4"/>
      <c r="M2" s="4"/>
      <c r="N2" s="6"/>
    </row>
    <row r="3" spans="2:14" s="1" customFormat="1" ht="11.25" x14ac:dyDescent="0.2">
      <c r="B3" s="2"/>
      <c r="E3" s="3"/>
      <c r="F3" s="3"/>
      <c r="G3" s="4"/>
      <c r="H3" s="4"/>
      <c r="I3" s="4"/>
      <c r="K3" s="3"/>
      <c r="L3" s="4"/>
      <c r="M3" s="4"/>
      <c r="N3" s="5"/>
    </row>
    <row r="4" spans="2:14" s="1" customFormat="1" ht="12.75" x14ac:dyDescent="0.2">
      <c r="B4" s="2"/>
      <c r="C4" s="104" t="s">
        <v>1061</v>
      </c>
      <c r="D4" s="104"/>
      <c r="E4" s="104"/>
      <c r="F4" s="104"/>
      <c r="G4" s="104"/>
      <c r="H4" s="104"/>
      <c r="I4" s="104"/>
      <c r="J4" s="104"/>
      <c r="K4" s="104"/>
      <c r="L4" s="104"/>
      <c r="M4" s="4"/>
      <c r="N4" s="5"/>
    </row>
    <row r="5" spans="2:14" s="1" customFormat="1" ht="20.100000000000001" customHeight="1" thickBot="1" x14ac:dyDescent="0.25">
      <c r="B5" s="2"/>
      <c r="E5" s="3"/>
      <c r="F5" s="3"/>
      <c r="G5" s="4"/>
      <c r="H5" s="4"/>
      <c r="I5" s="4"/>
      <c r="J5" s="4"/>
      <c r="K5" s="3"/>
      <c r="L5" s="4"/>
      <c r="M5" s="4"/>
      <c r="N5" s="5"/>
    </row>
    <row r="6" spans="2:14" s="1" customFormat="1" ht="12" thickBot="1" x14ac:dyDescent="0.25">
      <c r="B6" s="2"/>
      <c r="E6" s="3"/>
      <c r="F6" s="89" t="s">
        <v>1039</v>
      </c>
      <c r="G6" s="87"/>
      <c r="H6" s="87"/>
      <c r="I6" s="88"/>
      <c r="J6" s="88"/>
      <c r="K6" s="3"/>
      <c r="L6" s="4"/>
      <c r="M6" s="7" t="s">
        <v>0</v>
      </c>
      <c r="N6" s="5"/>
    </row>
    <row r="7" spans="2:14" s="1" customFormat="1" ht="11.25" x14ac:dyDescent="0.2">
      <c r="B7" s="8" t="s">
        <v>1</v>
      </c>
      <c r="C7" s="9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9" t="s">
        <v>9</v>
      </c>
      <c r="K7" s="16" t="s">
        <v>387</v>
      </c>
      <c r="L7" s="9" t="s">
        <v>10</v>
      </c>
      <c r="M7" s="11" t="s">
        <v>11</v>
      </c>
      <c r="N7" s="12" t="s">
        <v>12</v>
      </c>
    </row>
    <row r="8" spans="2:14" x14ac:dyDescent="0.25">
      <c r="B8" s="13">
        <f>1000+90+750+1500+1200</f>
        <v>4540</v>
      </c>
      <c r="C8" s="20" t="s">
        <v>263</v>
      </c>
      <c r="D8" s="29" t="s">
        <v>81</v>
      </c>
      <c r="E8" s="46">
        <v>13464954</v>
      </c>
      <c r="F8" s="28">
        <v>1</v>
      </c>
      <c r="G8" s="28"/>
      <c r="H8" s="28"/>
      <c r="I8" s="22"/>
      <c r="J8" s="20" t="s">
        <v>264</v>
      </c>
      <c r="K8" s="21" t="s">
        <v>771</v>
      </c>
      <c r="L8" s="19" t="s">
        <v>588</v>
      </c>
      <c r="M8" s="28"/>
      <c r="N8" s="28"/>
    </row>
    <row r="9" spans="2:14" x14ac:dyDescent="0.25">
      <c r="B9" s="13">
        <f>360+1200+1200+1500</f>
        <v>4260</v>
      </c>
      <c r="C9" s="20" t="s">
        <v>260</v>
      </c>
      <c r="D9" s="20" t="s">
        <v>46</v>
      </c>
      <c r="E9" s="47">
        <v>6836467</v>
      </c>
      <c r="F9" s="28">
        <f>F8+1</f>
        <v>2</v>
      </c>
      <c r="G9" s="28"/>
      <c r="H9" s="28"/>
      <c r="I9" s="21"/>
      <c r="J9" s="20" t="s">
        <v>261</v>
      </c>
      <c r="K9" s="18" t="s">
        <v>389</v>
      </c>
      <c r="L9" s="19" t="s">
        <v>588</v>
      </c>
      <c r="M9" s="28"/>
      <c r="N9" s="28"/>
    </row>
    <row r="10" spans="2:14" x14ac:dyDescent="0.25">
      <c r="B10" s="13">
        <f>1000+90+750+1500+750</f>
        <v>4090</v>
      </c>
      <c r="C10" s="20" t="s">
        <v>26</v>
      </c>
      <c r="D10" s="29" t="s">
        <v>80</v>
      </c>
      <c r="E10" s="46">
        <v>10767319</v>
      </c>
      <c r="F10" s="28">
        <f t="shared" ref="F10:F26" si="0">F9+1</f>
        <v>3</v>
      </c>
      <c r="G10" s="28"/>
      <c r="H10" s="28"/>
      <c r="I10" s="22"/>
      <c r="J10" s="20" t="s">
        <v>259</v>
      </c>
      <c r="K10" s="18" t="s">
        <v>388</v>
      </c>
      <c r="L10" s="19" t="s">
        <v>588</v>
      </c>
      <c r="M10" s="28"/>
      <c r="N10" s="28"/>
    </row>
    <row r="11" spans="2:14" x14ac:dyDescent="0.25">
      <c r="B11" s="13">
        <f>600+1500+1200+400</f>
        <v>3700</v>
      </c>
      <c r="C11" s="20" t="s">
        <v>402</v>
      </c>
      <c r="D11" s="29" t="s">
        <v>15</v>
      </c>
      <c r="E11" s="46" t="s">
        <v>681</v>
      </c>
      <c r="F11" s="28">
        <f t="shared" si="0"/>
        <v>4</v>
      </c>
      <c r="G11" s="28"/>
      <c r="H11" s="28"/>
      <c r="I11" s="21"/>
      <c r="J11" s="20" t="s">
        <v>750</v>
      </c>
      <c r="K11" s="18" t="s">
        <v>388</v>
      </c>
      <c r="L11" s="19" t="s">
        <v>588</v>
      </c>
      <c r="M11" s="28"/>
      <c r="N11" s="28"/>
    </row>
    <row r="12" spans="2:14" x14ac:dyDescent="0.25">
      <c r="B12" s="13">
        <f>1500+180+750+500+750</f>
        <v>3680</v>
      </c>
      <c r="C12" s="19" t="s">
        <v>320</v>
      </c>
      <c r="D12" s="20" t="s">
        <v>321</v>
      </c>
      <c r="E12" s="46">
        <v>10767103</v>
      </c>
      <c r="F12" s="28">
        <f t="shared" si="0"/>
        <v>5</v>
      </c>
      <c r="G12" s="28"/>
      <c r="H12" s="28"/>
      <c r="I12" s="21"/>
      <c r="J12" s="20" t="s">
        <v>750</v>
      </c>
      <c r="K12" s="18" t="s">
        <v>388</v>
      </c>
      <c r="L12" s="19" t="s">
        <v>588</v>
      </c>
      <c r="M12" s="28"/>
      <c r="N12" s="28"/>
    </row>
    <row r="13" spans="2:14" x14ac:dyDescent="0.25">
      <c r="B13" s="13">
        <f>1000+2000+180+400</f>
        <v>3580</v>
      </c>
      <c r="C13" s="20" t="s">
        <v>140</v>
      </c>
      <c r="D13" s="20" t="s">
        <v>36</v>
      </c>
      <c r="E13" s="47">
        <v>16953342</v>
      </c>
      <c r="F13" s="28">
        <f t="shared" si="0"/>
        <v>6</v>
      </c>
      <c r="G13" s="28"/>
      <c r="H13" s="28"/>
      <c r="I13" s="21"/>
      <c r="J13" s="20" t="s">
        <v>267</v>
      </c>
      <c r="K13" s="18" t="s">
        <v>390</v>
      </c>
      <c r="L13" s="19" t="s">
        <v>588</v>
      </c>
      <c r="M13" s="28"/>
      <c r="N13" s="28"/>
    </row>
    <row r="14" spans="2:14" x14ac:dyDescent="0.25">
      <c r="B14" s="13">
        <f>360+1200+400+1500</f>
        <v>3460</v>
      </c>
      <c r="C14" s="19" t="s">
        <v>268</v>
      </c>
      <c r="D14" s="20" t="s">
        <v>60</v>
      </c>
      <c r="E14" s="47">
        <v>6723903</v>
      </c>
      <c r="F14" s="28">
        <f t="shared" si="0"/>
        <v>7</v>
      </c>
      <c r="G14" s="28"/>
      <c r="H14" s="28"/>
      <c r="I14" s="21"/>
      <c r="J14" s="20" t="s">
        <v>270</v>
      </c>
      <c r="K14" s="18" t="s">
        <v>389</v>
      </c>
      <c r="L14" s="19" t="s">
        <v>588</v>
      </c>
      <c r="M14" s="28"/>
      <c r="N14" s="28"/>
    </row>
    <row r="15" spans="2:14" x14ac:dyDescent="0.25">
      <c r="B15" s="13">
        <f>1000+2000</f>
        <v>3000</v>
      </c>
      <c r="C15" s="20" t="s">
        <v>258</v>
      </c>
      <c r="D15" s="20" t="s">
        <v>14</v>
      </c>
      <c r="E15" s="46">
        <v>10768466</v>
      </c>
      <c r="F15" s="28">
        <f t="shared" si="0"/>
        <v>8</v>
      </c>
      <c r="G15" s="28"/>
      <c r="H15" s="28"/>
      <c r="I15" s="21"/>
      <c r="J15" s="20" t="s">
        <v>259</v>
      </c>
      <c r="K15" s="21" t="s">
        <v>388</v>
      </c>
      <c r="L15" s="19" t="s">
        <v>588</v>
      </c>
      <c r="M15" s="28"/>
      <c r="N15" s="28"/>
    </row>
    <row r="16" spans="2:14" x14ac:dyDescent="0.25">
      <c r="B16" s="13">
        <f>90+180+1500+1200</f>
        <v>2970</v>
      </c>
      <c r="C16" s="20" t="s">
        <v>274</v>
      </c>
      <c r="D16" s="29" t="s">
        <v>167</v>
      </c>
      <c r="E16" s="47">
        <v>3039890</v>
      </c>
      <c r="F16" s="28">
        <f t="shared" si="0"/>
        <v>9</v>
      </c>
      <c r="G16" s="28"/>
      <c r="H16" s="28"/>
      <c r="I16" s="22"/>
      <c r="J16" s="20" t="s">
        <v>264</v>
      </c>
      <c r="K16" s="21" t="s">
        <v>401</v>
      </c>
      <c r="L16" s="19" t="s">
        <v>588</v>
      </c>
      <c r="M16" s="28"/>
      <c r="N16" s="28"/>
    </row>
    <row r="17" spans="2:14" x14ac:dyDescent="0.25">
      <c r="B17" s="13">
        <f>100+1000+5+400+1200</f>
        <v>2705</v>
      </c>
      <c r="C17" s="19" t="s">
        <v>90</v>
      </c>
      <c r="D17" s="37" t="s">
        <v>42</v>
      </c>
      <c r="E17" s="46">
        <v>11855642</v>
      </c>
      <c r="F17" s="28">
        <f t="shared" si="0"/>
        <v>10</v>
      </c>
      <c r="G17" s="28"/>
      <c r="H17" s="28"/>
      <c r="I17" s="31"/>
      <c r="J17" s="20" t="s">
        <v>270</v>
      </c>
      <c r="K17" s="18" t="s">
        <v>389</v>
      </c>
      <c r="L17" s="19" t="s">
        <v>588</v>
      </c>
      <c r="M17" s="28"/>
      <c r="N17" s="28"/>
    </row>
    <row r="18" spans="2:14" x14ac:dyDescent="0.25">
      <c r="B18" s="13">
        <f>1500+180+500</f>
        <v>2180</v>
      </c>
      <c r="C18" s="20" t="s">
        <v>849</v>
      </c>
      <c r="D18" s="20" t="s">
        <v>13</v>
      </c>
      <c r="E18" s="47">
        <v>10768185</v>
      </c>
      <c r="F18" s="28">
        <f t="shared" si="0"/>
        <v>11</v>
      </c>
      <c r="G18" s="28"/>
      <c r="H18" s="28"/>
      <c r="I18" s="21"/>
      <c r="J18" s="20" t="s">
        <v>259</v>
      </c>
      <c r="K18" s="21" t="s">
        <v>388</v>
      </c>
      <c r="L18" s="19" t="s">
        <v>588</v>
      </c>
      <c r="M18" s="28"/>
      <c r="N18" s="28"/>
    </row>
    <row r="19" spans="2:14" x14ac:dyDescent="0.25">
      <c r="B19" s="13">
        <v>1500</v>
      </c>
      <c r="C19" s="20" t="s">
        <v>271</v>
      </c>
      <c r="D19" s="29" t="s">
        <v>31</v>
      </c>
      <c r="E19" s="47">
        <v>10768929</v>
      </c>
      <c r="F19" s="28">
        <f t="shared" si="0"/>
        <v>12</v>
      </c>
      <c r="G19" s="28"/>
      <c r="H19" s="28"/>
      <c r="I19" s="21"/>
      <c r="J19" s="20" t="s">
        <v>259</v>
      </c>
      <c r="K19" s="18" t="s">
        <v>388</v>
      </c>
      <c r="L19" s="19" t="s">
        <v>588</v>
      </c>
      <c r="M19" s="28"/>
      <c r="N19" s="28"/>
    </row>
    <row r="20" spans="2:14" x14ac:dyDescent="0.25">
      <c r="B20" s="13">
        <v>1500</v>
      </c>
      <c r="C20" s="20" t="s">
        <v>481</v>
      </c>
      <c r="D20" s="29" t="s">
        <v>139</v>
      </c>
      <c r="E20" s="47">
        <v>16954556</v>
      </c>
      <c r="F20" s="28">
        <f t="shared" si="0"/>
        <v>13</v>
      </c>
      <c r="G20" s="28"/>
      <c r="H20" s="28"/>
      <c r="I20" s="21"/>
      <c r="J20" s="20" t="s">
        <v>267</v>
      </c>
      <c r="K20" s="18" t="s">
        <v>390</v>
      </c>
      <c r="L20" s="19" t="s">
        <v>588</v>
      </c>
      <c r="M20" s="28"/>
      <c r="N20" s="28"/>
    </row>
    <row r="21" spans="2:14" x14ac:dyDescent="0.25">
      <c r="B21" s="13">
        <v>1500</v>
      </c>
      <c r="C21" s="20" t="s">
        <v>751</v>
      </c>
      <c r="D21" s="29" t="s">
        <v>478</v>
      </c>
      <c r="E21" s="48">
        <v>16954449</v>
      </c>
      <c r="F21" s="28">
        <f t="shared" si="0"/>
        <v>14</v>
      </c>
      <c r="G21" s="28"/>
      <c r="H21" s="28"/>
      <c r="I21" s="21"/>
      <c r="J21" s="20" t="s">
        <v>267</v>
      </c>
      <c r="K21" s="18" t="s">
        <v>390</v>
      </c>
      <c r="L21" s="19" t="s">
        <v>588</v>
      </c>
      <c r="M21" s="28"/>
      <c r="N21" s="28"/>
    </row>
    <row r="22" spans="2:14" x14ac:dyDescent="0.25">
      <c r="B22" s="13">
        <f>90+1000+400</f>
        <v>1490</v>
      </c>
      <c r="C22" s="20" t="s">
        <v>20</v>
      </c>
      <c r="D22" s="20" t="s">
        <v>21</v>
      </c>
      <c r="E22" s="47">
        <v>10768565</v>
      </c>
      <c r="F22" s="28">
        <f t="shared" si="0"/>
        <v>15</v>
      </c>
      <c r="G22" s="28"/>
      <c r="H22" s="28"/>
      <c r="I22" s="21"/>
      <c r="J22" s="20" t="s">
        <v>259</v>
      </c>
      <c r="K22" s="18" t="s">
        <v>388</v>
      </c>
      <c r="L22" s="19" t="s">
        <v>588</v>
      </c>
      <c r="M22" s="28"/>
      <c r="N22" s="28"/>
    </row>
    <row r="23" spans="2:14" x14ac:dyDescent="0.25">
      <c r="B23" s="13">
        <f>360+90+45+375</f>
        <v>870</v>
      </c>
      <c r="C23" s="20" t="s">
        <v>265</v>
      </c>
      <c r="D23" s="20" t="s">
        <v>83</v>
      </c>
      <c r="E23" s="46">
        <v>16307820</v>
      </c>
      <c r="F23" s="28">
        <f t="shared" si="0"/>
        <v>16</v>
      </c>
      <c r="G23" s="28"/>
      <c r="H23" s="28"/>
      <c r="I23" s="22"/>
      <c r="J23" s="20" t="s">
        <v>259</v>
      </c>
      <c r="K23" s="21" t="s">
        <v>388</v>
      </c>
      <c r="L23" s="19" t="s">
        <v>588</v>
      </c>
      <c r="M23" s="28"/>
      <c r="N23" s="28"/>
    </row>
    <row r="24" spans="2:14" x14ac:dyDescent="0.25">
      <c r="B24" s="13">
        <f>90+45+375</f>
        <v>510</v>
      </c>
      <c r="C24" s="19" t="s">
        <v>228</v>
      </c>
      <c r="D24" s="20" t="s">
        <v>194</v>
      </c>
      <c r="E24" s="47">
        <v>16307672</v>
      </c>
      <c r="F24" s="28">
        <f t="shared" si="0"/>
        <v>17</v>
      </c>
      <c r="G24" s="28"/>
      <c r="H24" s="28"/>
      <c r="I24" s="22"/>
      <c r="J24" s="20" t="s">
        <v>259</v>
      </c>
      <c r="K24" s="18" t="s">
        <v>388</v>
      </c>
      <c r="L24" s="19" t="s">
        <v>588</v>
      </c>
      <c r="M24" s="28"/>
      <c r="N24" s="28"/>
    </row>
    <row r="25" spans="2:14" x14ac:dyDescent="0.25">
      <c r="B25" s="13">
        <v>180</v>
      </c>
      <c r="C25" s="20" t="s">
        <v>901</v>
      </c>
      <c r="D25" s="20" t="s">
        <v>13</v>
      </c>
      <c r="E25" s="48">
        <v>10776162</v>
      </c>
      <c r="F25" s="28">
        <f t="shared" si="0"/>
        <v>18</v>
      </c>
      <c r="G25" s="28"/>
      <c r="H25" s="28"/>
      <c r="I25" s="21"/>
      <c r="J25" s="20" t="s">
        <v>259</v>
      </c>
      <c r="K25" s="18" t="s">
        <v>388</v>
      </c>
      <c r="L25" s="19" t="s">
        <v>588</v>
      </c>
      <c r="M25" s="28"/>
      <c r="N25" s="28"/>
    </row>
    <row r="26" spans="2:14" x14ac:dyDescent="0.25">
      <c r="B26" s="13">
        <v>180</v>
      </c>
      <c r="C26" s="20" t="s">
        <v>902</v>
      </c>
      <c r="D26" s="20" t="s">
        <v>69</v>
      </c>
      <c r="E26" s="48">
        <v>16954580</v>
      </c>
      <c r="F26" s="28">
        <f t="shared" si="0"/>
        <v>19</v>
      </c>
      <c r="G26" s="28"/>
      <c r="H26" s="28"/>
      <c r="I26" s="21"/>
      <c r="J26" s="20" t="s">
        <v>269</v>
      </c>
      <c r="K26" s="18" t="s">
        <v>390</v>
      </c>
      <c r="L26" s="19" t="s">
        <v>588</v>
      </c>
      <c r="M26" s="28"/>
      <c r="N26" s="28"/>
    </row>
    <row r="27" spans="2:14" x14ac:dyDescent="0.25">
      <c r="B27" s="13">
        <f>45+250</f>
        <v>295</v>
      </c>
      <c r="C27" s="34" t="s">
        <v>903</v>
      </c>
      <c r="D27" s="20" t="s">
        <v>650</v>
      </c>
      <c r="E27" s="47">
        <v>10623024</v>
      </c>
      <c r="F27" s="28">
        <f t="shared" ref="F27:F76" si="1">F26+1</f>
        <v>20</v>
      </c>
      <c r="G27" s="28"/>
      <c r="H27" s="28"/>
      <c r="I27" s="22"/>
      <c r="J27" s="20" t="s">
        <v>259</v>
      </c>
      <c r="K27" s="18" t="s">
        <v>388</v>
      </c>
      <c r="L27" s="19" t="s">
        <v>588</v>
      </c>
      <c r="M27" s="28"/>
      <c r="N27" s="28"/>
    </row>
    <row r="28" spans="2:14" x14ac:dyDescent="0.25">
      <c r="B28" s="13">
        <v>250</v>
      </c>
      <c r="C28" s="20" t="s">
        <v>704</v>
      </c>
      <c r="D28" s="29" t="s">
        <v>703</v>
      </c>
      <c r="E28" s="50">
        <v>10785494</v>
      </c>
      <c r="F28" s="28">
        <f t="shared" si="1"/>
        <v>21</v>
      </c>
      <c r="G28" s="28"/>
      <c r="H28" s="28"/>
      <c r="I28" s="22"/>
      <c r="J28" s="20" t="s">
        <v>259</v>
      </c>
      <c r="K28" s="18" t="s">
        <v>388</v>
      </c>
      <c r="L28" s="19" t="s">
        <v>588</v>
      </c>
      <c r="M28" s="28"/>
      <c r="N28" s="28"/>
    </row>
    <row r="29" spans="2:14" x14ac:dyDescent="0.25">
      <c r="B29" s="13">
        <f>90+45</f>
        <v>135</v>
      </c>
      <c r="C29" s="20" t="s">
        <v>272</v>
      </c>
      <c r="D29" s="29" t="s">
        <v>25</v>
      </c>
      <c r="E29" s="47">
        <v>10768523</v>
      </c>
      <c r="F29" s="28">
        <f t="shared" si="1"/>
        <v>22</v>
      </c>
      <c r="G29" s="28"/>
      <c r="H29" s="28"/>
      <c r="I29" s="22"/>
      <c r="J29" s="20" t="s">
        <v>259</v>
      </c>
      <c r="K29" s="18" t="s">
        <v>388</v>
      </c>
      <c r="L29" s="19" t="s">
        <v>588</v>
      </c>
      <c r="M29" s="28"/>
      <c r="N29" s="28"/>
    </row>
    <row r="30" spans="2:14" x14ac:dyDescent="0.25">
      <c r="B30" s="13">
        <f>90+45</f>
        <v>135</v>
      </c>
      <c r="C30" s="20" t="s">
        <v>275</v>
      </c>
      <c r="D30" s="29" t="s">
        <v>22</v>
      </c>
      <c r="E30" s="48">
        <v>10768060</v>
      </c>
      <c r="F30" s="28">
        <f t="shared" si="1"/>
        <v>23</v>
      </c>
      <c r="G30" s="28"/>
      <c r="H30" s="28"/>
      <c r="I30" s="22"/>
      <c r="J30" s="20" t="s">
        <v>303</v>
      </c>
      <c r="K30" s="18" t="s">
        <v>395</v>
      </c>
      <c r="L30" s="19" t="s">
        <v>588</v>
      </c>
      <c r="M30" s="28"/>
      <c r="N30" s="28"/>
    </row>
    <row r="31" spans="2:14" x14ac:dyDescent="0.25">
      <c r="B31" s="13">
        <v>90</v>
      </c>
      <c r="C31" s="20" t="s">
        <v>273</v>
      </c>
      <c r="D31" s="29" t="s">
        <v>43</v>
      </c>
      <c r="E31" s="47">
        <v>7404007</v>
      </c>
      <c r="F31" s="28">
        <f t="shared" si="1"/>
        <v>24</v>
      </c>
      <c r="G31" s="28"/>
      <c r="H31" s="28"/>
      <c r="I31" s="22"/>
      <c r="J31" s="20" t="s">
        <v>259</v>
      </c>
      <c r="K31" s="18" t="s">
        <v>388</v>
      </c>
      <c r="L31" s="19" t="s">
        <v>588</v>
      </c>
      <c r="M31" s="28"/>
      <c r="N31" s="28"/>
    </row>
    <row r="32" spans="2:14" x14ac:dyDescent="0.25">
      <c r="B32" s="13">
        <v>90</v>
      </c>
      <c r="C32" s="20" t="s">
        <v>854</v>
      </c>
      <c r="D32" s="29" t="s">
        <v>855</v>
      </c>
      <c r="E32" s="47">
        <v>10775403</v>
      </c>
      <c r="F32" s="28">
        <f t="shared" si="1"/>
        <v>25</v>
      </c>
      <c r="G32" s="28"/>
      <c r="H32" s="28"/>
      <c r="I32" s="22"/>
      <c r="J32" s="20" t="s">
        <v>259</v>
      </c>
      <c r="K32" s="18" t="s">
        <v>388</v>
      </c>
      <c r="L32" s="19" t="s">
        <v>588</v>
      </c>
      <c r="M32" s="28"/>
      <c r="N32" s="28"/>
    </row>
    <row r="33" spans="2:14" x14ac:dyDescent="0.25">
      <c r="B33" s="13">
        <v>90</v>
      </c>
      <c r="C33" s="34" t="s">
        <v>904</v>
      </c>
      <c r="D33" s="20" t="s">
        <v>73</v>
      </c>
      <c r="E33" s="47">
        <v>10774306</v>
      </c>
      <c r="F33" s="28">
        <f t="shared" si="1"/>
        <v>26</v>
      </c>
      <c r="G33" s="28"/>
      <c r="H33" s="28"/>
      <c r="I33" s="22"/>
      <c r="J33" s="20" t="s">
        <v>259</v>
      </c>
      <c r="K33" s="18" t="s">
        <v>388</v>
      </c>
      <c r="L33" s="19" t="s">
        <v>588</v>
      </c>
      <c r="M33" s="28"/>
      <c r="N33" s="28"/>
    </row>
    <row r="34" spans="2:14" x14ac:dyDescent="0.25">
      <c r="B34" s="13">
        <v>90</v>
      </c>
      <c r="C34" s="34" t="s">
        <v>905</v>
      </c>
      <c r="D34" s="20" t="s">
        <v>83</v>
      </c>
      <c r="E34" s="47">
        <v>10771188</v>
      </c>
      <c r="F34" s="28">
        <f t="shared" si="1"/>
        <v>27</v>
      </c>
      <c r="G34" s="28"/>
      <c r="H34" s="28"/>
      <c r="I34" s="22"/>
      <c r="J34" s="20" t="s">
        <v>259</v>
      </c>
      <c r="K34" s="18" t="s">
        <v>388</v>
      </c>
      <c r="L34" s="19" t="s">
        <v>588</v>
      </c>
      <c r="M34" s="28"/>
      <c r="N34" s="28"/>
    </row>
    <row r="35" spans="2:14" x14ac:dyDescent="0.25">
      <c r="B35" s="13">
        <f>45+45</f>
        <v>90</v>
      </c>
      <c r="C35" s="34" t="s">
        <v>906</v>
      </c>
      <c r="D35" s="20" t="s">
        <v>69</v>
      </c>
      <c r="E35" s="48">
        <v>10770742</v>
      </c>
      <c r="F35" s="28">
        <f t="shared" si="1"/>
        <v>28</v>
      </c>
      <c r="G35" s="28"/>
      <c r="H35" s="28"/>
      <c r="I35" s="22"/>
      <c r="J35" s="20" t="s">
        <v>259</v>
      </c>
      <c r="K35" s="18" t="s">
        <v>388</v>
      </c>
      <c r="L35" s="19" t="s">
        <v>588</v>
      </c>
      <c r="M35" s="28"/>
      <c r="N35" s="28"/>
    </row>
    <row r="36" spans="2:14" x14ac:dyDescent="0.25">
      <c r="B36" s="13">
        <v>45</v>
      </c>
      <c r="C36" s="34" t="s">
        <v>330</v>
      </c>
      <c r="D36" s="20" t="s">
        <v>29</v>
      </c>
      <c r="E36" s="48">
        <v>10765983</v>
      </c>
      <c r="F36" s="28">
        <f t="shared" si="1"/>
        <v>29</v>
      </c>
      <c r="G36" s="28"/>
      <c r="H36" s="28"/>
      <c r="I36" s="22"/>
      <c r="J36" s="20" t="s">
        <v>259</v>
      </c>
      <c r="K36" s="18" t="s">
        <v>388</v>
      </c>
      <c r="L36" s="19" t="s">
        <v>588</v>
      </c>
      <c r="M36" s="28"/>
      <c r="N36" s="28"/>
    </row>
    <row r="37" spans="2:14" x14ac:dyDescent="0.25">
      <c r="B37" s="13">
        <v>45</v>
      </c>
      <c r="C37" s="34" t="s">
        <v>1054</v>
      </c>
      <c r="D37" s="20" t="s">
        <v>25</v>
      </c>
      <c r="E37" s="48">
        <v>12092433</v>
      </c>
      <c r="F37" s="28">
        <f t="shared" si="1"/>
        <v>30</v>
      </c>
      <c r="G37" s="28"/>
      <c r="H37" s="28"/>
      <c r="I37" s="22"/>
      <c r="J37" s="59" t="s">
        <v>696</v>
      </c>
      <c r="K37" s="58" t="s">
        <v>697</v>
      </c>
      <c r="L37" s="19" t="s">
        <v>588</v>
      </c>
      <c r="M37" s="28"/>
      <c r="N37" s="28"/>
    </row>
    <row r="38" spans="2:14" x14ac:dyDescent="0.25">
      <c r="B38" s="13">
        <v>45</v>
      </c>
      <c r="C38" s="34" t="s">
        <v>1056</v>
      </c>
      <c r="D38" s="20" t="s">
        <v>1055</v>
      </c>
      <c r="E38" s="48">
        <v>12092467</v>
      </c>
      <c r="F38" s="28">
        <f t="shared" si="1"/>
        <v>31</v>
      </c>
      <c r="G38" s="28"/>
      <c r="H38" s="28"/>
      <c r="I38" s="22"/>
      <c r="J38" s="59" t="s">
        <v>696</v>
      </c>
      <c r="K38" s="58" t="s">
        <v>697</v>
      </c>
      <c r="L38" s="19" t="s">
        <v>588</v>
      </c>
      <c r="M38" s="28"/>
      <c r="N38" s="28"/>
    </row>
    <row r="39" spans="2:14" x14ac:dyDescent="0.25">
      <c r="B39" s="13">
        <v>45</v>
      </c>
      <c r="C39" s="34" t="s">
        <v>907</v>
      </c>
      <c r="D39" s="20" t="s">
        <v>152</v>
      </c>
      <c r="E39" s="47">
        <v>10772342</v>
      </c>
      <c r="F39" s="28">
        <f t="shared" si="1"/>
        <v>32</v>
      </c>
      <c r="G39" s="28"/>
      <c r="H39" s="28"/>
      <c r="I39" s="22"/>
      <c r="J39" s="20" t="s">
        <v>259</v>
      </c>
      <c r="K39" s="18" t="s">
        <v>388</v>
      </c>
      <c r="L39" s="19" t="s">
        <v>588</v>
      </c>
      <c r="M39" s="28"/>
      <c r="N39" s="28"/>
    </row>
    <row r="40" spans="2:14" x14ac:dyDescent="0.25">
      <c r="B40" s="13">
        <v>45</v>
      </c>
      <c r="C40" s="34" t="s">
        <v>908</v>
      </c>
      <c r="D40" s="20" t="s">
        <v>648</v>
      </c>
      <c r="E40" s="47">
        <v>10333318</v>
      </c>
      <c r="F40" s="28">
        <f t="shared" si="1"/>
        <v>33</v>
      </c>
      <c r="G40" s="28"/>
      <c r="H40" s="28"/>
      <c r="I40" s="22"/>
      <c r="J40" s="20" t="s">
        <v>259</v>
      </c>
      <c r="K40" s="18" t="s">
        <v>388</v>
      </c>
      <c r="L40" s="19" t="s">
        <v>588</v>
      </c>
      <c r="M40" s="28"/>
      <c r="N40" s="28"/>
    </row>
    <row r="41" spans="2:14" x14ac:dyDescent="0.25">
      <c r="B41" s="13">
        <v>45</v>
      </c>
      <c r="C41" s="34" t="s">
        <v>853</v>
      </c>
      <c r="D41" s="20" t="s">
        <v>69</v>
      </c>
      <c r="E41" s="47">
        <v>16954382</v>
      </c>
      <c r="F41" s="28">
        <f t="shared" si="1"/>
        <v>34</v>
      </c>
      <c r="G41" s="28"/>
      <c r="H41" s="28"/>
      <c r="I41" s="22"/>
      <c r="J41" s="20" t="s">
        <v>269</v>
      </c>
      <c r="K41" s="18" t="s">
        <v>390</v>
      </c>
      <c r="L41" s="19" t="s">
        <v>588</v>
      </c>
      <c r="M41" s="28"/>
      <c r="N41" s="28"/>
    </row>
    <row r="42" spans="2:14" x14ac:dyDescent="0.25">
      <c r="B42" s="13">
        <v>45</v>
      </c>
      <c r="C42" s="34" t="s">
        <v>649</v>
      </c>
      <c r="D42" s="20" t="s">
        <v>33</v>
      </c>
      <c r="E42" s="47">
        <v>9425598</v>
      </c>
      <c r="F42" s="28">
        <f t="shared" si="1"/>
        <v>35</v>
      </c>
      <c r="G42" s="28"/>
      <c r="H42" s="28"/>
      <c r="I42" s="22"/>
      <c r="J42" s="20" t="s">
        <v>269</v>
      </c>
      <c r="K42" s="18" t="s">
        <v>390</v>
      </c>
      <c r="L42" s="19" t="s">
        <v>588</v>
      </c>
      <c r="M42" s="28"/>
      <c r="N42" s="28"/>
    </row>
    <row r="43" spans="2:14" x14ac:dyDescent="0.25">
      <c r="B43" s="13">
        <v>45</v>
      </c>
      <c r="C43" s="34" t="s">
        <v>851</v>
      </c>
      <c r="D43" s="20" t="s">
        <v>852</v>
      </c>
      <c r="E43" s="48">
        <v>10768664</v>
      </c>
      <c r="F43" s="28">
        <f t="shared" si="1"/>
        <v>36</v>
      </c>
      <c r="G43" s="28"/>
      <c r="H43" s="28"/>
      <c r="I43" s="22"/>
      <c r="J43" s="20" t="s">
        <v>259</v>
      </c>
      <c r="K43" s="18" t="s">
        <v>388</v>
      </c>
      <c r="L43" s="19" t="s">
        <v>588</v>
      </c>
      <c r="M43" s="28"/>
      <c r="N43" s="28"/>
    </row>
    <row r="44" spans="2:14" x14ac:dyDescent="0.25">
      <c r="B44" s="13">
        <v>45</v>
      </c>
      <c r="C44" s="34" t="s">
        <v>909</v>
      </c>
      <c r="D44" s="20" t="s">
        <v>43</v>
      </c>
      <c r="E44" s="47">
        <v>7404007</v>
      </c>
      <c r="F44" s="28">
        <f t="shared" si="1"/>
        <v>37</v>
      </c>
      <c r="G44" s="28"/>
      <c r="H44" s="28"/>
      <c r="I44" s="22"/>
      <c r="J44" s="20" t="s">
        <v>259</v>
      </c>
      <c r="K44" s="18" t="s">
        <v>388</v>
      </c>
      <c r="L44" s="19" t="s">
        <v>588</v>
      </c>
      <c r="M44" s="28"/>
      <c r="N44" s="28"/>
    </row>
    <row r="45" spans="2:14" x14ac:dyDescent="0.25">
      <c r="B45" s="13">
        <v>45</v>
      </c>
      <c r="C45" s="34" t="s">
        <v>752</v>
      </c>
      <c r="D45" s="20" t="s">
        <v>480</v>
      </c>
      <c r="E45" s="48">
        <v>4646743</v>
      </c>
      <c r="F45" s="28">
        <f>F44+1</f>
        <v>38</v>
      </c>
      <c r="G45" s="28"/>
      <c r="H45" s="28"/>
      <c r="I45" s="22"/>
      <c r="J45" s="20" t="s">
        <v>753</v>
      </c>
      <c r="K45" s="18" t="s">
        <v>754</v>
      </c>
      <c r="L45" s="19" t="s">
        <v>588</v>
      </c>
      <c r="M45" s="28"/>
      <c r="N45" s="28"/>
    </row>
    <row r="46" spans="2:14" ht="15.75" thickBot="1" x14ac:dyDescent="0.3">
      <c r="B46" s="96"/>
      <c r="C46" s="97"/>
      <c r="D46" s="74"/>
      <c r="E46" s="65"/>
      <c r="F46" s="76"/>
      <c r="G46" s="76"/>
      <c r="H46" s="76"/>
      <c r="I46" s="77"/>
      <c r="J46" s="74"/>
      <c r="K46" s="73"/>
      <c r="L46" s="92"/>
      <c r="M46" s="76"/>
      <c r="N46" s="76"/>
    </row>
    <row r="47" spans="2:14" x14ac:dyDescent="0.25">
      <c r="B47" s="2"/>
      <c r="C47" s="1"/>
      <c r="D47" s="1"/>
      <c r="E47" s="3"/>
      <c r="F47" s="89" t="s">
        <v>1040</v>
      </c>
      <c r="G47" s="87"/>
      <c r="H47" s="87"/>
      <c r="I47" s="88"/>
      <c r="J47" s="88"/>
      <c r="K47" s="3"/>
      <c r="L47" s="4"/>
      <c r="M47" s="14" t="s">
        <v>0</v>
      </c>
      <c r="N47" s="5"/>
    </row>
    <row r="48" spans="2:14" x14ac:dyDescent="0.25">
      <c r="B48" s="15" t="s">
        <v>1</v>
      </c>
      <c r="C48" s="16" t="s">
        <v>2</v>
      </c>
      <c r="D48" s="16" t="s">
        <v>3</v>
      </c>
      <c r="E48" s="16" t="s">
        <v>4</v>
      </c>
      <c r="F48" s="16" t="s">
        <v>5</v>
      </c>
      <c r="G48" s="16" t="s">
        <v>6</v>
      </c>
      <c r="H48" s="16" t="s">
        <v>7</v>
      </c>
      <c r="I48" s="16" t="s">
        <v>8</v>
      </c>
      <c r="J48" s="16" t="s">
        <v>9</v>
      </c>
      <c r="K48" s="16" t="s">
        <v>387</v>
      </c>
      <c r="L48" s="16" t="s">
        <v>10</v>
      </c>
      <c r="M48" s="16" t="s">
        <v>11</v>
      </c>
      <c r="N48" s="17" t="s">
        <v>12</v>
      </c>
    </row>
    <row r="49" spans="2:14" x14ac:dyDescent="0.25">
      <c r="B49" s="94">
        <v>1500</v>
      </c>
      <c r="C49" s="95" t="s">
        <v>856</v>
      </c>
      <c r="D49" s="59" t="s">
        <v>70</v>
      </c>
      <c r="E49" s="82">
        <v>16954481</v>
      </c>
      <c r="F49" s="61">
        <f>F45+1</f>
        <v>39</v>
      </c>
      <c r="G49" s="61"/>
      <c r="H49" s="61"/>
      <c r="I49" s="63"/>
      <c r="J49" s="59" t="s">
        <v>269</v>
      </c>
      <c r="K49" s="62" t="s">
        <v>390</v>
      </c>
      <c r="L49" s="91" t="s">
        <v>589</v>
      </c>
      <c r="M49" s="61"/>
      <c r="N49" s="61"/>
    </row>
    <row r="50" spans="2:14" x14ac:dyDescent="0.25">
      <c r="B50" s="13">
        <v>1500</v>
      </c>
      <c r="C50" s="34" t="s">
        <v>910</v>
      </c>
      <c r="D50" s="20" t="s">
        <v>207</v>
      </c>
      <c r="E50" s="50">
        <v>16954548</v>
      </c>
      <c r="F50" s="28">
        <f t="shared" si="1"/>
        <v>40</v>
      </c>
      <c r="G50" s="28"/>
      <c r="H50" s="28"/>
      <c r="I50" s="22"/>
      <c r="J50" s="20" t="s">
        <v>269</v>
      </c>
      <c r="K50" s="21" t="s">
        <v>390</v>
      </c>
      <c r="L50" s="19" t="s">
        <v>589</v>
      </c>
      <c r="M50" s="28"/>
      <c r="N50" s="28"/>
    </row>
    <row r="51" spans="2:14" x14ac:dyDescent="0.25">
      <c r="B51" s="13">
        <v>1200</v>
      </c>
      <c r="C51" s="34" t="s">
        <v>756</v>
      </c>
      <c r="D51" s="20" t="s">
        <v>82</v>
      </c>
      <c r="E51" s="50">
        <v>12068880</v>
      </c>
      <c r="F51" s="28">
        <f t="shared" si="1"/>
        <v>41</v>
      </c>
      <c r="G51" s="28"/>
      <c r="H51" s="28"/>
      <c r="I51" s="22"/>
      <c r="J51" s="20" t="s">
        <v>285</v>
      </c>
      <c r="K51" s="21" t="s">
        <v>393</v>
      </c>
      <c r="L51" s="19" t="s">
        <v>589</v>
      </c>
      <c r="M51" s="28"/>
      <c r="N51" s="28"/>
    </row>
    <row r="52" spans="2:14" x14ac:dyDescent="0.25">
      <c r="B52" s="13">
        <v>1200</v>
      </c>
      <c r="C52" s="34" t="s">
        <v>763</v>
      </c>
      <c r="D52" s="20" t="s">
        <v>764</v>
      </c>
      <c r="E52" s="50">
        <v>16954506</v>
      </c>
      <c r="F52" s="28">
        <f t="shared" si="1"/>
        <v>42</v>
      </c>
      <c r="G52" s="28"/>
      <c r="H52" s="28"/>
      <c r="I52" s="22"/>
      <c r="J52" s="20" t="s">
        <v>765</v>
      </c>
      <c r="K52" s="21" t="s">
        <v>390</v>
      </c>
      <c r="L52" s="19" t="s">
        <v>589</v>
      </c>
      <c r="M52" s="28"/>
      <c r="N52" s="28"/>
    </row>
    <row r="53" spans="2:14" x14ac:dyDescent="0.25">
      <c r="B53" s="13">
        <v>1000</v>
      </c>
      <c r="C53" s="20" t="s">
        <v>276</v>
      </c>
      <c r="D53" s="20" t="s">
        <v>170</v>
      </c>
      <c r="E53" s="47">
        <v>7291165</v>
      </c>
      <c r="F53" s="28">
        <f t="shared" si="1"/>
        <v>43</v>
      </c>
      <c r="G53" s="28"/>
      <c r="H53" s="28"/>
      <c r="I53" s="22"/>
      <c r="J53" s="20" t="s">
        <v>277</v>
      </c>
      <c r="K53" s="18" t="s">
        <v>388</v>
      </c>
      <c r="L53" s="19" t="s">
        <v>589</v>
      </c>
      <c r="M53" s="28"/>
      <c r="N53" s="28"/>
    </row>
    <row r="54" spans="2:14" x14ac:dyDescent="0.25">
      <c r="B54" s="13">
        <v>1000</v>
      </c>
      <c r="C54" s="20" t="s">
        <v>84</v>
      </c>
      <c r="D54" s="29" t="s">
        <v>65</v>
      </c>
      <c r="E54" s="48">
        <v>10605866</v>
      </c>
      <c r="F54" s="28">
        <f t="shared" si="1"/>
        <v>44</v>
      </c>
      <c r="G54" s="28"/>
      <c r="H54" s="28"/>
      <c r="I54" s="22"/>
      <c r="J54" s="20" t="s">
        <v>277</v>
      </c>
      <c r="K54" s="18" t="s">
        <v>388</v>
      </c>
      <c r="L54" s="19" t="s">
        <v>589</v>
      </c>
      <c r="M54" s="28"/>
      <c r="N54" s="28"/>
    </row>
    <row r="55" spans="2:14" x14ac:dyDescent="0.25">
      <c r="B55" s="13">
        <f>400+400</f>
        <v>800</v>
      </c>
      <c r="C55" s="20" t="s">
        <v>1020</v>
      </c>
      <c r="D55" s="29" t="s">
        <v>571</v>
      </c>
      <c r="E55" s="48">
        <v>6567179</v>
      </c>
      <c r="F55" s="28">
        <f t="shared" si="1"/>
        <v>45</v>
      </c>
      <c r="G55" s="28"/>
      <c r="H55" s="28"/>
      <c r="I55" s="22"/>
      <c r="J55" s="20" t="s">
        <v>1021</v>
      </c>
      <c r="K55" s="18" t="s">
        <v>389</v>
      </c>
      <c r="L55" s="19" t="s">
        <v>589</v>
      </c>
      <c r="M55" s="28"/>
      <c r="N55" s="28"/>
    </row>
    <row r="56" spans="2:14" x14ac:dyDescent="0.25">
      <c r="B56" s="13">
        <f>360+360+45</f>
        <v>765</v>
      </c>
      <c r="C56" s="19" t="s">
        <v>329</v>
      </c>
      <c r="D56" s="20" t="s">
        <v>71</v>
      </c>
      <c r="E56" s="47">
        <v>10766296</v>
      </c>
      <c r="F56" s="28">
        <f t="shared" si="1"/>
        <v>46</v>
      </c>
      <c r="G56" s="28"/>
      <c r="H56" s="28"/>
      <c r="I56" s="30"/>
      <c r="J56" s="20" t="s">
        <v>259</v>
      </c>
      <c r="K56" s="18" t="s">
        <v>388</v>
      </c>
      <c r="L56" s="19" t="s">
        <v>589</v>
      </c>
      <c r="M56" s="28"/>
      <c r="N56" s="28"/>
    </row>
    <row r="57" spans="2:14" x14ac:dyDescent="0.25">
      <c r="B57" s="13">
        <v>750</v>
      </c>
      <c r="C57" s="34" t="s">
        <v>682</v>
      </c>
      <c r="D57" s="20" t="s">
        <v>155</v>
      </c>
      <c r="E57" s="48">
        <v>15918537</v>
      </c>
      <c r="F57" s="28">
        <f t="shared" si="1"/>
        <v>47</v>
      </c>
      <c r="G57" s="28"/>
      <c r="H57" s="28"/>
      <c r="I57" s="22"/>
      <c r="J57" s="20" t="s">
        <v>784</v>
      </c>
      <c r="K57" s="21" t="s">
        <v>785</v>
      </c>
      <c r="L57" s="19" t="s">
        <v>589</v>
      </c>
      <c r="M57" s="28"/>
      <c r="N57" s="28"/>
    </row>
    <row r="58" spans="2:14" x14ac:dyDescent="0.25">
      <c r="B58" s="13">
        <v>750</v>
      </c>
      <c r="C58" s="34" t="s">
        <v>645</v>
      </c>
      <c r="D58" s="20" t="s">
        <v>139</v>
      </c>
      <c r="E58" s="48">
        <v>4458510</v>
      </c>
      <c r="F58" s="28">
        <f t="shared" si="1"/>
        <v>48</v>
      </c>
      <c r="G58" s="28"/>
      <c r="H58" s="28"/>
      <c r="I58" s="22"/>
      <c r="J58" s="20" t="s">
        <v>259</v>
      </c>
      <c r="K58" s="21" t="s">
        <v>388</v>
      </c>
      <c r="L58" s="19" t="s">
        <v>589</v>
      </c>
      <c r="M58" s="28"/>
      <c r="N58" s="28"/>
    </row>
    <row r="59" spans="2:14" x14ac:dyDescent="0.25">
      <c r="B59" s="13">
        <f>360+360</f>
        <v>720</v>
      </c>
      <c r="C59" s="19" t="s">
        <v>144</v>
      </c>
      <c r="D59" s="20" t="s">
        <v>29</v>
      </c>
      <c r="E59" s="47">
        <v>10767153</v>
      </c>
      <c r="F59" s="28">
        <f t="shared" si="1"/>
        <v>49</v>
      </c>
      <c r="G59" s="28"/>
      <c r="H59" s="28"/>
      <c r="I59" s="22"/>
      <c r="J59" s="20" t="s">
        <v>259</v>
      </c>
      <c r="K59" s="18" t="s">
        <v>388</v>
      </c>
      <c r="L59" s="19" t="s">
        <v>589</v>
      </c>
      <c r="M59" s="28"/>
      <c r="N59" s="28"/>
    </row>
    <row r="60" spans="2:14" x14ac:dyDescent="0.25">
      <c r="B60" s="13">
        <v>400</v>
      </c>
      <c r="C60" s="19" t="s">
        <v>911</v>
      </c>
      <c r="D60" s="20" t="s">
        <v>570</v>
      </c>
      <c r="E60" s="50">
        <v>10771261</v>
      </c>
      <c r="F60" s="28">
        <f t="shared" si="1"/>
        <v>50</v>
      </c>
      <c r="G60" s="28"/>
      <c r="H60" s="28"/>
      <c r="I60" s="22"/>
      <c r="J60" s="20" t="s">
        <v>259</v>
      </c>
      <c r="K60" s="18" t="s">
        <v>388</v>
      </c>
      <c r="L60" s="19" t="s">
        <v>589</v>
      </c>
      <c r="M60" s="28"/>
      <c r="N60" s="28"/>
    </row>
    <row r="61" spans="2:14" x14ac:dyDescent="0.25">
      <c r="B61" s="13">
        <f>125+100</f>
        <v>225</v>
      </c>
      <c r="C61" s="19" t="s">
        <v>405</v>
      </c>
      <c r="D61" s="20" t="s">
        <v>404</v>
      </c>
      <c r="E61" s="47">
        <v>11855303</v>
      </c>
      <c r="F61" s="28">
        <f t="shared" si="1"/>
        <v>51</v>
      </c>
      <c r="G61" s="28"/>
      <c r="H61" s="28"/>
      <c r="I61" s="22"/>
      <c r="J61" s="20" t="s">
        <v>270</v>
      </c>
      <c r="K61" s="21" t="s">
        <v>389</v>
      </c>
      <c r="L61" s="19" t="s">
        <v>589</v>
      </c>
      <c r="M61" s="28"/>
      <c r="N61" s="28"/>
    </row>
    <row r="62" spans="2:14" x14ac:dyDescent="0.25">
      <c r="B62" s="13">
        <f>90+75+45</f>
        <v>210</v>
      </c>
      <c r="C62" s="19" t="s">
        <v>439</v>
      </c>
      <c r="D62" s="37" t="s">
        <v>40</v>
      </c>
      <c r="E62" s="49">
        <v>11855824</v>
      </c>
      <c r="F62" s="28">
        <f t="shared" si="1"/>
        <v>52</v>
      </c>
      <c r="G62" s="28"/>
      <c r="H62" s="28"/>
      <c r="I62" s="31"/>
      <c r="J62" s="20" t="s">
        <v>270</v>
      </c>
      <c r="K62" s="18" t="s">
        <v>389</v>
      </c>
      <c r="L62" s="19" t="s">
        <v>589</v>
      </c>
      <c r="M62" s="28"/>
      <c r="N62" s="28"/>
    </row>
    <row r="63" spans="2:14" x14ac:dyDescent="0.25">
      <c r="B63" s="13">
        <v>188</v>
      </c>
      <c r="C63" s="20" t="s">
        <v>420</v>
      </c>
      <c r="D63" s="20" t="s">
        <v>255</v>
      </c>
      <c r="E63" s="49" t="s">
        <v>758</v>
      </c>
      <c r="F63" s="28">
        <f t="shared" si="1"/>
        <v>53</v>
      </c>
      <c r="G63" s="28"/>
      <c r="H63" s="28"/>
      <c r="I63" s="22"/>
      <c r="J63" s="20" t="s">
        <v>278</v>
      </c>
      <c r="K63" s="21" t="s">
        <v>389</v>
      </c>
      <c r="L63" s="19" t="s">
        <v>589</v>
      </c>
      <c r="M63" s="28"/>
      <c r="N63" s="28"/>
    </row>
    <row r="64" spans="2:14" x14ac:dyDescent="0.25">
      <c r="B64" s="13">
        <v>188</v>
      </c>
      <c r="C64" s="19" t="s">
        <v>417</v>
      </c>
      <c r="D64" s="20" t="s">
        <v>79</v>
      </c>
      <c r="E64" s="47">
        <v>6027412</v>
      </c>
      <c r="F64" s="28">
        <f t="shared" si="1"/>
        <v>54</v>
      </c>
      <c r="G64" s="28"/>
      <c r="H64" s="28"/>
      <c r="I64" s="22"/>
      <c r="J64" s="20" t="s">
        <v>777</v>
      </c>
      <c r="K64" s="21" t="s">
        <v>389</v>
      </c>
      <c r="L64" s="19" t="s">
        <v>589</v>
      </c>
      <c r="M64" s="28"/>
      <c r="N64" s="28"/>
    </row>
    <row r="65" spans="2:14" x14ac:dyDescent="0.25">
      <c r="B65" s="13">
        <f t="shared" ref="B65:B70" si="2">90+90</f>
        <v>180</v>
      </c>
      <c r="C65" s="20" t="s">
        <v>912</v>
      </c>
      <c r="D65" s="20" t="s">
        <v>71</v>
      </c>
      <c r="E65" s="49">
        <v>16954522</v>
      </c>
      <c r="F65" s="28">
        <f t="shared" si="1"/>
        <v>55</v>
      </c>
      <c r="G65" s="28"/>
      <c r="H65" s="28"/>
      <c r="I65" s="22"/>
      <c r="J65" s="20" t="s">
        <v>269</v>
      </c>
      <c r="K65" s="18" t="s">
        <v>390</v>
      </c>
      <c r="L65" s="19" t="s">
        <v>589</v>
      </c>
      <c r="M65" s="28"/>
      <c r="N65" s="28"/>
    </row>
    <row r="66" spans="2:14" x14ac:dyDescent="0.25">
      <c r="B66" s="13">
        <f t="shared" si="2"/>
        <v>180</v>
      </c>
      <c r="C66" s="20" t="s">
        <v>914</v>
      </c>
      <c r="D66" s="20" t="s">
        <v>913</v>
      </c>
      <c r="E66" s="49">
        <v>13254602</v>
      </c>
      <c r="F66" s="28">
        <f t="shared" si="1"/>
        <v>56</v>
      </c>
      <c r="G66" s="28"/>
      <c r="H66" s="28"/>
      <c r="I66" s="22"/>
      <c r="J66" s="20" t="s">
        <v>259</v>
      </c>
      <c r="K66" s="18" t="s">
        <v>388</v>
      </c>
      <c r="L66" s="19" t="s">
        <v>589</v>
      </c>
      <c r="M66" s="28"/>
      <c r="N66" s="28"/>
    </row>
    <row r="67" spans="2:14" x14ac:dyDescent="0.25">
      <c r="B67" s="13">
        <f t="shared" si="2"/>
        <v>180</v>
      </c>
      <c r="C67" s="20" t="s">
        <v>915</v>
      </c>
      <c r="D67" s="20" t="s">
        <v>916</v>
      </c>
      <c r="E67" s="49">
        <v>16954639</v>
      </c>
      <c r="F67" s="28">
        <f t="shared" si="1"/>
        <v>57</v>
      </c>
      <c r="G67" s="28"/>
      <c r="H67" s="28"/>
      <c r="I67" s="22"/>
      <c r="J67" s="20" t="s">
        <v>262</v>
      </c>
      <c r="K67" s="18" t="s">
        <v>390</v>
      </c>
      <c r="L67" s="19" t="s">
        <v>589</v>
      </c>
      <c r="M67" s="28"/>
      <c r="N67" s="28"/>
    </row>
    <row r="68" spans="2:14" x14ac:dyDescent="0.25">
      <c r="B68" s="13">
        <f t="shared" si="2"/>
        <v>180</v>
      </c>
      <c r="C68" s="20" t="s">
        <v>858</v>
      </c>
      <c r="D68" s="20" t="s">
        <v>35</v>
      </c>
      <c r="E68" s="49">
        <v>16954530</v>
      </c>
      <c r="F68" s="28">
        <f t="shared" si="1"/>
        <v>58</v>
      </c>
      <c r="G68" s="28"/>
      <c r="H68" s="28"/>
      <c r="I68" s="22"/>
      <c r="J68" s="20" t="s">
        <v>262</v>
      </c>
      <c r="K68" s="18" t="s">
        <v>390</v>
      </c>
      <c r="L68" s="19" t="s">
        <v>589</v>
      </c>
      <c r="M68" s="28"/>
      <c r="N68" s="28"/>
    </row>
    <row r="69" spans="2:14" x14ac:dyDescent="0.25">
      <c r="B69" s="13">
        <f t="shared" si="2"/>
        <v>180</v>
      </c>
      <c r="C69" s="20" t="s">
        <v>917</v>
      </c>
      <c r="D69" s="20" t="s">
        <v>31</v>
      </c>
      <c r="E69" s="49">
        <v>10774778</v>
      </c>
      <c r="F69" s="28">
        <f t="shared" si="1"/>
        <v>59</v>
      </c>
      <c r="G69" s="28"/>
      <c r="H69" s="28"/>
      <c r="I69" s="22"/>
      <c r="J69" s="20" t="s">
        <v>259</v>
      </c>
      <c r="K69" s="18" t="s">
        <v>388</v>
      </c>
      <c r="L69" s="19" t="s">
        <v>589</v>
      </c>
      <c r="M69" s="28"/>
      <c r="N69" s="28"/>
    </row>
    <row r="70" spans="2:14" x14ac:dyDescent="0.25">
      <c r="B70" s="13">
        <f t="shared" si="2"/>
        <v>180</v>
      </c>
      <c r="C70" s="20" t="s">
        <v>918</v>
      </c>
      <c r="D70" s="20" t="s">
        <v>861</v>
      </c>
      <c r="E70" s="50">
        <v>10771782</v>
      </c>
      <c r="F70" s="28">
        <f t="shared" si="1"/>
        <v>60</v>
      </c>
      <c r="G70" s="28"/>
      <c r="H70" s="28"/>
      <c r="I70" s="22"/>
      <c r="J70" s="20" t="s">
        <v>259</v>
      </c>
      <c r="K70" s="18" t="s">
        <v>388</v>
      </c>
      <c r="L70" s="19" t="s">
        <v>589</v>
      </c>
      <c r="M70" s="28"/>
      <c r="N70" s="28"/>
    </row>
    <row r="71" spans="2:14" x14ac:dyDescent="0.25">
      <c r="B71" s="13">
        <v>180</v>
      </c>
      <c r="C71" s="19" t="s">
        <v>176</v>
      </c>
      <c r="D71" s="20" t="s">
        <v>178</v>
      </c>
      <c r="E71" s="47">
        <v>16670243</v>
      </c>
      <c r="F71" s="28">
        <f t="shared" si="1"/>
        <v>61</v>
      </c>
      <c r="G71" s="28"/>
      <c r="H71" s="28"/>
      <c r="I71" s="22"/>
      <c r="J71" s="20" t="s">
        <v>288</v>
      </c>
      <c r="K71" s="18" t="s">
        <v>388</v>
      </c>
      <c r="L71" s="19" t="s">
        <v>589</v>
      </c>
      <c r="M71" s="28"/>
      <c r="N71" s="28"/>
    </row>
    <row r="72" spans="2:14" x14ac:dyDescent="0.25">
      <c r="B72" s="13">
        <f>90+90</f>
        <v>180</v>
      </c>
      <c r="C72" s="20" t="s">
        <v>175</v>
      </c>
      <c r="D72" s="20" t="s">
        <v>79</v>
      </c>
      <c r="E72" s="47">
        <v>10602250</v>
      </c>
      <c r="F72" s="28">
        <f t="shared" si="1"/>
        <v>62</v>
      </c>
      <c r="G72" s="28"/>
      <c r="H72" s="28"/>
      <c r="I72" s="22"/>
      <c r="J72" s="20" t="s">
        <v>259</v>
      </c>
      <c r="K72" s="18" t="s">
        <v>388</v>
      </c>
      <c r="L72" s="19" t="s">
        <v>589</v>
      </c>
      <c r="M72" s="28"/>
      <c r="N72" s="28"/>
    </row>
    <row r="73" spans="2:14" x14ac:dyDescent="0.25">
      <c r="B73" s="13">
        <f>125+45</f>
        <v>170</v>
      </c>
      <c r="C73" s="20" t="s">
        <v>87</v>
      </c>
      <c r="D73" s="20" t="s">
        <v>19</v>
      </c>
      <c r="E73" s="46" t="s">
        <v>88</v>
      </c>
      <c r="F73" s="28">
        <f t="shared" si="1"/>
        <v>63</v>
      </c>
      <c r="G73" s="28"/>
      <c r="H73" s="28"/>
      <c r="I73" s="22"/>
      <c r="J73" s="20" t="s">
        <v>270</v>
      </c>
      <c r="K73" s="21" t="s">
        <v>389</v>
      </c>
      <c r="L73" s="19" t="s">
        <v>589</v>
      </c>
      <c r="M73" s="28"/>
      <c r="N73" s="28"/>
    </row>
    <row r="74" spans="2:14" x14ac:dyDescent="0.25">
      <c r="B74" s="13">
        <f>90+2+45</f>
        <v>137</v>
      </c>
      <c r="C74" s="29" t="s">
        <v>93</v>
      </c>
      <c r="D74" s="37" t="s">
        <v>41</v>
      </c>
      <c r="E74" s="48">
        <v>11855270</v>
      </c>
      <c r="F74" s="28">
        <f t="shared" si="1"/>
        <v>64</v>
      </c>
      <c r="G74" s="28"/>
      <c r="H74" s="28"/>
      <c r="I74" s="31"/>
      <c r="J74" s="20" t="s">
        <v>270</v>
      </c>
      <c r="K74" s="18" t="s">
        <v>389</v>
      </c>
      <c r="L74" s="19" t="s">
        <v>589</v>
      </c>
      <c r="M74" s="28"/>
      <c r="N74" s="28"/>
    </row>
    <row r="75" spans="2:14" x14ac:dyDescent="0.25">
      <c r="B75" s="13">
        <f>90+45</f>
        <v>135</v>
      </c>
      <c r="C75" s="20" t="s">
        <v>368</v>
      </c>
      <c r="D75" s="20" t="s">
        <v>234</v>
      </c>
      <c r="E75" s="47">
        <v>10611350</v>
      </c>
      <c r="F75" s="28">
        <f t="shared" si="1"/>
        <v>65</v>
      </c>
      <c r="G75" s="28"/>
      <c r="H75" s="28"/>
      <c r="I75" s="22"/>
      <c r="J75" s="20" t="s">
        <v>919</v>
      </c>
      <c r="K75" s="18" t="s">
        <v>388</v>
      </c>
      <c r="L75" s="19" t="s">
        <v>589</v>
      </c>
      <c r="M75" s="28"/>
      <c r="N75" s="28"/>
    </row>
    <row r="76" spans="2:14" x14ac:dyDescent="0.25">
      <c r="B76" s="13">
        <f>90+45</f>
        <v>135</v>
      </c>
      <c r="C76" s="20" t="s">
        <v>235</v>
      </c>
      <c r="D76" s="20" t="s">
        <v>369</v>
      </c>
      <c r="E76" s="47">
        <v>10611342</v>
      </c>
      <c r="F76" s="28">
        <f t="shared" si="1"/>
        <v>66</v>
      </c>
      <c r="G76" s="28"/>
      <c r="H76" s="28"/>
      <c r="I76" s="22"/>
      <c r="J76" s="20" t="s">
        <v>919</v>
      </c>
      <c r="K76" s="18" t="s">
        <v>388</v>
      </c>
      <c r="L76" s="19" t="s">
        <v>589</v>
      </c>
      <c r="M76" s="28"/>
      <c r="N76" s="28"/>
    </row>
    <row r="77" spans="2:14" x14ac:dyDescent="0.25">
      <c r="B77" s="13">
        <f>90+45</f>
        <v>135</v>
      </c>
      <c r="C77" s="19" t="s">
        <v>600</v>
      </c>
      <c r="D77" s="37" t="s">
        <v>532</v>
      </c>
      <c r="E77" s="46">
        <v>10772409</v>
      </c>
      <c r="F77" s="28">
        <f t="shared" ref="F77:F143" si="3">F76+1</f>
        <v>67</v>
      </c>
      <c r="G77" s="28"/>
      <c r="H77" s="28"/>
      <c r="I77" s="31"/>
      <c r="J77" s="20" t="s">
        <v>259</v>
      </c>
      <c r="K77" s="18" t="s">
        <v>388</v>
      </c>
      <c r="L77" s="19" t="s">
        <v>589</v>
      </c>
      <c r="M77" s="28"/>
      <c r="N77" s="28"/>
    </row>
    <row r="78" spans="2:14" x14ac:dyDescent="0.25">
      <c r="B78" s="13">
        <f>75+5+45</f>
        <v>125</v>
      </c>
      <c r="C78" s="20" t="s">
        <v>49</v>
      </c>
      <c r="D78" s="20" t="s">
        <v>412</v>
      </c>
      <c r="E78" s="47">
        <v>11855907</v>
      </c>
      <c r="F78" s="28">
        <f t="shared" si="3"/>
        <v>68</v>
      </c>
      <c r="G78" s="28"/>
      <c r="H78" s="28"/>
      <c r="I78" s="22"/>
      <c r="J78" s="20" t="s">
        <v>413</v>
      </c>
      <c r="K78" s="21" t="s">
        <v>389</v>
      </c>
      <c r="L78" s="19" t="s">
        <v>589</v>
      </c>
      <c r="M78" s="28"/>
      <c r="N78" s="28"/>
    </row>
    <row r="79" spans="2:14" x14ac:dyDescent="0.25">
      <c r="B79" s="13">
        <f>75+5+45</f>
        <v>125</v>
      </c>
      <c r="C79" s="20" t="s">
        <v>49</v>
      </c>
      <c r="D79" s="20" t="s">
        <v>414</v>
      </c>
      <c r="E79" s="47">
        <v>11855890</v>
      </c>
      <c r="F79" s="28">
        <f t="shared" si="3"/>
        <v>69</v>
      </c>
      <c r="G79" s="28"/>
      <c r="H79" s="28"/>
      <c r="I79" s="22"/>
      <c r="J79" s="20" t="s">
        <v>413</v>
      </c>
      <c r="K79" s="21" t="s">
        <v>389</v>
      </c>
      <c r="L79" s="19" t="s">
        <v>589</v>
      </c>
      <c r="M79" s="28"/>
      <c r="N79" s="28"/>
    </row>
    <row r="80" spans="2:14" x14ac:dyDescent="0.25">
      <c r="B80" s="13">
        <v>90</v>
      </c>
      <c r="C80" s="19" t="s">
        <v>151</v>
      </c>
      <c r="D80" s="20" t="s">
        <v>30</v>
      </c>
      <c r="E80" s="47">
        <v>14120159</v>
      </c>
      <c r="F80" s="28">
        <f t="shared" si="3"/>
        <v>70</v>
      </c>
      <c r="G80" s="28"/>
      <c r="H80" s="28"/>
      <c r="I80" s="22"/>
      <c r="J80" s="20" t="s">
        <v>339</v>
      </c>
      <c r="K80" s="18" t="s">
        <v>396</v>
      </c>
      <c r="L80" s="19" t="s">
        <v>589</v>
      </c>
      <c r="M80" s="28"/>
      <c r="N80" s="28"/>
    </row>
    <row r="81" spans="2:14" x14ac:dyDescent="0.25">
      <c r="B81" s="13">
        <v>90</v>
      </c>
      <c r="C81" s="19" t="s">
        <v>171</v>
      </c>
      <c r="D81" s="20" t="s">
        <v>24</v>
      </c>
      <c r="E81" s="47">
        <v>7456397</v>
      </c>
      <c r="F81" s="28">
        <f t="shared" si="3"/>
        <v>71</v>
      </c>
      <c r="G81" s="28"/>
      <c r="H81" s="28"/>
      <c r="I81" s="22"/>
      <c r="J81" s="20" t="s">
        <v>259</v>
      </c>
      <c r="K81" s="18" t="s">
        <v>388</v>
      </c>
      <c r="L81" s="19" t="s">
        <v>589</v>
      </c>
      <c r="M81" s="28"/>
      <c r="N81" s="28"/>
    </row>
    <row r="82" spans="2:14" x14ac:dyDescent="0.25">
      <c r="B82" s="13">
        <v>90</v>
      </c>
      <c r="C82" s="20" t="s">
        <v>98</v>
      </c>
      <c r="D82" s="20" t="s">
        <v>99</v>
      </c>
      <c r="E82" s="48">
        <v>11855155</v>
      </c>
      <c r="F82" s="28">
        <f t="shared" si="3"/>
        <v>72</v>
      </c>
      <c r="G82" s="28"/>
      <c r="H82" s="28"/>
      <c r="I82" s="22"/>
      <c r="J82" s="20" t="s">
        <v>270</v>
      </c>
      <c r="K82" s="18" t="s">
        <v>389</v>
      </c>
      <c r="L82" s="19" t="s">
        <v>589</v>
      </c>
      <c r="M82" s="28"/>
      <c r="N82" s="28"/>
    </row>
    <row r="83" spans="2:14" x14ac:dyDescent="0.25">
      <c r="B83" s="13">
        <v>90</v>
      </c>
      <c r="C83" s="20" t="s">
        <v>666</v>
      </c>
      <c r="D83" s="20" t="s">
        <v>62</v>
      </c>
      <c r="E83" s="47">
        <v>10154160</v>
      </c>
      <c r="F83" s="28">
        <f t="shared" si="3"/>
        <v>73</v>
      </c>
      <c r="G83" s="28"/>
      <c r="H83" s="28"/>
      <c r="I83" s="22"/>
      <c r="J83" s="20" t="s">
        <v>259</v>
      </c>
      <c r="K83" s="18" t="s">
        <v>388</v>
      </c>
      <c r="L83" s="19" t="s">
        <v>589</v>
      </c>
      <c r="M83" s="28"/>
      <c r="N83" s="28"/>
    </row>
    <row r="84" spans="2:14" x14ac:dyDescent="0.25">
      <c r="B84" s="13">
        <v>90</v>
      </c>
      <c r="C84" s="20" t="s">
        <v>371</v>
      </c>
      <c r="D84" s="20" t="s">
        <v>51</v>
      </c>
      <c r="E84" s="47">
        <v>10768101</v>
      </c>
      <c r="F84" s="28">
        <f t="shared" si="3"/>
        <v>74</v>
      </c>
      <c r="G84" s="28"/>
      <c r="H84" s="28"/>
      <c r="I84" s="22"/>
      <c r="J84" s="20" t="s">
        <v>259</v>
      </c>
      <c r="K84" s="18" t="s">
        <v>388</v>
      </c>
      <c r="L84" s="19" t="s">
        <v>589</v>
      </c>
      <c r="M84" s="28"/>
      <c r="N84" s="28"/>
    </row>
    <row r="85" spans="2:14" x14ac:dyDescent="0.25">
      <c r="B85" s="13">
        <v>90</v>
      </c>
      <c r="C85" s="20" t="s">
        <v>371</v>
      </c>
      <c r="D85" s="20" t="s">
        <v>27</v>
      </c>
      <c r="E85" s="47">
        <v>10768086</v>
      </c>
      <c r="F85" s="28">
        <f t="shared" si="3"/>
        <v>75</v>
      </c>
      <c r="G85" s="28"/>
      <c r="H85" s="28"/>
      <c r="I85" s="22"/>
      <c r="J85" s="20" t="s">
        <v>259</v>
      </c>
      <c r="K85" s="18" t="s">
        <v>388</v>
      </c>
      <c r="L85" s="19" t="s">
        <v>589</v>
      </c>
      <c r="M85" s="28"/>
      <c r="N85" s="28"/>
    </row>
    <row r="86" spans="2:14" x14ac:dyDescent="0.25">
      <c r="B86" s="13">
        <v>90</v>
      </c>
      <c r="C86" s="19" t="s">
        <v>772</v>
      </c>
      <c r="D86" s="37" t="s">
        <v>27</v>
      </c>
      <c r="E86" s="46">
        <v>10770627</v>
      </c>
      <c r="F86" s="28">
        <f t="shared" si="3"/>
        <v>76</v>
      </c>
      <c r="G86" s="28"/>
      <c r="H86" s="28"/>
      <c r="I86" s="31"/>
      <c r="J86" s="28" t="s">
        <v>259</v>
      </c>
      <c r="K86" s="18" t="s">
        <v>388</v>
      </c>
      <c r="L86" s="19" t="s">
        <v>589</v>
      </c>
      <c r="M86" s="28"/>
      <c r="N86" s="28"/>
    </row>
    <row r="87" spans="2:14" x14ac:dyDescent="0.25">
      <c r="B87" s="13">
        <v>90</v>
      </c>
      <c r="C87" s="44" t="s">
        <v>715</v>
      </c>
      <c r="D87" s="29" t="s">
        <v>24</v>
      </c>
      <c r="E87" s="47">
        <v>13005526</v>
      </c>
      <c r="F87" s="28">
        <f t="shared" si="3"/>
        <v>77</v>
      </c>
      <c r="G87" s="28"/>
      <c r="H87" s="28"/>
      <c r="I87" s="31"/>
      <c r="J87" s="20" t="s">
        <v>318</v>
      </c>
      <c r="K87" s="21" t="s">
        <v>388</v>
      </c>
      <c r="L87" s="19" t="s">
        <v>589</v>
      </c>
      <c r="M87" s="28"/>
      <c r="N87" s="28"/>
    </row>
    <row r="88" spans="2:14" x14ac:dyDescent="0.25">
      <c r="B88" s="13">
        <v>90</v>
      </c>
      <c r="C88" s="19" t="s">
        <v>931</v>
      </c>
      <c r="D88" s="37" t="s">
        <v>36</v>
      </c>
      <c r="E88" s="47">
        <v>10771774</v>
      </c>
      <c r="F88" s="28">
        <f t="shared" si="3"/>
        <v>78</v>
      </c>
      <c r="G88" s="28"/>
      <c r="H88" s="28"/>
      <c r="I88" s="31"/>
      <c r="J88" s="28" t="s">
        <v>259</v>
      </c>
      <c r="K88" s="18" t="s">
        <v>388</v>
      </c>
      <c r="L88" s="19" t="s">
        <v>589</v>
      </c>
      <c r="M88" s="28"/>
      <c r="N88" s="28"/>
    </row>
    <row r="89" spans="2:14" x14ac:dyDescent="0.25">
      <c r="B89" s="13">
        <v>90</v>
      </c>
      <c r="C89" s="19" t="s">
        <v>932</v>
      </c>
      <c r="D89" s="37" t="s">
        <v>139</v>
      </c>
      <c r="E89" s="48">
        <v>16954613</v>
      </c>
      <c r="F89" s="28">
        <f t="shared" si="3"/>
        <v>79</v>
      </c>
      <c r="G89" s="28"/>
      <c r="H89" s="28"/>
      <c r="I89" s="31"/>
      <c r="J89" s="20" t="s">
        <v>262</v>
      </c>
      <c r="K89" s="18" t="s">
        <v>390</v>
      </c>
      <c r="L89" s="19" t="s">
        <v>589</v>
      </c>
      <c r="M89" s="28"/>
      <c r="N89" s="28"/>
    </row>
    <row r="90" spans="2:14" x14ac:dyDescent="0.25">
      <c r="B90" s="13">
        <v>90</v>
      </c>
      <c r="C90" s="20" t="s">
        <v>568</v>
      </c>
      <c r="D90" s="29" t="s">
        <v>567</v>
      </c>
      <c r="E90" s="47">
        <v>9510381</v>
      </c>
      <c r="F90" s="28">
        <f t="shared" si="3"/>
        <v>80</v>
      </c>
      <c r="G90" s="28"/>
      <c r="H90" s="28"/>
      <c r="I90" s="31"/>
      <c r="J90" s="20" t="s">
        <v>933</v>
      </c>
      <c r="K90" s="18" t="s">
        <v>390</v>
      </c>
      <c r="L90" s="19" t="s">
        <v>589</v>
      </c>
      <c r="M90" s="28"/>
      <c r="N90" s="28"/>
    </row>
    <row r="91" spans="2:14" x14ac:dyDescent="0.25">
      <c r="B91" s="13">
        <v>90</v>
      </c>
      <c r="C91" s="19" t="s">
        <v>549</v>
      </c>
      <c r="D91" s="37" t="s">
        <v>73</v>
      </c>
      <c r="E91" s="47">
        <v>10775289</v>
      </c>
      <c r="F91" s="28">
        <f t="shared" si="3"/>
        <v>81</v>
      </c>
      <c r="G91" s="28"/>
      <c r="H91" s="28"/>
      <c r="I91" s="31"/>
      <c r="J91" s="20" t="s">
        <v>259</v>
      </c>
      <c r="K91" s="18" t="s">
        <v>388</v>
      </c>
      <c r="L91" s="19" t="s">
        <v>589</v>
      </c>
      <c r="M91" s="28"/>
      <c r="N91" s="28"/>
    </row>
    <row r="92" spans="2:14" x14ac:dyDescent="0.25">
      <c r="B92" s="13">
        <v>45</v>
      </c>
      <c r="C92" s="19" t="s">
        <v>179</v>
      </c>
      <c r="D92" s="20" t="s">
        <v>180</v>
      </c>
      <c r="E92" s="47">
        <v>10763937</v>
      </c>
      <c r="F92" s="28">
        <f t="shared" si="3"/>
        <v>82</v>
      </c>
      <c r="G92" s="28"/>
      <c r="H92" s="28"/>
      <c r="I92" s="22"/>
      <c r="J92" s="20" t="s">
        <v>934</v>
      </c>
      <c r="K92" s="18" t="s">
        <v>388</v>
      </c>
      <c r="L92" s="19" t="s">
        <v>589</v>
      </c>
      <c r="M92" s="28"/>
      <c r="N92" s="28"/>
    </row>
    <row r="93" spans="2:14" x14ac:dyDescent="0.25">
      <c r="B93" s="13">
        <v>45</v>
      </c>
      <c r="C93" s="19" t="s">
        <v>572</v>
      </c>
      <c r="D93" s="37" t="s">
        <v>651</v>
      </c>
      <c r="E93" s="46">
        <v>10770859</v>
      </c>
      <c r="F93" s="28">
        <f t="shared" si="3"/>
        <v>83</v>
      </c>
      <c r="G93" s="28"/>
      <c r="H93" s="28"/>
      <c r="I93" s="31"/>
      <c r="J93" s="20" t="s">
        <v>259</v>
      </c>
      <c r="K93" s="18" t="s">
        <v>388</v>
      </c>
      <c r="L93" s="19" t="s">
        <v>589</v>
      </c>
      <c r="M93" s="28"/>
      <c r="N93" s="28"/>
    </row>
    <row r="94" spans="2:14" x14ac:dyDescent="0.25">
      <c r="B94" s="13">
        <v>45</v>
      </c>
      <c r="C94" s="19" t="s">
        <v>576</v>
      </c>
      <c r="D94" s="37" t="s">
        <v>38</v>
      </c>
      <c r="E94" s="47">
        <v>10367979</v>
      </c>
      <c r="F94" s="28">
        <f t="shared" si="3"/>
        <v>84</v>
      </c>
      <c r="G94" s="28"/>
      <c r="H94" s="28"/>
      <c r="I94" s="31"/>
      <c r="J94" s="20" t="s">
        <v>935</v>
      </c>
      <c r="K94" s="18" t="s">
        <v>388</v>
      </c>
      <c r="L94" s="19" t="s">
        <v>589</v>
      </c>
      <c r="M94" s="28"/>
      <c r="N94" s="28"/>
    </row>
    <row r="95" spans="2:14" x14ac:dyDescent="0.25">
      <c r="B95" s="13">
        <v>45</v>
      </c>
      <c r="C95" s="19" t="s">
        <v>936</v>
      </c>
      <c r="D95" s="37" t="s">
        <v>484</v>
      </c>
      <c r="E95" s="47">
        <v>16720113</v>
      </c>
      <c r="F95" s="28">
        <f t="shared" si="3"/>
        <v>85</v>
      </c>
      <c r="G95" s="28"/>
      <c r="H95" s="28"/>
      <c r="I95" s="31"/>
      <c r="J95" s="20" t="s">
        <v>279</v>
      </c>
      <c r="K95" s="18" t="s">
        <v>392</v>
      </c>
      <c r="L95" s="19" t="s">
        <v>589</v>
      </c>
      <c r="M95" s="28"/>
      <c r="N95" s="28"/>
    </row>
    <row r="96" spans="2:14" x14ac:dyDescent="0.25">
      <c r="B96" s="13">
        <v>45</v>
      </c>
      <c r="C96" s="19" t="s">
        <v>937</v>
      </c>
      <c r="D96" s="37" t="s">
        <v>62</v>
      </c>
      <c r="E96" s="47">
        <v>10154160</v>
      </c>
      <c r="F96" s="28">
        <f t="shared" si="3"/>
        <v>86</v>
      </c>
      <c r="G96" s="28"/>
      <c r="H96" s="28"/>
      <c r="I96" s="31"/>
      <c r="J96" s="20" t="s">
        <v>259</v>
      </c>
      <c r="K96" s="18" t="s">
        <v>388</v>
      </c>
      <c r="L96" s="19" t="s">
        <v>589</v>
      </c>
      <c r="M96" s="28"/>
      <c r="N96" s="28"/>
    </row>
    <row r="97" spans="2:14" x14ac:dyDescent="0.25">
      <c r="B97" s="13">
        <v>45</v>
      </c>
      <c r="C97" s="19" t="s">
        <v>652</v>
      </c>
      <c r="D97" s="37" t="s">
        <v>36</v>
      </c>
      <c r="E97" s="48">
        <v>9474686</v>
      </c>
      <c r="F97" s="28">
        <f t="shared" si="3"/>
        <v>87</v>
      </c>
      <c r="G97" s="28"/>
      <c r="H97" s="28"/>
      <c r="I97" s="31"/>
      <c r="J97" s="20" t="s">
        <v>262</v>
      </c>
      <c r="K97" s="18" t="s">
        <v>390</v>
      </c>
      <c r="L97" s="19" t="s">
        <v>589</v>
      </c>
      <c r="M97" s="28"/>
      <c r="N97" s="28"/>
    </row>
    <row r="98" spans="2:14" x14ac:dyDescent="0.25">
      <c r="B98" s="13">
        <v>45</v>
      </c>
      <c r="C98" s="19" t="s">
        <v>653</v>
      </c>
      <c r="D98" s="37" t="s">
        <v>29</v>
      </c>
      <c r="E98" s="47">
        <v>16954499</v>
      </c>
      <c r="F98" s="28">
        <f t="shared" si="3"/>
        <v>88</v>
      </c>
      <c r="G98" s="28"/>
      <c r="H98" s="28"/>
      <c r="I98" s="31"/>
      <c r="J98" s="20" t="s">
        <v>262</v>
      </c>
      <c r="K98" s="18" t="s">
        <v>390</v>
      </c>
      <c r="L98" s="19" t="s">
        <v>589</v>
      </c>
      <c r="M98" s="28"/>
      <c r="N98" s="28"/>
    </row>
    <row r="99" spans="2:14" x14ac:dyDescent="0.25">
      <c r="B99" s="13">
        <v>45</v>
      </c>
      <c r="C99" s="20" t="s">
        <v>774</v>
      </c>
      <c r="D99" s="20" t="s">
        <v>233</v>
      </c>
      <c r="E99" s="47">
        <v>10763903</v>
      </c>
      <c r="F99" s="28">
        <f t="shared" si="3"/>
        <v>89</v>
      </c>
      <c r="G99" s="28"/>
      <c r="H99" s="28"/>
      <c r="I99" s="31"/>
      <c r="J99" s="20" t="s">
        <v>259</v>
      </c>
      <c r="K99" s="18" t="s">
        <v>388</v>
      </c>
      <c r="L99" s="19" t="s">
        <v>589</v>
      </c>
      <c r="M99" s="28"/>
      <c r="N99" s="28"/>
    </row>
    <row r="100" spans="2:14" x14ac:dyDescent="0.25">
      <c r="B100" s="13">
        <v>45</v>
      </c>
      <c r="C100" s="19" t="s">
        <v>654</v>
      </c>
      <c r="D100" s="37" t="s">
        <v>43</v>
      </c>
      <c r="E100" s="47">
        <v>10776154</v>
      </c>
      <c r="F100" s="28">
        <f t="shared" si="3"/>
        <v>90</v>
      </c>
      <c r="G100" s="28"/>
      <c r="H100" s="28"/>
      <c r="I100" s="31"/>
      <c r="J100" s="20" t="s">
        <v>259</v>
      </c>
      <c r="K100" s="18" t="s">
        <v>388</v>
      </c>
      <c r="L100" s="19" t="s">
        <v>589</v>
      </c>
      <c r="M100" s="28"/>
      <c r="N100" s="28"/>
    </row>
    <row r="101" spans="2:14" x14ac:dyDescent="0.25">
      <c r="B101" s="13">
        <v>45</v>
      </c>
      <c r="C101" s="19" t="s">
        <v>654</v>
      </c>
      <c r="D101" s="37" t="s">
        <v>33</v>
      </c>
      <c r="E101" s="47">
        <v>10777178</v>
      </c>
      <c r="F101" s="28">
        <f t="shared" si="3"/>
        <v>91</v>
      </c>
      <c r="G101" s="28"/>
      <c r="H101" s="28"/>
      <c r="I101" s="31"/>
      <c r="J101" s="20" t="s">
        <v>259</v>
      </c>
      <c r="K101" s="18" t="s">
        <v>388</v>
      </c>
      <c r="L101" s="19" t="s">
        <v>589</v>
      </c>
      <c r="M101" s="28"/>
      <c r="N101" s="28"/>
    </row>
    <row r="102" spans="2:14" x14ac:dyDescent="0.25">
      <c r="B102" s="13">
        <v>45</v>
      </c>
      <c r="C102" s="19" t="s">
        <v>921</v>
      </c>
      <c r="D102" s="37" t="s">
        <v>152</v>
      </c>
      <c r="E102" s="47">
        <v>10763672</v>
      </c>
      <c r="F102" s="28">
        <f t="shared" si="3"/>
        <v>92</v>
      </c>
      <c r="G102" s="28"/>
      <c r="H102" s="28"/>
      <c r="I102" s="31"/>
      <c r="J102" s="20" t="s">
        <v>259</v>
      </c>
      <c r="K102" s="18" t="s">
        <v>388</v>
      </c>
      <c r="L102" s="19" t="s">
        <v>589</v>
      </c>
      <c r="M102" s="28"/>
      <c r="N102" s="28"/>
    </row>
    <row r="103" spans="2:14" x14ac:dyDescent="0.25">
      <c r="B103" s="13">
        <v>45</v>
      </c>
      <c r="C103" s="19" t="s">
        <v>282</v>
      </c>
      <c r="D103" s="37" t="s">
        <v>283</v>
      </c>
      <c r="E103" s="47">
        <v>10767210</v>
      </c>
      <c r="F103" s="28">
        <f t="shared" si="3"/>
        <v>93</v>
      </c>
      <c r="G103" s="28"/>
      <c r="H103" s="28"/>
      <c r="I103" s="31"/>
      <c r="J103" s="20" t="s">
        <v>259</v>
      </c>
      <c r="K103" s="18" t="s">
        <v>388</v>
      </c>
      <c r="L103" s="19" t="s">
        <v>589</v>
      </c>
      <c r="M103" s="28"/>
      <c r="N103" s="28"/>
    </row>
    <row r="104" spans="2:14" x14ac:dyDescent="0.25">
      <c r="B104" s="13">
        <v>45</v>
      </c>
      <c r="C104" s="19" t="s">
        <v>922</v>
      </c>
      <c r="D104" s="37" t="s">
        <v>63</v>
      </c>
      <c r="E104" s="46">
        <v>10776021</v>
      </c>
      <c r="F104" s="28">
        <f t="shared" si="3"/>
        <v>94</v>
      </c>
      <c r="G104" s="28"/>
      <c r="H104" s="28"/>
      <c r="I104" s="31"/>
      <c r="J104" s="20" t="s">
        <v>259</v>
      </c>
      <c r="K104" s="18" t="s">
        <v>388</v>
      </c>
      <c r="L104" s="19" t="s">
        <v>589</v>
      </c>
      <c r="M104" s="28"/>
      <c r="N104" s="28"/>
    </row>
    <row r="105" spans="2:14" x14ac:dyDescent="0.25">
      <c r="B105" s="13">
        <v>45</v>
      </c>
      <c r="C105" s="19" t="s">
        <v>655</v>
      </c>
      <c r="D105" s="37" t="s">
        <v>161</v>
      </c>
      <c r="E105" s="47">
        <v>10776013</v>
      </c>
      <c r="F105" s="28">
        <f t="shared" si="3"/>
        <v>95</v>
      </c>
      <c r="G105" s="28"/>
      <c r="H105" s="28"/>
      <c r="I105" s="31"/>
      <c r="J105" s="20" t="s">
        <v>259</v>
      </c>
      <c r="K105" s="18" t="s">
        <v>388</v>
      </c>
      <c r="L105" s="19" t="s">
        <v>589</v>
      </c>
      <c r="M105" s="28"/>
      <c r="N105" s="28"/>
    </row>
    <row r="106" spans="2:14" x14ac:dyDescent="0.25">
      <c r="B106" s="13">
        <v>45</v>
      </c>
      <c r="C106" s="19" t="s">
        <v>770</v>
      </c>
      <c r="D106" s="37" t="s">
        <v>161</v>
      </c>
      <c r="E106" s="48">
        <v>13468021</v>
      </c>
      <c r="F106" s="28">
        <f t="shared" si="3"/>
        <v>96</v>
      </c>
      <c r="G106" s="28"/>
      <c r="H106" s="28"/>
      <c r="I106" s="31"/>
      <c r="J106" s="20" t="s">
        <v>295</v>
      </c>
      <c r="K106" s="18" t="s">
        <v>771</v>
      </c>
      <c r="L106" s="19" t="s">
        <v>589</v>
      </c>
      <c r="M106" s="28"/>
      <c r="N106" s="28"/>
    </row>
    <row r="107" spans="2:14" x14ac:dyDescent="0.25">
      <c r="B107" s="13">
        <v>45</v>
      </c>
      <c r="C107" s="19" t="s">
        <v>923</v>
      </c>
      <c r="D107" s="37" t="s">
        <v>924</v>
      </c>
      <c r="E107" s="47">
        <v>10771138</v>
      </c>
      <c r="F107" s="28">
        <f t="shared" si="3"/>
        <v>97</v>
      </c>
      <c r="G107" s="28"/>
      <c r="H107" s="28"/>
      <c r="I107" s="31"/>
      <c r="J107" s="20" t="s">
        <v>259</v>
      </c>
      <c r="K107" s="18" t="s">
        <v>388</v>
      </c>
      <c r="L107" s="19" t="s">
        <v>589</v>
      </c>
      <c r="M107" s="28"/>
      <c r="N107" s="28"/>
    </row>
    <row r="108" spans="2:14" x14ac:dyDescent="0.25">
      <c r="B108" s="13">
        <v>45</v>
      </c>
      <c r="C108" s="19" t="s">
        <v>656</v>
      </c>
      <c r="D108" s="37" t="s">
        <v>152</v>
      </c>
      <c r="E108" s="47">
        <v>10774314</v>
      </c>
      <c r="F108" s="28">
        <f t="shared" si="3"/>
        <v>98</v>
      </c>
      <c r="G108" s="28"/>
      <c r="H108" s="28"/>
      <c r="I108" s="31"/>
      <c r="J108" s="20" t="s">
        <v>259</v>
      </c>
      <c r="K108" s="18" t="s">
        <v>388</v>
      </c>
      <c r="L108" s="19" t="s">
        <v>589</v>
      </c>
      <c r="M108" s="28"/>
      <c r="N108" s="28"/>
    </row>
    <row r="109" spans="2:14" x14ac:dyDescent="0.25">
      <c r="B109" s="13">
        <v>45</v>
      </c>
      <c r="C109" s="19" t="s">
        <v>925</v>
      </c>
      <c r="D109" s="37" t="s">
        <v>36</v>
      </c>
      <c r="E109" s="47">
        <v>11882091</v>
      </c>
      <c r="F109" s="28">
        <f t="shared" si="3"/>
        <v>99</v>
      </c>
      <c r="G109" s="28"/>
      <c r="H109" s="28"/>
      <c r="I109" s="31"/>
      <c r="J109" s="20" t="s">
        <v>319</v>
      </c>
      <c r="K109" s="18" t="s">
        <v>389</v>
      </c>
      <c r="L109" s="19" t="s">
        <v>589</v>
      </c>
      <c r="M109" s="28"/>
      <c r="N109" s="28"/>
    </row>
    <row r="110" spans="2:14" x14ac:dyDescent="0.25">
      <c r="B110" s="13">
        <v>45</v>
      </c>
      <c r="C110" s="19" t="s">
        <v>926</v>
      </c>
      <c r="D110" s="37" t="s">
        <v>693</v>
      </c>
      <c r="E110" s="47">
        <v>8240385</v>
      </c>
      <c r="F110" s="28">
        <f t="shared" si="3"/>
        <v>100</v>
      </c>
      <c r="G110" s="28"/>
      <c r="H110" s="28"/>
      <c r="I110" s="31"/>
      <c r="J110" s="20" t="s">
        <v>927</v>
      </c>
      <c r="K110" s="18" t="s">
        <v>395</v>
      </c>
      <c r="L110" s="19" t="s">
        <v>589</v>
      </c>
      <c r="M110" s="28"/>
      <c r="N110" s="28"/>
    </row>
    <row r="111" spans="2:14" x14ac:dyDescent="0.25">
      <c r="B111" s="13">
        <v>45</v>
      </c>
      <c r="C111" s="19" t="s">
        <v>705</v>
      </c>
      <c r="D111" s="37" t="s">
        <v>706</v>
      </c>
      <c r="E111" s="47">
        <v>9431412</v>
      </c>
      <c r="F111" s="28">
        <f t="shared" si="3"/>
        <v>101</v>
      </c>
      <c r="G111" s="28"/>
      <c r="H111" s="28"/>
      <c r="I111" s="31"/>
      <c r="J111" s="20" t="s">
        <v>259</v>
      </c>
      <c r="K111" s="18" t="s">
        <v>388</v>
      </c>
      <c r="L111" s="19" t="s">
        <v>589</v>
      </c>
      <c r="M111" s="28"/>
      <c r="N111" s="28"/>
    </row>
    <row r="112" spans="2:14" ht="14.25" customHeight="1" x14ac:dyDescent="0.25">
      <c r="B112" s="13">
        <v>45</v>
      </c>
      <c r="C112" s="19" t="s">
        <v>707</v>
      </c>
      <c r="D112" s="37" t="s">
        <v>33</v>
      </c>
      <c r="E112" s="48">
        <v>10782846</v>
      </c>
      <c r="F112" s="28">
        <f t="shared" si="3"/>
        <v>102</v>
      </c>
      <c r="G112" s="28"/>
      <c r="H112" s="28"/>
      <c r="I112" s="31"/>
      <c r="J112" s="20" t="s">
        <v>259</v>
      </c>
      <c r="K112" s="18" t="s">
        <v>388</v>
      </c>
      <c r="L112" s="19" t="s">
        <v>589</v>
      </c>
      <c r="M112" s="28"/>
      <c r="N112" s="28"/>
    </row>
    <row r="113" spans="2:14" ht="14.25" customHeight="1" x14ac:dyDescent="0.25">
      <c r="B113" s="13">
        <v>45</v>
      </c>
      <c r="C113" s="19" t="s">
        <v>708</v>
      </c>
      <c r="D113" s="37" t="s">
        <v>31</v>
      </c>
      <c r="E113" s="47">
        <v>10782903</v>
      </c>
      <c r="F113" s="28">
        <f t="shared" si="3"/>
        <v>103</v>
      </c>
      <c r="G113" s="28"/>
      <c r="H113" s="28"/>
      <c r="I113" s="31"/>
      <c r="J113" s="20" t="s">
        <v>259</v>
      </c>
      <c r="K113" s="18" t="s">
        <v>388</v>
      </c>
      <c r="L113" s="19" t="s">
        <v>589</v>
      </c>
      <c r="M113" s="28"/>
      <c r="N113" s="28"/>
    </row>
    <row r="114" spans="2:14" ht="14.25" customHeight="1" x14ac:dyDescent="0.25">
      <c r="B114" s="13">
        <v>45</v>
      </c>
      <c r="C114" s="19" t="s">
        <v>928</v>
      </c>
      <c r="D114" s="37" t="s">
        <v>189</v>
      </c>
      <c r="E114" s="47">
        <v>10773126</v>
      </c>
      <c r="F114" s="28">
        <f t="shared" si="3"/>
        <v>104</v>
      </c>
      <c r="G114" s="28"/>
      <c r="H114" s="28"/>
      <c r="I114" s="31"/>
      <c r="J114" s="20" t="s">
        <v>761</v>
      </c>
      <c r="K114" s="18" t="s">
        <v>388</v>
      </c>
      <c r="L114" s="19" t="s">
        <v>589</v>
      </c>
      <c r="M114" s="28"/>
      <c r="N114" s="28"/>
    </row>
    <row r="115" spans="2:14" ht="14.25" customHeight="1" x14ac:dyDescent="0.25">
      <c r="B115" s="13">
        <v>45</v>
      </c>
      <c r="C115" s="19" t="s">
        <v>929</v>
      </c>
      <c r="D115" s="37" t="s">
        <v>161</v>
      </c>
      <c r="E115" s="47">
        <v>10773093</v>
      </c>
      <c r="F115" s="28">
        <f t="shared" si="3"/>
        <v>105</v>
      </c>
      <c r="G115" s="28"/>
      <c r="H115" s="28"/>
      <c r="I115" s="31"/>
      <c r="J115" s="20" t="s">
        <v>761</v>
      </c>
      <c r="K115" s="18" t="s">
        <v>388</v>
      </c>
      <c r="L115" s="19" t="s">
        <v>589</v>
      </c>
      <c r="M115" s="28"/>
      <c r="N115" s="28"/>
    </row>
    <row r="116" spans="2:14" ht="14.25" customHeight="1" x14ac:dyDescent="0.25">
      <c r="B116" s="13">
        <v>45</v>
      </c>
      <c r="C116" s="19" t="s">
        <v>709</v>
      </c>
      <c r="D116" s="37" t="s">
        <v>31</v>
      </c>
      <c r="E116" s="47">
        <v>10776229</v>
      </c>
      <c r="F116" s="28">
        <f t="shared" si="3"/>
        <v>106</v>
      </c>
      <c r="G116" s="28"/>
      <c r="H116" s="28"/>
      <c r="I116" s="31"/>
      <c r="J116" s="20" t="s">
        <v>259</v>
      </c>
      <c r="K116" s="18" t="s">
        <v>388</v>
      </c>
      <c r="L116" s="19" t="s">
        <v>589</v>
      </c>
      <c r="M116" s="28"/>
      <c r="N116" s="28"/>
    </row>
    <row r="117" spans="2:14" ht="14.25" customHeight="1" thickBot="1" x14ac:dyDescent="0.3">
      <c r="B117" s="96"/>
      <c r="C117" s="92"/>
      <c r="D117" s="98"/>
      <c r="E117" s="67"/>
      <c r="F117" s="76"/>
      <c r="G117" s="76"/>
      <c r="H117" s="76"/>
      <c r="I117" s="99"/>
      <c r="J117" s="74"/>
      <c r="K117" s="73"/>
      <c r="L117" s="92"/>
      <c r="M117" s="76"/>
      <c r="N117" s="76"/>
    </row>
    <row r="118" spans="2:14" ht="14.25" customHeight="1" x14ac:dyDescent="0.25">
      <c r="B118" s="2"/>
      <c r="C118" s="1"/>
      <c r="D118" s="1"/>
      <c r="E118" s="3"/>
      <c r="F118" s="89" t="s">
        <v>1041</v>
      </c>
      <c r="G118" s="87"/>
      <c r="H118" s="87"/>
      <c r="I118" s="88"/>
      <c r="J118" s="88"/>
      <c r="K118" s="3"/>
      <c r="L118" s="4"/>
      <c r="M118" s="16" t="s">
        <v>0</v>
      </c>
      <c r="N118" s="5"/>
    </row>
    <row r="119" spans="2:14" ht="14.25" customHeight="1" x14ac:dyDescent="0.25">
      <c r="B119" s="15" t="s">
        <v>1</v>
      </c>
      <c r="C119" s="16" t="s">
        <v>2</v>
      </c>
      <c r="D119" s="16" t="s">
        <v>3</v>
      </c>
      <c r="E119" s="16" t="s">
        <v>4</v>
      </c>
      <c r="F119" s="16" t="s">
        <v>5</v>
      </c>
      <c r="G119" s="16" t="s">
        <v>6</v>
      </c>
      <c r="H119" s="16" t="s">
        <v>7</v>
      </c>
      <c r="I119" s="16" t="s">
        <v>8</v>
      </c>
      <c r="J119" s="16" t="s">
        <v>9</v>
      </c>
      <c r="K119" s="16" t="s">
        <v>387</v>
      </c>
      <c r="L119" s="16" t="s">
        <v>10</v>
      </c>
      <c r="M119" s="16" t="s">
        <v>11</v>
      </c>
      <c r="N119" s="17" t="s">
        <v>12</v>
      </c>
    </row>
    <row r="120" spans="2:14" x14ac:dyDescent="0.25">
      <c r="B120" s="13">
        <f>1500+750+150</f>
        <v>2400</v>
      </c>
      <c r="C120" s="19" t="s">
        <v>930</v>
      </c>
      <c r="D120" s="20" t="s">
        <v>233</v>
      </c>
      <c r="E120" s="47">
        <v>10770768</v>
      </c>
      <c r="F120" s="28">
        <f>F116+1</f>
        <v>107</v>
      </c>
      <c r="G120" s="28"/>
      <c r="H120" s="28"/>
      <c r="I120" s="22"/>
      <c r="J120" s="20" t="s">
        <v>750</v>
      </c>
      <c r="K120" s="18" t="s">
        <v>388</v>
      </c>
      <c r="L120" s="19" t="s">
        <v>590</v>
      </c>
      <c r="M120" s="28"/>
      <c r="N120" s="28"/>
    </row>
    <row r="121" spans="2:14" x14ac:dyDescent="0.25">
      <c r="B121" s="13">
        <v>2000</v>
      </c>
      <c r="C121" s="19" t="s">
        <v>243</v>
      </c>
      <c r="D121" s="20" t="s">
        <v>173</v>
      </c>
      <c r="E121" s="47">
        <v>10740612</v>
      </c>
      <c r="F121" s="28">
        <f t="shared" si="3"/>
        <v>108</v>
      </c>
      <c r="G121" s="28"/>
      <c r="H121" s="28"/>
      <c r="I121" s="22"/>
      <c r="J121" s="20" t="s">
        <v>372</v>
      </c>
      <c r="K121" s="18" t="s">
        <v>388</v>
      </c>
      <c r="L121" s="19" t="s">
        <v>590</v>
      </c>
      <c r="M121" s="28"/>
      <c r="N121" s="28"/>
    </row>
    <row r="122" spans="2:14" x14ac:dyDescent="0.25">
      <c r="B122" s="13">
        <f>750+750+150</f>
        <v>1650</v>
      </c>
      <c r="C122" s="20" t="s">
        <v>714</v>
      </c>
      <c r="D122" s="20" t="s">
        <v>41</v>
      </c>
      <c r="E122" s="47">
        <v>14043335</v>
      </c>
      <c r="F122" s="28">
        <f t="shared" si="3"/>
        <v>109</v>
      </c>
      <c r="G122" s="28"/>
      <c r="H122" s="28"/>
      <c r="I122" s="22"/>
      <c r="J122" s="20" t="s">
        <v>750</v>
      </c>
      <c r="K122" s="21" t="s">
        <v>388</v>
      </c>
      <c r="L122" s="19" t="s">
        <v>590</v>
      </c>
      <c r="M122" s="28"/>
      <c r="N122" s="28"/>
    </row>
    <row r="123" spans="2:14" x14ac:dyDescent="0.25">
      <c r="B123" s="13">
        <f>90+1500</f>
        <v>1590</v>
      </c>
      <c r="C123" s="19" t="s">
        <v>221</v>
      </c>
      <c r="D123" s="20" t="s">
        <v>68</v>
      </c>
      <c r="E123" s="47">
        <v>10767426</v>
      </c>
      <c r="F123" s="28">
        <f t="shared" si="3"/>
        <v>110</v>
      </c>
      <c r="G123" s="28"/>
      <c r="H123" s="28"/>
      <c r="I123" s="22"/>
      <c r="J123" s="20" t="s">
        <v>920</v>
      </c>
      <c r="K123" s="18" t="s">
        <v>388</v>
      </c>
      <c r="L123" s="19" t="s">
        <v>590</v>
      </c>
      <c r="M123" s="28"/>
      <c r="N123" s="28"/>
    </row>
    <row r="124" spans="2:14" x14ac:dyDescent="0.25">
      <c r="B124" s="13">
        <v>1200</v>
      </c>
      <c r="C124" s="19" t="s">
        <v>658</v>
      </c>
      <c r="D124" s="20" t="s">
        <v>659</v>
      </c>
      <c r="E124" s="47">
        <v>10776302</v>
      </c>
      <c r="F124" s="28">
        <f t="shared" si="3"/>
        <v>111</v>
      </c>
      <c r="G124" s="28"/>
      <c r="H124" s="28"/>
      <c r="I124" s="22"/>
      <c r="J124" s="20" t="s">
        <v>259</v>
      </c>
      <c r="K124" s="18" t="s">
        <v>388</v>
      </c>
      <c r="L124" s="19" t="s">
        <v>590</v>
      </c>
      <c r="M124" s="28"/>
      <c r="N124" s="28"/>
    </row>
    <row r="125" spans="2:14" x14ac:dyDescent="0.25">
      <c r="B125" s="13">
        <v>750</v>
      </c>
      <c r="C125" s="19" t="s">
        <v>660</v>
      </c>
      <c r="D125" s="20" t="s">
        <v>180</v>
      </c>
      <c r="E125" s="47">
        <v>10773415</v>
      </c>
      <c r="F125" s="28">
        <f t="shared" si="3"/>
        <v>112</v>
      </c>
      <c r="G125" s="28"/>
      <c r="H125" s="28"/>
      <c r="I125" s="22"/>
      <c r="J125" s="20" t="s">
        <v>259</v>
      </c>
      <c r="K125" s="18" t="s">
        <v>388</v>
      </c>
      <c r="L125" s="19" t="s">
        <v>590</v>
      </c>
      <c r="M125" s="28"/>
      <c r="N125" s="28"/>
    </row>
    <row r="126" spans="2:14" x14ac:dyDescent="0.25">
      <c r="B126" s="13">
        <f>90+360+45</f>
        <v>495</v>
      </c>
      <c r="C126" s="19" t="s">
        <v>232</v>
      </c>
      <c r="D126" s="20" t="s">
        <v>38</v>
      </c>
      <c r="E126" s="47">
        <v>10768549</v>
      </c>
      <c r="F126" s="28">
        <f t="shared" si="3"/>
        <v>113</v>
      </c>
      <c r="G126" s="28"/>
      <c r="H126" s="28"/>
      <c r="I126" s="22"/>
      <c r="J126" s="20" t="s">
        <v>259</v>
      </c>
      <c r="K126" s="18" t="s">
        <v>388</v>
      </c>
      <c r="L126" s="19" t="s">
        <v>590</v>
      </c>
      <c r="M126" s="28"/>
      <c r="N126" s="28"/>
    </row>
    <row r="127" spans="2:14" x14ac:dyDescent="0.25">
      <c r="B127" s="13">
        <f>90+400</f>
        <v>490</v>
      </c>
      <c r="C127" s="19" t="s">
        <v>292</v>
      </c>
      <c r="D127" s="20" t="s">
        <v>33</v>
      </c>
      <c r="E127" s="47">
        <v>10768200</v>
      </c>
      <c r="F127" s="28">
        <f t="shared" si="3"/>
        <v>114</v>
      </c>
      <c r="G127" s="28"/>
      <c r="H127" s="28"/>
      <c r="I127" s="22"/>
      <c r="J127" s="20" t="s">
        <v>259</v>
      </c>
      <c r="K127" s="18" t="s">
        <v>388</v>
      </c>
      <c r="L127" s="19" t="s">
        <v>590</v>
      </c>
      <c r="M127" s="28"/>
      <c r="N127" s="28"/>
    </row>
    <row r="128" spans="2:14" x14ac:dyDescent="0.25">
      <c r="B128" s="13">
        <f>90+400</f>
        <v>490</v>
      </c>
      <c r="C128" s="19" t="s">
        <v>337</v>
      </c>
      <c r="D128" s="20" t="s">
        <v>222</v>
      </c>
      <c r="E128" s="47">
        <v>10768119</v>
      </c>
      <c r="F128" s="28">
        <f t="shared" si="3"/>
        <v>115</v>
      </c>
      <c r="G128" s="28"/>
      <c r="H128" s="28"/>
      <c r="I128" s="22"/>
      <c r="J128" s="20" t="s">
        <v>259</v>
      </c>
      <c r="K128" s="18" t="s">
        <v>388</v>
      </c>
      <c r="L128" s="19" t="s">
        <v>590</v>
      </c>
      <c r="M128" s="28"/>
      <c r="N128" s="28"/>
    </row>
    <row r="129" spans="2:14" x14ac:dyDescent="0.25">
      <c r="B129" s="13">
        <f>360+90</f>
        <v>450</v>
      </c>
      <c r="C129" s="19" t="s">
        <v>373</v>
      </c>
      <c r="D129" s="20" t="s">
        <v>249</v>
      </c>
      <c r="E129" s="47">
        <v>10767252</v>
      </c>
      <c r="F129" s="28">
        <f t="shared" si="3"/>
        <v>116</v>
      </c>
      <c r="G129" s="28"/>
      <c r="H129" s="28"/>
      <c r="I129" s="22"/>
      <c r="J129" s="20" t="s">
        <v>259</v>
      </c>
      <c r="K129" s="18" t="s">
        <v>388</v>
      </c>
      <c r="L129" s="19" t="s">
        <v>590</v>
      </c>
      <c r="M129" s="28"/>
      <c r="N129" s="28"/>
    </row>
    <row r="130" spans="2:14" x14ac:dyDescent="0.25">
      <c r="B130" s="13">
        <f>360+90</f>
        <v>450</v>
      </c>
      <c r="C130" s="19" t="s">
        <v>340</v>
      </c>
      <c r="D130" s="20" t="s">
        <v>223</v>
      </c>
      <c r="E130" s="46">
        <v>10767260</v>
      </c>
      <c r="F130" s="28">
        <f t="shared" si="3"/>
        <v>117</v>
      </c>
      <c r="G130" s="28"/>
      <c r="H130" s="28"/>
      <c r="I130" s="22"/>
      <c r="J130" s="20" t="s">
        <v>259</v>
      </c>
      <c r="K130" s="18" t="s">
        <v>388</v>
      </c>
      <c r="L130" s="19" t="s">
        <v>590</v>
      </c>
      <c r="M130" s="28"/>
      <c r="N130" s="28"/>
    </row>
    <row r="131" spans="2:14" x14ac:dyDescent="0.25">
      <c r="B131" s="13">
        <f>360+2</f>
        <v>362</v>
      </c>
      <c r="C131" s="34" t="s">
        <v>289</v>
      </c>
      <c r="D131" s="20" t="s">
        <v>184</v>
      </c>
      <c r="E131" s="47">
        <v>11855593</v>
      </c>
      <c r="F131" s="28">
        <f t="shared" si="3"/>
        <v>118</v>
      </c>
      <c r="G131" s="28"/>
      <c r="H131" s="28"/>
      <c r="I131" s="22"/>
      <c r="J131" s="20" t="s">
        <v>270</v>
      </c>
      <c r="K131" s="18" t="s">
        <v>389</v>
      </c>
      <c r="L131" s="19" t="s">
        <v>590</v>
      </c>
      <c r="M131" s="28"/>
      <c r="N131" s="28"/>
    </row>
    <row r="132" spans="2:14" x14ac:dyDescent="0.25">
      <c r="B132" s="13">
        <v>360</v>
      </c>
      <c r="C132" s="19" t="s">
        <v>374</v>
      </c>
      <c r="D132" s="20" t="s">
        <v>33</v>
      </c>
      <c r="E132" s="47">
        <v>10767939</v>
      </c>
      <c r="F132" s="28">
        <f t="shared" si="3"/>
        <v>119</v>
      </c>
      <c r="G132" s="28"/>
      <c r="H132" s="28"/>
      <c r="I132" s="22"/>
      <c r="J132" s="20" t="s">
        <v>259</v>
      </c>
      <c r="K132" s="18" t="s">
        <v>388</v>
      </c>
      <c r="L132" s="19" t="s">
        <v>590</v>
      </c>
      <c r="M132" s="28"/>
      <c r="N132" s="28"/>
    </row>
    <row r="133" spans="2:14" x14ac:dyDescent="0.25">
      <c r="B133" s="13">
        <v>360</v>
      </c>
      <c r="C133" s="19" t="s">
        <v>375</v>
      </c>
      <c r="D133" s="20" t="s">
        <v>161</v>
      </c>
      <c r="E133" s="47">
        <v>10766478</v>
      </c>
      <c r="F133" s="28">
        <f t="shared" si="3"/>
        <v>120</v>
      </c>
      <c r="G133" s="28"/>
      <c r="H133" s="28"/>
      <c r="I133" s="22"/>
      <c r="J133" s="20" t="s">
        <v>259</v>
      </c>
      <c r="K133" s="18" t="s">
        <v>388</v>
      </c>
      <c r="L133" s="19" t="s">
        <v>590</v>
      </c>
      <c r="M133" s="28"/>
      <c r="N133" s="28"/>
    </row>
    <row r="134" spans="2:14" x14ac:dyDescent="0.25">
      <c r="B134" s="13">
        <f>2+75+100+25+45</f>
        <v>247</v>
      </c>
      <c r="C134" s="19" t="s">
        <v>54</v>
      </c>
      <c r="D134" s="37" t="s">
        <v>24</v>
      </c>
      <c r="E134" s="46">
        <v>11855915</v>
      </c>
      <c r="F134" s="28">
        <f t="shared" si="3"/>
        <v>121</v>
      </c>
      <c r="G134" s="28"/>
      <c r="H134" s="28"/>
      <c r="I134" s="31"/>
      <c r="J134" s="20" t="s">
        <v>319</v>
      </c>
      <c r="K134" s="18" t="s">
        <v>389</v>
      </c>
      <c r="L134" s="19" t="s">
        <v>590</v>
      </c>
      <c r="M134" s="28"/>
      <c r="N134" s="28"/>
    </row>
    <row r="135" spans="2:14" x14ac:dyDescent="0.25">
      <c r="B135" s="13">
        <f>90+90</f>
        <v>180</v>
      </c>
      <c r="C135" s="19" t="s">
        <v>44</v>
      </c>
      <c r="D135" s="37" t="s">
        <v>25</v>
      </c>
      <c r="E135" s="47">
        <v>10767947</v>
      </c>
      <c r="F135" s="28">
        <f t="shared" si="3"/>
        <v>122</v>
      </c>
      <c r="G135" s="28"/>
      <c r="H135" s="28"/>
      <c r="I135" s="30"/>
      <c r="J135" s="20" t="s">
        <v>259</v>
      </c>
      <c r="K135" s="18" t="s">
        <v>388</v>
      </c>
      <c r="L135" s="19" t="s">
        <v>590</v>
      </c>
      <c r="M135" s="28"/>
      <c r="N135" s="28"/>
    </row>
    <row r="136" spans="2:14" x14ac:dyDescent="0.25">
      <c r="B136" s="13">
        <v>180</v>
      </c>
      <c r="C136" s="19" t="s">
        <v>661</v>
      </c>
      <c r="D136" s="20" t="s">
        <v>19</v>
      </c>
      <c r="E136" s="47">
        <v>10336700</v>
      </c>
      <c r="F136" s="28">
        <f t="shared" si="3"/>
        <v>123</v>
      </c>
      <c r="G136" s="28"/>
      <c r="H136" s="28"/>
      <c r="I136" s="22"/>
      <c r="J136" s="20" t="s">
        <v>259</v>
      </c>
      <c r="K136" s="18" t="s">
        <v>388</v>
      </c>
      <c r="L136" s="19" t="s">
        <v>590</v>
      </c>
      <c r="M136" s="28"/>
      <c r="N136" s="28"/>
    </row>
    <row r="137" spans="2:14" x14ac:dyDescent="0.25">
      <c r="B137" s="13">
        <v>180</v>
      </c>
      <c r="C137" s="19" t="s">
        <v>782</v>
      </c>
      <c r="D137" s="20" t="s">
        <v>783</v>
      </c>
      <c r="E137" s="46">
        <v>10773556</v>
      </c>
      <c r="F137" s="28">
        <f t="shared" si="3"/>
        <v>124</v>
      </c>
      <c r="G137" s="28"/>
      <c r="H137" s="28"/>
      <c r="I137" s="22"/>
      <c r="J137" s="20" t="s">
        <v>259</v>
      </c>
      <c r="K137" s="18" t="s">
        <v>388</v>
      </c>
      <c r="L137" s="19" t="s">
        <v>590</v>
      </c>
      <c r="M137" s="28"/>
      <c r="N137" s="28"/>
    </row>
    <row r="138" spans="2:14" x14ac:dyDescent="0.25">
      <c r="B138" s="13">
        <v>180</v>
      </c>
      <c r="C138" s="19" t="s">
        <v>960</v>
      </c>
      <c r="D138" s="20" t="s">
        <v>961</v>
      </c>
      <c r="E138" s="47">
        <v>10737734</v>
      </c>
      <c r="F138" s="28">
        <f t="shared" si="3"/>
        <v>125</v>
      </c>
      <c r="G138" s="28"/>
      <c r="H138" s="28"/>
      <c r="I138" s="22"/>
      <c r="J138" s="20" t="s">
        <v>962</v>
      </c>
      <c r="K138" s="18" t="s">
        <v>388</v>
      </c>
      <c r="L138" s="19" t="s">
        <v>590</v>
      </c>
      <c r="M138" s="28"/>
      <c r="N138" s="28"/>
    </row>
    <row r="139" spans="2:14" x14ac:dyDescent="0.25">
      <c r="B139" s="13">
        <v>180</v>
      </c>
      <c r="C139" s="19" t="s">
        <v>786</v>
      </c>
      <c r="D139" s="20" t="s">
        <v>139</v>
      </c>
      <c r="E139" s="47">
        <v>10768482</v>
      </c>
      <c r="F139" s="28">
        <f t="shared" si="3"/>
        <v>126</v>
      </c>
      <c r="G139" s="28"/>
      <c r="H139" s="28"/>
      <c r="I139" s="22"/>
      <c r="J139" s="20" t="s">
        <v>259</v>
      </c>
      <c r="K139" s="18" t="s">
        <v>388</v>
      </c>
      <c r="L139" s="19" t="s">
        <v>590</v>
      </c>
      <c r="M139" s="28"/>
      <c r="N139" s="28"/>
    </row>
    <row r="140" spans="2:14" x14ac:dyDescent="0.25">
      <c r="B140" s="13">
        <v>180</v>
      </c>
      <c r="C140" s="19" t="s">
        <v>963</v>
      </c>
      <c r="D140" s="20" t="s">
        <v>606</v>
      </c>
      <c r="E140" s="47">
        <v>10772566</v>
      </c>
      <c r="F140" s="28">
        <f t="shared" si="3"/>
        <v>127</v>
      </c>
      <c r="G140" s="28"/>
      <c r="H140" s="28"/>
      <c r="I140" s="22"/>
      <c r="J140" s="20" t="s">
        <v>761</v>
      </c>
      <c r="K140" s="18" t="s">
        <v>388</v>
      </c>
      <c r="L140" s="19" t="s">
        <v>590</v>
      </c>
      <c r="M140" s="28"/>
      <c r="N140" s="28"/>
    </row>
    <row r="141" spans="2:14" x14ac:dyDescent="0.25">
      <c r="B141" s="13">
        <v>180</v>
      </c>
      <c r="C141" s="34" t="s">
        <v>964</v>
      </c>
      <c r="D141" s="20" t="s">
        <v>210</v>
      </c>
      <c r="E141" s="47">
        <v>14106993</v>
      </c>
      <c r="F141" s="28">
        <f t="shared" si="3"/>
        <v>128</v>
      </c>
      <c r="G141" s="28"/>
      <c r="H141" s="28"/>
      <c r="I141" s="22"/>
      <c r="J141" s="20" t="s">
        <v>339</v>
      </c>
      <c r="K141" s="18" t="s">
        <v>396</v>
      </c>
      <c r="L141" s="19" t="s">
        <v>590</v>
      </c>
      <c r="M141" s="28"/>
      <c r="N141" s="28"/>
    </row>
    <row r="142" spans="2:14" x14ac:dyDescent="0.25">
      <c r="B142" s="13">
        <f>90+90</f>
        <v>180</v>
      </c>
      <c r="C142" s="19" t="s">
        <v>290</v>
      </c>
      <c r="D142" s="20" t="s">
        <v>182</v>
      </c>
      <c r="E142" s="47">
        <v>10440238</v>
      </c>
      <c r="F142" s="28">
        <f t="shared" si="3"/>
        <v>129</v>
      </c>
      <c r="G142" s="28"/>
      <c r="H142" s="28"/>
      <c r="I142" s="22"/>
      <c r="J142" s="20" t="s">
        <v>750</v>
      </c>
      <c r="K142" s="18" t="s">
        <v>388</v>
      </c>
      <c r="L142" s="19" t="s">
        <v>590</v>
      </c>
      <c r="M142" s="28"/>
      <c r="N142" s="28"/>
    </row>
    <row r="143" spans="2:14" x14ac:dyDescent="0.25">
      <c r="B143" s="13">
        <f>90+90</f>
        <v>180</v>
      </c>
      <c r="C143" s="19" t="s">
        <v>284</v>
      </c>
      <c r="D143" s="20" t="s">
        <v>174</v>
      </c>
      <c r="E143" s="46">
        <v>10768375</v>
      </c>
      <c r="F143" s="28">
        <f t="shared" si="3"/>
        <v>130</v>
      </c>
      <c r="G143" s="28"/>
      <c r="H143" s="28"/>
      <c r="I143" s="22"/>
      <c r="J143" s="20" t="s">
        <v>750</v>
      </c>
      <c r="K143" s="18" t="s">
        <v>388</v>
      </c>
      <c r="L143" s="19" t="s">
        <v>590</v>
      </c>
      <c r="M143" s="28"/>
      <c r="N143" s="28"/>
    </row>
    <row r="144" spans="2:14" x14ac:dyDescent="0.25">
      <c r="B144" s="13">
        <f>50+75+45</f>
        <v>170</v>
      </c>
      <c r="C144" s="19" t="s">
        <v>251</v>
      </c>
      <c r="D144" s="37" t="s">
        <v>51</v>
      </c>
      <c r="E144" s="46">
        <v>11855957</v>
      </c>
      <c r="F144" s="28">
        <f t="shared" ref="F144:F210" si="4">F143+1</f>
        <v>131</v>
      </c>
      <c r="G144" s="28"/>
      <c r="H144" s="28"/>
      <c r="I144" s="31"/>
      <c r="J144" s="20" t="s">
        <v>270</v>
      </c>
      <c r="K144" s="18" t="s">
        <v>389</v>
      </c>
      <c r="L144" s="19" t="s">
        <v>590</v>
      </c>
      <c r="M144" s="28"/>
      <c r="N144" s="28"/>
    </row>
    <row r="145" spans="2:14" x14ac:dyDescent="0.25">
      <c r="B145" s="13">
        <f>2+75+25+45</f>
        <v>147</v>
      </c>
      <c r="C145" s="19" t="s">
        <v>380</v>
      </c>
      <c r="D145" s="37" t="s">
        <v>34</v>
      </c>
      <c r="E145" s="48">
        <v>11855923</v>
      </c>
      <c r="F145" s="28">
        <f t="shared" si="4"/>
        <v>132</v>
      </c>
      <c r="G145" s="28"/>
      <c r="H145" s="28"/>
      <c r="I145" s="31"/>
      <c r="J145" s="20" t="s">
        <v>319</v>
      </c>
      <c r="K145" s="18" t="s">
        <v>389</v>
      </c>
      <c r="L145" s="19" t="s">
        <v>590</v>
      </c>
      <c r="M145" s="28"/>
      <c r="N145" s="28"/>
    </row>
    <row r="146" spans="2:14" x14ac:dyDescent="0.25">
      <c r="B146" s="13">
        <f>90+45</f>
        <v>135</v>
      </c>
      <c r="C146" s="19" t="s">
        <v>181</v>
      </c>
      <c r="D146" s="20" t="s">
        <v>62</v>
      </c>
      <c r="E146" s="47">
        <v>10766171</v>
      </c>
      <c r="F146" s="28">
        <f t="shared" si="4"/>
        <v>133</v>
      </c>
      <c r="G146" s="28"/>
      <c r="H146" s="28"/>
      <c r="I146" s="22"/>
      <c r="J146" s="20" t="s">
        <v>259</v>
      </c>
      <c r="K146" s="18" t="s">
        <v>388</v>
      </c>
      <c r="L146" s="19" t="s">
        <v>590</v>
      </c>
      <c r="M146" s="28"/>
      <c r="N146" s="28"/>
    </row>
    <row r="147" spans="2:14" x14ac:dyDescent="0.25">
      <c r="B147" s="13">
        <f>90+5</f>
        <v>95</v>
      </c>
      <c r="C147" s="19" t="s">
        <v>100</v>
      </c>
      <c r="D147" s="37" t="s">
        <v>45</v>
      </c>
      <c r="E147" s="48">
        <v>11633288</v>
      </c>
      <c r="F147" s="28">
        <f t="shared" si="4"/>
        <v>134</v>
      </c>
      <c r="G147" s="28"/>
      <c r="H147" s="28"/>
      <c r="I147" s="30"/>
      <c r="J147" s="20" t="s">
        <v>270</v>
      </c>
      <c r="K147" s="18" t="s">
        <v>389</v>
      </c>
      <c r="L147" s="19" t="s">
        <v>590</v>
      </c>
      <c r="M147" s="28"/>
      <c r="N147" s="28"/>
    </row>
    <row r="148" spans="2:14" x14ac:dyDescent="0.25">
      <c r="B148" s="13">
        <v>90</v>
      </c>
      <c r="C148" s="19" t="s">
        <v>252</v>
      </c>
      <c r="D148" s="20" t="s">
        <v>69</v>
      </c>
      <c r="E148" s="47">
        <v>16063646</v>
      </c>
      <c r="F148" s="28">
        <f t="shared" si="4"/>
        <v>135</v>
      </c>
      <c r="G148" s="28"/>
      <c r="H148" s="28"/>
      <c r="I148" s="22"/>
      <c r="J148" s="20" t="s">
        <v>376</v>
      </c>
      <c r="K148" s="18" t="s">
        <v>397</v>
      </c>
      <c r="L148" s="19" t="s">
        <v>590</v>
      </c>
      <c r="M148" s="28"/>
      <c r="N148" s="28"/>
    </row>
    <row r="149" spans="2:14" x14ac:dyDescent="0.25">
      <c r="B149" s="13">
        <v>90</v>
      </c>
      <c r="C149" s="19" t="s">
        <v>378</v>
      </c>
      <c r="D149" s="20" t="s">
        <v>155</v>
      </c>
      <c r="E149" s="47">
        <v>16691926</v>
      </c>
      <c r="F149" s="28">
        <f t="shared" si="4"/>
        <v>136</v>
      </c>
      <c r="G149" s="28"/>
      <c r="H149" s="28"/>
      <c r="I149" s="22"/>
      <c r="J149" s="20" t="s">
        <v>377</v>
      </c>
      <c r="K149" s="18" t="s">
        <v>392</v>
      </c>
      <c r="L149" s="19" t="s">
        <v>590</v>
      </c>
      <c r="M149" s="28"/>
      <c r="N149" s="28"/>
    </row>
    <row r="150" spans="2:14" x14ac:dyDescent="0.25">
      <c r="B150" s="13">
        <v>90</v>
      </c>
      <c r="C150" s="19" t="s">
        <v>379</v>
      </c>
      <c r="D150" s="20" t="s">
        <v>207</v>
      </c>
      <c r="E150" s="47">
        <v>10765355</v>
      </c>
      <c r="F150" s="28">
        <f t="shared" si="4"/>
        <v>137</v>
      </c>
      <c r="G150" s="28"/>
      <c r="H150" s="28"/>
      <c r="I150" s="22"/>
      <c r="J150" s="20" t="s">
        <v>259</v>
      </c>
      <c r="K150" s="18" t="s">
        <v>388</v>
      </c>
      <c r="L150" s="19" t="s">
        <v>590</v>
      </c>
      <c r="M150" s="28"/>
      <c r="N150" s="28"/>
    </row>
    <row r="151" spans="2:14" x14ac:dyDescent="0.25">
      <c r="B151" s="13">
        <v>90</v>
      </c>
      <c r="C151" s="19" t="s">
        <v>662</v>
      </c>
      <c r="D151" s="20" t="s">
        <v>32</v>
      </c>
      <c r="E151" s="47">
        <v>10776146</v>
      </c>
      <c r="F151" s="28">
        <f t="shared" si="4"/>
        <v>138</v>
      </c>
      <c r="G151" s="28"/>
      <c r="H151" s="28"/>
      <c r="I151" s="22"/>
      <c r="J151" s="20" t="s">
        <v>259</v>
      </c>
      <c r="K151" s="18" t="s">
        <v>388</v>
      </c>
      <c r="L151" s="19" t="s">
        <v>590</v>
      </c>
      <c r="M151" s="28"/>
      <c r="N151" s="28"/>
    </row>
    <row r="152" spans="2:14" x14ac:dyDescent="0.25">
      <c r="B152" s="13">
        <v>90</v>
      </c>
      <c r="C152" s="19" t="s">
        <v>879</v>
      </c>
      <c r="D152" s="20" t="s">
        <v>79</v>
      </c>
      <c r="E152" s="47">
        <v>16954514</v>
      </c>
      <c r="F152" s="28">
        <f t="shared" si="4"/>
        <v>139</v>
      </c>
      <c r="G152" s="28"/>
      <c r="H152" s="28"/>
      <c r="I152" s="22"/>
      <c r="J152" s="20" t="s">
        <v>262</v>
      </c>
      <c r="K152" s="18" t="s">
        <v>390</v>
      </c>
      <c r="L152" s="19" t="s">
        <v>590</v>
      </c>
      <c r="M152" s="28"/>
      <c r="N152" s="28"/>
    </row>
    <row r="153" spans="2:14" x14ac:dyDescent="0.25">
      <c r="B153" s="13">
        <v>90</v>
      </c>
      <c r="C153" s="19" t="s">
        <v>607</v>
      </c>
      <c r="D153" s="20" t="s">
        <v>663</v>
      </c>
      <c r="E153" s="47">
        <v>16954374</v>
      </c>
      <c r="F153" s="28">
        <f t="shared" si="4"/>
        <v>140</v>
      </c>
      <c r="G153" s="28"/>
      <c r="H153" s="28"/>
      <c r="I153" s="22"/>
      <c r="J153" s="20" t="s">
        <v>262</v>
      </c>
      <c r="K153" s="18" t="s">
        <v>390</v>
      </c>
      <c r="L153" s="19" t="s">
        <v>590</v>
      </c>
      <c r="M153" s="28"/>
      <c r="N153" s="28"/>
    </row>
    <row r="154" spans="2:14" x14ac:dyDescent="0.25">
      <c r="B154" s="13">
        <v>90</v>
      </c>
      <c r="C154" s="19" t="s">
        <v>876</v>
      </c>
      <c r="D154" s="20" t="s">
        <v>947</v>
      </c>
      <c r="E154" s="50">
        <v>7922893</v>
      </c>
      <c r="F154" s="28">
        <f t="shared" si="4"/>
        <v>141</v>
      </c>
      <c r="G154" s="28"/>
      <c r="H154" s="28"/>
      <c r="I154" s="22"/>
      <c r="J154" s="20" t="s">
        <v>819</v>
      </c>
      <c r="K154" s="18" t="s">
        <v>820</v>
      </c>
      <c r="L154" s="19" t="s">
        <v>590</v>
      </c>
      <c r="M154" s="28"/>
      <c r="N154" s="28"/>
    </row>
    <row r="155" spans="2:14" x14ac:dyDescent="0.25">
      <c r="B155" s="13">
        <v>90</v>
      </c>
      <c r="C155" s="19" t="s">
        <v>664</v>
      </c>
      <c r="D155" s="20" t="s">
        <v>32</v>
      </c>
      <c r="E155" s="47">
        <v>7896270</v>
      </c>
      <c r="F155" s="28">
        <f t="shared" si="4"/>
        <v>142</v>
      </c>
      <c r="G155" s="28"/>
      <c r="H155" s="28"/>
      <c r="I155" s="22"/>
      <c r="J155" s="20" t="s">
        <v>819</v>
      </c>
      <c r="K155" s="18" t="s">
        <v>820</v>
      </c>
      <c r="L155" s="19" t="s">
        <v>590</v>
      </c>
      <c r="M155" s="28"/>
      <c r="N155" s="28"/>
    </row>
    <row r="156" spans="2:14" x14ac:dyDescent="0.25">
      <c r="B156" s="13">
        <v>90</v>
      </c>
      <c r="C156" s="34" t="s">
        <v>798</v>
      </c>
      <c r="D156" s="20" t="s">
        <v>31</v>
      </c>
      <c r="E156" s="47">
        <v>10770510</v>
      </c>
      <c r="F156" s="28">
        <f t="shared" si="4"/>
        <v>143</v>
      </c>
      <c r="G156" s="28"/>
      <c r="H156" s="28"/>
      <c r="I156" s="22"/>
      <c r="J156" s="20" t="s">
        <v>259</v>
      </c>
      <c r="K156" s="18" t="s">
        <v>388</v>
      </c>
      <c r="L156" s="19" t="s">
        <v>590</v>
      </c>
      <c r="M156" s="28"/>
      <c r="N156" s="28"/>
    </row>
    <row r="157" spans="2:14" x14ac:dyDescent="0.25">
      <c r="B157" s="13">
        <v>90</v>
      </c>
      <c r="C157" s="19" t="s">
        <v>665</v>
      </c>
      <c r="D157" s="20" t="s">
        <v>36</v>
      </c>
      <c r="E157" s="47">
        <v>7472236</v>
      </c>
      <c r="F157" s="28">
        <f t="shared" si="4"/>
        <v>144</v>
      </c>
      <c r="G157" s="28"/>
      <c r="H157" s="28"/>
      <c r="I157" s="22"/>
      <c r="J157" s="20" t="s">
        <v>259</v>
      </c>
      <c r="K157" s="18" t="s">
        <v>388</v>
      </c>
      <c r="L157" s="19" t="s">
        <v>590</v>
      </c>
      <c r="M157" s="28"/>
      <c r="N157" s="28"/>
    </row>
    <row r="158" spans="2:14" x14ac:dyDescent="0.25">
      <c r="B158" s="13">
        <v>90</v>
      </c>
      <c r="C158" s="19" t="s">
        <v>951</v>
      </c>
      <c r="D158" s="20" t="s">
        <v>36</v>
      </c>
      <c r="E158" s="47">
        <v>10599697</v>
      </c>
      <c r="F158" s="28">
        <f t="shared" si="4"/>
        <v>145</v>
      </c>
      <c r="G158" s="28"/>
      <c r="H158" s="28"/>
      <c r="I158" s="22"/>
      <c r="J158" s="20" t="s">
        <v>952</v>
      </c>
      <c r="K158" s="18" t="s">
        <v>388</v>
      </c>
      <c r="L158" s="19" t="s">
        <v>590</v>
      </c>
      <c r="M158" s="28"/>
      <c r="N158" s="28"/>
    </row>
    <row r="159" spans="2:14" x14ac:dyDescent="0.25">
      <c r="B159" s="13">
        <v>90</v>
      </c>
      <c r="C159" s="19" t="s">
        <v>951</v>
      </c>
      <c r="D159" s="20" t="s">
        <v>62</v>
      </c>
      <c r="E159" s="50">
        <v>10405133</v>
      </c>
      <c r="F159" s="28">
        <f t="shared" si="4"/>
        <v>146</v>
      </c>
      <c r="G159" s="28"/>
      <c r="H159" s="28"/>
      <c r="I159" s="22"/>
      <c r="J159" s="20" t="s">
        <v>952</v>
      </c>
      <c r="K159" s="18" t="s">
        <v>388</v>
      </c>
      <c r="L159" s="19" t="s">
        <v>590</v>
      </c>
      <c r="M159" s="28"/>
      <c r="N159" s="28"/>
    </row>
    <row r="160" spans="2:14" ht="15.75" customHeight="1" x14ac:dyDescent="0.25">
      <c r="B160" s="13">
        <f>75+2</f>
        <v>77</v>
      </c>
      <c r="C160" s="19" t="s">
        <v>49</v>
      </c>
      <c r="D160" s="37" t="s">
        <v>50</v>
      </c>
      <c r="E160" s="48">
        <v>11855890</v>
      </c>
      <c r="F160" s="28">
        <f t="shared" si="4"/>
        <v>147</v>
      </c>
      <c r="G160" s="28"/>
      <c r="H160" s="28"/>
      <c r="I160" s="31"/>
      <c r="J160" s="20" t="s">
        <v>319</v>
      </c>
      <c r="K160" s="18" t="s">
        <v>389</v>
      </c>
      <c r="L160" s="19" t="s">
        <v>590</v>
      </c>
      <c r="M160" s="28"/>
      <c r="N160" s="28"/>
    </row>
    <row r="161" spans="2:14" ht="15.75" customHeight="1" x14ac:dyDescent="0.25">
      <c r="B161" s="13">
        <v>75</v>
      </c>
      <c r="C161" s="19" t="s">
        <v>769</v>
      </c>
      <c r="D161" s="37" t="s">
        <v>768</v>
      </c>
      <c r="E161" s="48">
        <v>11862390</v>
      </c>
      <c r="F161" s="28">
        <f t="shared" si="4"/>
        <v>148</v>
      </c>
      <c r="G161" s="28"/>
      <c r="H161" s="28"/>
      <c r="I161" s="31"/>
      <c r="J161" s="20" t="s">
        <v>270</v>
      </c>
      <c r="K161" s="18" t="s">
        <v>389</v>
      </c>
      <c r="L161" s="19" t="s">
        <v>590</v>
      </c>
      <c r="M161" s="28"/>
      <c r="N161" s="28"/>
    </row>
    <row r="162" spans="2:14" x14ac:dyDescent="0.25">
      <c r="B162" s="13">
        <v>50</v>
      </c>
      <c r="C162" s="19" t="s">
        <v>953</v>
      </c>
      <c r="D162" s="37" t="s">
        <v>42</v>
      </c>
      <c r="E162" s="49">
        <v>11332781</v>
      </c>
      <c r="F162" s="28">
        <f t="shared" si="4"/>
        <v>149</v>
      </c>
      <c r="G162" s="28"/>
      <c r="H162" s="28"/>
      <c r="I162" s="31"/>
      <c r="J162" s="20" t="s">
        <v>954</v>
      </c>
      <c r="K162" s="18" t="s">
        <v>389</v>
      </c>
      <c r="L162" s="19" t="s">
        <v>590</v>
      </c>
      <c r="M162" s="28"/>
      <c r="N162" s="28"/>
    </row>
    <row r="163" spans="2:14" x14ac:dyDescent="0.25">
      <c r="B163" s="13">
        <f>2+45</f>
        <v>47</v>
      </c>
      <c r="C163" s="19" t="s">
        <v>805</v>
      </c>
      <c r="D163" s="37" t="s">
        <v>955</v>
      </c>
      <c r="E163" s="47">
        <v>11862340</v>
      </c>
      <c r="F163" s="28">
        <f t="shared" si="4"/>
        <v>150</v>
      </c>
      <c r="G163" s="28"/>
      <c r="H163" s="28"/>
      <c r="I163" s="31"/>
      <c r="J163" s="20" t="s">
        <v>270</v>
      </c>
      <c r="K163" s="18" t="s">
        <v>389</v>
      </c>
      <c r="L163" s="19" t="s">
        <v>590</v>
      </c>
      <c r="M163" s="28"/>
      <c r="N163" s="28"/>
    </row>
    <row r="164" spans="2:14" x14ac:dyDescent="0.25">
      <c r="B164" s="13">
        <v>45</v>
      </c>
      <c r="C164" s="19" t="s">
        <v>792</v>
      </c>
      <c r="D164" s="20" t="s">
        <v>194</v>
      </c>
      <c r="E164" s="47">
        <v>10771203</v>
      </c>
      <c r="F164" s="28">
        <f t="shared" si="4"/>
        <v>151</v>
      </c>
      <c r="G164" s="28"/>
      <c r="H164" s="28"/>
      <c r="I164" s="22"/>
      <c r="J164" s="20" t="s">
        <v>259</v>
      </c>
      <c r="K164" s="18" t="s">
        <v>388</v>
      </c>
      <c r="L164" s="19" t="s">
        <v>590</v>
      </c>
      <c r="M164" s="28"/>
      <c r="N164" s="28"/>
    </row>
    <row r="165" spans="2:14" x14ac:dyDescent="0.25">
      <c r="B165" s="13">
        <v>45</v>
      </c>
      <c r="C165" s="19" t="s">
        <v>667</v>
      </c>
      <c r="D165" s="20" t="s">
        <v>793</v>
      </c>
      <c r="E165" s="47">
        <v>10771336</v>
      </c>
      <c r="F165" s="28">
        <f t="shared" si="4"/>
        <v>152</v>
      </c>
      <c r="G165" s="28"/>
      <c r="H165" s="28"/>
      <c r="I165" s="22"/>
      <c r="J165" s="20" t="s">
        <v>259</v>
      </c>
      <c r="K165" s="18" t="s">
        <v>388</v>
      </c>
      <c r="L165" s="19" t="s">
        <v>590</v>
      </c>
      <c r="M165" s="28"/>
      <c r="N165" s="28"/>
    </row>
    <row r="166" spans="2:14" x14ac:dyDescent="0.25">
      <c r="B166" s="13">
        <v>45</v>
      </c>
      <c r="C166" s="19" t="s">
        <v>956</v>
      </c>
      <c r="D166" s="20" t="s">
        <v>668</v>
      </c>
      <c r="E166" s="50">
        <v>10771302</v>
      </c>
      <c r="F166" s="28">
        <f t="shared" si="4"/>
        <v>153</v>
      </c>
      <c r="G166" s="28"/>
      <c r="H166" s="28"/>
      <c r="I166" s="22"/>
      <c r="J166" s="20" t="s">
        <v>259</v>
      </c>
      <c r="K166" s="18" t="s">
        <v>388</v>
      </c>
      <c r="L166" s="19" t="s">
        <v>590</v>
      </c>
      <c r="M166" s="28"/>
      <c r="N166" s="28"/>
    </row>
    <row r="167" spans="2:14" x14ac:dyDescent="0.25">
      <c r="B167" s="13">
        <v>45</v>
      </c>
      <c r="C167" s="19" t="s">
        <v>957</v>
      </c>
      <c r="D167" s="20" t="s">
        <v>234</v>
      </c>
      <c r="E167" s="47">
        <v>10775982</v>
      </c>
      <c r="F167" s="28">
        <f t="shared" si="4"/>
        <v>154</v>
      </c>
      <c r="G167" s="28"/>
      <c r="H167" s="28"/>
      <c r="I167" s="22"/>
      <c r="J167" s="20" t="s">
        <v>259</v>
      </c>
      <c r="K167" s="18" t="s">
        <v>388</v>
      </c>
      <c r="L167" s="19" t="s">
        <v>590</v>
      </c>
      <c r="M167" s="28"/>
      <c r="N167" s="28"/>
    </row>
    <row r="168" spans="2:14" x14ac:dyDescent="0.25">
      <c r="B168" s="13">
        <v>45</v>
      </c>
      <c r="C168" s="19" t="s">
        <v>669</v>
      </c>
      <c r="D168" s="20" t="s">
        <v>71</v>
      </c>
      <c r="E168" s="47">
        <v>10768630</v>
      </c>
      <c r="F168" s="28">
        <f t="shared" si="4"/>
        <v>155</v>
      </c>
      <c r="G168" s="28"/>
      <c r="H168" s="28"/>
      <c r="I168" s="22"/>
      <c r="J168" s="20" t="s">
        <v>259</v>
      </c>
      <c r="K168" s="18" t="s">
        <v>388</v>
      </c>
      <c r="L168" s="19" t="s">
        <v>590</v>
      </c>
      <c r="M168" s="28"/>
      <c r="N168" s="28"/>
    </row>
    <row r="169" spans="2:14" x14ac:dyDescent="0.25">
      <c r="B169" s="13">
        <v>45</v>
      </c>
      <c r="C169" s="19" t="s">
        <v>958</v>
      </c>
      <c r="D169" s="20" t="s">
        <v>623</v>
      </c>
      <c r="E169" s="47">
        <v>10770809</v>
      </c>
      <c r="F169" s="28">
        <f t="shared" si="4"/>
        <v>156</v>
      </c>
      <c r="G169" s="28"/>
      <c r="H169" s="28"/>
      <c r="I169" s="22"/>
      <c r="J169" s="20" t="s">
        <v>259</v>
      </c>
      <c r="K169" s="18" t="s">
        <v>388</v>
      </c>
      <c r="L169" s="19" t="s">
        <v>590</v>
      </c>
      <c r="M169" s="28"/>
      <c r="N169" s="28"/>
    </row>
    <row r="170" spans="2:14" x14ac:dyDescent="0.25">
      <c r="B170" s="13">
        <v>45</v>
      </c>
      <c r="C170" s="19" t="s">
        <v>789</v>
      </c>
      <c r="D170" s="20" t="s">
        <v>174</v>
      </c>
      <c r="E170" s="47">
        <v>10770875</v>
      </c>
      <c r="F170" s="28">
        <f t="shared" si="4"/>
        <v>157</v>
      </c>
      <c r="G170" s="28"/>
      <c r="H170" s="28"/>
      <c r="I170" s="22"/>
      <c r="J170" s="20" t="s">
        <v>259</v>
      </c>
      <c r="K170" s="18" t="s">
        <v>388</v>
      </c>
      <c r="L170" s="19" t="s">
        <v>590</v>
      </c>
      <c r="M170" s="28"/>
      <c r="N170" s="28"/>
    </row>
    <row r="171" spans="2:14" x14ac:dyDescent="0.25">
      <c r="B171" s="13">
        <v>45</v>
      </c>
      <c r="C171" s="19" t="s">
        <v>959</v>
      </c>
      <c r="D171" s="20" t="s">
        <v>155</v>
      </c>
      <c r="E171" s="50">
        <v>10169135</v>
      </c>
      <c r="F171" s="28">
        <f t="shared" si="4"/>
        <v>158</v>
      </c>
      <c r="G171" s="28"/>
      <c r="H171" s="28"/>
      <c r="I171" s="22"/>
      <c r="J171" s="20" t="s">
        <v>259</v>
      </c>
      <c r="K171" s="18" t="s">
        <v>388</v>
      </c>
      <c r="L171" s="19" t="s">
        <v>590</v>
      </c>
      <c r="M171" s="28"/>
      <c r="N171" s="28"/>
    </row>
    <row r="172" spans="2:14" x14ac:dyDescent="0.25">
      <c r="B172" s="13">
        <v>45</v>
      </c>
      <c r="C172" s="19" t="s">
        <v>670</v>
      </c>
      <c r="D172" s="20" t="s">
        <v>47</v>
      </c>
      <c r="E172" s="47">
        <v>10773217</v>
      </c>
      <c r="F172" s="28">
        <f t="shared" si="4"/>
        <v>159</v>
      </c>
      <c r="G172" s="28"/>
      <c r="H172" s="28"/>
      <c r="I172" s="22"/>
      <c r="J172" s="20" t="s">
        <v>259</v>
      </c>
      <c r="K172" s="18" t="s">
        <v>388</v>
      </c>
      <c r="L172" s="19" t="s">
        <v>590</v>
      </c>
      <c r="M172" s="28"/>
      <c r="N172" s="28"/>
    </row>
    <row r="173" spans="2:14" x14ac:dyDescent="0.25">
      <c r="B173" s="13">
        <v>45</v>
      </c>
      <c r="C173" s="19" t="s">
        <v>342</v>
      </c>
      <c r="D173" s="20" t="s">
        <v>343</v>
      </c>
      <c r="E173" s="47">
        <v>16307804</v>
      </c>
      <c r="F173" s="28">
        <f t="shared" si="4"/>
        <v>160</v>
      </c>
      <c r="G173" s="28"/>
      <c r="H173" s="28"/>
      <c r="I173" s="22"/>
      <c r="J173" s="20" t="s">
        <v>259</v>
      </c>
      <c r="K173" s="18" t="s">
        <v>388</v>
      </c>
      <c r="L173" s="19" t="s">
        <v>590</v>
      </c>
      <c r="M173" s="28"/>
      <c r="N173" s="28"/>
    </row>
    <row r="174" spans="2:14" x14ac:dyDescent="0.25">
      <c r="B174" s="13">
        <v>45</v>
      </c>
      <c r="C174" s="19" t="s">
        <v>748</v>
      </c>
      <c r="D174" s="20" t="s">
        <v>511</v>
      </c>
      <c r="E174" s="47">
        <v>10770825</v>
      </c>
      <c r="F174" s="28">
        <f t="shared" si="4"/>
        <v>161</v>
      </c>
      <c r="G174" s="28"/>
      <c r="H174" s="28"/>
      <c r="I174" s="22"/>
      <c r="J174" s="20" t="s">
        <v>750</v>
      </c>
      <c r="K174" s="18" t="s">
        <v>388</v>
      </c>
      <c r="L174" s="19" t="s">
        <v>590</v>
      </c>
      <c r="M174" s="28"/>
      <c r="N174" s="28"/>
    </row>
    <row r="175" spans="2:14" x14ac:dyDescent="0.25">
      <c r="B175" s="13">
        <v>45</v>
      </c>
      <c r="C175" s="19" t="s">
        <v>950</v>
      </c>
      <c r="D175" s="20" t="s">
        <v>80</v>
      </c>
      <c r="E175" s="47">
        <v>10770817</v>
      </c>
      <c r="F175" s="28">
        <f t="shared" si="4"/>
        <v>162</v>
      </c>
      <c r="G175" s="28"/>
      <c r="H175" s="28"/>
      <c r="I175" s="22"/>
      <c r="J175" s="20" t="s">
        <v>750</v>
      </c>
      <c r="K175" s="18" t="s">
        <v>388</v>
      </c>
      <c r="L175" s="19" t="s">
        <v>590</v>
      </c>
      <c r="M175" s="28"/>
      <c r="N175" s="28"/>
    </row>
    <row r="176" spans="2:14" x14ac:dyDescent="0.25">
      <c r="B176" s="13">
        <v>45</v>
      </c>
      <c r="C176" s="19" t="s">
        <v>671</v>
      </c>
      <c r="D176" s="20" t="s">
        <v>71</v>
      </c>
      <c r="E176" s="50">
        <v>10763715</v>
      </c>
      <c r="F176" s="28">
        <f t="shared" si="4"/>
        <v>163</v>
      </c>
      <c r="G176" s="28"/>
      <c r="H176" s="28"/>
      <c r="I176" s="22"/>
      <c r="J176" s="20" t="s">
        <v>259</v>
      </c>
      <c r="K176" s="18" t="s">
        <v>388</v>
      </c>
      <c r="L176" s="19" t="s">
        <v>590</v>
      </c>
      <c r="M176" s="28"/>
      <c r="N176" s="28"/>
    </row>
    <row r="177" spans="2:14" x14ac:dyDescent="0.25">
      <c r="B177" s="13">
        <v>45</v>
      </c>
      <c r="C177" s="19" t="s">
        <v>672</v>
      </c>
      <c r="D177" s="20" t="s">
        <v>155</v>
      </c>
      <c r="E177" s="48">
        <v>10873717</v>
      </c>
      <c r="F177" s="28">
        <f t="shared" si="4"/>
        <v>164</v>
      </c>
      <c r="G177" s="28"/>
      <c r="H177" s="28"/>
      <c r="I177" s="22"/>
      <c r="J177" s="20" t="s">
        <v>259</v>
      </c>
      <c r="K177" s="18" t="s">
        <v>388</v>
      </c>
      <c r="L177" s="19" t="s">
        <v>590</v>
      </c>
      <c r="M177" s="28"/>
      <c r="N177" s="28"/>
    </row>
    <row r="178" spans="2:14" x14ac:dyDescent="0.25">
      <c r="B178" s="13">
        <v>45</v>
      </c>
      <c r="C178" s="19" t="s">
        <v>562</v>
      </c>
      <c r="D178" s="20" t="s">
        <v>673</v>
      </c>
      <c r="E178" s="48">
        <v>10775396</v>
      </c>
      <c r="F178" s="28">
        <f t="shared" si="4"/>
        <v>165</v>
      </c>
      <c r="G178" s="28"/>
      <c r="H178" s="28"/>
      <c r="I178" s="22"/>
      <c r="J178" s="20" t="s">
        <v>259</v>
      </c>
      <c r="K178" s="18" t="s">
        <v>388</v>
      </c>
      <c r="L178" s="19" t="s">
        <v>590</v>
      </c>
      <c r="M178" s="28"/>
      <c r="N178" s="28"/>
    </row>
    <row r="179" spans="2:14" x14ac:dyDescent="0.25">
      <c r="B179" s="13">
        <v>45</v>
      </c>
      <c r="C179" s="19" t="s">
        <v>970</v>
      </c>
      <c r="D179" s="20" t="s">
        <v>496</v>
      </c>
      <c r="E179" s="46">
        <v>10774091</v>
      </c>
      <c r="F179" s="28">
        <f t="shared" si="4"/>
        <v>166</v>
      </c>
      <c r="G179" s="28"/>
      <c r="H179" s="28"/>
      <c r="I179" s="22"/>
      <c r="J179" s="20" t="s">
        <v>259</v>
      </c>
      <c r="K179" s="18" t="s">
        <v>388</v>
      </c>
      <c r="L179" s="19" t="s">
        <v>590</v>
      </c>
      <c r="M179" s="28"/>
      <c r="N179" s="28"/>
    </row>
    <row r="180" spans="2:14" x14ac:dyDescent="0.25">
      <c r="B180" s="13">
        <v>45</v>
      </c>
      <c r="C180" s="19" t="s">
        <v>674</v>
      </c>
      <c r="D180" s="20" t="s">
        <v>197</v>
      </c>
      <c r="E180" s="49">
        <v>10770651</v>
      </c>
      <c r="F180" s="28">
        <f t="shared" si="4"/>
        <v>167</v>
      </c>
      <c r="G180" s="28"/>
      <c r="H180" s="28"/>
      <c r="I180" s="22"/>
      <c r="J180" s="20" t="s">
        <v>259</v>
      </c>
      <c r="K180" s="18" t="s">
        <v>388</v>
      </c>
      <c r="L180" s="19" t="s">
        <v>590</v>
      </c>
      <c r="M180" s="28"/>
      <c r="N180" s="28"/>
    </row>
    <row r="181" spans="2:14" x14ac:dyDescent="0.25">
      <c r="B181" s="13">
        <v>45</v>
      </c>
      <c r="C181" s="19" t="s">
        <v>77</v>
      </c>
      <c r="D181" s="20" t="s">
        <v>69</v>
      </c>
      <c r="E181" s="47">
        <v>10771120</v>
      </c>
      <c r="F181" s="28">
        <f t="shared" si="4"/>
        <v>168</v>
      </c>
      <c r="G181" s="28"/>
      <c r="H181" s="28"/>
      <c r="I181" s="22"/>
      <c r="J181" s="20" t="s">
        <v>259</v>
      </c>
      <c r="K181" s="18" t="s">
        <v>388</v>
      </c>
      <c r="L181" s="19" t="s">
        <v>590</v>
      </c>
      <c r="M181" s="28"/>
      <c r="N181" s="28"/>
    </row>
    <row r="182" spans="2:14" x14ac:dyDescent="0.25">
      <c r="B182" s="13">
        <v>45</v>
      </c>
      <c r="C182" s="19" t="s">
        <v>564</v>
      </c>
      <c r="D182" s="20" t="s">
        <v>603</v>
      </c>
      <c r="E182" s="47">
        <v>11855379</v>
      </c>
      <c r="F182" s="28">
        <f t="shared" si="4"/>
        <v>169</v>
      </c>
      <c r="G182" s="28"/>
      <c r="H182" s="28"/>
      <c r="I182" s="22"/>
      <c r="J182" s="20" t="s">
        <v>278</v>
      </c>
      <c r="K182" s="18" t="s">
        <v>389</v>
      </c>
      <c r="L182" s="19" t="s">
        <v>590</v>
      </c>
      <c r="M182" s="28"/>
      <c r="N182" s="28"/>
    </row>
    <row r="183" spans="2:14" x14ac:dyDescent="0.25">
      <c r="B183" s="13">
        <v>45</v>
      </c>
      <c r="C183" s="19" t="s">
        <v>971</v>
      </c>
      <c r="D183" s="20" t="s">
        <v>255</v>
      </c>
      <c r="E183" s="47">
        <v>10771237</v>
      </c>
      <c r="F183" s="28">
        <f t="shared" si="4"/>
        <v>170</v>
      </c>
      <c r="G183" s="28"/>
      <c r="H183" s="28"/>
      <c r="I183" s="22"/>
      <c r="J183" s="20" t="s">
        <v>259</v>
      </c>
      <c r="K183" s="18" t="s">
        <v>388</v>
      </c>
      <c r="L183" s="19" t="s">
        <v>590</v>
      </c>
      <c r="M183" s="28"/>
      <c r="N183" s="28"/>
    </row>
    <row r="184" spans="2:14" x14ac:dyDescent="0.25">
      <c r="B184" s="13">
        <v>45</v>
      </c>
      <c r="C184" s="19" t="s">
        <v>972</v>
      </c>
      <c r="D184" s="20" t="s">
        <v>973</v>
      </c>
      <c r="E184" s="50">
        <v>10771055</v>
      </c>
      <c r="F184" s="28">
        <f t="shared" si="4"/>
        <v>171</v>
      </c>
      <c r="G184" s="28"/>
      <c r="H184" s="28"/>
      <c r="I184" s="22"/>
      <c r="J184" s="20" t="s">
        <v>259</v>
      </c>
      <c r="K184" s="18" t="s">
        <v>388</v>
      </c>
      <c r="L184" s="19" t="s">
        <v>590</v>
      </c>
      <c r="M184" s="28"/>
      <c r="N184" s="28"/>
    </row>
    <row r="185" spans="2:14" x14ac:dyDescent="0.25">
      <c r="B185" s="13">
        <v>45</v>
      </c>
      <c r="C185" s="19" t="s">
        <v>791</v>
      </c>
      <c r="D185" s="20" t="s">
        <v>27</v>
      </c>
      <c r="E185" s="47">
        <v>10772061</v>
      </c>
      <c r="F185" s="28">
        <f t="shared" si="4"/>
        <v>172</v>
      </c>
      <c r="G185" s="28"/>
      <c r="H185" s="28"/>
      <c r="I185" s="22"/>
      <c r="J185" s="20" t="s">
        <v>259</v>
      </c>
      <c r="K185" s="18" t="s">
        <v>388</v>
      </c>
      <c r="L185" s="19" t="s">
        <v>590</v>
      </c>
      <c r="M185" s="28"/>
      <c r="N185" s="28"/>
    </row>
    <row r="186" spans="2:14" x14ac:dyDescent="0.25">
      <c r="B186" s="13">
        <v>45</v>
      </c>
      <c r="C186" s="19" t="s">
        <v>974</v>
      </c>
      <c r="D186" s="20" t="s">
        <v>690</v>
      </c>
      <c r="E186" s="47">
        <v>11882083</v>
      </c>
      <c r="F186" s="28">
        <f t="shared" si="4"/>
        <v>173</v>
      </c>
      <c r="G186" s="28"/>
      <c r="H186" s="28"/>
      <c r="I186" s="22"/>
      <c r="J186" s="20" t="s">
        <v>319</v>
      </c>
      <c r="K186" s="18" t="s">
        <v>389</v>
      </c>
      <c r="L186" s="19" t="s">
        <v>590</v>
      </c>
      <c r="M186" s="28"/>
      <c r="N186" s="28"/>
    </row>
    <row r="187" spans="2:14" x14ac:dyDescent="0.25">
      <c r="B187" s="13">
        <v>45</v>
      </c>
      <c r="C187" s="19" t="s">
        <v>467</v>
      </c>
      <c r="D187" s="20" t="s">
        <v>694</v>
      </c>
      <c r="E187" s="47">
        <v>11862473</v>
      </c>
      <c r="F187" s="28">
        <f t="shared" si="4"/>
        <v>174</v>
      </c>
      <c r="G187" s="28"/>
      <c r="H187" s="28"/>
      <c r="I187" s="22"/>
      <c r="J187" s="20" t="s">
        <v>815</v>
      </c>
      <c r="K187" s="18" t="s">
        <v>389</v>
      </c>
      <c r="L187" s="19" t="s">
        <v>590</v>
      </c>
      <c r="M187" s="28"/>
      <c r="N187" s="28"/>
    </row>
    <row r="188" spans="2:14" x14ac:dyDescent="0.25">
      <c r="B188" s="13">
        <f>2+5</f>
        <v>7</v>
      </c>
      <c r="C188" s="19" t="s">
        <v>58</v>
      </c>
      <c r="D188" s="37" t="s">
        <v>59</v>
      </c>
      <c r="E188" s="47">
        <v>11855543</v>
      </c>
      <c r="F188" s="28">
        <f t="shared" si="4"/>
        <v>175</v>
      </c>
      <c r="G188" s="28"/>
      <c r="H188" s="28"/>
      <c r="I188" s="31"/>
      <c r="J188" s="20" t="s">
        <v>270</v>
      </c>
      <c r="K188" s="18" t="s">
        <v>389</v>
      </c>
      <c r="L188" s="19" t="s">
        <v>590</v>
      </c>
      <c r="M188" s="28"/>
      <c r="N188" s="28"/>
    </row>
    <row r="189" spans="2:14" x14ac:dyDescent="0.25">
      <c r="B189" s="13">
        <f>2+2+2</f>
        <v>6</v>
      </c>
      <c r="C189" s="19" t="s">
        <v>96</v>
      </c>
      <c r="D189" s="37" t="s">
        <v>60</v>
      </c>
      <c r="E189" s="47">
        <v>11855840</v>
      </c>
      <c r="F189" s="28">
        <f t="shared" si="4"/>
        <v>176</v>
      </c>
      <c r="G189" s="28"/>
      <c r="H189" s="28"/>
      <c r="I189" s="31"/>
      <c r="J189" s="20" t="s">
        <v>270</v>
      </c>
      <c r="K189" s="18" t="s">
        <v>389</v>
      </c>
      <c r="L189" s="19" t="s">
        <v>590</v>
      </c>
      <c r="M189" s="28"/>
      <c r="N189" s="28"/>
    </row>
    <row r="190" spans="2:14" x14ac:dyDescent="0.25">
      <c r="B190" s="13">
        <f>2+2+2</f>
        <v>6</v>
      </c>
      <c r="C190" s="19" t="s">
        <v>95</v>
      </c>
      <c r="D190" s="37" t="s">
        <v>61</v>
      </c>
      <c r="E190" s="47">
        <v>11855262</v>
      </c>
      <c r="F190" s="28">
        <f t="shared" si="4"/>
        <v>177</v>
      </c>
      <c r="G190" s="28"/>
      <c r="H190" s="28"/>
      <c r="I190" s="31"/>
      <c r="J190" s="20" t="s">
        <v>270</v>
      </c>
      <c r="K190" s="18" t="s">
        <v>389</v>
      </c>
      <c r="L190" s="19" t="s">
        <v>590</v>
      </c>
      <c r="M190" s="28"/>
      <c r="N190" s="28"/>
    </row>
    <row r="191" spans="2:14" x14ac:dyDescent="0.25">
      <c r="B191" s="13">
        <f>2+2</f>
        <v>4</v>
      </c>
      <c r="C191" s="19" t="s">
        <v>101</v>
      </c>
      <c r="D191" s="37" t="s">
        <v>57</v>
      </c>
      <c r="E191" s="47">
        <v>11855759</v>
      </c>
      <c r="F191" s="28">
        <f t="shared" si="4"/>
        <v>178</v>
      </c>
      <c r="G191" s="28"/>
      <c r="H191" s="28"/>
      <c r="I191" s="31"/>
      <c r="J191" s="20" t="s">
        <v>270</v>
      </c>
      <c r="K191" s="18" t="s">
        <v>389</v>
      </c>
      <c r="L191" s="19" t="s">
        <v>590</v>
      </c>
      <c r="M191" s="28"/>
      <c r="N191" s="28"/>
    </row>
    <row r="192" spans="2:14" x14ac:dyDescent="0.25">
      <c r="B192" s="13">
        <v>2</v>
      </c>
      <c r="C192" s="19" t="s">
        <v>55</v>
      </c>
      <c r="D192" s="37" t="s">
        <v>56</v>
      </c>
      <c r="E192" s="47">
        <v>11856038</v>
      </c>
      <c r="F192" s="28">
        <f t="shared" si="4"/>
        <v>179</v>
      </c>
      <c r="G192" s="28"/>
      <c r="H192" s="28"/>
      <c r="I192" s="31"/>
      <c r="J192" s="20" t="s">
        <v>270</v>
      </c>
      <c r="K192" s="18" t="s">
        <v>389</v>
      </c>
      <c r="L192" s="19" t="s">
        <v>590</v>
      </c>
      <c r="M192" s="28"/>
      <c r="N192" s="28"/>
    </row>
    <row r="193" spans="2:14" x14ac:dyDescent="0.25">
      <c r="B193" s="13">
        <v>2</v>
      </c>
      <c r="C193" s="19" t="s">
        <v>440</v>
      </c>
      <c r="D193" s="37" t="s">
        <v>80</v>
      </c>
      <c r="E193" s="47">
        <v>11817882</v>
      </c>
      <c r="F193" s="28">
        <f t="shared" si="4"/>
        <v>180</v>
      </c>
      <c r="G193" s="28"/>
      <c r="H193" s="28"/>
      <c r="I193" s="31"/>
      <c r="J193" s="20" t="s">
        <v>815</v>
      </c>
      <c r="K193" s="18" t="s">
        <v>389</v>
      </c>
      <c r="L193" s="19" t="s">
        <v>590</v>
      </c>
      <c r="M193" s="28"/>
      <c r="N193" s="28"/>
    </row>
    <row r="194" spans="2:14" x14ac:dyDescent="0.25">
      <c r="B194" s="13">
        <v>2</v>
      </c>
      <c r="C194" s="19" t="s">
        <v>801</v>
      </c>
      <c r="D194" s="37" t="s">
        <v>31</v>
      </c>
      <c r="E194" s="50">
        <v>11862407</v>
      </c>
      <c r="F194" s="28">
        <f t="shared" si="4"/>
        <v>181</v>
      </c>
      <c r="G194" s="28"/>
      <c r="H194" s="28"/>
      <c r="I194" s="31"/>
      <c r="J194" s="20" t="s">
        <v>270</v>
      </c>
      <c r="K194" s="18" t="s">
        <v>389</v>
      </c>
      <c r="L194" s="19" t="s">
        <v>590</v>
      </c>
      <c r="M194" s="28"/>
      <c r="N194" s="28"/>
    </row>
    <row r="195" spans="2:14" x14ac:dyDescent="0.25">
      <c r="B195" s="13">
        <v>2</v>
      </c>
      <c r="C195" s="19" t="s">
        <v>948</v>
      </c>
      <c r="D195" s="37" t="s">
        <v>42</v>
      </c>
      <c r="E195" s="47">
        <v>11862366</v>
      </c>
      <c r="F195" s="28">
        <f t="shared" si="4"/>
        <v>182</v>
      </c>
      <c r="G195" s="28"/>
      <c r="H195" s="28"/>
      <c r="I195" s="31"/>
      <c r="J195" s="20" t="s">
        <v>270</v>
      </c>
      <c r="K195" s="18" t="s">
        <v>389</v>
      </c>
      <c r="L195" s="19" t="s">
        <v>590</v>
      </c>
      <c r="M195" s="28"/>
      <c r="N195" s="28"/>
    </row>
    <row r="196" spans="2:14" x14ac:dyDescent="0.25">
      <c r="B196" s="13">
        <v>2</v>
      </c>
      <c r="C196" s="19" t="s">
        <v>949</v>
      </c>
      <c r="D196" s="37" t="s">
        <v>412</v>
      </c>
      <c r="E196" s="47">
        <v>11333945</v>
      </c>
      <c r="F196" s="28">
        <f t="shared" si="4"/>
        <v>183</v>
      </c>
      <c r="G196" s="28"/>
      <c r="H196" s="28"/>
      <c r="I196" s="31"/>
      <c r="J196" s="20" t="s">
        <v>677</v>
      </c>
      <c r="K196" s="18" t="s">
        <v>389</v>
      </c>
      <c r="L196" s="19" t="s">
        <v>590</v>
      </c>
      <c r="M196" s="28"/>
      <c r="N196" s="28"/>
    </row>
    <row r="197" spans="2:14" ht="15.75" thickBot="1" x14ac:dyDescent="0.3">
      <c r="B197" s="96"/>
      <c r="C197" s="92"/>
      <c r="D197" s="98"/>
      <c r="E197" s="67"/>
      <c r="F197" s="76"/>
      <c r="G197" s="76"/>
      <c r="H197" s="76"/>
      <c r="I197" s="99"/>
      <c r="J197" s="74"/>
      <c r="K197" s="73"/>
      <c r="L197" s="92"/>
      <c r="M197" s="76"/>
      <c r="N197" s="76"/>
    </row>
    <row r="198" spans="2:14" x14ac:dyDescent="0.25">
      <c r="B198" s="2"/>
      <c r="C198" s="1"/>
      <c r="D198" s="1"/>
      <c r="E198" s="3"/>
      <c r="F198" s="89" t="s">
        <v>1042</v>
      </c>
      <c r="G198" s="87"/>
      <c r="H198" s="87"/>
      <c r="I198" s="88"/>
      <c r="J198" s="88"/>
      <c r="K198" s="3"/>
      <c r="L198" s="4"/>
      <c r="M198" s="16" t="s">
        <v>0</v>
      </c>
      <c r="N198" s="5"/>
    </row>
    <row r="199" spans="2:14" x14ac:dyDescent="0.25">
      <c r="B199" s="15" t="s">
        <v>1</v>
      </c>
      <c r="C199" s="16" t="s">
        <v>2</v>
      </c>
      <c r="D199" s="16" t="s">
        <v>3</v>
      </c>
      <c r="E199" s="16" t="s">
        <v>4</v>
      </c>
      <c r="F199" s="16" t="s">
        <v>5</v>
      </c>
      <c r="G199" s="16" t="s">
        <v>6</v>
      </c>
      <c r="H199" s="16" t="s">
        <v>7</v>
      </c>
      <c r="I199" s="16" t="s">
        <v>8</v>
      </c>
      <c r="J199" s="16" t="s">
        <v>9</v>
      </c>
      <c r="K199" s="16" t="s">
        <v>387</v>
      </c>
      <c r="L199" s="16" t="s">
        <v>10</v>
      </c>
      <c r="M199" s="16" t="s">
        <v>11</v>
      </c>
      <c r="N199" s="17" t="s">
        <v>12</v>
      </c>
    </row>
    <row r="200" spans="2:14" x14ac:dyDescent="0.25">
      <c r="B200" s="94">
        <f>90+2000+1200</f>
        <v>3290</v>
      </c>
      <c r="C200" s="61" t="s">
        <v>294</v>
      </c>
      <c r="D200" s="59" t="s">
        <v>165</v>
      </c>
      <c r="E200" s="80">
        <v>13465316</v>
      </c>
      <c r="F200" s="61">
        <f>F196+1</f>
        <v>184</v>
      </c>
      <c r="G200" s="61"/>
      <c r="H200" s="61"/>
      <c r="I200" s="100"/>
      <c r="J200" s="59" t="s">
        <v>295</v>
      </c>
      <c r="K200" s="62" t="s">
        <v>401</v>
      </c>
      <c r="L200" s="91" t="s">
        <v>244</v>
      </c>
      <c r="M200" s="61"/>
      <c r="N200" s="61"/>
    </row>
    <row r="201" spans="2:14" x14ac:dyDescent="0.25">
      <c r="B201" s="13">
        <f>1000+1200+375</f>
        <v>2575</v>
      </c>
      <c r="C201" s="28" t="s">
        <v>245</v>
      </c>
      <c r="D201" s="20" t="s">
        <v>186</v>
      </c>
      <c r="E201" s="47">
        <v>10073005</v>
      </c>
      <c r="F201" s="28">
        <f t="shared" si="4"/>
        <v>185</v>
      </c>
      <c r="G201" s="28"/>
      <c r="H201" s="28"/>
      <c r="I201" s="30"/>
      <c r="J201" s="20" t="s">
        <v>259</v>
      </c>
      <c r="K201" s="18" t="s">
        <v>388</v>
      </c>
      <c r="L201" s="19" t="s">
        <v>244</v>
      </c>
      <c r="M201" s="28"/>
      <c r="N201" s="28"/>
    </row>
    <row r="202" spans="2:14" x14ac:dyDescent="0.25">
      <c r="B202" s="13">
        <v>2500</v>
      </c>
      <c r="C202" s="103" t="s">
        <v>1063</v>
      </c>
      <c r="D202" s="103" t="s">
        <v>66</v>
      </c>
      <c r="E202" s="86">
        <v>13464772</v>
      </c>
      <c r="F202" s="28">
        <f t="shared" si="4"/>
        <v>186</v>
      </c>
      <c r="G202" s="28"/>
      <c r="H202" s="28"/>
      <c r="I202" s="21"/>
      <c r="J202" s="20" t="s">
        <v>259</v>
      </c>
      <c r="K202" s="18" t="s">
        <v>388</v>
      </c>
      <c r="L202" s="19" t="s">
        <v>244</v>
      </c>
      <c r="M202" s="28"/>
      <c r="N202" s="28"/>
    </row>
    <row r="203" spans="2:14" x14ac:dyDescent="0.25">
      <c r="B203" s="13">
        <f>360+2000</f>
        <v>2360</v>
      </c>
      <c r="C203" s="19" t="s">
        <v>16</v>
      </c>
      <c r="D203" s="28" t="s">
        <v>386</v>
      </c>
      <c r="E203" s="48">
        <v>10769258</v>
      </c>
      <c r="F203" s="28">
        <f t="shared" si="4"/>
        <v>187</v>
      </c>
      <c r="G203" s="28"/>
      <c r="H203" s="28"/>
      <c r="I203" s="21"/>
      <c r="J203" s="20" t="s">
        <v>259</v>
      </c>
      <c r="K203" s="18" t="s">
        <v>388</v>
      </c>
      <c r="L203" s="19" t="s">
        <v>244</v>
      </c>
      <c r="M203" s="28"/>
      <c r="N203" s="28"/>
    </row>
    <row r="204" spans="2:14" x14ac:dyDescent="0.25">
      <c r="B204" s="13">
        <f>1500+500</f>
        <v>2000</v>
      </c>
      <c r="C204" s="20" t="s">
        <v>297</v>
      </c>
      <c r="D204" s="20" t="s">
        <v>39</v>
      </c>
      <c r="E204" s="47">
        <v>10768789</v>
      </c>
      <c r="F204" s="28">
        <f t="shared" si="4"/>
        <v>188</v>
      </c>
      <c r="G204" s="28"/>
      <c r="H204" s="28"/>
      <c r="I204" s="22"/>
      <c r="J204" s="20" t="s">
        <v>259</v>
      </c>
      <c r="K204" s="18" t="s">
        <v>388</v>
      </c>
      <c r="L204" s="19" t="s">
        <v>244</v>
      </c>
      <c r="M204" s="28"/>
      <c r="N204" s="28"/>
    </row>
    <row r="205" spans="2:14" x14ac:dyDescent="0.25">
      <c r="B205" s="13">
        <f>1000+600</f>
        <v>1600</v>
      </c>
      <c r="C205" s="19" t="s">
        <v>107</v>
      </c>
      <c r="D205" s="37" t="s">
        <v>246</v>
      </c>
      <c r="E205" s="47">
        <v>10765404</v>
      </c>
      <c r="F205" s="28">
        <f t="shared" si="4"/>
        <v>189</v>
      </c>
      <c r="G205" s="28"/>
      <c r="H205" s="28"/>
      <c r="I205" s="30"/>
      <c r="J205" s="20" t="s">
        <v>259</v>
      </c>
      <c r="K205" s="18" t="s">
        <v>388</v>
      </c>
      <c r="L205" s="19" t="s">
        <v>244</v>
      </c>
      <c r="M205" s="28"/>
      <c r="N205" s="28"/>
    </row>
    <row r="206" spans="2:14" x14ac:dyDescent="0.25">
      <c r="B206" s="13">
        <f>500+750</f>
        <v>1250</v>
      </c>
      <c r="C206" s="28" t="s">
        <v>419</v>
      </c>
      <c r="D206" s="20" t="s">
        <v>492</v>
      </c>
      <c r="E206" s="47">
        <v>6720529</v>
      </c>
      <c r="F206" s="28">
        <f t="shared" si="4"/>
        <v>190</v>
      </c>
      <c r="G206" s="28"/>
      <c r="H206" s="28"/>
      <c r="I206" s="30"/>
      <c r="J206" s="20" t="s">
        <v>270</v>
      </c>
      <c r="K206" s="18" t="s">
        <v>389</v>
      </c>
      <c r="L206" s="19" t="s">
        <v>244</v>
      </c>
      <c r="M206" s="28"/>
      <c r="N206" s="28"/>
    </row>
    <row r="207" spans="2:14" x14ac:dyDescent="0.25">
      <c r="B207" s="13">
        <f>500+750</f>
        <v>1250</v>
      </c>
      <c r="C207" s="35" t="s">
        <v>408</v>
      </c>
      <c r="D207" s="20" t="s">
        <v>409</v>
      </c>
      <c r="E207" s="47" t="s">
        <v>418</v>
      </c>
      <c r="F207" s="28">
        <f t="shared" si="4"/>
        <v>191</v>
      </c>
      <c r="G207" s="28"/>
      <c r="H207" s="28"/>
      <c r="I207" s="30"/>
      <c r="J207" s="20" t="s">
        <v>975</v>
      </c>
      <c r="K207" s="21" t="s">
        <v>389</v>
      </c>
      <c r="L207" s="19" t="s">
        <v>244</v>
      </c>
      <c r="M207" s="28"/>
      <c r="N207" s="28"/>
    </row>
    <row r="208" spans="2:14" x14ac:dyDescent="0.25">
      <c r="B208" s="13">
        <f>600+45+375</f>
        <v>1020</v>
      </c>
      <c r="C208" s="28" t="s">
        <v>298</v>
      </c>
      <c r="D208" s="20" t="s">
        <v>189</v>
      </c>
      <c r="E208" s="47">
        <v>10765884</v>
      </c>
      <c r="F208" s="28">
        <f t="shared" si="4"/>
        <v>192</v>
      </c>
      <c r="G208" s="28"/>
      <c r="H208" s="28"/>
      <c r="I208" s="30"/>
      <c r="J208" s="20" t="s">
        <v>259</v>
      </c>
      <c r="K208" s="18" t="s">
        <v>388</v>
      </c>
      <c r="L208" s="19" t="s">
        <v>244</v>
      </c>
      <c r="M208" s="28"/>
      <c r="N208" s="28"/>
    </row>
    <row r="209" spans="2:14" x14ac:dyDescent="0.25">
      <c r="B209" s="13">
        <f>45+500</f>
        <v>545</v>
      </c>
      <c r="C209" s="20" t="s">
        <v>809</v>
      </c>
      <c r="D209" s="20" t="s">
        <v>494</v>
      </c>
      <c r="E209" s="47">
        <v>1733006</v>
      </c>
      <c r="F209" s="28">
        <f t="shared" si="4"/>
        <v>193</v>
      </c>
      <c r="G209" s="28"/>
      <c r="H209" s="28"/>
      <c r="I209" s="22"/>
      <c r="J209" s="20" t="s">
        <v>318</v>
      </c>
      <c r="K209" s="18" t="s">
        <v>388</v>
      </c>
      <c r="L209" s="19" t="s">
        <v>244</v>
      </c>
      <c r="M209" s="28"/>
      <c r="N209" s="28"/>
    </row>
    <row r="210" spans="2:14" x14ac:dyDescent="0.25">
      <c r="B210" s="13">
        <f>180+250</f>
        <v>430</v>
      </c>
      <c r="C210" s="20" t="s">
        <v>296</v>
      </c>
      <c r="D210" s="20" t="s">
        <v>187</v>
      </c>
      <c r="E210" s="47">
        <v>10081610</v>
      </c>
      <c r="F210" s="28">
        <f t="shared" si="4"/>
        <v>194</v>
      </c>
      <c r="G210" s="28"/>
      <c r="H210" s="28"/>
      <c r="I210" s="22"/>
      <c r="J210" s="20" t="s">
        <v>259</v>
      </c>
      <c r="K210" s="18" t="s">
        <v>388</v>
      </c>
      <c r="L210" s="19" t="s">
        <v>244</v>
      </c>
      <c r="M210" s="28"/>
      <c r="N210" s="28"/>
    </row>
    <row r="211" spans="2:14" x14ac:dyDescent="0.25">
      <c r="B211" s="13">
        <f>45+250</f>
        <v>295</v>
      </c>
      <c r="C211" s="20" t="s">
        <v>710</v>
      </c>
      <c r="D211" s="20" t="s">
        <v>80</v>
      </c>
      <c r="E211" s="47">
        <v>10770974</v>
      </c>
      <c r="F211" s="28">
        <f t="shared" ref="F211:F215" si="5">F210+1</f>
        <v>195</v>
      </c>
      <c r="G211" s="28"/>
      <c r="H211" s="28"/>
      <c r="I211" s="22"/>
      <c r="J211" s="20" t="s">
        <v>259</v>
      </c>
      <c r="K211" s="18" t="s">
        <v>388</v>
      </c>
      <c r="L211" s="19" t="s">
        <v>244</v>
      </c>
      <c r="M211" s="28"/>
      <c r="N211" s="28"/>
    </row>
    <row r="212" spans="2:14" x14ac:dyDescent="0.25">
      <c r="B212" s="13">
        <v>180</v>
      </c>
      <c r="C212" s="20" t="s">
        <v>976</v>
      </c>
      <c r="D212" s="20" t="s">
        <v>31</v>
      </c>
      <c r="E212" s="47">
        <v>10776138</v>
      </c>
      <c r="F212" s="28">
        <f t="shared" si="5"/>
        <v>196</v>
      </c>
      <c r="G212" s="28"/>
      <c r="H212" s="28"/>
      <c r="I212" s="22"/>
      <c r="J212" s="20" t="s">
        <v>259</v>
      </c>
      <c r="K212" s="18" t="s">
        <v>388</v>
      </c>
      <c r="L212" s="19" t="s">
        <v>244</v>
      </c>
      <c r="M212" s="28"/>
      <c r="N212" s="28"/>
    </row>
    <row r="213" spans="2:14" x14ac:dyDescent="0.25">
      <c r="B213" s="13">
        <v>180</v>
      </c>
      <c r="C213" s="20" t="s">
        <v>977</v>
      </c>
      <c r="D213" s="20" t="s">
        <v>210</v>
      </c>
      <c r="E213" s="47">
        <v>16954621</v>
      </c>
      <c r="F213" s="28">
        <f t="shared" si="5"/>
        <v>197</v>
      </c>
      <c r="G213" s="28"/>
      <c r="H213" s="28"/>
      <c r="I213" s="22"/>
      <c r="J213" s="20" t="s">
        <v>262</v>
      </c>
      <c r="K213" s="18" t="s">
        <v>390</v>
      </c>
      <c r="L213" s="19" t="s">
        <v>244</v>
      </c>
      <c r="M213" s="28"/>
      <c r="N213" s="28"/>
    </row>
    <row r="214" spans="2:14" x14ac:dyDescent="0.25">
      <c r="B214" s="13">
        <v>45</v>
      </c>
      <c r="C214" s="20" t="s">
        <v>809</v>
      </c>
      <c r="D214" s="20" t="s">
        <v>152</v>
      </c>
      <c r="E214" s="47">
        <v>10192110</v>
      </c>
      <c r="F214" s="28">
        <f t="shared" si="5"/>
        <v>198</v>
      </c>
      <c r="G214" s="28"/>
      <c r="H214" s="28"/>
      <c r="I214" s="22"/>
      <c r="J214" s="20" t="s">
        <v>318</v>
      </c>
      <c r="K214" s="18" t="s">
        <v>388</v>
      </c>
      <c r="L214" s="19" t="s">
        <v>244</v>
      </c>
      <c r="M214" s="28"/>
      <c r="N214" s="28"/>
    </row>
    <row r="215" spans="2:14" x14ac:dyDescent="0.25">
      <c r="B215" s="13">
        <v>45</v>
      </c>
      <c r="C215" s="20" t="s">
        <v>528</v>
      </c>
      <c r="D215" s="20" t="s">
        <v>139</v>
      </c>
      <c r="E215" s="47">
        <v>10767096</v>
      </c>
      <c r="F215" s="28">
        <f t="shared" si="5"/>
        <v>199</v>
      </c>
      <c r="G215" s="28"/>
      <c r="H215" s="28"/>
      <c r="I215" s="22"/>
      <c r="J215" s="20" t="s">
        <v>259</v>
      </c>
      <c r="K215" s="18" t="s">
        <v>388</v>
      </c>
      <c r="L215" s="19" t="s">
        <v>244</v>
      </c>
      <c r="M215" s="28"/>
      <c r="N215" s="28"/>
    </row>
    <row r="216" spans="2:14" x14ac:dyDescent="0.25">
      <c r="B216" s="13">
        <v>45</v>
      </c>
      <c r="C216" s="20" t="s">
        <v>978</v>
      </c>
      <c r="D216" s="20" t="s">
        <v>62</v>
      </c>
      <c r="E216" s="47">
        <v>10772813</v>
      </c>
      <c r="F216" s="28">
        <f t="shared" ref="F216:F221" si="6">F215+1</f>
        <v>200</v>
      </c>
      <c r="G216" s="28"/>
      <c r="H216" s="28"/>
      <c r="I216" s="22"/>
      <c r="J216" s="20" t="s">
        <v>259</v>
      </c>
      <c r="K216" s="18" t="s">
        <v>388</v>
      </c>
      <c r="L216" s="19" t="s">
        <v>244</v>
      </c>
      <c r="M216" s="28"/>
      <c r="N216" s="28"/>
    </row>
    <row r="217" spans="2:14" x14ac:dyDescent="0.25">
      <c r="B217" s="13">
        <v>45</v>
      </c>
      <c r="C217" s="20" t="s">
        <v>495</v>
      </c>
      <c r="D217" s="20" t="s">
        <v>35</v>
      </c>
      <c r="E217" s="47">
        <v>1138876</v>
      </c>
      <c r="F217" s="28">
        <f t="shared" si="6"/>
        <v>201</v>
      </c>
      <c r="G217" s="28"/>
      <c r="H217" s="28"/>
      <c r="I217" s="22"/>
      <c r="J217" s="20" t="s">
        <v>810</v>
      </c>
      <c r="K217" s="18" t="s">
        <v>754</v>
      </c>
      <c r="L217" s="19" t="s">
        <v>244</v>
      </c>
      <c r="M217" s="28"/>
      <c r="N217" s="28"/>
    </row>
    <row r="218" spans="2:14" x14ac:dyDescent="0.25">
      <c r="B218" s="13">
        <v>45</v>
      </c>
      <c r="C218" s="20" t="s">
        <v>103</v>
      </c>
      <c r="D218" s="20" t="s">
        <v>646</v>
      </c>
      <c r="E218" s="47">
        <v>13453650</v>
      </c>
      <c r="F218" s="28">
        <f t="shared" si="6"/>
        <v>202</v>
      </c>
      <c r="G218" s="28"/>
      <c r="H218" s="28"/>
      <c r="I218" s="22"/>
      <c r="J218" s="20" t="s">
        <v>295</v>
      </c>
      <c r="K218" s="18" t="s">
        <v>771</v>
      </c>
      <c r="L218" s="19" t="s">
        <v>244</v>
      </c>
      <c r="M218" s="28"/>
      <c r="N218" s="28"/>
    </row>
    <row r="219" spans="2:14" x14ac:dyDescent="0.25">
      <c r="B219" s="13">
        <v>45</v>
      </c>
      <c r="C219" s="20" t="s">
        <v>77</v>
      </c>
      <c r="D219" s="20" t="s">
        <v>647</v>
      </c>
      <c r="E219" s="47">
        <v>10771758</v>
      </c>
      <c r="F219" s="28">
        <f t="shared" si="6"/>
        <v>203</v>
      </c>
      <c r="G219" s="28"/>
      <c r="H219" s="28"/>
      <c r="I219" s="22"/>
      <c r="J219" s="20" t="s">
        <v>259</v>
      </c>
      <c r="K219" s="18"/>
      <c r="L219" s="19" t="s">
        <v>244</v>
      </c>
      <c r="M219" s="28"/>
      <c r="N219" s="28"/>
    </row>
    <row r="220" spans="2:14" x14ac:dyDescent="0.25">
      <c r="B220" s="13">
        <v>45</v>
      </c>
      <c r="C220" s="19" t="s">
        <v>105</v>
      </c>
      <c r="D220" s="37" t="s">
        <v>63</v>
      </c>
      <c r="E220" s="47">
        <v>10766345</v>
      </c>
      <c r="F220" s="28">
        <f t="shared" si="6"/>
        <v>204</v>
      </c>
      <c r="G220" s="28"/>
      <c r="H220" s="28"/>
      <c r="I220" s="30"/>
      <c r="J220" s="20" t="s">
        <v>259</v>
      </c>
      <c r="K220" s="18" t="s">
        <v>388</v>
      </c>
      <c r="L220" s="19" t="s">
        <v>244</v>
      </c>
      <c r="M220" s="28"/>
      <c r="N220" s="28"/>
    </row>
    <row r="221" spans="2:14" x14ac:dyDescent="0.25">
      <c r="B221" s="13">
        <v>45</v>
      </c>
      <c r="C221" s="20" t="s">
        <v>64</v>
      </c>
      <c r="D221" s="20" t="s">
        <v>48</v>
      </c>
      <c r="E221" s="47">
        <v>10766163</v>
      </c>
      <c r="F221" s="28">
        <f t="shared" si="6"/>
        <v>205</v>
      </c>
      <c r="G221" s="28"/>
      <c r="H221" s="28"/>
      <c r="I221" s="22"/>
      <c r="J221" s="20" t="s">
        <v>259</v>
      </c>
      <c r="K221" s="18" t="s">
        <v>388</v>
      </c>
      <c r="L221" s="19" t="s">
        <v>244</v>
      </c>
      <c r="M221" s="28"/>
      <c r="N221" s="28"/>
    </row>
    <row r="222" spans="2:14" ht="15.75" thickBot="1" x14ac:dyDescent="0.3">
      <c r="B222" s="96"/>
      <c r="C222" s="92"/>
      <c r="D222" s="98"/>
      <c r="E222" s="71"/>
      <c r="F222" s="76"/>
      <c r="G222" s="76"/>
      <c r="H222" s="76"/>
      <c r="I222" s="102"/>
      <c r="J222" s="74"/>
      <c r="K222" s="73"/>
      <c r="L222" s="92"/>
      <c r="M222" s="76"/>
      <c r="N222" s="76"/>
    </row>
    <row r="223" spans="2:14" x14ac:dyDescent="0.25">
      <c r="B223" s="2"/>
      <c r="C223" s="1"/>
      <c r="D223" s="1"/>
      <c r="E223" s="3"/>
      <c r="F223" s="89" t="s">
        <v>1043</v>
      </c>
      <c r="G223" s="87"/>
      <c r="H223" s="87"/>
      <c r="I223" s="88"/>
      <c r="J223" s="88"/>
      <c r="K223" s="3"/>
      <c r="L223" s="4"/>
      <c r="M223" s="16" t="s">
        <v>0</v>
      </c>
      <c r="N223" s="5"/>
    </row>
    <row r="224" spans="2:14" x14ac:dyDescent="0.25">
      <c r="B224" s="15" t="s">
        <v>1</v>
      </c>
      <c r="C224" s="16" t="s">
        <v>2</v>
      </c>
      <c r="D224" s="16" t="s">
        <v>3</v>
      </c>
      <c r="E224" s="16" t="s">
        <v>4</v>
      </c>
      <c r="F224" s="16" t="s">
        <v>5</v>
      </c>
      <c r="G224" s="16" t="s">
        <v>6</v>
      </c>
      <c r="H224" s="16" t="s">
        <v>7</v>
      </c>
      <c r="I224" s="16" t="s">
        <v>8</v>
      </c>
      <c r="J224" s="16" t="s">
        <v>9</v>
      </c>
      <c r="K224" s="16" t="s">
        <v>387</v>
      </c>
      <c r="L224" s="16" t="s">
        <v>10</v>
      </c>
      <c r="M224" s="16" t="s">
        <v>11</v>
      </c>
      <c r="N224" s="17" t="s">
        <v>12</v>
      </c>
    </row>
    <row r="225" spans="2:14" x14ac:dyDescent="0.25">
      <c r="B225" s="94">
        <f>750+1500</f>
        <v>2250</v>
      </c>
      <c r="C225" s="91" t="s">
        <v>596</v>
      </c>
      <c r="D225" s="101" t="s">
        <v>68</v>
      </c>
      <c r="E225" s="80">
        <v>12092525</v>
      </c>
      <c r="F225" s="61">
        <f>F221+1</f>
        <v>206</v>
      </c>
      <c r="G225" s="61"/>
      <c r="H225" s="61"/>
      <c r="I225" s="100"/>
      <c r="J225" s="59" t="s">
        <v>696</v>
      </c>
      <c r="K225" s="58" t="s">
        <v>697</v>
      </c>
      <c r="L225" s="91" t="s">
        <v>247</v>
      </c>
      <c r="M225" s="61"/>
      <c r="N225" s="61"/>
    </row>
    <row r="226" spans="2:14" x14ac:dyDescent="0.25">
      <c r="B226" s="94">
        <f>750+1500</f>
        <v>2250</v>
      </c>
      <c r="C226" s="91" t="s">
        <v>1057</v>
      </c>
      <c r="D226" s="101" t="s">
        <v>620</v>
      </c>
      <c r="E226" s="80">
        <v>12092475</v>
      </c>
      <c r="F226" s="61">
        <f t="shared" ref="F226:F280" si="7">F225+1</f>
        <v>207</v>
      </c>
      <c r="G226" s="61"/>
      <c r="H226" s="61"/>
      <c r="I226" s="100"/>
      <c r="J226" s="59" t="s">
        <v>696</v>
      </c>
      <c r="K226" s="58" t="s">
        <v>697</v>
      </c>
      <c r="L226" s="91" t="s">
        <v>247</v>
      </c>
      <c r="M226" s="61"/>
      <c r="N226" s="61"/>
    </row>
    <row r="227" spans="2:14" x14ac:dyDescent="0.25">
      <c r="B227" s="13">
        <f>1500+45</f>
        <v>1545</v>
      </c>
      <c r="C227" s="19" t="s">
        <v>248</v>
      </c>
      <c r="D227" s="37" t="s">
        <v>152</v>
      </c>
      <c r="E227" s="47">
        <v>16307705</v>
      </c>
      <c r="F227" s="28">
        <f t="shared" si="7"/>
        <v>208</v>
      </c>
      <c r="G227" s="28"/>
      <c r="H227" s="28"/>
      <c r="I227" s="30"/>
      <c r="J227" s="20" t="s">
        <v>259</v>
      </c>
      <c r="K227" s="18" t="s">
        <v>388</v>
      </c>
      <c r="L227" s="19" t="s">
        <v>247</v>
      </c>
      <c r="M227" s="28"/>
      <c r="N227" s="28"/>
    </row>
    <row r="228" spans="2:14" x14ac:dyDescent="0.25">
      <c r="B228" s="13">
        <v>1500</v>
      </c>
      <c r="C228" s="19" t="s">
        <v>191</v>
      </c>
      <c r="D228" s="20" t="s">
        <v>190</v>
      </c>
      <c r="E228" s="47">
        <v>16951669</v>
      </c>
      <c r="F228" s="28">
        <f t="shared" si="7"/>
        <v>209</v>
      </c>
      <c r="G228" s="28"/>
      <c r="H228" s="28"/>
      <c r="I228" s="30"/>
      <c r="J228" s="20" t="s">
        <v>262</v>
      </c>
      <c r="K228" s="18" t="s">
        <v>390</v>
      </c>
      <c r="L228" s="19" t="s">
        <v>247</v>
      </c>
      <c r="M228" s="28"/>
      <c r="N228" s="28"/>
    </row>
    <row r="229" spans="2:14" x14ac:dyDescent="0.25">
      <c r="B229" s="13">
        <v>1500</v>
      </c>
      <c r="C229" s="19" t="s">
        <v>675</v>
      </c>
      <c r="D229" s="20" t="s">
        <v>57</v>
      </c>
      <c r="E229" s="47">
        <v>376774</v>
      </c>
      <c r="F229" s="28">
        <f t="shared" si="7"/>
        <v>210</v>
      </c>
      <c r="G229" s="28"/>
      <c r="H229" s="28"/>
      <c r="I229" s="30"/>
      <c r="J229" s="20" t="s">
        <v>259</v>
      </c>
      <c r="K229" s="18" t="s">
        <v>388</v>
      </c>
      <c r="L229" s="19" t="s">
        <v>247</v>
      </c>
      <c r="M229" s="28"/>
      <c r="N229" s="28"/>
    </row>
    <row r="230" spans="2:14" x14ac:dyDescent="0.25">
      <c r="B230" s="13">
        <v>1200</v>
      </c>
      <c r="C230" s="19" t="s">
        <v>52</v>
      </c>
      <c r="D230" s="37" t="s">
        <v>53</v>
      </c>
      <c r="E230" s="47">
        <v>11855634</v>
      </c>
      <c r="F230" s="28">
        <f t="shared" si="7"/>
        <v>211</v>
      </c>
      <c r="G230" s="28"/>
      <c r="H230" s="28"/>
      <c r="I230" s="30"/>
      <c r="J230" s="20" t="s">
        <v>270</v>
      </c>
      <c r="K230" s="18" t="s">
        <v>389</v>
      </c>
      <c r="L230" s="19" t="s">
        <v>247</v>
      </c>
      <c r="M230" s="28"/>
      <c r="N230" s="28"/>
    </row>
    <row r="231" spans="2:14" x14ac:dyDescent="0.25">
      <c r="B231" s="13">
        <v>1200</v>
      </c>
      <c r="C231" s="19" t="s">
        <v>381</v>
      </c>
      <c r="D231" s="20" t="s">
        <v>254</v>
      </c>
      <c r="E231" s="47">
        <v>14117974</v>
      </c>
      <c r="F231" s="28">
        <f t="shared" si="7"/>
        <v>212</v>
      </c>
      <c r="G231" s="28"/>
      <c r="H231" s="28"/>
      <c r="I231" s="30"/>
      <c r="J231" s="20" t="s">
        <v>382</v>
      </c>
      <c r="K231" s="18" t="s">
        <v>396</v>
      </c>
      <c r="L231" s="19" t="s">
        <v>247</v>
      </c>
      <c r="M231" s="28"/>
      <c r="N231" s="28"/>
    </row>
    <row r="232" spans="2:14" x14ac:dyDescent="0.25">
      <c r="B232" s="13">
        <v>1200</v>
      </c>
      <c r="C232" s="19" t="s">
        <v>980</v>
      </c>
      <c r="D232" s="20" t="s">
        <v>66</v>
      </c>
      <c r="E232" s="47">
        <v>10774322</v>
      </c>
      <c r="F232" s="28">
        <f t="shared" si="7"/>
        <v>213</v>
      </c>
      <c r="G232" s="28"/>
      <c r="H232" s="28"/>
      <c r="I232" s="30"/>
      <c r="J232" s="20" t="s">
        <v>259</v>
      </c>
      <c r="K232" s="18" t="s">
        <v>388</v>
      </c>
      <c r="L232" s="19" t="s">
        <v>247</v>
      </c>
      <c r="M232" s="28"/>
      <c r="N232" s="28"/>
    </row>
    <row r="233" spans="2:14" x14ac:dyDescent="0.25">
      <c r="B233" s="13">
        <f>600+90+45+150</f>
        <v>885</v>
      </c>
      <c r="C233" s="19" t="s">
        <v>250</v>
      </c>
      <c r="D233" s="37" t="s">
        <v>65</v>
      </c>
      <c r="E233" s="47">
        <v>10766543</v>
      </c>
      <c r="F233" s="28">
        <f t="shared" si="7"/>
        <v>214</v>
      </c>
      <c r="G233" s="28"/>
      <c r="H233" s="28"/>
      <c r="I233" s="30"/>
      <c r="J233" s="20" t="s">
        <v>761</v>
      </c>
      <c r="K233" s="18" t="s">
        <v>388</v>
      </c>
      <c r="L233" s="19" t="s">
        <v>247</v>
      </c>
      <c r="M233" s="28"/>
      <c r="N233" s="28"/>
    </row>
    <row r="234" spans="2:14" x14ac:dyDescent="0.25">
      <c r="B234" s="13">
        <v>400</v>
      </c>
      <c r="C234" s="34" t="s">
        <v>328</v>
      </c>
      <c r="D234" s="20" t="s">
        <v>65</v>
      </c>
      <c r="E234" s="47">
        <v>10766303</v>
      </c>
      <c r="F234" s="28">
        <f t="shared" si="7"/>
        <v>215</v>
      </c>
      <c r="G234" s="28"/>
      <c r="H234" s="28"/>
      <c r="I234" s="22"/>
      <c r="J234" s="20" t="s">
        <v>259</v>
      </c>
      <c r="K234" s="18" t="s">
        <v>388</v>
      </c>
      <c r="L234" s="19" t="s">
        <v>247</v>
      </c>
      <c r="M234" s="28"/>
      <c r="N234" s="28"/>
    </row>
    <row r="235" spans="2:14" x14ac:dyDescent="0.25">
      <c r="B235" s="13">
        <v>400</v>
      </c>
      <c r="C235" s="34" t="s">
        <v>235</v>
      </c>
      <c r="D235" s="20" t="s">
        <v>369</v>
      </c>
      <c r="E235" s="47">
        <v>10611342</v>
      </c>
      <c r="F235" s="28">
        <f t="shared" si="7"/>
        <v>216</v>
      </c>
      <c r="G235" s="28"/>
      <c r="H235" s="28"/>
      <c r="I235" s="22"/>
      <c r="J235" s="20" t="s">
        <v>919</v>
      </c>
      <c r="K235" s="18" t="s">
        <v>388</v>
      </c>
      <c r="L235" s="19" t="s">
        <v>247</v>
      </c>
      <c r="M235" s="28"/>
      <c r="N235" s="28"/>
    </row>
    <row r="236" spans="2:14" x14ac:dyDescent="0.25">
      <c r="B236" s="13">
        <v>150</v>
      </c>
      <c r="C236" s="19" t="s">
        <v>900</v>
      </c>
      <c r="D236" s="37" t="s">
        <v>255</v>
      </c>
      <c r="E236" s="47">
        <v>10773077</v>
      </c>
      <c r="F236" s="28">
        <f t="shared" si="7"/>
        <v>217</v>
      </c>
      <c r="G236" s="28"/>
      <c r="H236" s="28"/>
      <c r="I236" s="28"/>
      <c r="J236" s="20" t="s">
        <v>761</v>
      </c>
      <c r="K236" s="18" t="s">
        <v>388</v>
      </c>
      <c r="L236" s="19" t="s">
        <v>247</v>
      </c>
      <c r="M236" s="28"/>
      <c r="N236" s="28"/>
    </row>
    <row r="237" spans="2:14" x14ac:dyDescent="0.25">
      <c r="B237" s="13">
        <v>90</v>
      </c>
      <c r="C237" s="19" t="s">
        <v>981</v>
      </c>
      <c r="D237" s="37" t="s">
        <v>36</v>
      </c>
      <c r="E237" s="47">
        <v>10283703</v>
      </c>
      <c r="F237" s="28">
        <f t="shared" si="7"/>
        <v>218</v>
      </c>
      <c r="G237" s="28"/>
      <c r="H237" s="28"/>
      <c r="I237" s="30"/>
      <c r="J237" s="20" t="s">
        <v>372</v>
      </c>
      <c r="K237" s="18" t="s">
        <v>388</v>
      </c>
      <c r="L237" s="19" t="s">
        <v>247</v>
      </c>
      <c r="M237" s="28"/>
      <c r="N237" s="28"/>
    </row>
    <row r="238" spans="2:14" x14ac:dyDescent="0.25">
      <c r="B238" s="13">
        <v>90</v>
      </c>
      <c r="C238" s="19" t="s">
        <v>198</v>
      </c>
      <c r="D238" s="37" t="s">
        <v>199</v>
      </c>
      <c r="E238" s="47">
        <v>10764919</v>
      </c>
      <c r="F238" s="28">
        <f t="shared" si="7"/>
        <v>219</v>
      </c>
      <c r="G238" s="28"/>
      <c r="H238" s="28"/>
      <c r="I238" s="30"/>
      <c r="J238" s="20" t="s">
        <v>761</v>
      </c>
      <c r="K238" s="18" t="s">
        <v>388</v>
      </c>
      <c r="L238" s="19" t="s">
        <v>247</v>
      </c>
      <c r="M238" s="28"/>
      <c r="N238" s="28"/>
    </row>
    <row r="239" spans="2:14" x14ac:dyDescent="0.25">
      <c r="B239" s="18">
        <v>90</v>
      </c>
      <c r="C239" s="20" t="s">
        <v>193</v>
      </c>
      <c r="D239" s="20" t="s">
        <v>161</v>
      </c>
      <c r="E239" s="47">
        <v>7336482</v>
      </c>
      <c r="F239" s="28">
        <f t="shared" si="7"/>
        <v>220</v>
      </c>
      <c r="G239" s="28"/>
      <c r="H239" s="28"/>
      <c r="I239" s="30"/>
      <c r="J239" s="20" t="s">
        <v>259</v>
      </c>
      <c r="K239" s="18" t="s">
        <v>388</v>
      </c>
      <c r="L239" s="19" t="s">
        <v>247</v>
      </c>
      <c r="M239" s="28"/>
      <c r="N239" s="28"/>
    </row>
    <row r="240" spans="2:14" x14ac:dyDescent="0.25">
      <c r="B240" s="18">
        <v>45</v>
      </c>
      <c r="C240" s="20" t="s">
        <v>979</v>
      </c>
      <c r="D240" s="20" t="s">
        <v>70</v>
      </c>
      <c r="E240" s="47">
        <v>10771196</v>
      </c>
      <c r="F240" s="28">
        <f t="shared" si="7"/>
        <v>221</v>
      </c>
      <c r="G240" s="28"/>
      <c r="H240" s="28"/>
      <c r="I240" s="30"/>
      <c r="J240" s="20" t="s">
        <v>259</v>
      </c>
      <c r="K240" s="18" t="s">
        <v>388</v>
      </c>
      <c r="L240" s="19" t="s">
        <v>247</v>
      </c>
      <c r="M240" s="28"/>
      <c r="N240" s="28"/>
    </row>
    <row r="241" spans="2:14" ht="15.75" thickBot="1" x14ac:dyDescent="0.3">
      <c r="B241" s="96"/>
      <c r="C241" s="97"/>
      <c r="D241" s="74"/>
      <c r="E241" s="67"/>
      <c r="F241" s="76"/>
      <c r="G241" s="76"/>
      <c r="H241" s="76"/>
      <c r="I241" s="102"/>
      <c r="J241" s="74"/>
      <c r="K241" s="73"/>
      <c r="L241" s="92"/>
      <c r="M241" s="76"/>
      <c r="N241" s="76"/>
    </row>
    <row r="242" spans="2:14" x14ac:dyDescent="0.25">
      <c r="B242" s="2"/>
      <c r="C242" s="1"/>
      <c r="D242" s="1"/>
      <c r="E242" s="3"/>
      <c r="F242" s="89" t="s">
        <v>1044</v>
      </c>
      <c r="G242" s="87"/>
      <c r="H242" s="87"/>
      <c r="I242" s="88"/>
      <c r="J242" s="88"/>
      <c r="K242" s="3"/>
      <c r="L242" s="4"/>
      <c r="M242" s="16" t="s">
        <v>0</v>
      </c>
      <c r="N242" s="5"/>
    </row>
    <row r="243" spans="2:14" x14ac:dyDescent="0.25">
      <c r="B243" s="15" t="s">
        <v>1</v>
      </c>
      <c r="C243" s="16" t="s">
        <v>2</v>
      </c>
      <c r="D243" s="16" t="s">
        <v>3</v>
      </c>
      <c r="E243" s="16" t="s">
        <v>4</v>
      </c>
      <c r="F243" s="16" t="s">
        <v>5</v>
      </c>
      <c r="G243" s="16" t="s">
        <v>6</v>
      </c>
      <c r="H243" s="16" t="s">
        <v>7</v>
      </c>
      <c r="I243" s="16" t="s">
        <v>8</v>
      </c>
      <c r="J243" s="16" t="s">
        <v>9</v>
      </c>
      <c r="K243" s="16" t="s">
        <v>387</v>
      </c>
      <c r="L243" s="16" t="s">
        <v>10</v>
      </c>
      <c r="M243" s="16" t="s">
        <v>11</v>
      </c>
      <c r="N243" s="17" t="s">
        <v>12</v>
      </c>
    </row>
    <row r="244" spans="2:14" x14ac:dyDescent="0.25">
      <c r="B244" s="94">
        <f>90+1500</f>
        <v>1590</v>
      </c>
      <c r="C244" s="91" t="s">
        <v>357</v>
      </c>
      <c r="D244" s="101" t="s">
        <v>76</v>
      </c>
      <c r="E244" s="60">
        <v>16307812</v>
      </c>
      <c r="F244" s="61">
        <f>F240+1</f>
        <v>222</v>
      </c>
      <c r="G244" s="61"/>
      <c r="H244" s="61"/>
      <c r="I244" s="100"/>
      <c r="J244" s="59" t="s">
        <v>761</v>
      </c>
      <c r="K244" s="58" t="s">
        <v>388</v>
      </c>
      <c r="L244" s="91" t="s">
        <v>253</v>
      </c>
      <c r="M244" s="61"/>
      <c r="N244" s="61"/>
    </row>
    <row r="245" spans="2:14" x14ac:dyDescent="0.25">
      <c r="B245" s="13">
        <v>1500</v>
      </c>
      <c r="C245" s="19" t="s">
        <v>982</v>
      </c>
      <c r="D245" s="20" t="s">
        <v>621</v>
      </c>
      <c r="E245" s="47">
        <v>10772938</v>
      </c>
      <c r="F245" s="28">
        <f t="shared" si="7"/>
        <v>223</v>
      </c>
      <c r="G245" s="28"/>
      <c r="H245" s="28"/>
      <c r="I245" s="30"/>
      <c r="J245" s="20" t="s">
        <v>259</v>
      </c>
      <c r="K245" s="18" t="s">
        <v>388</v>
      </c>
      <c r="L245" s="19" t="s">
        <v>253</v>
      </c>
      <c r="M245" s="28"/>
      <c r="N245" s="28"/>
    </row>
    <row r="246" spans="2:14" x14ac:dyDescent="0.25">
      <c r="B246" s="13">
        <v>1500</v>
      </c>
      <c r="C246" s="19" t="s">
        <v>983</v>
      </c>
      <c r="D246" s="20" t="s">
        <v>152</v>
      </c>
      <c r="E246" s="47">
        <v>10772897</v>
      </c>
      <c r="F246" s="28">
        <f t="shared" si="7"/>
        <v>224</v>
      </c>
      <c r="G246" s="28"/>
      <c r="H246" s="28"/>
      <c r="I246" s="30"/>
      <c r="J246" s="20" t="s">
        <v>259</v>
      </c>
      <c r="K246" s="18" t="s">
        <v>388</v>
      </c>
      <c r="L246" s="19" t="s">
        <v>253</v>
      </c>
      <c r="M246" s="28"/>
      <c r="N246" s="28"/>
    </row>
    <row r="247" spans="2:14" x14ac:dyDescent="0.25">
      <c r="B247" s="13">
        <v>1200</v>
      </c>
      <c r="C247" s="19" t="s">
        <v>535</v>
      </c>
      <c r="D247" s="20" t="s">
        <v>43</v>
      </c>
      <c r="E247" s="47">
        <v>10772764</v>
      </c>
      <c r="F247" s="28">
        <f t="shared" si="7"/>
        <v>225</v>
      </c>
      <c r="G247" s="28"/>
      <c r="H247" s="28"/>
      <c r="I247" s="30"/>
      <c r="J247" s="20" t="s">
        <v>259</v>
      </c>
      <c r="K247" s="18" t="s">
        <v>388</v>
      </c>
      <c r="L247" s="19" t="s">
        <v>253</v>
      </c>
      <c r="M247" s="28"/>
      <c r="N247" s="28"/>
    </row>
    <row r="248" spans="2:14" x14ac:dyDescent="0.25">
      <c r="B248" s="13">
        <v>1200</v>
      </c>
      <c r="C248" s="19" t="s">
        <v>816</v>
      </c>
      <c r="D248" s="20" t="s">
        <v>43</v>
      </c>
      <c r="E248" s="47">
        <v>10772904</v>
      </c>
      <c r="F248" s="28">
        <f t="shared" si="7"/>
        <v>226</v>
      </c>
      <c r="G248" s="28"/>
      <c r="H248" s="28"/>
      <c r="I248" s="30"/>
      <c r="J248" s="20" t="s">
        <v>259</v>
      </c>
      <c r="K248" s="18" t="s">
        <v>388</v>
      </c>
      <c r="L248" s="19" t="s">
        <v>253</v>
      </c>
      <c r="M248" s="28"/>
      <c r="N248" s="28"/>
    </row>
    <row r="249" spans="2:14" x14ac:dyDescent="0.25">
      <c r="B249" s="13">
        <v>1000</v>
      </c>
      <c r="C249" s="19" t="s">
        <v>383</v>
      </c>
      <c r="D249" s="20" t="s">
        <v>70</v>
      </c>
      <c r="E249" s="47">
        <v>10767898</v>
      </c>
      <c r="F249" s="28">
        <f t="shared" si="7"/>
        <v>227</v>
      </c>
      <c r="G249" s="28"/>
      <c r="H249" s="28"/>
      <c r="I249" s="30"/>
      <c r="J249" s="20" t="s">
        <v>259</v>
      </c>
      <c r="K249" s="18" t="s">
        <v>388</v>
      </c>
      <c r="L249" s="19" t="s">
        <v>253</v>
      </c>
      <c r="M249" s="28"/>
      <c r="N249" s="28"/>
    </row>
    <row r="250" spans="2:14" x14ac:dyDescent="0.25">
      <c r="B250" s="13">
        <v>1000</v>
      </c>
      <c r="C250" s="34" t="s">
        <v>384</v>
      </c>
      <c r="D250" s="20" t="s">
        <v>28</v>
      </c>
      <c r="E250" s="47">
        <v>10767856</v>
      </c>
      <c r="F250" s="28">
        <f t="shared" si="7"/>
        <v>228</v>
      </c>
      <c r="G250" s="28"/>
      <c r="H250" s="28"/>
      <c r="I250" s="30"/>
      <c r="J250" s="20" t="s">
        <v>259</v>
      </c>
      <c r="K250" s="18" t="s">
        <v>388</v>
      </c>
      <c r="L250" s="19" t="s">
        <v>253</v>
      </c>
      <c r="M250" s="28"/>
      <c r="N250" s="28"/>
    </row>
    <row r="251" spans="2:14" x14ac:dyDescent="0.25">
      <c r="B251" s="13">
        <f>360+50+75+50+400</f>
        <v>935</v>
      </c>
      <c r="C251" s="19" t="s">
        <v>358</v>
      </c>
      <c r="D251" s="37" t="s">
        <v>66</v>
      </c>
      <c r="E251" s="48">
        <v>11855296</v>
      </c>
      <c r="F251" s="28">
        <f t="shared" si="7"/>
        <v>229</v>
      </c>
      <c r="G251" s="28"/>
      <c r="H251" s="28"/>
      <c r="I251" s="31"/>
      <c r="J251" s="20" t="s">
        <v>270</v>
      </c>
      <c r="K251" s="18" t="s">
        <v>389</v>
      </c>
      <c r="L251" s="19" t="s">
        <v>253</v>
      </c>
      <c r="M251" s="28"/>
      <c r="N251" s="28"/>
    </row>
    <row r="252" spans="2:14" x14ac:dyDescent="0.25">
      <c r="B252" s="13">
        <f>25+750</f>
        <v>775</v>
      </c>
      <c r="C252" s="19" t="s">
        <v>442</v>
      </c>
      <c r="D252" s="20" t="s">
        <v>61</v>
      </c>
      <c r="E252" s="47">
        <v>11805035</v>
      </c>
      <c r="F252" s="28">
        <f t="shared" si="7"/>
        <v>230</v>
      </c>
      <c r="G252" s="28"/>
      <c r="H252" s="28"/>
      <c r="I252" s="30"/>
      <c r="J252" s="20" t="s">
        <v>815</v>
      </c>
      <c r="K252" s="18" t="s">
        <v>389</v>
      </c>
      <c r="L252" s="19" t="s">
        <v>253</v>
      </c>
      <c r="M252" s="28"/>
      <c r="N252" s="28"/>
    </row>
    <row r="253" spans="2:14" x14ac:dyDescent="0.25">
      <c r="B253" s="13">
        <v>750</v>
      </c>
      <c r="C253" s="19" t="s">
        <v>814</v>
      </c>
      <c r="D253" s="20" t="s">
        <v>249</v>
      </c>
      <c r="E253" s="47">
        <v>10771310</v>
      </c>
      <c r="F253" s="28">
        <f t="shared" si="7"/>
        <v>231</v>
      </c>
      <c r="G253" s="28"/>
      <c r="H253" s="28"/>
      <c r="I253" s="30"/>
      <c r="J253" s="20" t="s">
        <v>259</v>
      </c>
      <c r="K253" s="18" t="s">
        <v>388</v>
      </c>
      <c r="L253" s="19" t="s">
        <v>253</v>
      </c>
      <c r="M253" s="28"/>
      <c r="N253" s="28"/>
    </row>
    <row r="254" spans="2:14" x14ac:dyDescent="0.25">
      <c r="B254" s="13">
        <v>750</v>
      </c>
      <c r="C254" s="19" t="s">
        <v>817</v>
      </c>
      <c r="D254" s="20" t="s">
        <v>186</v>
      </c>
      <c r="E254" s="47">
        <v>10771245</v>
      </c>
      <c r="F254" s="28">
        <f t="shared" si="7"/>
        <v>232</v>
      </c>
      <c r="G254" s="28"/>
      <c r="H254" s="28"/>
      <c r="I254" s="30"/>
      <c r="J254" s="20" t="s">
        <v>259</v>
      </c>
      <c r="K254" s="18" t="s">
        <v>388</v>
      </c>
      <c r="L254" s="19" t="s">
        <v>253</v>
      </c>
      <c r="M254" s="28"/>
      <c r="N254" s="28"/>
    </row>
    <row r="255" spans="2:14" x14ac:dyDescent="0.25">
      <c r="B255" s="13">
        <v>750</v>
      </c>
      <c r="C255" s="19" t="s">
        <v>698</v>
      </c>
      <c r="D255" s="20" t="s">
        <v>699</v>
      </c>
      <c r="E255" s="47">
        <v>6556982</v>
      </c>
      <c r="F255" s="28">
        <f t="shared" si="7"/>
        <v>233</v>
      </c>
      <c r="G255" s="28"/>
      <c r="H255" s="28"/>
      <c r="I255" s="30"/>
      <c r="J255" s="20" t="s">
        <v>815</v>
      </c>
      <c r="K255" s="18" t="s">
        <v>389</v>
      </c>
      <c r="L255" s="19" t="s">
        <v>253</v>
      </c>
      <c r="M255" s="28"/>
      <c r="N255" s="28"/>
    </row>
    <row r="256" spans="2:14" x14ac:dyDescent="0.25">
      <c r="B256" s="13">
        <f>600+45</f>
        <v>645</v>
      </c>
      <c r="C256" s="34" t="s">
        <v>398</v>
      </c>
      <c r="D256" s="20" t="s">
        <v>65</v>
      </c>
      <c r="E256" s="86">
        <v>10239590</v>
      </c>
      <c r="F256" s="28">
        <f t="shared" si="7"/>
        <v>234</v>
      </c>
      <c r="G256" s="28"/>
      <c r="H256" s="28"/>
      <c r="I256" s="30"/>
      <c r="J256" s="20" t="s">
        <v>259</v>
      </c>
      <c r="K256" s="18" t="s">
        <v>388</v>
      </c>
      <c r="L256" s="19" t="s">
        <v>253</v>
      </c>
      <c r="M256" s="28"/>
      <c r="N256" s="28"/>
    </row>
    <row r="257" spans="2:14" x14ac:dyDescent="0.25">
      <c r="B257" s="13">
        <v>600</v>
      </c>
      <c r="C257" s="19" t="s">
        <v>304</v>
      </c>
      <c r="D257" s="20" t="s">
        <v>195</v>
      </c>
      <c r="E257" s="47">
        <v>10411693</v>
      </c>
      <c r="F257" s="28">
        <f t="shared" si="7"/>
        <v>235</v>
      </c>
      <c r="G257" s="28"/>
      <c r="H257" s="28"/>
      <c r="I257" s="30"/>
      <c r="J257" s="20" t="s">
        <v>305</v>
      </c>
      <c r="K257" s="18" t="s">
        <v>388</v>
      </c>
      <c r="L257" s="19" t="s">
        <v>253</v>
      </c>
      <c r="M257" s="28"/>
      <c r="N257" s="28"/>
    </row>
    <row r="258" spans="2:14" x14ac:dyDescent="0.25">
      <c r="B258" s="13">
        <f>360+90+45</f>
        <v>495</v>
      </c>
      <c r="C258" s="19" t="s">
        <v>67</v>
      </c>
      <c r="D258" s="20" t="s">
        <v>302</v>
      </c>
      <c r="E258" s="47">
        <v>12740602</v>
      </c>
      <c r="F258" s="28">
        <f t="shared" si="7"/>
        <v>236</v>
      </c>
      <c r="G258" s="28"/>
      <c r="H258" s="28"/>
      <c r="I258" s="30"/>
      <c r="J258" s="20" t="s">
        <v>303</v>
      </c>
      <c r="K258" s="18" t="s">
        <v>395</v>
      </c>
      <c r="L258" s="19" t="s">
        <v>253</v>
      </c>
      <c r="M258" s="28"/>
      <c r="N258" s="28"/>
    </row>
    <row r="259" spans="2:14" x14ac:dyDescent="0.25">
      <c r="B259" s="13">
        <v>400</v>
      </c>
      <c r="C259" s="19" t="s">
        <v>287</v>
      </c>
      <c r="D259" s="20" t="s">
        <v>46</v>
      </c>
      <c r="E259" s="48">
        <v>11855551</v>
      </c>
      <c r="F259" s="28">
        <f t="shared" si="7"/>
        <v>237</v>
      </c>
      <c r="G259" s="28"/>
      <c r="H259" s="28"/>
      <c r="I259" s="30"/>
      <c r="J259" s="20" t="s">
        <v>270</v>
      </c>
      <c r="K259" s="18" t="s">
        <v>389</v>
      </c>
      <c r="L259" s="19" t="s">
        <v>253</v>
      </c>
      <c r="M259" s="28"/>
      <c r="N259" s="28"/>
    </row>
    <row r="260" spans="2:14" x14ac:dyDescent="0.25">
      <c r="B260" s="13">
        <v>400</v>
      </c>
      <c r="C260" s="19" t="s">
        <v>622</v>
      </c>
      <c r="D260" s="20" t="s">
        <v>503</v>
      </c>
      <c r="E260" s="47">
        <v>10770669</v>
      </c>
      <c r="F260" s="28">
        <f t="shared" si="7"/>
        <v>238</v>
      </c>
      <c r="G260" s="28"/>
      <c r="H260" s="28"/>
      <c r="I260" s="30"/>
      <c r="J260" s="20" t="s">
        <v>259</v>
      </c>
      <c r="K260" s="18" t="s">
        <v>388</v>
      </c>
      <c r="L260" s="19" t="s">
        <v>253</v>
      </c>
      <c r="M260" s="28"/>
      <c r="N260" s="28"/>
    </row>
    <row r="261" spans="2:14" x14ac:dyDescent="0.25">
      <c r="B261" s="13">
        <v>400</v>
      </c>
      <c r="C261" s="20" t="s">
        <v>811</v>
      </c>
      <c r="D261" s="20" t="s">
        <v>496</v>
      </c>
      <c r="E261" s="47">
        <v>10772780</v>
      </c>
      <c r="F261" s="28">
        <f t="shared" si="7"/>
        <v>239</v>
      </c>
      <c r="G261" s="28"/>
      <c r="H261" s="28"/>
      <c r="I261" s="30"/>
      <c r="J261" s="20" t="s">
        <v>259</v>
      </c>
      <c r="K261" s="18" t="s">
        <v>388</v>
      </c>
      <c r="L261" s="19" t="s">
        <v>253</v>
      </c>
      <c r="M261" s="28"/>
      <c r="N261" s="28"/>
    </row>
    <row r="262" spans="2:14" x14ac:dyDescent="0.25">
      <c r="B262" s="13">
        <v>45</v>
      </c>
      <c r="C262" s="19" t="s">
        <v>818</v>
      </c>
      <c r="D262" s="20" t="s">
        <v>942</v>
      </c>
      <c r="E262" s="47">
        <v>7896204</v>
      </c>
      <c r="F262" s="28">
        <f t="shared" si="7"/>
        <v>240</v>
      </c>
      <c r="G262" s="28"/>
      <c r="H262" s="28"/>
      <c r="I262" s="30"/>
      <c r="J262" s="20" t="s">
        <v>819</v>
      </c>
      <c r="K262" s="18" t="s">
        <v>820</v>
      </c>
      <c r="L262" s="19" t="s">
        <v>253</v>
      </c>
      <c r="M262" s="28"/>
      <c r="N262" s="28"/>
    </row>
    <row r="263" spans="2:14" x14ac:dyDescent="0.25">
      <c r="B263" s="13">
        <v>45</v>
      </c>
      <c r="C263" s="19" t="s">
        <v>943</v>
      </c>
      <c r="D263" s="20" t="s">
        <v>944</v>
      </c>
      <c r="E263" s="47">
        <v>10771360</v>
      </c>
      <c r="F263" s="28">
        <f t="shared" si="7"/>
        <v>241</v>
      </c>
      <c r="G263" s="28"/>
      <c r="H263" s="28"/>
      <c r="I263" s="30"/>
      <c r="J263" s="20" t="s">
        <v>259</v>
      </c>
      <c r="K263" s="18" t="s">
        <v>388</v>
      </c>
      <c r="L263" s="19" t="s">
        <v>253</v>
      </c>
      <c r="M263" s="28"/>
      <c r="N263" s="28"/>
    </row>
    <row r="264" spans="2:14" x14ac:dyDescent="0.25">
      <c r="B264" s="13">
        <v>45</v>
      </c>
      <c r="C264" s="19" t="s">
        <v>624</v>
      </c>
      <c r="D264" s="20" t="s">
        <v>180</v>
      </c>
      <c r="E264" s="48">
        <v>10357326</v>
      </c>
      <c r="F264" s="28">
        <f t="shared" si="7"/>
        <v>242</v>
      </c>
      <c r="G264" s="28"/>
      <c r="H264" s="28"/>
      <c r="I264" s="30"/>
      <c r="J264" s="20" t="s">
        <v>259</v>
      </c>
      <c r="K264" s="18" t="s">
        <v>388</v>
      </c>
      <c r="L264" s="19" t="s">
        <v>253</v>
      </c>
      <c r="M264" s="28"/>
      <c r="N264" s="28"/>
    </row>
    <row r="265" spans="2:14" x14ac:dyDescent="0.25">
      <c r="B265" s="13">
        <v>45</v>
      </c>
      <c r="C265" s="19" t="s">
        <v>945</v>
      </c>
      <c r="D265" s="20" t="s">
        <v>946</v>
      </c>
      <c r="E265" s="47">
        <v>10771253</v>
      </c>
      <c r="F265" s="28">
        <f t="shared" si="7"/>
        <v>243</v>
      </c>
      <c r="G265" s="28"/>
      <c r="H265" s="28"/>
      <c r="I265" s="30"/>
      <c r="J265" s="20" t="s">
        <v>259</v>
      </c>
      <c r="K265" s="18" t="s">
        <v>388</v>
      </c>
      <c r="L265" s="19" t="s">
        <v>253</v>
      </c>
      <c r="M265" s="28"/>
      <c r="N265" s="28"/>
    </row>
    <row r="266" spans="2:14" x14ac:dyDescent="0.25">
      <c r="B266" s="13">
        <v>45</v>
      </c>
      <c r="C266" s="19" t="s">
        <v>625</v>
      </c>
      <c r="D266" s="20" t="s">
        <v>444</v>
      </c>
      <c r="E266" s="48">
        <v>10770693</v>
      </c>
      <c r="F266" s="28">
        <f t="shared" si="7"/>
        <v>244</v>
      </c>
      <c r="G266" s="28"/>
      <c r="H266" s="28"/>
      <c r="I266" s="30"/>
      <c r="J266" s="20" t="s">
        <v>259</v>
      </c>
      <c r="K266" s="18" t="s">
        <v>388</v>
      </c>
      <c r="L266" s="19" t="s">
        <v>253</v>
      </c>
      <c r="M266" s="28"/>
      <c r="N266" s="28"/>
    </row>
    <row r="267" spans="2:14" x14ac:dyDescent="0.25">
      <c r="B267" s="13">
        <v>90</v>
      </c>
      <c r="C267" s="19" t="s">
        <v>399</v>
      </c>
      <c r="D267" s="20" t="s">
        <v>62</v>
      </c>
      <c r="E267" s="47">
        <v>10763812</v>
      </c>
      <c r="F267" s="28">
        <f t="shared" si="7"/>
        <v>245</v>
      </c>
      <c r="G267" s="28"/>
      <c r="H267" s="28"/>
      <c r="I267" s="30"/>
      <c r="J267" s="20" t="s">
        <v>259</v>
      </c>
      <c r="K267" s="18" t="s">
        <v>388</v>
      </c>
      <c r="L267" s="19" t="s">
        <v>253</v>
      </c>
      <c r="M267" s="28"/>
      <c r="N267" s="28"/>
    </row>
    <row r="268" spans="2:14" x14ac:dyDescent="0.25">
      <c r="B268" s="13">
        <v>90</v>
      </c>
      <c r="C268" s="19" t="s">
        <v>256</v>
      </c>
      <c r="D268" s="20" t="s">
        <v>257</v>
      </c>
      <c r="E268" s="47">
        <v>10768367</v>
      </c>
      <c r="F268" s="28">
        <f t="shared" si="7"/>
        <v>246</v>
      </c>
      <c r="G268" s="28"/>
      <c r="H268" s="28"/>
      <c r="I268" s="30"/>
      <c r="J268" s="20" t="s">
        <v>259</v>
      </c>
      <c r="K268" s="18" t="s">
        <v>388</v>
      </c>
      <c r="L268" s="19" t="s">
        <v>253</v>
      </c>
      <c r="M268" s="28"/>
      <c r="N268" s="28"/>
    </row>
    <row r="269" spans="2:14" x14ac:dyDescent="0.25">
      <c r="B269" s="13">
        <v>90</v>
      </c>
      <c r="C269" s="19" t="s">
        <v>361</v>
      </c>
      <c r="D269" s="20" t="s">
        <v>174</v>
      </c>
      <c r="E269" s="47">
        <v>16307713</v>
      </c>
      <c r="F269" s="28">
        <f t="shared" si="7"/>
        <v>247</v>
      </c>
      <c r="G269" s="28"/>
      <c r="H269" s="28"/>
      <c r="I269" s="30"/>
      <c r="J269" s="20" t="s">
        <v>259</v>
      </c>
      <c r="K269" s="18" t="s">
        <v>388</v>
      </c>
      <c r="L269" s="19" t="s">
        <v>253</v>
      </c>
      <c r="M269" s="28"/>
      <c r="N269" s="28"/>
    </row>
    <row r="270" spans="2:14" x14ac:dyDescent="0.25">
      <c r="B270" s="13">
        <f>90+45</f>
        <v>135</v>
      </c>
      <c r="C270" s="19" t="s">
        <v>300</v>
      </c>
      <c r="D270" s="20" t="s">
        <v>301</v>
      </c>
      <c r="E270" s="47">
        <v>10509406</v>
      </c>
      <c r="F270" s="28">
        <f t="shared" si="7"/>
        <v>248</v>
      </c>
      <c r="G270" s="28"/>
      <c r="H270" s="28"/>
      <c r="I270" s="30"/>
      <c r="J270" s="20" t="s">
        <v>259</v>
      </c>
      <c r="K270" s="18" t="s">
        <v>388</v>
      </c>
      <c r="L270" s="19" t="s">
        <v>253</v>
      </c>
      <c r="M270" s="28"/>
      <c r="N270" s="28"/>
    </row>
    <row r="271" spans="2:14" x14ac:dyDescent="0.25">
      <c r="B271" s="13">
        <v>90</v>
      </c>
      <c r="C271" s="19" t="s">
        <v>354</v>
      </c>
      <c r="D271" s="20" t="s">
        <v>73</v>
      </c>
      <c r="E271" s="46">
        <v>10766270</v>
      </c>
      <c r="F271" s="28">
        <f t="shared" si="7"/>
        <v>249</v>
      </c>
      <c r="G271" s="28"/>
      <c r="H271" s="28"/>
      <c r="I271" s="30"/>
      <c r="J271" s="20" t="s">
        <v>259</v>
      </c>
      <c r="K271" s="18" t="s">
        <v>388</v>
      </c>
      <c r="L271" s="19" t="s">
        <v>253</v>
      </c>
      <c r="M271" s="28"/>
      <c r="N271" s="28"/>
    </row>
    <row r="272" spans="2:14" x14ac:dyDescent="0.25">
      <c r="B272" s="13">
        <f>25+45</f>
        <v>70</v>
      </c>
      <c r="C272" s="19" t="s">
        <v>454</v>
      </c>
      <c r="D272" s="20" t="s">
        <v>441</v>
      </c>
      <c r="E272" s="47">
        <v>6526258</v>
      </c>
      <c r="F272" s="28">
        <f t="shared" si="7"/>
        <v>250</v>
      </c>
      <c r="G272" s="28"/>
      <c r="H272" s="28"/>
      <c r="I272" s="30"/>
      <c r="J272" s="20" t="s">
        <v>815</v>
      </c>
      <c r="K272" s="18" t="s">
        <v>389</v>
      </c>
      <c r="L272" s="19" t="s">
        <v>253</v>
      </c>
      <c r="M272" s="28"/>
      <c r="N272" s="28"/>
    </row>
    <row r="273" spans="2:14" x14ac:dyDescent="0.25">
      <c r="B273" s="13">
        <v>45</v>
      </c>
      <c r="C273" s="19" t="s">
        <v>965</v>
      </c>
      <c r="D273" s="20" t="s">
        <v>70</v>
      </c>
      <c r="E273" s="47">
        <v>11863554</v>
      </c>
      <c r="F273" s="28">
        <f t="shared" si="7"/>
        <v>251</v>
      </c>
      <c r="G273" s="28"/>
      <c r="H273" s="28"/>
      <c r="I273" s="30"/>
      <c r="J273" s="20" t="s">
        <v>270</v>
      </c>
      <c r="K273" s="18" t="s">
        <v>389</v>
      </c>
      <c r="L273" s="19" t="s">
        <v>253</v>
      </c>
      <c r="M273" s="28"/>
      <c r="N273" s="28"/>
    </row>
    <row r="274" spans="2:14" x14ac:dyDescent="0.25">
      <c r="B274" s="13">
        <f>5+2</f>
        <v>7</v>
      </c>
      <c r="C274" s="19" t="s">
        <v>421</v>
      </c>
      <c r="D274" s="20" t="s">
        <v>32</v>
      </c>
      <c r="E274" s="47" t="s">
        <v>422</v>
      </c>
      <c r="F274" s="28">
        <f t="shared" si="7"/>
        <v>252</v>
      </c>
      <c r="G274" s="28"/>
      <c r="H274" s="28"/>
      <c r="I274" s="30"/>
      <c r="J274" s="20" t="s">
        <v>319</v>
      </c>
      <c r="K274" s="18" t="s">
        <v>388</v>
      </c>
      <c r="L274" s="19" t="s">
        <v>253</v>
      </c>
      <c r="M274" s="28"/>
      <c r="N274" s="28"/>
    </row>
    <row r="275" spans="2:14" x14ac:dyDescent="0.25">
      <c r="B275" s="13">
        <v>2</v>
      </c>
      <c r="C275" s="19" t="s">
        <v>443</v>
      </c>
      <c r="D275" s="20" t="s">
        <v>444</v>
      </c>
      <c r="E275" s="47">
        <v>3603801</v>
      </c>
      <c r="F275" s="28">
        <f t="shared" si="7"/>
        <v>253</v>
      </c>
      <c r="G275" s="28"/>
      <c r="H275" s="28"/>
      <c r="I275" s="30"/>
      <c r="J275" s="20" t="s">
        <v>815</v>
      </c>
      <c r="K275" s="18" t="s">
        <v>389</v>
      </c>
      <c r="L275" s="19" t="s">
        <v>253</v>
      </c>
      <c r="M275" s="28"/>
      <c r="N275" s="28"/>
    </row>
    <row r="276" spans="2:14" x14ac:dyDescent="0.25">
      <c r="B276" s="13">
        <v>2</v>
      </c>
      <c r="C276" s="19" t="s">
        <v>453</v>
      </c>
      <c r="D276" s="20" t="s">
        <v>445</v>
      </c>
      <c r="E276" s="48">
        <v>1119090</v>
      </c>
      <c r="F276" s="28">
        <f t="shared" si="7"/>
        <v>254</v>
      </c>
      <c r="G276" s="28"/>
      <c r="H276" s="28"/>
      <c r="I276" s="30"/>
      <c r="J276" s="20" t="s">
        <v>815</v>
      </c>
      <c r="K276" s="18" t="s">
        <v>389</v>
      </c>
      <c r="L276" s="19" t="s">
        <v>253</v>
      </c>
      <c r="M276" s="28"/>
      <c r="N276" s="28"/>
    </row>
    <row r="277" spans="2:14" x14ac:dyDescent="0.25">
      <c r="B277" s="13">
        <v>2</v>
      </c>
      <c r="C277" s="19" t="s">
        <v>446</v>
      </c>
      <c r="D277" s="20" t="s">
        <v>448</v>
      </c>
      <c r="E277" s="47">
        <v>11857276</v>
      </c>
      <c r="F277" s="28">
        <f t="shared" si="7"/>
        <v>255</v>
      </c>
      <c r="G277" s="28"/>
      <c r="H277" s="28"/>
      <c r="I277" s="30"/>
      <c r="J277" s="20" t="s">
        <v>270</v>
      </c>
      <c r="K277" s="18" t="s">
        <v>389</v>
      </c>
      <c r="L277" s="19" t="s">
        <v>253</v>
      </c>
      <c r="M277" s="28"/>
      <c r="N277" s="28"/>
    </row>
    <row r="278" spans="2:14" x14ac:dyDescent="0.25">
      <c r="B278" s="13">
        <v>2</v>
      </c>
      <c r="C278" s="19" t="s">
        <v>452</v>
      </c>
      <c r="D278" s="20" t="s">
        <v>447</v>
      </c>
      <c r="E278" s="47">
        <v>11862415</v>
      </c>
      <c r="F278" s="28">
        <f t="shared" si="7"/>
        <v>256</v>
      </c>
      <c r="G278" s="28"/>
      <c r="H278" s="28"/>
      <c r="I278" s="30"/>
      <c r="J278" s="20" t="s">
        <v>815</v>
      </c>
      <c r="K278" s="18" t="s">
        <v>389</v>
      </c>
      <c r="L278" s="19" t="s">
        <v>253</v>
      </c>
      <c r="M278" s="28"/>
      <c r="N278" s="28"/>
    </row>
    <row r="279" spans="2:14" x14ac:dyDescent="0.25">
      <c r="B279" s="13">
        <v>2</v>
      </c>
      <c r="C279" s="20" t="s">
        <v>802</v>
      </c>
      <c r="D279" s="20" t="s">
        <v>676</v>
      </c>
      <c r="E279" s="48">
        <v>11678606</v>
      </c>
      <c r="F279" s="28">
        <f t="shared" si="7"/>
        <v>257</v>
      </c>
      <c r="G279" s="28"/>
      <c r="H279" s="28"/>
      <c r="I279" s="31"/>
      <c r="J279" s="20" t="s">
        <v>677</v>
      </c>
      <c r="K279" s="18" t="s">
        <v>389</v>
      </c>
      <c r="L279" s="19" t="s">
        <v>253</v>
      </c>
      <c r="M279" s="28"/>
      <c r="N279" s="28"/>
    </row>
    <row r="280" spans="2:14" x14ac:dyDescent="0.25">
      <c r="B280" s="13">
        <v>2</v>
      </c>
      <c r="C280" s="19" t="s">
        <v>966</v>
      </c>
      <c r="D280" s="37" t="s">
        <v>680</v>
      </c>
      <c r="E280" s="47">
        <v>11623768</v>
      </c>
      <c r="F280" s="28">
        <f t="shared" si="7"/>
        <v>258</v>
      </c>
      <c r="G280" s="28"/>
      <c r="H280" s="28"/>
      <c r="I280" s="31"/>
      <c r="J280" s="20" t="s">
        <v>677</v>
      </c>
      <c r="K280" s="18" t="s">
        <v>389</v>
      </c>
      <c r="L280" s="19" t="s">
        <v>253</v>
      </c>
      <c r="M280" s="28"/>
      <c r="N280" s="28"/>
    </row>
    <row r="281" spans="2:14" x14ac:dyDescent="0.25">
      <c r="B281" s="13">
        <v>2</v>
      </c>
      <c r="C281" s="19" t="s">
        <v>967</v>
      </c>
      <c r="D281" s="37" t="s">
        <v>19</v>
      </c>
      <c r="E281" s="47">
        <v>11507178</v>
      </c>
      <c r="F281" s="28">
        <f t="shared" ref="F281:F308" si="8">F280+1</f>
        <v>259</v>
      </c>
      <c r="G281" s="28"/>
      <c r="H281" s="28"/>
      <c r="I281" s="31"/>
      <c r="J281" s="20" t="s">
        <v>677</v>
      </c>
      <c r="K281" s="18" t="s">
        <v>389</v>
      </c>
      <c r="L281" s="19" t="s">
        <v>253</v>
      </c>
      <c r="M281" s="28"/>
      <c r="N281" s="28"/>
    </row>
    <row r="282" spans="2:14" ht="15.75" thickBot="1" x14ac:dyDescent="0.3">
      <c r="B282" s="96"/>
      <c r="C282" s="92"/>
      <c r="D282" s="98"/>
      <c r="E282" s="65"/>
      <c r="F282" s="76"/>
      <c r="G282" s="76"/>
      <c r="H282" s="76"/>
      <c r="I282" s="99"/>
      <c r="J282" s="74"/>
      <c r="K282" s="73"/>
      <c r="L282" s="92"/>
      <c r="M282" s="76"/>
      <c r="N282" s="76"/>
    </row>
    <row r="283" spans="2:14" x14ac:dyDescent="0.25">
      <c r="B283" s="2"/>
      <c r="C283" s="1"/>
      <c r="D283" s="1"/>
      <c r="E283" s="3"/>
      <c r="F283" s="89" t="s">
        <v>1045</v>
      </c>
      <c r="G283" s="87"/>
      <c r="H283" s="87"/>
      <c r="I283" s="88"/>
      <c r="J283" s="88"/>
      <c r="K283" s="3"/>
      <c r="L283" s="4"/>
      <c r="M283" s="16" t="s">
        <v>0</v>
      </c>
      <c r="N283" s="5"/>
    </row>
    <row r="284" spans="2:14" x14ac:dyDescent="0.25">
      <c r="B284" s="15" t="s">
        <v>1</v>
      </c>
      <c r="C284" s="16" t="s">
        <v>2</v>
      </c>
      <c r="D284" s="16" t="s">
        <v>3</v>
      </c>
      <c r="E284" s="16" t="s">
        <v>4</v>
      </c>
      <c r="F284" s="16" t="s">
        <v>5</v>
      </c>
      <c r="G284" s="16" t="s">
        <v>6</v>
      </c>
      <c r="H284" s="16" t="s">
        <v>7</v>
      </c>
      <c r="I284" s="16" t="s">
        <v>8</v>
      </c>
      <c r="J284" s="16" t="s">
        <v>9</v>
      </c>
      <c r="K284" s="16" t="s">
        <v>387</v>
      </c>
      <c r="L284" s="16" t="s">
        <v>10</v>
      </c>
      <c r="M284" s="16" t="s">
        <v>11</v>
      </c>
      <c r="N284" s="17" t="s">
        <v>12</v>
      </c>
    </row>
    <row r="285" spans="2:14" x14ac:dyDescent="0.25">
      <c r="B285" s="94">
        <f>2000+90+45+250</f>
        <v>2385</v>
      </c>
      <c r="C285" s="91" t="s">
        <v>359</v>
      </c>
      <c r="D285" s="59" t="s">
        <v>75</v>
      </c>
      <c r="E285" s="80">
        <v>10768044</v>
      </c>
      <c r="F285" s="61">
        <f>F281+1</f>
        <v>260</v>
      </c>
      <c r="G285" s="61"/>
      <c r="H285" s="61"/>
      <c r="I285" s="100"/>
      <c r="J285" s="59" t="s">
        <v>259</v>
      </c>
      <c r="K285" s="58" t="s">
        <v>388</v>
      </c>
      <c r="L285" s="91" t="s">
        <v>615</v>
      </c>
      <c r="M285" s="61"/>
      <c r="N285" s="61"/>
    </row>
    <row r="286" spans="2:14" x14ac:dyDescent="0.25">
      <c r="B286" s="13">
        <f>1500+1500</f>
        <v>3000</v>
      </c>
      <c r="C286" s="19" t="s">
        <v>423</v>
      </c>
      <c r="D286" s="20" t="s">
        <v>424</v>
      </c>
      <c r="E286" s="47">
        <v>9634719</v>
      </c>
      <c r="F286" s="28">
        <f t="shared" si="8"/>
        <v>261</v>
      </c>
      <c r="G286" s="28"/>
      <c r="H286" s="28"/>
      <c r="I286" s="30"/>
      <c r="J286" s="20" t="s">
        <v>267</v>
      </c>
      <c r="K286" s="18" t="s">
        <v>390</v>
      </c>
      <c r="L286" s="19" t="s">
        <v>615</v>
      </c>
      <c r="M286" s="28"/>
      <c r="N286" s="28"/>
    </row>
    <row r="287" spans="2:14" x14ac:dyDescent="0.25">
      <c r="B287" s="13">
        <v>1500</v>
      </c>
      <c r="C287" s="19" t="s">
        <v>821</v>
      </c>
      <c r="D287" s="20" t="s">
        <v>718</v>
      </c>
      <c r="E287" s="47">
        <v>10771097</v>
      </c>
      <c r="F287" s="28">
        <f t="shared" si="8"/>
        <v>262</v>
      </c>
      <c r="G287" s="28"/>
      <c r="H287" s="28"/>
      <c r="I287" s="30"/>
      <c r="J287" s="20" t="s">
        <v>259</v>
      </c>
      <c r="K287" s="18" t="s">
        <v>388</v>
      </c>
      <c r="L287" s="19" t="s">
        <v>615</v>
      </c>
      <c r="M287" s="28"/>
      <c r="N287" s="28"/>
    </row>
    <row r="288" spans="2:14" x14ac:dyDescent="0.25">
      <c r="B288" s="13">
        <v>1200</v>
      </c>
      <c r="C288" s="19" t="s">
        <v>825</v>
      </c>
      <c r="D288" s="20" t="s">
        <v>496</v>
      </c>
      <c r="E288" s="47">
        <v>9651367</v>
      </c>
      <c r="F288" s="28">
        <f t="shared" si="8"/>
        <v>263</v>
      </c>
      <c r="G288" s="28"/>
      <c r="H288" s="28"/>
      <c r="I288" s="30"/>
      <c r="J288" s="20" t="s">
        <v>824</v>
      </c>
      <c r="K288" s="18" t="s">
        <v>390</v>
      </c>
      <c r="L288" s="19" t="s">
        <v>615</v>
      </c>
      <c r="M288" s="28"/>
      <c r="N288" s="28"/>
    </row>
    <row r="289" spans="2:14" x14ac:dyDescent="0.25">
      <c r="B289" s="13">
        <v>1200</v>
      </c>
      <c r="C289" s="29" t="s">
        <v>968</v>
      </c>
      <c r="D289" s="20" t="s">
        <v>69</v>
      </c>
      <c r="E289" s="46">
        <v>1427138</v>
      </c>
      <c r="F289" s="28">
        <f t="shared" si="8"/>
        <v>264</v>
      </c>
      <c r="G289" s="28"/>
      <c r="H289" s="28"/>
      <c r="I289" s="30"/>
      <c r="J289" s="20" t="s">
        <v>822</v>
      </c>
      <c r="K289" s="18" t="s">
        <v>388</v>
      </c>
      <c r="L289" s="19" t="s">
        <v>615</v>
      </c>
      <c r="M289" s="28"/>
      <c r="N289" s="28"/>
    </row>
    <row r="290" spans="2:14" x14ac:dyDescent="0.25">
      <c r="B290" s="13">
        <v>400</v>
      </c>
      <c r="C290" s="19" t="s">
        <v>657</v>
      </c>
      <c r="D290" s="20" t="s">
        <v>163</v>
      </c>
      <c r="E290" s="48">
        <v>10770437</v>
      </c>
      <c r="F290" s="28">
        <f t="shared" si="8"/>
        <v>265</v>
      </c>
      <c r="G290" s="28"/>
      <c r="H290" s="28"/>
      <c r="I290" s="30"/>
      <c r="J290" s="20" t="s">
        <v>259</v>
      </c>
      <c r="K290" s="18" t="s">
        <v>388</v>
      </c>
      <c r="L290" s="19" t="s">
        <v>615</v>
      </c>
      <c r="M290" s="28"/>
      <c r="N290" s="28"/>
    </row>
    <row r="291" spans="2:14" x14ac:dyDescent="0.25">
      <c r="B291" s="13">
        <v>45</v>
      </c>
      <c r="C291" s="19" t="s">
        <v>612</v>
      </c>
      <c r="D291" s="20" t="s">
        <v>199</v>
      </c>
      <c r="E291" s="47">
        <v>9036824</v>
      </c>
      <c r="F291" s="28">
        <f t="shared" si="8"/>
        <v>266</v>
      </c>
      <c r="G291" s="28"/>
      <c r="H291" s="28"/>
      <c r="I291" s="30"/>
      <c r="J291" s="20" t="s">
        <v>969</v>
      </c>
      <c r="K291" s="18" t="s">
        <v>394</v>
      </c>
      <c r="L291" s="19" t="s">
        <v>615</v>
      </c>
      <c r="M291" s="28"/>
      <c r="N291" s="28"/>
    </row>
    <row r="292" spans="2:14" x14ac:dyDescent="0.25">
      <c r="B292" s="13">
        <v>45</v>
      </c>
      <c r="C292" s="19" t="s">
        <v>613</v>
      </c>
      <c r="D292" s="20" t="s">
        <v>186</v>
      </c>
      <c r="E292" s="47">
        <v>10775388</v>
      </c>
      <c r="F292" s="28">
        <f t="shared" si="8"/>
        <v>267</v>
      </c>
      <c r="G292" s="28"/>
      <c r="H292" s="28"/>
      <c r="I292" s="30"/>
      <c r="J292" s="20" t="s">
        <v>259</v>
      </c>
      <c r="K292" s="25" t="s">
        <v>388</v>
      </c>
      <c r="L292" s="19" t="s">
        <v>615</v>
      </c>
      <c r="M292" s="28"/>
      <c r="N292" s="28"/>
    </row>
    <row r="293" spans="2:14" x14ac:dyDescent="0.25">
      <c r="B293" s="13">
        <v>5</v>
      </c>
      <c r="C293" s="19" t="s">
        <v>415</v>
      </c>
      <c r="D293" s="20" t="s">
        <v>416</v>
      </c>
      <c r="E293" s="47">
        <v>11855650</v>
      </c>
      <c r="F293" s="28">
        <f t="shared" si="8"/>
        <v>268</v>
      </c>
      <c r="G293" s="28"/>
      <c r="H293" s="28"/>
      <c r="I293" s="30"/>
      <c r="J293" s="20" t="s">
        <v>270</v>
      </c>
      <c r="K293" s="25" t="s">
        <v>389</v>
      </c>
      <c r="L293" s="19" t="s">
        <v>615</v>
      </c>
      <c r="M293" s="28"/>
      <c r="N293" s="28"/>
    </row>
    <row r="294" spans="2:14" x14ac:dyDescent="0.25">
      <c r="B294" s="96"/>
      <c r="C294" s="92"/>
      <c r="D294" s="74"/>
      <c r="E294" s="67"/>
      <c r="F294" s="76"/>
      <c r="G294" s="76"/>
      <c r="H294" s="76"/>
      <c r="I294" s="102"/>
      <c r="J294" s="74"/>
      <c r="L294" s="92"/>
      <c r="M294" s="76"/>
      <c r="N294" s="76"/>
    </row>
    <row r="295" spans="2:14" x14ac:dyDescent="0.25">
      <c r="B295" s="96"/>
      <c r="C295" s="92"/>
      <c r="D295" s="74"/>
      <c r="E295" s="67"/>
      <c r="F295" s="76"/>
      <c r="G295" s="76"/>
      <c r="H295" s="76"/>
      <c r="I295" s="102"/>
      <c r="J295" s="74"/>
      <c r="L295" s="92"/>
      <c r="M295" s="76"/>
      <c r="N295" s="76"/>
    </row>
    <row r="296" spans="2:14" ht="18" customHeight="1" thickBot="1" x14ac:dyDescent="0.3">
      <c r="B296" s="96"/>
      <c r="C296" s="92"/>
      <c r="D296" s="74"/>
      <c r="E296" s="67"/>
      <c r="F296" s="76"/>
      <c r="G296" s="76"/>
      <c r="H296" s="76"/>
      <c r="I296" s="102"/>
      <c r="J296" s="74"/>
      <c r="K296" s="73"/>
      <c r="L296" s="92"/>
      <c r="M296" s="76"/>
      <c r="N296" s="76"/>
    </row>
    <row r="297" spans="2:14" x14ac:dyDescent="0.25">
      <c r="B297" s="2"/>
      <c r="C297" s="1"/>
      <c r="D297" s="1"/>
      <c r="E297" s="3"/>
      <c r="F297" s="89" t="s">
        <v>1046</v>
      </c>
      <c r="G297" s="87"/>
      <c r="H297" s="87"/>
      <c r="I297" s="88"/>
      <c r="J297" s="88"/>
      <c r="K297" s="3"/>
      <c r="L297" s="4"/>
      <c r="M297" s="16" t="s">
        <v>0</v>
      </c>
      <c r="N297" s="5"/>
    </row>
    <row r="298" spans="2:14" x14ac:dyDescent="0.25">
      <c r="B298" s="15" t="s">
        <v>1</v>
      </c>
      <c r="C298" s="16" t="s">
        <v>2</v>
      </c>
      <c r="D298" s="16" t="s">
        <v>3</v>
      </c>
      <c r="E298" s="16" t="s">
        <v>4</v>
      </c>
      <c r="F298" s="16" t="s">
        <v>5</v>
      </c>
      <c r="G298" s="16" t="s">
        <v>6</v>
      </c>
      <c r="H298" s="16" t="s">
        <v>7</v>
      </c>
      <c r="I298" s="16" t="s">
        <v>8</v>
      </c>
      <c r="J298" s="16" t="s">
        <v>9</v>
      </c>
      <c r="K298" s="16" t="s">
        <v>387</v>
      </c>
      <c r="L298" s="16" t="s">
        <v>10</v>
      </c>
      <c r="M298" s="16" t="s">
        <v>11</v>
      </c>
      <c r="N298" s="17" t="s">
        <v>12</v>
      </c>
    </row>
    <row r="299" spans="2:14" x14ac:dyDescent="0.25">
      <c r="B299" s="94">
        <f>1500+45</f>
        <v>1545</v>
      </c>
      <c r="C299" s="91" t="s">
        <v>506</v>
      </c>
      <c r="D299" s="59" t="s">
        <v>59</v>
      </c>
      <c r="E299" s="80">
        <v>11855543</v>
      </c>
      <c r="F299" s="61">
        <f>F293+1</f>
        <v>269</v>
      </c>
      <c r="G299" s="61"/>
      <c r="H299" s="61"/>
      <c r="I299" s="100"/>
      <c r="J299" s="59" t="s">
        <v>270</v>
      </c>
      <c r="K299" s="58" t="s">
        <v>389</v>
      </c>
      <c r="L299" s="91" t="s">
        <v>616</v>
      </c>
      <c r="M299" s="61"/>
      <c r="N299" s="61"/>
    </row>
    <row r="300" spans="2:14" x14ac:dyDescent="0.25">
      <c r="B300" s="13">
        <v>1500</v>
      </c>
      <c r="C300" s="19" t="s">
        <v>415</v>
      </c>
      <c r="D300" s="20" t="s">
        <v>416</v>
      </c>
      <c r="E300" s="47">
        <v>11855650</v>
      </c>
      <c r="F300" s="28">
        <f t="shared" si="8"/>
        <v>270</v>
      </c>
      <c r="G300" s="28"/>
      <c r="H300" s="28"/>
      <c r="I300" s="30"/>
      <c r="J300" s="20" t="s">
        <v>270</v>
      </c>
      <c r="K300" s="18" t="s">
        <v>389</v>
      </c>
      <c r="L300" s="19" t="s">
        <v>616</v>
      </c>
      <c r="M300" s="28"/>
      <c r="N300" s="28"/>
    </row>
    <row r="301" spans="2:14" x14ac:dyDescent="0.25">
      <c r="B301" s="13">
        <v>1200</v>
      </c>
      <c r="C301" s="19" t="s">
        <v>828</v>
      </c>
      <c r="D301" s="20" t="s">
        <v>36</v>
      </c>
      <c r="E301" s="47">
        <v>10772574</v>
      </c>
      <c r="F301" s="28">
        <f t="shared" si="8"/>
        <v>271</v>
      </c>
      <c r="G301" s="28"/>
      <c r="H301" s="28"/>
      <c r="I301" s="30"/>
      <c r="J301" s="20" t="s">
        <v>761</v>
      </c>
      <c r="K301" s="18" t="s">
        <v>388</v>
      </c>
      <c r="L301" s="19" t="s">
        <v>616</v>
      </c>
      <c r="M301" s="28"/>
      <c r="N301" s="28"/>
    </row>
    <row r="302" spans="2:14" x14ac:dyDescent="0.25">
      <c r="B302" s="13">
        <v>1200</v>
      </c>
      <c r="C302" s="19" t="s">
        <v>870</v>
      </c>
      <c r="D302" s="20" t="s">
        <v>532</v>
      </c>
      <c r="E302" s="47">
        <v>10772475</v>
      </c>
      <c r="F302" s="28">
        <f t="shared" si="8"/>
        <v>272</v>
      </c>
      <c r="G302" s="28"/>
      <c r="H302" s="28"/>
      <c r="I302" s="30"/>
      <c r="J302" s="20" t="s">
        <v>259</v>
      </c>
      <c r="K302" s="18" t="s">
        <v>388</v>
      </c>
      <c r="L302" s="19" t="s">
        <v>616</v>
      </c>
      <c r="M302" s="28"/>
      <c r="N302" s="28"/>
    </row>
    <row r="303" spans="2:14" x14ac:dyDescent="0.25">
      <c r="B303" s="13">
        <v>750</v>
      </c>
      <c r="C303" s="19" t="s">
        <v>504</v>
      </c>
      <c r="D303" s="20" t="s">
        <v>617</v>
      </c>
      <c r="E303" s="46">
        <v>8068282</v>
      </c>
      <c r="F303" s="28">
        <f t="shared" si="8"/>
        <v>273</v>
      </c>
      <c r="G303" s="28"/>
      <c r="H303" s="28"/>
      <c r="I303" s="30"/>
      <c r="J303" s="20" t="s">
        <v>259</v>
      </c>
      <c r="K303" s="18" t="s">
        <v>388</v>
      </c>
      <c r="L303" s="19" t="s">
        <v>616</v>
      </c>
      <c r="M303" s="28"/>
      <c r="N303" s="28"/>
    </row>
    <row r="304" spans="2:14" x14ac:dyDescent="0.25">
      <c r="B304" s="13">
        <v>750</v>
      </c>
      <c r="C304" s="19" t="s">
        <v>940</v>
      </c>
      <c r="D304" s="20" t="s">
        <v>941</v>
      </c>
      <c r="E304" s="47">
        <v>10772756</v>
      </c>
      <c r="F304" s="28">
        <f t="shared" si="8"/>
        <v>274</v>
      </c>
      <c r="G304" s="28"/>
      <c r="H304" s="28"/>
      <c r="I304" s="30"/>
      <c r="J304" s="20" t="s">
        <v>259</v>
      </c>
      <c r="K304" s="18" t="s">
        <v>388</v>
      </c>
      <c r="L304" s="19" t="s">
        <v>616</v>
      </c>
      <c r="M304" s="28"/>
      <c r="N304" s="28"/>
    </row>
    <row r="305" spans="2:14" x14ac:dyDescent="0.25">
      <c r="B305" s="13">
        <v>400</v>
      </c>
      <c r="C305" s="19" t="s">
        <v>618</v>
      </c>
      <c r="D305" s="20" t="s">
        <v>69</v>
      </c>
      <c r="E305" s="48">
        <v>10298380</v>
      </c>
      <c r="F305" s="28">
        <f t="shared" si="8"/>
        <v>275</v>
      </c>
      <c r="G305" s="28"/>
      <c r="H305" s="28"/>
      <c r="I305" s="30"/>
      <c r="J305" s="20" t="s">
        <v>259</v>
      </c>
      <c r="K305" s="18" t="s">
        <v>388</v>
      </c>
      <c r="L305" s="19" t="s">
        <v>616</v>
      </c>
      <c r="M305" s="28"/>
      <c r="N305" s="28"/>
    </row>
    <row r="306" spans="2:14" x14ac:dyDescent="0.25">
      <c r="B306" s="13">
        <v>400</v>
      </c>
      <c r="C306" s="19" t="s">
        <v>619</v>
      </c>
      <c r="D306" s="20" t="s">
        <v>62</v>
      </c>
      <c r="E306" s="47">
        <v>10774512</v>
      </c>
      <c r="F306" s="28">
        <f t="shared" si="8"/>
        <v>276</v>
      </c>
      <c r="G306" s="28"/>
      <c r="H306" s="28"/>
      <c r="I306" s="30"/>
      <c r="J306" s="20" t="s">
        <v>259</v>
      </c>
      <c r="K306" s="18" t="s">
        <v>388</v>
      </c>
      <c r="L306" s="19" t="s">
        <v>616</v>
      </c>
      <c r="M306" s="28"/>
      <c r="N306" s="28"/>
    </row>
    <row r="307" spans="2:14" x14ac:dyDescent="0.25">
      <c r="B307" s="13">
        <v>375</v>
      </c>
      <c r="C307" s="19" t="s">
        <v>938</v>
      </c>
      <c r="D307" s="20" t="s">
        <v>939</v>
      </c>
      <c r="E307" s="48">
        <v>10772871</v>
      </c>
      <c r="F307" s="28">
        <f t="shared" si="8"/>
        <v>277</v>
      </c>
      <c r="G307" s="28"/>
      <c r="H307" s="28"/>
      <c r="I307" s="30"/>
      <c r="J307" s="20" t="s">
        <v>259</v>
      </c>
      <c r="K307" s="18" t="s">
        <v>388</v>
      </c>
      <c r="L307" s="19" t="s">
        <v>616</v>
      </c>
      <c r="M307" s="28"/>
      <c r="N307" s="28"/>
    </row>
    <row r="308" spans="2:14" x14ac:dyDescent="0.25">
      <c r="B308" s="13">
        <v>150</v>
      </c>
      <c r="C308" s="19" t="s">
        <v>711</v>
      </c>
      <c r="D308" s="20" t="s">
        <v>712</v>
      </c>
      <c r="E308" s="47">
        <v>10778283</v>
      </c>
      <c r="F308" s="28">
        <f t="shared" si="8"/>
        <v>278</v>
      </c>
      <c r="G308" s="28"/>
      <c r="H308" s="28"/>
      <c r="I308" s="30"/>
      <c r="J308" s="20" t="s">
        <v>259</v>
      </c>
      <c r="K308" s="18" t="s">
        <v>388</v>
      </c>
      <c r="L308" s="19" t="s">
        <v>616</v>
      </c>
      <c r="M308" s="28"/>
      <c r="N308" s="28"/>
    </row>
  </sheetData>
  <mergeCells count="1">
    <mergeCell ref="C4:L4"/>
  </mergeCells>
  <hyperlinks>
    <hyperlink ref="E63" r:id="rId1" display="https://portal.fctennis.cat/app/jugador/historial/01763095/3503/torneos.mensual/2"/>
    <hyperlink ref="E64" r:id="rId2" display="https://portal.fctennis.cat/app/jugador/historial/06027412/3503/torneos.mensual/2"/>
    <hyperlink ref="E78" r:id="rId3" display="https://portal.fctennis.cat/app/jugador/historial/11855907/3503/torneos.mensual/2"/>
    <hyperlink ref="E79" r:id="rId4" display="https://portal.fctennis.cat/app/jugador/historial/11855890/3503/torneos.mensual/2"/>
    <hyperlink ref="E61" r:id="rId5" display="https://portal.fctennis.cat/app/jugador/historial/11855303/3503/torneos.mensual/2"/>
    <hyperlink ref="C293" r:id="rId6" display="https://portal.fctennis.cat/app/jugador/historial/11855650/3503/torneos.mensual/2"/>
    <hyperlink ref="E293" r:id="rId7" display="https://portal.fctennis.cat/app/jugador/historial/11855650/3503/torneos.mensual/2"/>
  </hyperlinks>
  <pageMargins left="0.70866141732283472" right="0.70866141732283472" top="0.74803149606299213" bottom="0.74803149606299213" header="0.31496062992125984" footer="0.31496062992125984"/>
  <pageSetup paperSize="9" scale="71" fitToHeight="0" orientation="landscape" horizontalDpi="1200" verticalDpi="1200" r:id="rId8"/>
  <headerFooter>
    <oddFooter>&amp;A&amp;RPágina &amp;P</oddFooter>
  </headerFooter>
  <drawing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138"/>
  <sheetViews>
    <sheetView zoomScaleNormal="100" workbookViewId="0">
      <selection activeCell="J16" sqref="J16"/>
    </sheetView>
  </sheetViews>
  <sheetFormatPr baseColWidth="10" defaultRowHeight="15.75" x14ac:dyDescent="0.25"/>
  <cols>
    <col min="1" max="1" width="3.42578125" customWidth="1"/>
    <col min="3" max="3" width="23.5703125" bestFit="1" customWidth="1"/>
    <col min="4" max="4" width="17.42578125" bestFit="1" customWidth="1"/>
    <col min="5" max="5" width="14.28515625" style="27" bestFit="1" customWidth="1"/>
    <col min="6" max="6" width="5.42578125" customWidth="1"/>
    <col min="7" max="7" width="5.7109375" customWidth="1"/>
    <col min="8" max="8" width="6.7109375" customWidth="1"/>
    <col min="9" max="9" width="6.140625" customWidth="1"/>
    <col min="10" max="10" width="48.42578125" customWidth="1"/>
    <col min="11" max="11" width="13.140625" style="25" customWidth="1"/>
    <col min="12" max="12" width="26.7109375" bestFit="1" customWidth="1"/>
    <col min="13" max="13" width="3.42578125" bestFit="1" customWidth="1"/>
    <col min="14" max="14" width="5.7109375" bestFit="1" customWidth="1"/>
  </cols>
  <sheetData>
    <row r="1" spans="2:14" s="1" customFormat="1" ht="15" x14ac:dyDescent="0.2">
      <c r="B1" s="2"/>
      <c r="E1" s="26"/>
      <c r="F1" s="3"/>
      <c r="G1" s="4"/>
      <c r="H1" s="4"/>
      <c r="I1" s="4"/>
      <c r="K1" s="3"/>
      <c r="L1" s="4"/>
      <c r="M1" s="4"/>
      <c r="N1" s="5"/>
    </row>
    <row r="2" spans="2:14" s="1" customFormat="1" ht="15" x14ac:dyDescent="0.2">
      <c r="B2" s="2"/>
      <c r="E2" s="26"/>
      <c r="F2" s="3"/>
      <c r="G2" s="4"/>
      <c r="H2" s="4"/>
      <c r="I2" s="4"/>
      <c r="K2" s="3"/>
      <c r="L2" s="4"/>
      <c r="M2" s="4"/>
      <c r="N2" s="6"/>
    </row>
    <row r="3" spans="2:14" s="1" customFormat="1" ht="15" x14ac:dyDescent="0.2">
      <c r="B3" s="2"/>
      <c r="E3" s="26"/>
      <c r="F3" s="3"/>
      <c r="G3" s="4"/>
      <c r="H3" s="4"/>
      <c r="I3" s="4"/>
      <c r="K3" s="3"/>
      <c r="L3" s="4"/>
      <c r="M3" s="4"/>
      <c r="N3" s="5"/>
    </row>
    <row r="4" spans="2:14" s="1" customFormat="1" ht="12.75" x14ac:dyDescent="0.2">
      <c r="B4" s="2"/>
      <c r="C4" s="104" t="s">
        <v>1062</v>
      </c>
      <c r="D4" s="104"/>
      <c r="E4" s="104"/>
      <c r="F4" s="104"/>
      <c r="G4" s="104"/>
      <c r="H4" s="104"/>
      <c r="I4" s="104"/>
      <c r="J4" s="104"/>
      <c r="K4" s="104"/>
      <c r="L4" s="4"/>
      <c r="M4" s="4"/>
      <c r="N4" s="5"/>
    </row>
    <row r="5" spans="2:14" s="1" customFormat="1" ht="13.5" thickBot="1" x14ac:dyDescent="0.25">
      <c r="B5" s="2"/>
      <c r="C5" s="45"/>
      <c r="D5" s="45"/>
      <c r="E5" s="45"/>
      <c r="F5" s="45"/>
      <c r="G5" s="45"/>
      <c r="H5" s="45"/>
      <c r="I5" s="45"/>
      <c r="J5" s="45"/>
      <c r="K5" s="45"/>
      <c r="L5" s="4"/>
      <c r="M5" s="4"/>
      <c r="N5" s="5"/>
    </row>
    <row r="6" spans="2:14" s="1" customFormat="1" thickBot="1" x14ac:dyDescent="0.25">
      <c r="B6" s="2"/>
      <c r="E6" s="26"/>
      <c r="F6" s="89" t="s">
        <v>1047</v>
      </c>
      <c r="G6" s="87"/>
      <c r="H6" s="87"/>
      <c r="I6" s="88"/>
      <c r="J6" s="88"/>
      <c r="K6" s="3"/>
      <c r="L6" s="4"/>
      <c r="M6" s="7" t="s">
        <v>0</v>
      </c>
      <c r="N6" s="5"/>
    </row>
    <row r="7" spans="2:14" s="1" customFormat="1" ht="15" customHeight="1" x14ac:dyDescent="0.2">
      <c r="B7" s="8" t="s">
        <v>1</v>
      </c>
      <c r="C7" s="9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9" t="s">
        <v>9</v>
      </c>
      <c r="K7" s="16" t="s">
        <v>387</v>
      </c>
      <c r="L7" s="9" t="s">
        <v>10</v>
      </c>
      <c r="M7" s="11" t="s">
        <v>11</v>
      </c>
      <c r="N7" s="12" t="s">
        <v>12</v>
      </c>
    </row>
    <row r="8" spans="2:14" ht="15" x14ac:dyDescent="0.25">
      <c r="B8" s="18">
        <f>2000+1500+1200+1500+1500</f>
        <v>7700</v>
      </c>
      <c r="C8" s="20" t="s">
        <v>310</v>
      </c>
      <c r="D8" s="20" t="s">
        <v>109</v>
      </c>
      <c r="E8" s="47">
        <v>8318942</v>
      </c>
      <c r="F8" s="28">
        <v>1</v>
      </c>
      <c r="G8" s="28"/>
      <c r="H8" s="28"/>
      <c r="I8" s="21"/>
      <c r="J8" s="20" t="s">
        <v>295</v>
      </c>
      <c r="K8" s="21" t="s">
        <v>771</v>
      </c>
      <c r="L8" s="19" t="s">
        <v>591</v>
      </c>
      <c r="M8" s="22"/>
      <c r="N8" s="23"/>
    </row>
    <row r="9" spans="2:14" ht="15" x14ac:dyDescent="0.25">
      <c r="B9" s="18">
        <f>2000+2000+1500+375+1200</f>
        <v>7075</v>
      </c>
      <c r="C9" s="20" t="s">
        <v>308</v>
      </c>
      <c r="D9" s="20" t="s">
        <v>108</v>
      </c>
      <c r="E9" s="46">
        <v>7238183</v>
      </c>
      <c r="F9" s="28">
        <f>F8+1</f>
        <v>2</v>
      </c>
      <c r="G9" s="28"/>
      <c r="H9" s="28"/>
      <c r="I9" s="21"/>
      <c r="J9" s="20" t="s">
        <v>309</v>
      </c>
      <c r="K9" s="21" t="s">
        <v>388</v>
      </c>
      <c r="L9" s="19" t="s">
        <v>591</v>
      </c>
      <c r="M9" s="22"/>
      <c r="N9" s="23"/>
    </row>
    <row r="10" spans="2:14" ht="15" x14ac:dyDescent="0.25">
      <c r="B10" s="18">
        <f>1500+1000+500+1200</f>
        <v>4200</v>
      </c>
      <c r="C10" s="20" t="s">
        <v>311</v>
      </c>
      <c r="D10" s="20" t="s">
        <v>112</v>
      </c>
      <c r="E10" s="47">
        <v>10768911</v>
      </c>
      <c r="F10" s="28">
        <f>F9+1</f>
        <v>3</v>
      </c>
      <c r="G10" s="28"/>
      <c r="H10" s="28"/>
      <c r="I10" s="21"/>
      <c r="J10" s="20" t="s">
        <v>259</v>
      </c>
      <c r="K10" s="21" t="s">
        <v>388</v>
      </c>
      <c r="L10" s="19" t="s">
        <v>591</v>
      </c>
      <c r="M10" s="22"/>
      <c r="N10" s="23"/>
    </row>
    <row r="11" spans="2:14" ht="15" x14ac:dyDescent="0.25">
      <c r="B11" s="18">
        <f>100+600+45+1200+1500</f>
        <v>3445</v>
      </c>
      <c r="C11" s="19" t="s">
        <v>90</v>
      </c>
      <c r="D11" s="20" t="s">
        <v>131</v>
      </c>
      <c r="E11" s="48">
        <v>11855501</v>
      </c>
      <c r="F11" s="28">
        <f>F10+1</f>
        <v>4</v>
      </c>
      <c r="G11" s="28"/>
      <c r="H11" s="28"/>
      <c r="I11" s="24"/>
      <c r="J11" s="20" t="s">
        <v>270</v>
      </c>
      <c r="K11" s="21" t="s">
        <v>389</v>
      </c>
      <c r="L11" s="19" t="s">
        <v>591</v>
      </c>
      <c r="M11" s="22"/>
      <c r="N11" s="23"/>
    </row>
    <row r="12" spans="2:14" ht="15" x14ac:dyDescent="0.25">
      <c r="B12" s="18">
        <f>1500+1000+500</f>
        <v>3000</v>
      </c>
      <c r="C12" s="38" t="s">
        <v>110</v>
      </c>
      <c r="D12" s="38" t="s">
        <v>111</v>
      </c>
      <c r="E12" s="53">
        <v>10769042</v>
      </c>
      <c r="F12" s="54" t="s">
        <v>403</v>
      </c>
      <c r="G12" s="28"/>
      <c r="H12" s="28"/>
      <c r="I12" s="21"/>
      <c r="J12" s="20" t="s">
        <v>259</v>
      </c>
      <c r="K12" s="21" t="s">
        <v>388</v>
      </c>
      <c r="L12" s="19" t="s">
        <v>591</v>
      </c>
      <c r="M12" s="22"/>
      <c r="N12" s="23"/>
    </row>
    <row r="13" spans="2:14" ht="15" x14ac:dyDescent="0.25">
      <c r="B13" s="18">
        <f>1500+1200</f>
        <v>2700</v>
      </c>
      <c r="C13" s="19" t="s">
        <v>201</v>
      </c>
      <c r="D13" s="20" t="s">
        <v>141</v>
      </c>
      <c r="E13" s="47">
        <v>10767327</v>
      </c>
      <c r="F13" s="28">
        <f>F11+1</f>
        <v>5</v>
      </c>
      <c r="G13" s="28"/>
      <c r="H13" s="28"/>
      <c r="I13" s="21"/>
      <c r="J13" s="20" t="s">
        <v>259</v>
      </c>
      <c r="K13" s="21" t="s">
        <v>388</v>
      </c>
      <c r="L13" s="19" t="s">
        <v>591</v>
      </c>
      <c r="M13" s="22"/>
      <c r="N13" s="23"/>
    </row>
    <row r="14" spans="2:14" ht="15" x14ac:dyDescent="0.25">
      <c r="B14" s="18">
        <f>1500+750</f>
        <v>2250</v>
      </c>
      <c r="C14" s="19" t="s">
        <v>1019</v>
      </c>
      <c r="D14" s="20" t="s">
        <v>141</v>
      </c>
      <c r="E14" s="48">
        <v>9527782</v>
      </c>
      <c r="F14" s="28">
        <f>F13+1</f>
        <v>6</v>
      </c>
      <c r="G14" s="28"/>
      <c r="H14" s="28"/>
      <c r="I14" s="21"/>
      <c r="J14" s="20" t="s">
        <v>295</v>
      </c>
      <c r="K14" s="21" t="s">
        <v>771</v>
      </c>
      <c r="L14" s="19" t="s">
        <v>591</v>
      </c>
      <c r="M14" s="22"/>
      <c r="N14" s="23"/>
    </row>
    <row r="15" spans="2:14" ht="15" x14ac:dyDescent="0.25">
      <c r="B15" s="18">
        <f>180+1500</f>
        <v>1680</v>
      </c>
      <c r="C15" s="19" t="s">
        <v>312</v>
      </c>
      <c r="D15" s="20" t="s">
        <v>122</v>
      </c>
      <c r="E15" s="48">
        <v>10768078</v>
      </c>
      <c r="F15" s="28">
        <f t="shared" ref="F15:F29" si="0">F14+1</f>
        <v>7</v>
      </c>
      <c r="G15" s="28"/>
      <c r="H15" s="28"/>
      <c r="I15" s="21"/>
      <c r="J15" s="20" t="s">
        <v>295</v>
      </c>
      <c r="K15" s="21" t="s">
        <v>771</v>
      </c>
      <c r="L15" s="19" t="s">
        <v>591</v>
      </c>
      <c r="M15" s="22"/>
      <c r="N15" s="23"/>
    </row>
    <row r="16" spans="2:14" ht="15" x14ac:dyDescent="0.25">
      <c r="B16" s="18">
        <f>100+600+180+45+750</f>
        <v>1675</v>
      </c>
      <c r="C16" s="19" t="s">
        <v>130</v>
      </c>
      <c r="D16" s="20" t="s">
        <v>117</v>
      </c>
      <c r="E16" s="48">
        <v>11855882</v>
      </c>
      <c r="F16" s="28">
        <f t="shared" si="0"/>
        <v>8</v>
      </c>
      <c r="G16" s="28"/>
      <c r="H16" s="28"/>
      <c r="I16" s="24"/>
      <c r="J16" s="20" t="s">
        <v>319</v>
      </c>
      <c r="K16" s="21" t="s">
        <v>389</v>
      </c>
      <c r="L16" s="19" t="s">
        <v>591</v>
      </c>
      <c r="M16" s="22"/>
      <c r="N16" s="23"/>
    </row>
    <row r="17" spans="2:17" ht="15" x14ac:dyDescent="0.25">
      <c r="B17" s="18">
        <v>1500</v>
      </c>
      <c r="C17" s="34" t="s">
        <v>984</v>
      </c>
      <c r="D17" s="20" t="s">
        <v>639</v>
      </c>
      <c r="E17" s="47">
        <v>8662901</v>
      </c>
      <c r="F17" s="28">
        <f t="shared" si="0"/>
        <v>9</v>
      </c>
      <c r="G17" s="28"/>
      <c r="H17" s="28"/>
      <c r="I17" s="21"/>
      <c r="J17" s="20" t="s">
        <v>259</v>
      </c>
      <c r="K17" s="21" t="s">
        <v>388</v>
      </c>
      <c r="L17" s="19" t="s">
        <v>591</v>
      </c>
      <c r="M17" s="22"/>
      <c r="N17" s="23"/>
    </row>
    <row r="18" spans="2:17" ht="15" x14ac:dyDescent="0.25">
      <c r="B18" s="18">
        <f>90+45+750+400</f>
        <v>1285</v>
      </c>
      <c r="C18" s="19" t="s">
        <v>322</v>
      </c>
      <c r="D18" s="20" t="s">
        <v>202</v>
      </c>
      <c r="E18" s="48">
        <v>10767111</v>
      </c>
      <c r="F18" s="28">
        <f t="shared" si="0"/>
        <v>10</v>
      </c>
      <c r="G18" s="28"/>
      <c r="H18" s="28"/>
      <c r="I18" s="21"/>
      <c r="J18" s="20" t="s">
        <v>750</v>
      </c>
      <c r="K18" s="21" t="s">
        <v>388</v>
      </c>
      <c r="L18" s="19" t="s">
        <v>591</v>
      </c>
      <c r="M18" s="22"/>
      <c r="N18" s="23"/>
    </row>
    <row r="19" spans="2:17" ht="15" x14ac:dyDescent="0.25">
      <c r="B19" s="18">
        <f>90+45+750+400</f>
        <v>1285</v>
      </c>
      <c r="C19" s="19" t="s">
        <v>323</v>
      </c>
      <c r="D19" s="20" t="s">
        <v>203</v>
      </c>
      <c r="E19" s="47">
        <v>10767129</v>
      </c>
      <c r="F19" s="28">
        <f t="shared" si="0"/>
        <v>11</v>
      </c>
      <c r="G19" s="28"/>
      <c r="H19" s="28"/>
      <c r="I19" s="21"/>
      <c r="J19" s="20" t="s">
        <v>750</v>
      </c>
      <c r="K19" s="21" t="s">
        <v>388</v>
      </c>
      <c r="L19" s="19" t="s">
        <v>591</v>
      </c>
      <c r="M19" s="22"/>
      <c r="N19" s="23"/>
    </row>
    <row r="20" spans="2:17" ht="15" x14ac:dyDescent="0.25">
      <c r="B20" s="18">
        <v>1200</v>
      </c>
      <c r="C20" s="19" t="s">
        <v>985</v>
      </c>
      <c r="D20" s="20" t="s">
        <v>689</v>
      </c>
      <c r="E20" s="47">
        <v>11881150</v>
      </c>
      <c r="F20" s="28">
        <f t="shared" si="0"/>
        <v>12</v>
      </c>
      <c r="G20" s="28"/>
      <c r="H20" s="28"/>
      <c r="I20" s="21"/>
      <c r="J20" s="20" t="s">
        <v>270</v>
      </c>
      <c r="K20" s="21" t="s">
        <v>389</v>
      </c>
      <c r="L20" s="19" t="s">
        <v>591</v>
      </c>
      <c r="M20" s="22"/>
      <c r="N20" s="23"/>
    </row>
    <row r="21" spans="2:17" ht="15" x14ac:dyDescent="0.25">
      <c r="B21" s="18">
        <f>600+400</f>
        <v>1000</v>
      </c>
      <c r="C21" s="19" t="s">
        <v>317</v>
      </c>
      <c r="D21" s="20" t="s">
        <v>121</v>
      </c>
      <c r="E21" s="48">
        <v>10530089</v>
      </c>
      <c r="F21" s="28">
        <f t="shared" si="0"/>
        <v>13</v>
      </c>
      <c r="G21" s="28"/>
      <c r="H21" s="28"/>
      <c r="I21" s="21"/>
      <c r="J21" s="20" t="s">
        <v>318</v>
      </c>
      <c r="K21" s="21" t="s">
        <v>388</v>
      </c>
      <c r="L21" s="19" t="s">
        <v>591</v>
      </c>
      <c r="M21" s="22"/>
      <c r="N21" s="23"/>
    </row>
    <row r="22" spans="2:17" ht="15" x14ac:dyDescent="0.25">
      <c r="B22" s="18">
        <f>45+750+45</f>
        <v>840</v>
      </c>
      <c r="C22" s="19" t="s">
        <v>834</v>
      </c>
      <c r="D22" s="20" t="s">
        <v>476</v>
      </c>
      <c r="E22" s="47">
        <v>10611649</v>
      </c>
      <c r="F22" s="28">
        <f t="shared" si="0"/>
        <v>14</v>
      </c>
      <c r="G22" s="28"/>
      <c r="H22" s="28"/>
      <c r="I22" s="21"/>
      <c r="J22" s="20" t="s">
        <v>750</v>
      </c>
      <c r="K22" s="21" t="s">
        <v>388</v>
      </c>
      <c r="L22" s="19" t="s">
        <v>591</v>
      </c>
      <c r="M22" s="22"/>
      <c r="N22" s="23"/>
    </row>
    <row r="23" spans="2:17" ht="15" x14ac:dyDescent="0.25">
      <c r="B23" s="18">
        <v>750</v>
      </c>
      <c r="C23" s="19" t="s">
        <v>726</v>
      </c>
      <c r="D23" s="20" t="s">
        <v>640</v>
      </c>
      <c r="E23" s="48">
        <v>10771584</v>
      </c>
      <c r="F23" s="28">
        <f t="shared" si="0"/>
        <v>15</v>
      </c>
      <c r="G23" s="28"/>
      <c r="H23" s="28"/>
      <c r="I23" s="24"/>
      <c r="J23" s="20" t="s">
        <v>259</v>
      </c>
      <c r="K23" s="21" t="s">
        <v>388</v>
      </c>
      <c r="L23" s="19" t="s">
        <v>591</v>
      </c>
      <c r="M23" s="22"/>
      <c r="N23" s="23"/>
    </row>
    <row r="24" spans="2:17" ht="15" x14ac:dyDescent="0.25">
      <c r="B24" s="18">
        <v>750</v>
      </c>
      <c r="C24" s="19" t="s">
        <v>641</v>
      </c>
      <c r="D24" s="20" t="s">
        <v>642</v>
      </c>
      <c r="E24" s="48">
        <v>10771576</v>
      </c>
      <c r="F24" s="28">
        <f t="shared" si="0"/>
        <v>16</v>
      </c>
      <c r="G24" s="28"/>
      <c r="H24" s="28"/>
      <c r="I24" s="24"/>
      <c r="J24" s="20" t="s">
        <v>259</v>
      </c>
      <c r="K24" s="21" t="s">
        <v>388</v>
      </c>
      <c r="L24" s="19" t="s">
        <v>591</v>
      </c>
      <c r="M24" s="22"/>
      <c r="N24" s="23"/>
    </row>
    <row r="25" spans="2:17" ht="15" x14ac:dyDescent="0.25">
      <c r="B25" s="18">
        <f>180+250</f>
        <v>430</v>
      </c>
      <c r="C25" s="19" t="s">
        <v>736</v>
      </c>
      <c r="D25" s="20" t="s">
        <v>833</v>
      </c>
      <c r="E25" s="48">
        <v>13271193</v>
      </c>
      <c r="F25" s="28">
        <f t="shared" si="0"/>
        <v>17</v>
      </c>
      <c r="G25" s="28"/>
      <c r="H25" s="28"/>
      <c r="I25" s="21"/>
      <c r="J25" s="20" t="s">
        <v>259</v>
      </c>
      <c r="K25" s="21" t="s">
        <v>388</v>
      </c>
      <c r="L25" s="19" t="s">
        <v>591</v>
      </c>
      <c r="M25" s="22"/>
      <c r="N25" s="23"/>
    </row>
    <row r="26" spans="2:17" ht="15" x14ac:dyDescent="0.25">
      <c r="B26" s="18">
        <v>400</v>
      </c>
      <c r="C26" s="19" t="s">
        <v>986</v>
      </c>
      <c r="D26" s="20" t="s">
        <v>643</v>
      </c>
      <c r="E26" s="47">
        <v>8569496</v>
      </c>
      <c r="F26" s="28">
        <f t="shared" si="0"/>
        <v>18</v>
      </c>
      <c r="G26" s="28"/>
      <c r="H26" s="28"/>
      <c r="I26" s="21"/>
      <c r="J26" s="20" t="s">
        <v>987</v>
      </c>
      <c r="K26" s="21" t="s">
        <v>771</v>
      </c>
      <c r="L26" s="19" t="s">
        <v>591</v>
      </c>
      <c r="M26" s="22"/>
      <c r="N26" s="23"/>
    </row>
    <row r="27" spans="2:17" ht="15" x14ac:dyDescent="0.25">
      <c r="B27" s="18">
        <v>400</v>
      </c>
      <c r="C27" s="19" t="s">
        <v>988</v>
      </c>
      <c r="D27" s="20" t="s">
        <v>231</v>
      </c>
      <c r="E27" s="48">
        <v>8656095</v>
      </c>
      <c r="F27" s="28">
        <f t="shared" si="0"/>
        <v>19</v>
      </c>
      <c r="G27" s="28"/>
      <c r="H27" s="28"/>
      <c r="I27" s="21"/>
      <c r="J27" s="20" t="s">
        <v>989</v>
      </c>
      <c r="K27" s="21" t="s">
        <v>771</v>
      </c>
      <c r="L27" s="19" t="s">
        <v>591</v>
      </c>
      <c r="M27" s="22"/>
      <c r="N27" s="23"/>
    </row>
    <row r="28" spans="2:17" ht="15" x14ac:dyDescent="0.25">
      <c r="B28" s="18">
        <v>375</v>
      </c>
      <c r="C28" s="19" t="s">
        <v>724</v>
      </c>
      <c r="D28" s="20" t="s">
        <v>729</v>
      </c>
      <c r="E28" s="51">
        <v>5830585</v>
      </c>
      <c r="F28" s="28">
        <f t="shared" si="0"/>
        <v>20</v>
      </c>
      <c r="G28" s="28"/>
      <c r="H28" s="28"/>
      <c r="I28" s="21"/>
      <c r="J28" s="20" t="s">
        <v>829</v>
      </c>
      <c r="K28" s="21" t="s">
        <v>388</v>
      </c>
      <c r="L28" s="19" t="s">
        <v>591</v>
      </c>
      <c r="M28" s="22"/>
      <c r="N28" s="23"/>
    </row>
    <row r="29" spans="2:17" ht="15" x14ac:dyDescent="0.25">
      <c r="B29" s="18">
        <f>180+150</f>
        <v>330</v>
      </c>
      <c r="C29" s="19" t="s">
        <v>728</v>
      </c>
      <c r="D29" s="20" t="s">
        <v>215</v>
      </c>
      <c r="E29" s="48">
        <v>10771328</v>
      </c>
      <c r="F29" s="28">
        <f t="shared" si="0"/>
        <v>21</v>
      </c>
      <c r="G29" s="28"/>
      <c r="H29" s="28"/>
      <c r="I29" s="21"/>
      <c r="J29" s="20" t="s">
        <v>259</v>
      </c>
      <c r="K29" s="21" t="s">
        <v>388</v>
      </c>
      <c r="L29" s="19" t="s">
        <v>591</v>
      </c>
      <c r="M29" s="22"/>
      <c r="N29" s="23"/>
    </row>
    <row r="30" spans="2:17" ht="15" x14ac:dyDescent="0.25">
      <c r="B30" s="18">
        <v>150</v>
      </c>
      <c r="C30" s="19" t="s">
        <v>166</v>
      </c>
      <c r="D30" s="20" t="s">
        <v>548</v>
      </c>
      <c r="E30" s="48">
        <v>10777532</v>
      </c>
      <c r="F30" s="28">
        <f t="shared" ref="F30:F84" si="1">F29+1</f>
        <v>22</v>
      </c>
      <c r="G30" s="28"/>
      <c r="H30" s="28"/>
      <c r="I30" s="21"/>
      <c r="J30" s="20" t="s">
        <v>259</v>
      </c>
      <c r="K30" s="21" t="s">
        <v>388</v>
      </c>
      <c r="L30" s="19" t="s">
        <v>591</v>
      </c>
      <c r="M30" s="22"/>
      <c r="N30" s="23"/>
    </row>
    <row r="31" spans="2:17" ht="15" x14ac:dyDescent="0.25">
      <c r="B31" s="18">
        <f>45+45</f>
        <v>90</v>
      </c>
      <c r="C31" s="19" t="s">
        <v>485</v>
      </c>
      <c r="D31" s="20" t="s">
        <v>644</v>
      </c>
      <c r="E31" s="48">
        <v>10771609</v>
      </c>
      <c r="F31" s="28">
        <f t="shared" si="1"/>
        <v>23</v>
      </c>
      <c r="G31" s="28"/>
      <c r="H31" s="28"/>
      <c r="I31" s="21"/>
      <c r="J31" s="20" t="s">
        <v>259</v>
      </c>
      <c r="K31" s="21" t="s">
        <v>388</v>
      </c>
      <c r="L31" s="19" t="s">
        <v>591</v>
      </c>
      <c r="M31" s="22"/>
      <c r="N31" s="23"/>
    </row>
    <row r="32" spans="2:17" ht="15" x14ac:dyDescent="0.25">
      <c r="B32" s="18">
        <v>45</v>
      </c>
      <c r="C32" s="19" t="s">
        <v>645</v>
      </c>
      <c r="D32" s="20" t="s">
        <v>115</v>
      </c>
      <c r="E32" s="48">
        <v>4412475</v>
      </c>
      <c r="F32" s="28">
        <f t="shared" si="1"/>
        <v>24</v>
      </c>
      <c r="G32" s="28"/>
      <c r="H32" s="28"/>
      <c r="I32" s="21"/>
      <c r="J32" s="20" t="s">
        <v>259</v>
      </c>
      <c r="K32" s="21" t="s">
        <v>388</v>
      </c>
      <c r="L32" s="19" t="s">
        <v>591</v>
      </c>
      <c r="M32" s="22"/>
      <c r="N32" s="23"/>
      <c r="Q32" t="s">
        <v>307</v>
      </c>
    </row>
    <row r="33" spans="2:14" ht="15" x14ac:dyDescent="0.25">
      <c r="B33" s="18">
        <v>45</v>
      </c>
      <c r="C33" s="19" t="s">
        <v>990</v>
      </c>
      <c r="D33" s="20" t="s">
        <v>489</v>
      </c>
      <c r="E33" s="48">
        <v>16954415</v>
      </c>
      <c r="F33" s="28">
        <f t="shared" si="1"/>
        <v>25</v>
      </c>
      <c r="G33" s="28"/>
      <c r="H33" s="28"/>
      <c r="I33" s="21"/>
      <c r="J33" s="20" t="s">
        <v>269</v>
      </c>
      <c r="K33" s="21" t="s">
        <v>390</v>
      </c>
      <c r="L33" s="19" t="s">
        <v>591</v>
      </c>
      <c r="M33" s="22"/>
      <c r="N33" s="23"/>
    </row>
    <row r="34" spans="2:14" ht="15" x14ac:dyDescent="0.25">
      <c r="B34" s="18">
        <v>45</v>
      </c>
      <c r="C34" s="19" t="s">
        <v>832</v>
      </c>
      <c r="D34" s="20" t="s">
        <v>472</v>
      </c>
      <c r="E34" s="48">
        <v>9484320</v>
      </c>
      <c r="F34" s="28">
        <f t="shared" si="1"/>
        <v>26</v>
      </c>
      <c r="G34" s="28"/>
      <c r="H34" s="28"/>
      <c r="I34" s="21"/>
      <c r="J34" s="20" t="s">
        <v>269</v>
      </c>
      <c r="K34" s="21" t="s">
        <v>390</v>
      </c>
      <c r="L34" s="19" t="s">
        <v>591</v>
      </c>
      <c r="M34" s="22"/>
      <c r="N34" s="23"/>
    </row>
    <row r="35" spans="2:14" thickBot="1" x14ac:dyDescent="0.3">
      <c r="B35" s="73"/>
      <c r="C35" s="92"/>
      <c r="D35" s="74"/>
      <c r="E35" s="65"/>
      <c r="F35" s="76"/>
      <c r="G35" s="76"/>
      <c r="H35" s="76"/>
      <c r="I35" s="78"/>
      <c r="J35" s="74"/>
      <c r="K35" s="78"/>
      <c r="L35" s="92"/>
      <c r="M35" s="77"/>
      <c r="N35" s="79"/>
    </row>
    <row r="36" spans="2:14" ht="16.5" thickBot="1" x14ac:dyDescent="0.3">
      <c r="B36" s="2"/>
      <c r="C36" s="1"/>
      <c r="D36" s="1"/>
      <c r="E36" s="26"/>
      <c r="F36" s="89" t="s">
        <v>1048</v>
      </c>
      <c r="G36" s="87"/>
      <c r="H36" s="87"/>
      <c r="I36" s="88"/>
      <c r="J36" s="88"/>
      <c r="K36" s="3"/>
      <c r="L36" s="4"/>
      <c r="M36" s="7" t="s">
        <v>0</v>
      </c>
      <c r="N36" s="5"/>
    </row>
    <row r="37" spans="2:14" ht="15" x14ac:dyDescent="0.25">
      <c r="B37" s="8" t="s">
        <v>1</v>
      </c>
      <c r="C37" s="9" t="s">
        <v>2</v>
      </c>
      <c r="D37" s="9" t="s">
        <v>3</v>
      </c>
      <c r="E37" s="9" t="s">
        <v>4</v>
      </c>
      <c r="F37" s="10" t="s">
        <v>5</v>
      </c>
      <c r="G37" s="10" t="s">
        <v>6</v>
      </c>
      <c r="H37" s="10" t="s">
        <v>7</v>
      </c>
      <c r="I37" s="10" t="s">
        <v>8</v>
      </c>
      <c r="J37" s="9" t="s">
        <v>9</v>
      </c>
      <c r="K37" s="41" t="s">
        <v>387</v>
      </c>
      <c r="L37" s="9" t="s">
        <v>10</v>
      </c>
      <c r="M37" s="11" t="s">
        <v>11</v>
      </c>
      <c r="N37" s="12" t="s">
        <v>12</v>
      </c>
    </row>
    <row r="38" spans="2:14" ht="15" x14ac:dyDescent="0.25">
      <c r="B38" s="18">
        <f>50+1500</f>
        <v>1550</v>
      </c>
      <c r="C38" s="19" t="s">
        <v>133</v>
      </c>
      <c r="D38" s="20" t="s">
        <v>134</v>
      </c>
      <c r="E38" s="48">
        <v>11855163</v>
      </c>
      <c r="F38" s="28">
        <f>F34+1</f>
        <v>27</v>
      </c>
      <c r="G38" s="28"/>
      <c r="H38" s="28"/>
      <c r="I38" s="24"/>
      <c r="J38" s="20" t="s">
        <v>278</v>
      </c>
      <c r="K38" s="21" t="s">
        <v>389</v>
      </c>
      <c r="L38" s="19" t="s">
        <v>592</v>
      </c>
      <c r="M38" s="22"/>
      <c r="N38" s="23"/>
    </row>
    <row r="39" spans="2:14" ht="15" x14ac:dyDescent="0.25">
      <c r="B39" s="18">
        <f>1500+45</f>
        <v>1545</v>
      </c>
      <c r="C39" s="20" t="s">
        <v>314</v>
      </c>
      <c r="D39" s="20" t="s">
        <v>169</v>
      </c>
      <c r="E39" s="47">
        <v>10058320</v>
      </c>
      <c r="F39" s="28">
        <f t="shared" si="1"/>
        <v>28</v>
      </c>
      <c r="G39" s="28"/>
      <c r="H39" s="28"/>
      <c r="I39" s="22"/>
      <c r="J39" s="20" t="s">
        <v>259</v>
      </c>
      <c r="K39" s="21" t="s">
        <v>388</v>
      </c>
      <c r="L39" s="19" t="s">
        <v>592</v>
      </c>
      <c r="M39" s="22"/>
      <c r="N39" s="23"/>
    </row>
    <row r="40" spans="2:14" ht="15" x14ac:dyDescent="0.25">
      <c r="B40" s="18">
        <v>1500</v>
      </c>
      <c r="C40" s="19" t="s">
        <v>313</v>
      </c>
      <c r="D40" s="20" t="s">
        <v>141</v>
      </c>
      <c r="E40" s="47">
        <v>10768804</v>
      </c>
      <c r="F40" s="28">
        <f t="shared" si="1"/>
        <v>29</v>
      </c>
      <c r="G40" s="28"/>
      <c r="H40" s="28"/>
      <c r="I40" s="22"/>
      <c r="J40" s="20" t="s">
        <v>761</v>
      </c>
      <c r="K40" s="21" t="s">
        <v>388</v>
      </c>
      <c r="L40" s="19" t="s">
        <v>592</v>
      </c>
      <c r="M40" s="22"/>
      <c r="N40" s="23"/>
    </row>
    <row r="41" spans="2:14" ht="15" x14ac:dyDescent="0.25">
      <c r="B41" s="18">
        <v>1200</v>
      </c>
      <c r="C41" s="19" t="s">
        <v>991</v>
      </c>
      <c r="D41" s="20" t="s">
        <v>141</v>
      </c>
      <c r="E41" s="47">
        <v>16954473</v>
      </c>
      <c r="F41" s="28">
        <f t="shared" si="1"/>
        <v>30</v>
      </c>
      <c r="G41" s="28"/>
      <c r="H41" s="28"/>
      <c r="I41" s="22"/>
      <c r="J41" s="20" t="s">
        <v>269</v>
      </c>
      <c r="K41" s="21" t="s">
        <v>390</v>
      </c>
      <c r="L41" s="19" t="s">
        <v>592</v>
      </c>
      <c r="M41" s="22"/>
      <c r="N41" s="23"/>
    </row>
    <row r="42" spans="2:14" ht="15" x14ac:dyDescent="0.25">
      <c r="B42" s="18">
        <v>1000</v>
      </c>
      <c r="C42" s="19" t="s">
        <v>229</v>
      </c>
      <c r="D42" s="20" t="s">
        <v>115</v>
      </c>
      <c r="E42" s="47">
        <v>4412475</v>
      </c>
      <c r="F42" s="28">
        <f t="shared" si="1"/>
        <v>31</v>
      </c>
      <c r="G42" s="28"/>
      <c r="H42" s="28"/>
      <c r="I42" s="24"/>
      <c r="J42" s="20" t="s">
        <v>259</v>
      </c>
      <c r="K42" s="21" t="s">
        <v>388</v>
      </c>
      <c r="L42" s="19" t="s">
        <v>592</v>
      </c>
      <c r="M42" s="22"/>
      <c r="N42" s="23"/>
    </row>
    <row r="43" spans="2:14" ht="15" x14ac:dyDescent="0.25">
      <c r="B43" s="18">
        <v>1000</v>
      </c>
      <c r="C43" s="19" t="s">
        <v>992</v>
      </c>
      <c r="D43" s="20" t="s">
        <v>129</v>
      </c>
      <c r="E43" s="47">
        <v>13405065</v>
      </c>
      <c r="F43" s="28">
        <f t="shared" si="1"/>
        <v>32</v>
      </c>
      <c r="G43" s="28"/>
      <c r="H43" s="28"/>
      <c r="I43" s="24"/>
      <c r="J43" s="20" t="s">
        <v>993</v>
      </c>
      <c r="K43" s="21" t="s">
        <v>771</v>
      </c>
      <c r="L43" s="19" t="s">
        <v>592</v>
      </c>
      <c r="M43" s="22"/>
      <c r="N43" s="23"/>
    </row>
    <row r="44" spans="2:14" ht="15" x14ac:dyDescent="0.25">
      <c r="B44" s="18">
        <v>750</v>
      </c>
      <c r="C44" s="19" t="s">
        <v>629</v>
      </c>
      <c r="D44" s="20" t="s">
        <v>630</v>
      </c>
      <c r="E44" s="47">
        <v>10772805</v>
      </c>
      <c r="F44" s="28">
        <f t="shared" si="1"/>
        <v>33</v>
      </c>
      <c r="G44" s="28"/>
      <c r="H44" s="28"/>
      <c r="I44" s="18"/>
      <c r="J44" s="20" t="s">
        <v>259</v>
      </c>
      <c r="K44" s="21" t="s">
        <v>388</v>
      </c>
      <c r="L44" s="19" t="s">
        <v>592</v>
      </c>
      <c r="M44" s="22"/>
      <c r="N44" s="23"/>
    </row>
    <row r="45" spans="2:14" ht="15" x14ac:dyDescent="0.25">
      <c r="B45" s="18">
        <v>750</v>
      </c>
      <c r="C45" s="19" t="s">
        <v>994</v>
      </c>
      <c r="D45" s="20" t="s">
        <v>733</v>
      </c>
      <c r="E45" s="47">
        <v>10772079</v>
      </c>
      <c r="F45" s="28">
        <f t="shared" si="1"/>
        <v>34</v>
      </c>
      <c r="G45" s="28"/>
      <c r="H45" s="28"/>
      <c r="I45" s="18"/>
      <c r="J45" s="20" t="s">
        <v>259</v>
      </c>
      <c r="K45" s="21" t="s">
        <v>388</v>
      </c>
      <c r="L45" s="19" t="s">
        <v>592</v>
      </c>
      <c r="M45" s="22"/>
      <c r="N45" s="23"/>
    </row>
    <row r="46" spans="2:14" ht="15" x14ac:dyDescent="0.25">
      <c r="B46" s="18">
        <f>600+90</f>
        <v>690</v>
      </c>
      <c r="C46" s="19" t="s">
        <v>315</v>
      </c>
      <c r="D46" s="20" t="s">
        <v>143</v>
      </c>
      <c r="E46" s="47">
        <v>10767161</v>
      </c>
      <c r="F46" s="28">
        <f t="shared" si="1"/>
        <v>35</v>
      </c>
      <c r="G46" s="28"/>
      <c r="H46" s="28"/>
      <c r="I46" s="18"/>
      <c r="J46" s="20" t="s">
        <v>259</v>
      </c>
      <c r="K46" s="21" t="s">
        <v>388</v>
      </c>
      <c r="L46" s="19" t="s">
        <v>592</v>
      </c>
      <c r="M46" s="22"/>
      <c r="N46" s="23"/>
    </row>
    <row r="47" spans="2:14" ht="15" x14ac:dyDescent="0.25">
      <c r="B47" s="18">
        <v>400</v>
      </c>
      <c r="C47" s="19" t="s">
        <v>995</v>
      </c>
      <c r="D47" s="20" t="s">
        <v>121</v>
      </c>
      <c r="E47" s="47">
        <v>10770502</v>
      </c>
      <c r="F47" s="28">
        <f t="shared" si="1"/>
        <v>36</v>
      </c>
      <c r="G47" s="28"/>
      <c r="H47" s="28"/>
      <c r="I47" s="18"/>
      <c r="J47" s="20" t="s">
        <v>259</v>
      </c>
      <c r="K47" s="21"/>
      <c r="L47" s="19" t="s">
        <v>592</v>
      </c>
      <c r="M47" s="22"/>
      <c r="N47" s="23"/>
    </row>
    <row r="48" spans="2:14" ht="15" x14ac:dyDescent="0.25">
      <c r="B48" s="18">
        <v>400</v>
      </c>
      <c r="C48" s="20" t="s">
        <v>336</v>
      </c>
      <c r="D48" s="20" t="s">
        <v>236</v>
      </c>
      <c r="E48" s="47">
        <v>10768028</v>
      </c>
      <c r="F48" s="28">
        <f t="shared" si="1"/>
        <v>37</v>
      </c>
      <c r="G48" s="28"/>
      <c r="H48" s="28"/>
      <c r="I48" s="22"/>
      <c r="J48" s="20" t="s">
        <v>259</v>
      </c>
      <c r="K48" s="21" t="s">
        <v>388</v>
      </c>
      <c r="L48" s="19" t="s">
        <v>592</v>
      </c>
      <c r="M48" s="22"/>
      <c r="N48" s="23"/>
    </row>
    <row r="49" spans="2:14" ht="15" x14ac:dyDescent="0.25">
      <c r="B49" s="18">
        <f>90+250</f>
        <v>340</v>
      </c>
      <c r="C49" s="19" t="s">
        <v>325</v>
      </c>
      <c r="D49" s="20" t="s">
        <v>326</v>
      </c>
      <c r="E49" s="47">
        <v>10766189</v>
      </c>
      <c r="F49" s="28">
        <f t="shared" si="1"/>
        <v>38</v>
      </c>
      <c r="G49" s="28"/>
      <c r="H49" s="28"/>
      <c r="I49" s="18"/>
      <c r="J49" s="20" t="s">
        <v>259</v>
      </c>
      <c r="K49" s="21" t="s">
        <v>388</v>
      </c>
      <c r="L49" s="19" t="s">
        <v>592</v>
      </c>
      <c r="M49" s="22"/>
      <c r="N49" s="23"/>
    </row>
    <row r="50" spans="2:14" ht="15" x14ac:dyDescent="0.25">
      <c r="B50" s="18">
        <f>90+45</f>
        <v>135</v>
      </c>
      <c r="C50" s="19" t="s">
        <v>327</v>
      </c>
      <c r="D50" s="20" t="s">
        <v>204</v>
      </c>
      <c r="E50" s="47">
        <v>11857763</v>
      </c>
      <c r="F50" s="28">
        <f t="shared" si="1"/>
        <v>39</v>
      </c>
      <c r="G50" s="28"/>
      <c r="H50" s="28"/>
      <c r="I50" s="18"/>
      <c r="J50" s="20" t="s">
        <v>319</v>
      </c>
      <c r="K50" s="21" t="s">
        <v>389</v>
      </c>
      <c r="L50" s="19" t="s">
        <v>592</v>
      </c>
      <c r="M50" s="22"/>
      <c r="N50" s="23"/>
    </row>
    <row r="51" spans="2:14" ht="15" x14ac:dyDescent="0.25">
      <c r="B51" s="18">
        <v>90</v>
      </c>
      <c r="C51" s="19" t="s">
        <v>168</v>
      </c>
      <c r="D51" s="20" t="s">
        <v>184</v>
      </c>
      <c r="E51" s="47">
        <v>10767418</v>
      </c>
      <c r="F51" s="28">
        <f t="shared" si="1"/>
        <v>40</v>
      </c>
      <c r="G51" s="28"/>
      <c r="H51" s="28"/>
      <c r="I51" s="18"/>
      <c r="J51" s="20" t="s">
        <v>259</v>
      </c>
      <c r="K51" s="21" t="s">
        <v>388</v>
      </c>
      <c r="L51" s="19" t="s">
        <v>592</v>
      </c>
      <c r="M51" s="22"/>
      <c r="N51" s="23"/>
    </row>
    <row r="52" spans="2:14" ht="15" x14ac:dyDescent="0.25">
      <c r="B52" s="13">
        <v>45</v>
      </c>
      <c r="C52" s="19" t="s">
        <v>146</v>
      </c>
      <c r="D52" s="20" t="s">
        <v>730</v>
      </c>
      <c r="E52" s="51">
        <v>10574095</v>
      </c>
      <c r="F52" s="28">
        <f t="shared" si="1"/>
        <v>41</v>
      </c>
      <c r="G52" s="28"/>
      <c r="H52" s="28"/>
      <c r="I52" s="18"/>
      <c r="J52" s="20" t="s">
        <v>259</v>
      </c>
      <c r="K52" s="21" t="s">
        <v>388</v>
      </c>
      <c r="L52" s="19" t="s">
        <v>592</v>
      </c>
      <c r="M52" s="22"/>
      <c r="N52" s="23"/>
    </row>
    <row r="53" spans="2:14" ht="15" x14ac:dyDescent="0.25">
      <c r="B53" s="13">
        <v>45</v>
      </c>
      <c r="C53" s="19" t="s">
        <v>731</v>
      </c>
      <c r="D53" s="20" t="s">
        <v>153</v>
      </c>
      <c r="E53" s="51">
        <v>10778241</v>
      </c>
      <c r="F53" s="28">
        <f t="shared" si="1"/>
        <v>42</v>
      </c>
      <c r="G53" s="28"/>
      <c r="H53" s="28"/>
      <c r="I53" s="18"/>
      <c r="J53" s="20" t="s">
        <v>259</v>
      </c>
      <c r="K53" s="21" t="s">
        <v>388</v>
      </c>
      <c r="L53" s="19" t="s">
        <v>592</v>
      </c>
      <c r="M53" s="22"/>
      <c r="N53" s="23"/>
    </row>
    <row r="54" spans="2:14" ht="15" x14ac:dyDescent="0.25">
      <c r="B54" s="13">
        <v>45</v>
      </c>
      <c r="C54" s="19" t="s">
        <v>996</v>
      </c>
      <c r="D54" s="20" t="s">
        <v>109</v>
      </c>
      <c r="E54" s="48">
        <v>13405643</v>
      </c>
      <c r="F54" s="28">
        <f t="shared" si="1"/>
        <v>43</v>
      </c>
      <c r="G54" s="28"/>
      <c r="H54" s="28"/>
      <c r="I54" s="18"/>
      <c r="J54" s="20" t="s">
        <v>761</v>
      </c>
      <c r="K54" s="21" t="s">
        <v>388</v>
      </c>
      <c r="L54" s="19" t="s">
        <v>592</v>
      </c>
      <c r="M54" s="22"/>
      <c r="N54" s="23"/>
    </row>
    <row r="55" spans="2:14" ht="15" x14ac:dyDescent="0.25">
      <c r="B55" s="13">
        <v>45</v>
      </c>
      <c r="C55" s="19" t="s">
        <v>997</v>
      </c>
      <c r="D55" s="20" t="s">
        <v>732</v>
      </c>
      <c r="E55" s="48">
        <v>13357894</v>
      </c>
      <c r="F55" s="28">
        <f t="shared" si="1"/>
        <v>44</v>
      </c>
      <c r="G55" s="28"/>
      <c r="H55" s="28"/>
      <c r="I55" s="18"/>
      <c r="J55" s="20" t="s">
        <v>761</v>
      </c>
      <c r="K55" s="21" t="s">
        <v>388</v>
      </c>
      <c r="L55" s="19" t="s">
        <v>592</v>
      </c>
      <c r="M55" s="22"/>
      <c r="N55" s="23"/>
    </row>
    <row r="56" spans="2:14" thickBot="1" x14ac:dyDescent="0.3">
      <c r="B56" s="96"/>
      <c r="C56" s="92"/>
      <c r="D56" s="74"/>
      <c r="E56" s="65"/>
      <c r="F56" s="76"/>
      <c r="G56" s="76"/>
      <c r="H56" s="76"/>
      <c r="I56" s="73"/>
      <c r="J56" s="74"/>
      <c r="K56" s="78"/>
      <c r="L56" s="92"/>
      <c r="M56" s="77"/>
      <c r="N56" s="79"/>
    </row>
    <row r="57" spans="2:14" ht="16.5" thickBot="1" x14ac:dyDescent="0.3">
      <c r="B57" s="2"/>
      <c r="C57" s="1"/>
      <c r="D57" s="1"/>
      <c r="E57" s="26"/>
      <c r="F57" s="89" t="s">
        <v>1049</v>
      </c>
      <c r="G57" s="87"/>
      <c r="H57" s="87"/>
      <c r="I57" s="88"/>
      <c r="J57" s="88"/>
      <c r="K57" s="3"/>
      <c r="L57" s="4"/>
      <c r="M57" s="7" t="s">
        <v>0</v>
      </c>
      <c r="N57" s="5"/>
    </row>
    <row r="58" spans="2:14" ht="15" x14ac:dyDescent="0.25">
      <c r="B58" s="8" t="s">
        <v>1</v>
      </c>
      <c r="C58" s="9" t="s">
        <v>2</v>
      </c>
      <c r="D58" s="9" t="s">
        <v>3</v>
      </c>
      <c r="E58" s="9" t="s">
        <v>4</v>
      </c>
      <c r="F58" s="10" t="s">
        <v>5</v>
      </c>
      <c r="G58" s="10" t="s">
        <v>6</v>
      </c>
      <c r="H58" s="10" t="s">
        <v>7</v>
      </c>
      <c r="I58" s="10" t="s">
        <v>8</v>
      </c>
      <c r="J58" s="9" t="s">
        <v>9</v>
      </c>
      <c r="K58" s="41" t="s">
        <v>387</v>
      </c>
      <c r="L58" s="9" t="s">
        <v>10</v>
      </c>
      <c r="M58" s="11" t="s">
        <v>11</v>
      </c>
      <c r="N58" s="12" t="s">
        <v>12</v>
      </c>
    </row>
    <row r="59" spans="2:14" ht="15" x14ac:dyDescent="0.25">
      <c r="B59" s="13">
        <v>1500</v>
      </c>
      <c r="C59" s="19" t="s">
        <v>998</v>
      </c>
      <c r="D59" s="20" t="s">
        <v>227</v>
      </c>
      <c r="E59" s="48">
        <v>7054547</v>
      </c>
      <c r="F59" s="28">
        <f>F55+1</f>
        <v>45</v>
      </c>
      <c r="G59" s="28"/>
      <c r="H59" s="28"/>
      <c r="I59" s="18"/>
      <c r="J59" s="20" t="s">
        <v>259</v>
      </c>
      <c r="K59" s="21" t="s">
        <v>388</v>
      </c>
      <c r="L59" s="19" t="s">
        <v>593</v>
      </c>
      <c r="M59" s="22"/>
      <c r="N59" s="23"/>
    </row>
    <row r="60" spans="2:14" ht="15" x14ac:dyDescent="0.25">
      <c r="B60" s="18">
        <v>1500</v>
      </c>
      <c r="C60" s="20" t="s">
        <v>598</v>
      </c>
      <c r="D60" s="20" t="s">
        <v>599</v>
      </c>
      <c r="E60" s="48">
        <v>10772920</v>
      </c>
      <c r="F60" s="28">
        <f t="shared" si="1"/>
        <v>46</v>
      </c>
      <c r="G60" s="28"/>
      <c r="H60" s="28"/>
      <c r="I60" s="22"/>
      <c r="J60" s="20" t="s">
        <v>259</v>
      </c>
      <c r="K60" s="21" t="s">
        <v>388</v>
      </c>
      <c r="L60" s="19" t="s">
        <v>593</v>
      </c>
      <c r="M60" s="22"/>
      <c r="N60" s="23"/>
    </row>
    <row r="61" spans="2:14" ht="15" x14ac:dyDescent="0.25">
      <c r="B61" s="18">
        <f>360+1000</f>
        <v>1360</v>
      </c>
      <c r="C61" s="20" t="s">
        <v>127</v>
      </c>
      <c r="D61" s="20" t="s">
        <v>128</v>
      </c>
      <c r="E61" s="48">
        <v>10768531</v>
      </c>
      <c r="F61" s="28">
        <f t="shared" si="1"/>
        <v>47</v>
      </c>
      <c r="G61" s="28"/>
      <c r="H61" s="28"/>
      <c r="I61" s="22"/>
      <c r="J61" s="20" t="s">
        <v>750</v>
      </c>
      <c r="K61" s="21" t="s">
        <v>388</v>
      </c>
      <c r="L61" s="19" t="s">
        <v>593</v>
      </c>
      <c r="M61" s="22"/>
      <c r="N61" s="23"/>
    </row>
    <row r="62" spans="2:14" ht="15" x14ac:dyDescent="0.25">
      <c r="B62" s="18">
        <v>1200</v>
      </c>
      <c r="C62" s="19" t="s">
        <v>631</v>
      </c>
      <c r="D62" s="20" t="s">
        <v>632</v>
      </c>
      <c r="E62" s="47">
        <v>1077211</v>
      </c>
      <c r="F62" s="28">
        <f t="shared" si="1"/>
        <v>48</v>
      </c>
      <c r="G62" s="28"/>
      <c r="H62" s="28"/>
      <c r="I62" s="24"/>
      <c r="J62" s="20" t="s">
        <v>259</v>
      </c>
      <c r="K62" s="21" t="s">
        <v>388</v>
      </c>
      <c r="L62" s="19" t="s">
        <v>593</v>
      </c>
      <c r="M62" s="22"/>
      <c r="N62" s="23"/>
    </row>
    <row r="63" spans="2:14" ht="15" x14ac:dyDescent="0.25">
      <c r="B63" s="18">
        <v>1000</v>
      </c>
      <c r="C63" s="19" t="s">
        <v>214</v>
      </c>
      <c r="D63" s="20" t="s">
        <v>119</v>
      </c>
      <c r="E63" s="47">
        <v>10767799</v>
      </c>
      <c r="F63" s="28">
        <f t="shared" si="1"/>
        <v>49</v>
      </c>
      <c r="G63" s="28"/>
      <c r="H63" s="28"/>
      <c r="I63" s="24"/>
      <c r="J63" s="20" t="s">
        <v>750</v>
      </c>
      <c r="K63" s="21" t="s">
        <v>388</v>
      </c>
      <c r="L63" s="19" t="s">
        <v>593</v>
      </c>
      <c r="M63" s="22"/>
      <c r="N63" s="23"/>
    </row>
    <row r="64" spans="2:14" ht="15" x14ac:dyDescent="0.25">
      <c r="B64" s="18">
        <f>600+180</f>
        <v>780</v>
      </c>
      <c r="C64" s="19" t="s">
        <v>333</v>
      </c>
      <c r="D64" s="20" t="s">
        <v>334</v>
      </c>
      <c r="E64" s="48">
        <v>10675421</v>
      </c>
      <c r="F64" s="28">
        <f t="shared" si="1"/>
        <v>50</v>
      </c>
      <c r="G64" s="28"/>
      <c r="H64" s="28"/>
      <c r="I64" s="22"/>
      <c r="J64" s="20" t="s">
        <v>259</v>
      </c>
      <c r="K64" s="21" t="s">
        <v>388</v>
      </c>
      <c r="L64" s="19" t="s">
        <v>593</v>
      </c>
      <c r="M64" s="22"/>
      <c r="N64" s="23"/>
    </row>
    <row r="65" spans="2:14" ht="15" x14ac:dyDescent="0.25">
      <c r="B65" s="18">
        <f>600+45</f>
        <v>645</v>
      </c>
      <c r="C65" s="19" t="s">
        <v>999</v>
      </c>
      <c r="D65" s="20" t="s">
        <v>129</v>
      </c>
      <c r="E65" s="47">
        <v>10768557</v>
      </c>
      <c r="F65" s="28">
        <f t="shared" si="1"/>
        <v>51</v>
      </c>
      <c r="G65" s="28"/>
      <c r="H65" s="28"/>
      <c r="I65" s="22"/>
      <c r="J65" s="20" t="s">
        <v>750</v>
      </c>
      <c r="K65" s="21" t="s">
        <v>388</v>
      </c>
      <c r="L65" s="19" t="s">
        <v>593</v>
      </c>
      <c r="M65" s="22"/>
      <c r="N65" s="23"/>
    </row>
    <row r="66" spans="2:14" ht="15" x14ac:dyDescent="0.25">
      <c r="B66" s="18">
        <f>600+45</f>
        <v>645</v>
      </c>
      <c r="C66" s="19" t="s">
        <v>344</v>
      </c>
      <c r="D66" s="20" t="s">
        <v>345</v>
      </c>
      <c r="E66" s="47">
        <v>10767880</v>
      </c>
      <c r="F66" s="28">
        <f t="shared" si="1"/>
        <v>52</v>
      </c>
      <c r="G66" s="28"/>
      <c r="H66" s="28"/>
      <c r="I66" s="22"/>
      <c r="J66" s="20" t="s">
        <v>750</v>
      </c>
      <c r="K66" s="21" t="s">
        <v>388</v>
      </c>
      <c r="L66" s="19" t="s">
        <v>593</v>
      </c>
      <c r="M66" s="22"/>
      <c r="N66" s="23"/>
    </row>
    <row r="67" spans="2:14" ht="15" x14ac:dyDescent="0.25">
      <c r="B67" s="18">
        <f>45+400</f>
        <v>445</v>
      </c>
      <c r="C67" s="19" t="s">
        <v>636</v>
      </c>
      <c r="D67" s="20" t="s">
        <v>595</v>
      </c>
      <c r="E67" s="47">
        <v>4246907</v>
      </c>
      <c r="F67" s="28">
        <f t="shared" si="1"/>
        <v>53</v>
      </c>
      <c r="G67" s="28"/>
      <c r="H67" s="28"/>
      <c r="I67" s="24"/>
      <c r="J67" s="20" t="s">
        <v>753</v>
      </c>
      <c r="K67" s="21" t="s">
        <v>754</v>
      </c>
      <c r="L67" s="19" t="s">
        <v>593</v>
      </c>
      <c r="M67" s="22"/>
      <c r="N67" s="23"/>
    </row>
    <row r="68" spans="2:14" ht="15" x14ac:dyDescent="0.25">
      <c r="B68" s="18">
        <v>400</v>
      </c>
      <c r="C68" s="19" t="s">
        <v>878</v>
      </c>
      <c r="D68" s="20" t="s">
        <v>124</v>
      </c>
      <c r="E68" s="52">
        <v>16954605</v>
      </c>
      <c r="F68" s="28">
        <f t="shared" si="1"/>
        <v>54</v>
      </c>
      <c r="G68" s="28"/>
      <c r="H68" s="28"/>
      <c r="I68" s="24"/>
      <c r="J68" s="20" t="s">
        <v>262</v>
      </c>
      <c r="K68" s="21" t="s">
        <v>390</v>
      </c>
      <c r="L68" s="19" t="s">
        <v>593</v>
      </c>
      <c r="M68" s="22"/>
      <c r="N68" s="23"/>
    </row>
    <row r="69" spans="2:14" ht="15" x14ac:dyDescent="0.25">
      <c r="B69" s="18">
        <f>90+75+45+45</f>
        <v>255</v>
      </c>
      <c r="C69" s="19" t="s">
        <v>23</v>
      </c>
      <c r="D69" s="20" t="s">
        <v>129</v>
      </c>
      <c r="E69" s="47">
        <v>11855288</v>
      </c>
      <c r="F69" s="28">
        <f t="shared" si="1"/>
        <v>55</v>
      </c>
      <c r="G69" s="28"/>
      <c r="H69" s="28"/>
      <c r="I69" s="24"/>
      <c r="J69" s="20" t="s">
        <v>270</v>
      </c>
      <c r="K69" s="21" t="s">
        <v>389</v>
      </c>
      <c r="L69" s="19" t="s">
        <v>593</v>
      </c>
      <c r="M69" s="22"/>
      <c r="N69" s="23"/>
    </row>
    <row r="70" spans="2:14" ht="15" x14ac:dyDescent="0.25">
      <c r="B70" s="18">
        <v>180</v>
      </c>
      <c r="C70" s="19" t="s">
        <v>400</v>
      </c>
      <c r="D70" s="20" t="s">
        <v>111</v>
      </c>
      <c r="E70" s="48">
        <v>10769349</v>
      </c>
      <c r="F70" s="28">
        <f t="shared" si="1"/>
        <v>56</v>
      </c>
      <c r="G70" s="28"/>
      <c r="H70" s="28"/>
      <c r="I70" s="24"/>
      <c r="J70" s="20" t="s">
        <v>259</v>
      </c>
      <c r="K70" s="21" t="s">
        <v>388</v>
      </c>
      <c r="L70" s="19" t="s">
        <v>593</v>
      </c>
      <c r="M70" s="22"/>
      <c r="N70" s="23"/>
    </row>
    <row r="71" spans="2:14" ht="15" x14ac:dyDescent="0.25">
      <c r="B71" s="18">
        <v>180</v>
      </c>
      <c r="C71" s="19" t="s">
        <v>899</v>
      </c>
      <c r="D71" s="20" t="s">
        <v>633</v>
      </c>
      <c r="E71" s="48">
        <v>10773150</v>
      </c>
      <c r="F71" s="28">
        <f t="shared" si="1"/>
        <v>57</v>
      </c>
      <c r="G71" s="28"/>
      <c r="H71" s="28"/>
      <c r="I71" s="24"/>
      <c r="J71" s="20" t="s">
        <v>761</v>
      </c>
      <c r="K71" s="21" t="s">
        <v>388</v>
      </c>
      <c r="L71" s="19" t="s">
        <v>593</v>
      </c>
      <c r="M71" s="22"/>
      <c r="N71" s="23"/>
    </row>
    <row r="72" spans="2:14" ht="15" x14ac:dyDescent="0.25">
      <c r="B72" s="18">
        <f>90+45</f>
        <v>135</v>
      </c>
      <c r="C72" s="19" t="s">
        <v>238</v>
      </c>
      <c r="D72" s="20" t="s">
        <v>132</v>
      </c>
      <c r="E72" s="47">
        <v>10765579</v>
      </c>
      <c r="F72" s="28">
        <f t="shared" si="1"/>
        <v>58</v>
      </c>
      <c r="G72" s="28"/>
      <c r="H72" s="28"/>
      <c r="I72" s="22"/>
      <c r="J72" s="20" t="s">
        <v>259</v>
      </c>
      <c r="K72" s="21" t="s">
        <v>388</v>
      </c>
      <c r="L72" s="19" t="s">
        <v>593</v>
      </c>
      <c r="M72" s="22"/>
      <c r="N72" s="23"/>
    </row>
    <row r="73" spans="2:14" ht="15" x14ac:dyDescent="0.25">
      <c r="B73" s="18">
        <v>90</v>
      </c>
      <c r="C73" s="19" t="s">
        <v>863</v>
      </c>
      <c r="D73" s="20" t="s">
        <v>137</v>
      </c>
      <c r="E73" s="47">
        <v>10768490</v>
      </c>
      <c r="F73" s="28">
        <f t="shared" si="1"/>
        <v>59</v>
      </c>
      <c r="G73" s="28"/>
      <c r="H73" s="28"/>
      <c r="I73" s="22"/>
      <c r="J73" s="20" t="s">
        <v>750</v>
      </c>
      <c r="K73" s="21" t="s">
        <v>388</v>
      </c>
      <c r="L73" s="19" t="s">
        <v>593</v>
      </c>
      <c r="M73" s="22"/>
      <c r="N73" s="23"/>
    </row>
    <row r="74" spans="2:14" ht="15" x14ac:dyDescent="0.25">
      <c r="B74" s="18">
        <v>45</v>
      </c>
      <c r="C74" s="19" t="s">
        <v>525</v>
      </c>
      <c r="D74" s="20" t="s">
        <v>125</v>
      </c>
      <c r="E74" s="52">
        <v>10771500</v>
      </c>
      <c r="F74" s="28">
        <f t="shared" si="1"/>
        <v>60</v>
      </c>
      <c r="G74" s="28"/>
      <c r="H74" s="28" t="s">
        <v>307</v>
      </c>
      <c r="I74" s="24"/>
      <c r="J74" s="20" t="s">
        <v>259</v>
      </c>
      <c r="K74" s="21" t="s">
        <v>388</v>
      </c>
      <c r="L74" s="19" t="s">
        <v>593</v>
      </c>
      <c r="M74" s="22"/>
      <c r="N74" s="23"/>
    </row>
    <row r="75" spans="2:14" ht="15" x14ac:dyDescent="0.25">
      <c r="B75" s="18">
        <v>45</v>
      </c>
      <c r="C75" s="19" t="s">
        <v>1000</v>
      </c>
      <c r="D75" s="20" t="s">
        <v>634</v>
      </c>
      <c r="E75" s="47">
        <v>10766220</v>
      </c>
      <c r="F75" s="28">
        <f t="shared" si="1"/>
        <v>61</v>
      </c>
      <c r="G75" s="28"/>
      <c r="H75" s="28"/>
      <c r="I75" s="24"/>
      <c r="J75" s="20" t="s">
        <v>259</v>
      </c>
      <c r="K75" s="21" t="s">
        <v>388</v>
      </c>
      <c r="L75" s="19" t="s">
        <v>593</v>
      </c>
      <c r="M75" s="22"/>
      <c r="N75" s="23"/>
    </row>
    <row r="76" spans="2:14" ht="15" x14ac:dyDescent="0.25">
      <c r="B76" s="18">
        <v>45</v>
      </c>
      <c r="C76" s="19" t="s">
        <v>524</v>
      </c>
      <c r="D76" s="20" t="s">
        <v>529</v>
      </c>
      <c r="E76" s="48">
        <v>10770700</v>
      </c>
      <c r="F76" s="28">
        <f t="shared" si="1"/>
        <v>62</v>
      </c>
      <c r="G76" s="28"/>
      <c r="H76" s="28"/>
      <c r="I76" s="24"/>
      <c r="J76" s="20" t="s">
        <v>259</v>
      </c>
      <c r="K76" s="21" t="s">
        <v>388</v>
      </c>
      <c r="L76" s="19" t="s">
        <v>593</v>
      </c>
      <c r="M76" s="22"/>
      <c r="N76" s="23"/>
    </row>
    <row r="77" spans="2:14" ht="15" x14ac:dyDescent="0.25">
      <c r="B77" s="18">
        <v>45</v>
      </c>
      <c r="C77" s="19" t="s">
        <v>341</v>
      </c>
      <c r="D77" s="20" t="s">
        <v>635</v>
      </c>
      <c r="E77" s="47">
        <v>10767864</v>
      </c>
      <c r="F77" s="28">
        <f t="shared" si="1"/>
        <v>63</v>
      </c>
      <c r="G77" s="28"/>
      <c r="H77" s="28"/>
      <c r="I77" s="24"/>
      <c r="J77" s="20" t="s">
        <v>259</v>
      </c>
      <c r="K77" s="21" t="s">
        <v>388</v>
      </c>
      <c r="L77" s="19" t="s">
        <v>593</v>
      </c>
      <c r="M77" s="22"/>
      <c r="N77" s="23"/>
    </row>
    <row r="78" spans="2:14" ht="15" x14ac:dyDescent="0.25">
      <c r="B78" s="18">
        <v>45</v>
      </c>
      <c r="C78" s="19" t="s">
        <v>517</v>
      </c>
      <c r="D78" s="20" t="s">
        <v>611</v>
      </c>
      <c r="E78" s="47">
        <v>10640755</v>
      </c>
      <c r="F78" s="28">
        <f t="shared" si="1"/>
        <v>64</v>
      </c>
      <c r="G78" s="28"/>
      <c r="H78" s="28"/>
      <c r="I78" s="24"/>
      <c r="J78" s="20" t="s">
        <v>305</v>
      </c>
      <c r="K78" s="21" t="s">
        <v>388</v>
      </c>
      <c r="L78" s="19" t="s">
        <v>593</v>
      </c>
      <c r="M78" s="22"/>
      <c r="N78" s="23"/>
    </row>
    <row r="79" spans="2:14" ht="15" x14ac:dyDescent="0.25">
      <c r="B79" s="18">
        <v>45</v>
      </c>
      <c r="C79" s="19" t="s">
        <v>889</v>
      </c>
      <c r="D79" s="20" t="s">
        <v>141</v>
      </c>
      <c r="E79" s="47">
        <v>10764290</v>
      </c>
      <c r="F79" s="28">
        <f t="shared" si="1"/>
        <v>65</v>
      </c>
      <c r="G79" s="28"/>
      <c r="H79" s="28"/>
      <c r="I79" s="24"/>
      <c r="J79" s="20" t="s">
        <v>842</v>
      </c>
      <c r="K79" s="21" t="s">
        <v>820</v>
      </c>
      <c r="L79" s="19" t="s">
        <v>593</v>
      </c>
      <c r="M79" s="22"/>
      <c r="N79" s="23"/>
    </row>
    <row r="80" spans="2:14" ht="15" x14ac:dyDescent="0.25">
      <c r="B80" s="18">
        <v>45</v>
      </c>
      <c r="C80" s="19" t="s">
        <v>636</v>
      </c>
      <c r="D80" s="20" t="s">
        <v>605</v>
      </c>
      <c r="E80" s="47">
        <v>4163721</v>
      </c>
      <c r="F80" s="28">
        <f t="shared" si="1"/>
        <v>66</v>
      </c>
      <c r="G80" s="28"/>
      <c r="H80" s="28"/>
      <c r="I80" s="24"/>
      <c r="J80" s="20" t="s">
        <v>753</v>
      </c>
      <c r="K80" s="21" t="s">
        <v>754</v>
      </c>
      <c r="L80" s="19" t="s">
        <v>593</v>
      </c>
      <c r="M80" s="22"/>
      <c r="N80" s="23"/>
    </row>
    <row r="81" spans="2:14" ht="15" x14ac:dyDescent="0.25">
      <c r="B81" s="18">
        <v>45</v>
      </c>
      <c r="C81" s="19" t="s">
        <v>865</v>
      </c>
      <c r="D81" s="20" t="s">
        <v>121</v>
      </c>
      <c r="E81" s="47">
        <v>16720121</v>
      </c>
      <c r="F81" s="28">
        <f t="shared" si="1"/>
        <v>67</v>
      </c>
      <c r="G81" s="28"/>
      <c r="H81" s="28"/>
      <c r="I81" s="24"/>
      <c r="J81" s="20" t="s">
        <v>1001</v>
      </c>
      <c r="K81" s="21" t="s">
        <v>820</v>
      </c>
      <c r="L81" s="19" t="s">
        <v>593</v>
      </c>
      <c r="M81" s="22"/>
      <c r="N81" s="23"/>
    </row>
    <row r="82" spans="2:14" ht="15" x14ac:dyDescent="0.25">
      <c r="B82" s="18">
        <v>45</v>
      </c>
      <c r="C82" s="19" t="s">
        <v>1002</v>
      </c>
      <c r="D82" s="20" t="s">
        <v>691</v>
      </c>
      <c r="E82" s="49">
        <v>11882124</v>
      </c>
      <c r="F82" s="28">
        <f t="shared" si="1"/>
        <v>68</v>
      </c>
      <c r="G82" s="28"/>
      <c r="H82" s="28"/>
      <c r="I82" s="24"/>
      <c r="J82" s="20" t="s">
        <v>319</v>
      </c>
      <c r="K82" s="21" t="s">
        <v>389</v>
      </c>
      <c r="L82" s="19" t="s">
        <v>593</v>
      </c>
      <c r="M82" s="22"/>
      <c r="N82" s="23"/>
    </row>
    <row r="83" spans="2:14" ht="15" x14ac:dyDescent="0.25">
      <c r="B83" s="18">
        <v>45</v>
      </c>
      <c r="C83" s="19" t="s">
        <v>1003</v>
      </c>
      <c r="D83" s="20" t="s">
        <v>626</v>
      </c>
      <c r="E83" s="47">
        <v>6127402</v>
      </c>
      <c r="F83" s="28">
        <f t="shared" si="1"/>
        <v>69</v>
      </c>
      <c r="G83" s="28"/>
      <c r="H83" s="28"/>
      <c r="I83" s="24"/>
      <c r="J83" s="20" t="s">
        <v>319</v>
      </c>
      <c r="K83" s="21" t="s">
        <v>389</v>
      </c>
      <c r="L83" s="19" t="s">
        <v>593</v>
      </c>
      <c r="M83" s="22"/>
      <c r="N83" s="23"/>
    </row>
    <row r="84" spans="2:14" ht="15" x14ac:dyDescent="0.25">
      <c r="B84" s="18">
        <v>45</v>
      </c>
      <c r="C84" s="36" t="s">
        <v>1004</v>
      </c>
      <c r="D84" s="20" t="s">
        <v>594</v>
      </c>
      <c r="E84" s="49">
        <v>2545781</v>
      </c>
      <c r="F84" s="28">
        <f t="shared" si="1"/>
        <v>70</v>
      </c>
      <c r="G84" s="28"/>
      <c r="H84" s="28"/>
      <c r="I84" s="24"/>
      <c r="J84" s="20" t="s">
        <v>319</v>
      </c>
      <c r="K84" s="21" t="s">
        <v>389</v>
      </c>
      <c r="L84" s="19" t="s">
        <v>593</v>
      </c>
      <c r="M84" s="22"/>
      <c r="N84" s="23"/>
    </row>
    <row r="85" spans="2:14" ht="15" x14ac:dyDescent="0.25">
      <c r="B85" s="18">
        <v>45</v>
      </c>
      <c r="C85" s="19" t="s">
        <v>1005</v>
      </c>
      <c r="D85" s="20" t="s">
        <v>472</v>
      </c>
      <c r="E85" s="47">
        <v>6834403</v>
      </c>
      <c r="F85" s="28">
        <f t="shared" ref="F85:F137" si="2">F84+1</f>
        <v>71</v>
      </c>
      <c r="G85" s="28"/>
      <c r="H85" s="28"/>
      <c r="I85" s="24"/>
      <c r="J85" s="20" t="s">
        <v>319</v>
      </c>
      <c r="K85" s="21" t="s">
        <v>389</v>
      </c>
      <c r="L85" s="19" t="s">
        <v>593</v>
      </c>
      <c r="M85" s="22"/>
      <c r="N85" s="23"/>
    </row>
    <row r="86" spans="2:14" ht="15" x14ac:dyDescent="0.25">
      <c r="B86" s="18">
        <v>45</v>
      </c>
      <c r="C86" s="19" t="s">
        <v>1006</v>
      </c>
      <c r="D86" s="20" t="s">
        <v>213</v>
      </c>
      <c r="E86" s="49">
        <v>11855569</v>
      </c>
      <c r="F86" s="28">
        <f t="shared" si="2"/>
        <v>72</v>
      </c>
      <c r="G86" s="28"/>
      <c r="H86" s="28"/>
      <c r="I86" s="24"/>
      <c r="J86" s="20" t="s">
        <v>270</v>
      </c>
      <c r="K86" s="21" t="s">
        <v>389</v>
      </c>
      <c r="L86" s="19" t="s">
        <v>593</v>
      </c>
      <c r="M86" s="22"/>
      <c r="N86" s="23"/>
    </row>
    <row r="87" spans="2:14" ht="15" x14ac:dyDescent="0.25">
      <c r="B87" s="18">
        <v>45</v>
      </c>
      <c r="C87" s="19" t="s">
        <v>1007</v>
      </c>
      <c r="D87" s="20" t="s">
        <v>692</v>
      </c>
      <c r="E87" s="47">
        <v>11862431</v>
      </c>
      <c r="F87" s="28">
        <f t="shared" si="2"/>
        <v>73</v>
      </c>
      <c r="G87" s="28"/>
      <c r="H87" s="28"/>
      <c r="I87" s="24"/>
      <c r="J87" s="20" t="s">
        <v>270</v>
      </c>
      <c r="K87" s="21" t="s">
        <v>389</v>
      </c>
      <c r="L87" s="19" t="s">
        <v>593</v>
      </c>
      <c r="M87" s="22"/>
      <c r="N87" s="23"/>
    </row>
    <row r="88" spans="2:14" ht="15" x14ac:dyDescent="0.25">
      <c r="B88" s="18">
        <v>45</v>
      </c>
      <c r="C88" s="19" t="s">
        <v>526</v>
      </c>
      <c r="D88" s="20" t="s">
        <v>602</v>
      </c>
      <c r="E88" s="49">
        <v>10772095</v>
      </c>
      <c r="F88" s="28">
        <f t="shared" si="2"/>
        <v>74</v>
      </c>
      <c r="G88" s="28"/>
      <c r="H88" s="28"/>
      <c r="I88" s="24"/>
      <c r="J88" s="20" t="s">
        <v>259</v>
      </c>
      <c r="K88" s="21" t="s">
        <v>388</v>
      </c>
      <c r="L88" s="19" t="s">
        <v>593</v>
      </c>
      <c r="M88" s="22"/>
      <c r="N88" s="23"/>
    </row>
    <row r="89" spans="2:14" ht="15" x14ac:dyDescent="0.25">
      <c r="B89" s="18">
        <v>45</v>
      </c>
      <c r="C89" s="19" t="s">
        <v>1008</v>
      </c>
      <c r="D89" s="20" t="s">
        <v>695</v>
      </c>
      <c r="E89" s="47">
        <v>12742244</v>
      </c>
      <c r="F89" s="28">
        <f t="shared" si="2"/>
        <v>75</v>
      </c>
      <c r="G89" s="28"/>
      <c r="H89" s="28"/>
      <c r="I89" s="24"/>
      <c r="J89" s="20" t="s">
        <v>303</v>
      </c>
      <c r="K89" s="21" t="s">
        <v>395</v>
      </c>
      <c r="L89" s="19" t="s">
        <v>593</v>
      </c>
      <c r="M89" s="22"/>
      <c r="N89" s="23"/>
    </row>
    <row r="90" spans="2:14" ht="15" x14ac:dyDescent="0.25">
      <c r="B90" s="18">
        <v>45</v>
      </c>
      <c r="C90" s="19" t="s">
        <v>1010</v>
      </c>
      <c r="D90" s="20" t="s">
        <v>123</v>
      </c>
      <c r="E90" s="47">
        <v>11400918</v>
      </c>
      <c r="F90" s="28">
        <f t="shared" si="2"/>
        <v>76</v>
      </c>
      <c r="G90" s="28"/>
      <c r="H90" s="28"/>
      <c r="I90" s="24"/>
      <c r="J90" s="20" t="s">
        <v>1009</v>
      </c>
      <c r="K90" s="21" t="s">
        <v>389</v>
      </c>
      <c r="L90" s="19" t="s">
        <v>593</v>
      </c>
      <c r="M90" s="22"/>
      <c r="N90" s="23"/>
    </row>
    <row r="91" spans="2:14" ht="15" x14ac:dyDescent="0.25">
      <c r="B91" s="18">
        <v>45</v>
      </c>
      <c r="C91" s="19" t="s">
        <v>468</v>
      </c>
      <c r="D91" s="20" t="s">
        <v>473</v>
      </c>
      <c r="E91" s="47">
        <v>11862457</v>
      </c>
      <c r="F91" s="28">
        <f t="shared" si="2"/>
        <v>77</v>
      </c>
      <c r="G91" s="28"/>
      <c r="H91" s="28"/>
      <c r="I91" s="24"/>
      <c r="J91" s="20" t="s">
        <v>815</v>
      </c>
      <c r="K91" s="21" t="s">
        <v>389</v>
      </c>
      <c r="L91" s="19" t="s">
        <v>593</v>
      </c>
      <c r="M91" s="22"/>
      <c r="N91" s="23"/>
    </row>
    <row r="92" spans="2:14" ht="15" x14ac:dyDescent="0.25">
      <c r="B92" s="18">
        <v>45</v>
      </c>
      <c r="C92" s="19" t="s">
        <v>465</v>
      </c>
      <c r="D92" s="20" t="s">
        <v>213</v>
      </c>
      <c r="E92" s="47">
        <v>11862506</v>
      </c>
      <c r="F92" s="28">
        <f t="shared" si="2"/>
        <v>78</v>
      </c>
      <c r="G92" s="28"/>
      <c r="H92" s="28"/>
      <c r="I92" s="24"/>
      <c r="J92" s="20" t="s">
        <v>815</v>
      </c>
      <c r="K92" s="21" t="s">
        <v>389</v>
      </c>
      <c r="L92" s="19" t="s">
        <v>593</v>
      </c>
      <c r="M92" s="22"/>
      <c r="N92" s="23"/>
    </row>
    <row r="93" spans="2:14" thickBot="1" x14ac:dyDescent="0.3">
      <c r="B93" s="73"/>
      <c r="C93" s="92"/>
      <c r="D93" s="74"/>
      <c r="E93" s="67"/>
      <c r="F93" s="76"/>
      <c r="G93" s="76"/>
      <c r="H93" s="76"/>
      <c r="I93" s="81"/>
      <c r="J93" s="74"/>
      <c r="K93" s="78"/>
      <c r="L93" s="92"/>
      <c r="M93" s="77"/>
      <c r="N93" s="79"/>
    </row>
    <row r="94" spans="2:14" x14ac:dyDescent="0.25">
      <c r="B94" s="2"/>
      <c r="C94" s="1"/>
      <c r="D94" s="1"/>
      <c r="E94" s="26"/>
      <c r="F94" s="89" t="s">
        <v>1050</v>
      </c>
      <c r="G94" s="87"/>
      <c r="H94" s="87"/>
      <c r="I94" s="88"/>
      <c r="J94" s="88"/>
      <c r="K94" s="3"/>
      <c r="L94" s="4"/>
      <c r="M94" s="14" t="s">
        <v>0</v>
      </c>
      <c r="N94" s="5"/>
    </row>
    <row r="95" spans="2:14" ht="15" x14ac:dyDescent="0.25">
      <c r="B95" s="15" t="s">
        <v>1</v>
      </c>
      <c r="C95" s="16" t="s">
        <v>2</v>
      </c>
      <c r="D95" s="16" t="s">
        <v>3</v>
      </c>
      <c r="E95" s="16" t="s">
        <v>4</v>
      </c>
      <c r="F95" s="16" t="s">
        <v>5</v>
      </c>
      <c r="G95" s="16" t="s">
        <v>6</v>
      </c>
      <c r="H95" s="16" t="s">
        <v>7</v>
      </c>
      <c r="I95" s="16" t="s">
        <v>8</v>
      </c>
      <c r="J95" s="16" t="s">
        <v>9</v>
      </c>
      <c r="K95" s="16" t="s">
        <v>387</v>
      </c>
      <c r="L95" s="16" t="s">
        <v>10</v>
      </c>
      <c r="M95" s="16" t="s">
        <v>11</v>
      </c>
      <c r="N95" s="17" t="s">
        <v>12</v>
      </c>
    </row>
    <row r="96" spans="2:14" ht="15" x14ac:dyDescent="0.25">
      <c r="B96" s="58">
        <f>1500+1500</f>
        <v>3000</v>
      </c>
      <c r="C96" s="91" t="s">
        <v>350</v>
      </c>
      <c r="D96" s="59" t="s">
        <v>150</v>
      </c>
      <c r="E96" s="82">
        <v>1178913</v>
      </c>
      <c r="F96" s="61">
        <f>F92+1</f>
        <v>79</v>
      </c>
      <c r="G96" s="61"/>
      <c r="H96" s="61"/>
      <c r="I96" s="58"/>
      <c r="J96" s="59" t="s">
        <v>269</v>
      </c>
      <c r="K96" s="62" t="s">
        <v>390</v>
      </c>
      <c r="L96" s="91" t="s">
        <v>637</v>
      </c>
      <c r="M96" s="63"/>
      <c r="N96" s="64"/>
    </row>
    <row r="97" spans="2:14" ht="15" x14ac:dyDescent="0.25">
      <c r="B97" s="18">
        <f>750+1500+500</f>
        <v>2750</v>
      </c>
      <c r="C97" s="19" t="s">
        <v>846</v>
      </c>
      <c r="D97" s="20" t="s">
        <v>490</v>
      </c>
      <c r="E97" s="49">
        <v>10770495</v>
      </c>
      <c r="F97" s="28">
        <f t="shared" si="2"/>
        <v>80</v>
      </c>
      <c r="G97" s="28"/>
      <c r="H97" s="28"/>
      <c r="I97" s="18"/>
      <c r="J97" s="20" t="s">
        <v>269</v>
      </c>
      <c r="K97" s="21" t="s">
        <v>390</v>
      </c>
      <c r="L97" s="19" t="s">
        <v>637</v>
      </c>
      <c r="M97" s="22"/>
      <c r="N97" s="23"/>
    </row>
    <row r="98" spans="2:14" ht="15" x14ac:dyDescent="0.25">
      <c r="B98" s="18">
        <f>400+1200</f>
        <v>1600</v>
      </c>
      <c r="C98" s="19" t="s">
        <v>316</v>
      </c>
      <c r="D98" s="20" t="s">
        <v>125</v>
      </c>
      <c r="E98" s="49">
        <v>11855626</v>
      </c>
      <c r="F98" s="28">
        <f t="shared" si="2"/>
        <v>81</v>
      </c>
      <c r="G98" s="28"/>
      <c r="H98" s="28"/>
      <c r="I98" s="24"/>
      <c r="J98" s="20" t="s">
        <v>270</v>
      </c>
      <c r="K98" s="21" t="s">
        <v>389</v>
      </c>
      <c r="L98" s="19" t="s">
        <v>637</v>
      </c>
      <c r="M98" s="22"/>
      <c r="N98" s="23"/>
    </row>
    <row r="99" spans="2:14" ht="15" x14ac:dyDescent="0.25">
      <c r="B99" s="18">
        <f>750+500</f>
        <v>1250</v>
      </c>
      <c r="C99" s="20" t="s">
        <v>346</v>
      </c>
      <c r="D99" s="20" t="s">
        <v>143</v>
      </c>
      <c r="E99" s="47">
        <v>10326462</v>
      </c>
      <c r="F99" s="28">
        <f t="shared" si="2"/>
        <v>82</v>
      </c>
      <c r="G99" s="28"/>
      <c r="H99" s="28"/>
      <c r="I99" s="22"/>
      <c r="J99" s="20" t="s">
        <v>347</v>
      </c>
      <c r="K99" s="21" t="s">
        <v>388</v>
      </c>
      <c r="L99" s="19" t="s">
        <v>637</v>
      </c>
      <c r="M99" s="22"/>
      <c r="N99" s="23"/>
    </row>
    <row r="100" spans="2:14" ht="15" x14ac:dyDescent="0.25">
      <c r="B100" s="18">
        <v>1200</v>
      </c>
      <c r="C100" s="19" t="s">
        <v>1013</v>
      </c>
      <c r="D100" s="20" t="s">
        <v>123</v>
      </c>
      <c r="E100" s="47">
        <v>10776310</v>
      </c>
      <c r="F100" s="28">
        <f t="shared" si="2"/>
        <v>83</v>
      </c>
      <c r="G100" s="28"/>
      <c r="H100" s="28"/>
      <c r="I100" s="18"/>
      <c r="J100" s="20" t="s">
        <v>269</v>
      </c>
      <c r="K100" s="21" t="s">
        <v>390</v>
      </c>
      <c r="L100" s="19" t="s">
        <v>637</v>
      </c>
      <c r="M100" s="22"/>
      <c r="N100" s="23"/>
    </row>
    <row r="101" spans="2:14" ht="15" x14ac:dyDescent="0.25">
      <c r="B101" s="18">
        <v>1200</v>
      </c>
      <c r="C101" s="19" t="s">
        <v>892</v>
      </c>
      <c r="D101" s="20" t="s">
        <v>491</v>
      </c>
      <c r="E101" s="47">
        <v>11141893</v>
      </c>
      <c r="F101" s="28">
        <f t="shared" si="2"/>
        <v>84</v>
      </c>
      <c r="G101" s="28"/>
      <c r="H101" s="28"/>
      <c r="I101" s="18"/>
      <c r="J101" s="20" t="s">
        <v>270</v>
      </c>
      <c r="K101" s="21" t="s">
        <v>389</v>
      </c>
      <c r="L101" s="19" t="s">
        <v>637</v>
      </c>
      <c r="M101" s="22"/>
      <c r="N101" s="23"/>
    </row>
    <row r="102" spans="2:14" ht="15" x14ac:dyDescent="0.25">
      <c r="B102" s="18">
        <f>400+400</f>
        <v>800</v>
      </c>
      <c r="C102" s="19" t="s">
        <v>537</v>
      </c>
      <c r="D102" s="20" t="s">
        <v>638</v>
      </c>
      <c r="E102" s="47">
        <v>11862423</v>
      </c>
      <c r="F102" s="28">
        <f t="shared" si="2"/>
        <v>85</v>
      </c>
      <c r="G102" s="28"/>
      <c r="H102" s="28"/>
      <c r="I102" s="18"/>
      <c r="J102" s="20" t="s">
        <v>270</v>
      </c>
      <c r="K102" s="21" t="s">
        <v>389</v>
      </c>
      <c r="L102" s="19" t="s">
        <v>637</v>
      </c>
      <c r="M102" s="22"/>
      <c r="N102" s="23"/>
    </row>
    <row r="103" spans="2:14" thickBot="1" x14ac:dyDescent="0.3">
      <c r="B103" s="73"/>
      <c r="C103" s="92"/>
      <c r="D103" s="74"/>
      <c r="E103" s="67"/>
      <c r="F103" s="76"/>
      <c r="G103" s="76"/>
      <c r="H103" s="76"/>
      <c r="I103" s="73"/>
      <c r="J103" s="74"/>
      <c r="K103" s="78"/>
      <c r="L103" s="92"/>
      <c r="M103" s="77"/>
      <c r="N103" s="79"/>
    </row>
    <row r="104" spans="2:14" x14ac:dyDescent="0.25">
      <c r="B104" s="2"/>
      <c r="C104" s="1"/>
      <c r="D104" s="1"/>
      <c r="E104" s="26"/>
      <c r="F104" s="89" t="s">
        <v>1051</v>
      </c>
      <c r="G104" s="87"/>
      <c r="H104" s="87"/>
      <c r="I104" s="88"/>
      <c r="J104" s="88"/>
      <c r="K104" s="3"/>
      <c r="L104" s="4"/>
      <c r="M104" s="14" t="s">
        <v>0</v>
      </c>
      <c r="N104" s="5"/>
    </row>
    <row r="105" spans="2:14" ht="15" x14ac:dyDescent="0.25">
      <c r="B105" s="15" t="s">
        <v>1</v>
      </c>
      <c r="C105" s="16" t="s">
        <v>2</v>
      </c>
      <c r="D105" s="16" t="s">
        <v>3</v>
      </c>
      <c r="E105" s="16" t="s">
        <v>4</v>
      </c>
      <c r="F105" s="16" t="s">
        <v>5</v>
      </c>
      <c r="G105" s="16" t="s">
        <v>6</v>
      </c>
      <c r="H105" s="16" t="s">
        <v>7</v>
      </c>
      <c r="I105" s="16" t="s">
        <v>8</v>
      </c>
      <c r="J105" s="16" t="s">
        <v>9</v>
      </c>
      <c r="K105" s="16" t="s">
        <v>387</v>
      </c>
      <c r="L105" s="16" t="s">
        <v>10</v>
      </c>
      <c r="M105" s="16" t="s">
        <v>11</v>
      </c>
      <c r="N105" s="17" t="s">
        <v>12</v>
      </c>
    </row>
    <row r="106" spans="2:14" ht="15" x14ac:dyDescent="0.25">
      <c r="B106" s="58">
        <f>600+2000+1500+375</f>
        <v>4475</v>
      </c>
      <c r="C106" s="91" t="s">
        <v>352</v>
      </c>
      <c r="D106" s="59" t="s">
        <v>353</v>
      </c>
      <c r="E106" s="82">
        <v>10766551</v>
      </c>
      <c r="F106" s="61">
        <f>F102+1</f>
        <v>86</v>
      </c>
      <c r="G106" s="61"/>
      <c r="H106" s="61"/>
      <c r="I106" s="63"/>
      <c r="J106" s="59" t="s">
        <v>761</v>
      </c>
      <c r="K106" s="62" t="s">
        <v>388</v>
      </c>
      <c r="L106" s="91" t="s">
        <v>230</v>
      </c>
      <c r="M106" s="63"/>
      <c r="N106" s="64"/>
    </row>
    <row r="107" spans="2:14" ht="15" x14ac:dyDescent="0.25">
      <c r="B107" s="18">
        <f>1200+1200</f>
        <v>2400</v>
      </c>
      <c r="C107" s="19" t="s">
        <v>351</v>
      </c>
      <c r="D107" s="20" t="s">
        <v>123</v>
      </c>
      <c r="E107" s="48">
        <v>16953251</v>
      </c>
      <c r="F107" s="28">
        <f t="shared" si="2"/>
        <v>87</v>
      </c>
      <c r="G107" s="28"/>
      <c r="H107" s="28"/>
      <c r="I107" s="18"/>
      <c r="J107" s="20" t="s">
        <v>269</v>
      </c>
      <c r="K107" s="21" t="s">
        <v>390</v>
      </c>
      <c r="L107" s="19" t="s">
        <v>230</v>
      </c>
      <c r="M107" s="22"/>
      <c r="N107" s="23"/>
    </row>
    <row r="108" spans="2:14" ht="15" x14ac:dyDescent="0.25">
      <c r="B108" s="18">
        <f>1500+375</f>
        <v>1875</v>
      </c>
      <c r="C108" s="19" t="s">
        <v>72</v>
      </c>
      <c r="D108" s="20" t="s">
        <v>213</v>
      </c>
      <c r="E108" s="47">
        <v>10768242</v>
      </c>
      <c r="F108" s="28">
        <f t="shared" si="2"/>
        <v>88</v>
      </c>
      <c r="G108" s="28"/>
      <c r="H108" s="28"/>
      <c r="I108" s="22"/>
      <c r="J108" s="20" t="s">
        <v>259</v>
      </c>
      <c r="K108" s="21" t="s">
        <v>388</v>
      </c>
      <c r="L108" s="19" t="s">
        <v>230</v>
      </c>
      <c r="M108" s="22"/>
      <c r="N108" s="23"/>
    </row>
    <row r="109" spans="2:14" ht="15" x14ac:dyDescent="0.25">
      <c r="B109" s="18">
        <f>750+400</f>
        <v>1150</v>
      </c>
      <c r="C109" s="19" t="s">
        <v>240</v>
      </c>
      <c r="D109" s="20" t="s">
        <v>135</v>
      </c>
      <c r="E109" s="48">
        <v>10772722</v>
      </c>
      <c r="F109" s="28">
        <f t="shared" si="2"/>
        <v>89</v>
      </c>
      <c r="G109" s="28"/>
      <c r="H109" s="28"/>
      <c r="I109" s="22"/>
      <c r="J109" s="20" t="s">
        <v>259</v>
      </c>
      <c r="K109" s="21" t="s">
        <v>388</v>
      </c>
      <c r="L109" s="19" t="s">
        <v>230</v>
      </c>
      <c r="M109" s="22"/>
      <c r="N109" s="23"/>
    </row>
    <row r="110" spans="2:14" ht="15" x14ac:dyDescent="0.25">
      <c r="B110" s="18">
        <v>750</v>
      </c>
      <c r="C110" s="19" t="s">
        <v>513</v>
      </c>
      <c r="D110" s="20" t="s">
        <v>514</v>
      </c>
      <c r="E110" s="48">
        <v>10772706</v>
      </c>
      <c r="F110" s="28">
        <f t="shared" si="2"/>
        <v>90</v>
      </c>
      <c r="G110" s="28"/>
      <c r="H110" s="28"/>
      <c r="I110" s="18"/>
      <c r="J110" s="20" t="s">
        <v>269</v>
      </c>
      <c r="K110" s="21" t="s">
        <v>390</v>
      </c>
      <c r="L110" s="19" t="s">
        <v>230</v>
      </c>
      <c r="M110" s="22"/>
      <c r="N110" s="23"/>
    </row>
    <row r="111" spans="2:14" ht="15" x14ac:dyDescent="0.25">
      <c r="B111" s="18">
        <v>250</v>
      </c>
      <c r="C111" s="19" t="s">
        <v>348</v>
      </c>
      <c r="D111" s="20" t="s">
        <v>349</v>
      </c>
      <c r="E111" s="47">
        <v>10766197</v>
      </c>
      <c r="F111" s="28">
        <f t="shared" si="2"/>
        <v>91</v>
      </c>
      <c r="G111" s="28"/>
      <c r="H111" s="28"/>
      <c r="I111" s="18"/>
      <c r="J111" s="20" t="s">
        <v>259</v>
      </c>
      <c r="K111" s="21" t="s">
        <v>388</v>
      </c>
      <c r="L111" s="19" t="s">
        <v>230</v>
      </c>
      <c r="M111" s="22"/>
      <c r="N111" s="23"/>
    </row>
    <row r="112" spans="2:14" ht="15" x14ac:dyDescent="0.25">
      <c r="B112" s="18">
        <v>250</v>
      </c>
      <c r="C112" s="19" t="s">
        <v>734</v>
      </c>
      <c r="D112" s="20" t="s">
        <v>733</v>
      </c>
      <c r="E112" s="48">
        <v>10785460</v>
      </c>
      <c r="F112" s="28">
        <f t="shared" si="2"/>
        <v>92</v>
      </c>
      <c r="G112" s="28"/>
      <c r="H112" s="28"/>
      <c r="I112" s="18"/>
      <c r="J112" s="20" t="s">
        <v>259</v>
      </c>
      <c r="K112" s="21" t="s">
        <v>388</v>
      </c>
      <c r="L112" s="19" t="s">
        <v>230</v>
      </c>
      <c r="M112" s="22"/>
      <c r="N112" s="23"/>
    </row>
    <row r="113" spans="2:14" ht="15" x14ac:dyDescent="0.25">
      <c r="B113" s="18">
        <v>150</v>
      </c>
      <c r="C113" s="19" t="s">
        <v>735</v>
      </c>
      <c r="D113" s="20" t="s">
        <v>126</v>
      </c>
      <c r="E113" s="48">
        <v>10772748</v>
      </c>
      <c r="F113" s="28">
        <f t="shared" si="2"/>
        <v>93</v>
      </c>
      <c r="G113" s="28"/>
      <c r="H113" s="28"/>
      <c r="I113" s="18"/>
      <c r="J113" s="20" t="s">
        <v>259</v>
      </c>
      <c r="K113" s="21" t="s">
        <v>388</v>
      </c>
      <c r="L113" s="19" t="s">
        <v>230</v>
      </c>
      <c r="M113" s="22"/>
      <c r="N113" s="23"/>
    </row>
    <row r="114" spans="2:14" thickBot="1" x14ac:dyDescent="0.3">
      <c r="B114" s="73"/>
      <c r="C114" s="92"/>
      <c r="D114" s="74"/>
      <c r="E114" s="65"/>
      <c r="F114" s="76"/>
      <c r="G114" s="76"/>
      <c r="H114" s="76"/>
      <c r="I114" s="73"/>
      <c r="J114" s="74"/>
      <c r="K114" s="78"/>
      <c r="L114" s="92"/>
      <c r="M114" s="77"/>
      <c r="N114" s="79"/>
    </row>
    <row r="115" spans="2:14" x14ac:dyDescent="0.25">
      <c r="B115" s="2"/>
      <c r="C115" s="1"/>
      <c r="D115" s="1"/>
      <c r="E115" s="26"/>
      <c r="F115" s="89" t="s">
        <v>1052</v>
      </c>
      <c r="G115" s="87"/>
      <c r="H115" s="87"/>
      <c r="I115" s="88"/>
      <c r="J115" s="88"/>
      <c r="K115" s="3"/>
      <c r="L115" s="4"/>
      <c r="M115" s="14" t="s">
        <v>0</v>
      </c>
      <c r="N115" s="5"/>
    </row>
    <row r="116" spans="2:14" ht="15" x14ac:dyDescent="0.25">
      <c r="B116" s="15" t="s">
        <v>1</v>
      </c>
      <c r="C116" s="16" t="s">
        <v>2</v>
      </c>
      <c r="D116" s="16" t="s">
        <v>3</v>
      </c>
      <c r="E116" s="16" t="s">
        <v>4</v>
      </c>
      <c r="F116" s="16" t="s">
        <v>5</v>
      </c>
      <c r="G116" s="16" t="s">
        <v>6</v>
      </c>
      <c r="H116" s="16" t="s">
        <v>7</v>
      </c>
      <c r="I116" s="16" t="s">
        <v>8</v>
      </c>
      <c r="J116" s="16" t="s">
        <v>9</v>
      </c>
      <c r="K116" s="16" t="s">
        <v>387</v>
      </c>
      <c r="L116" s="16" t="s">
        <v>10</v>
      </c>
      <c r="M116" s="16" t="s">
        <v>11</v>
      </c>
      <c r="N116" s="17" t="s">
        <v>12</v>
      </c>
    </row>
    <row r="117" spans="2:14" ht="15" x14ac:dyDescent="0.25">
      <c r="B117" s="58">
        <f>90+1500</f>
        <v>1590</v>
      </c>
      <c r="C117" s="91" t="s">
        <v>898</v>
      </c>
      <c r="D117" s="59" t="s">
        <v>126</v>
      </c>
      <c r="E117" s="60">
        <v>10765701</v>
      </c>
      <c r="F117" s="61">
        <f>F113+1</f>
        <v>94</v>
      </c>
      <c r="G117" s="61"/>
      <c r="H117" s="61"/>
      <c r="I117" s="63"/>
      <c r="J117" s="59" t="s">
        <v>259</v>
      </c>
      <c r="K117" s="62" t="s">
        <v>388</v>
      </c>
      <c r="L117" s="91" t="s">
        <v>239</v>
      </c>
      <c r="M117" s="63"/>
      <c r="N117" s="64"/>
    </row>
    <row r="118" spans="2:14" ht="15" x14ac:dyDescent="0.25">
      <c r="B118" s="18">
        <f>90+1500</f>
        <v>1590</v>
      </c>
      <c r="C118" s="19" t="s">
        <v>364</v>
      </c>
      <c r="D118" s="20" t="s">
        <v>217</v>
      </c>
      <c r="E118" s="47">
        <v>10763565</v>
      </c>
      <c r="F118" s="28">
        <f t="shared" si="2"/>
        <v>95</v>
      </c>
      <c r="G118" s="28"/>
      <c r="H118" s="28"/>
      <c r="I118" s="22"/>
      <c r="J118" s="20" t="s">
        <v>259</v>
      </c>
      <c r="K118" s="21" t="s">
        <v>388</v>
      </c>
      <c r="L118" s="19" t="s">
        <v>239</v>
      </c>
      <c r="M118" s="22"/>
      <c r="N118" s="23"/>
    </row>
    <row r="119" spans="2:14" ht="15" x14ac:dyDescent="0.25">
      <c r="B119" s="18">
        <v>1200</v>
      </c>
      <c r="C119" s="19" t="s">
        <v>1012</v>
      </c>
      <c r="D119" s="20" t="s">
        <v>626</v>
      </c>
      <c r="E119" s="48">
        <v>10771831</v>
      </c>
      <c r="F119" s="28">
        <f t="shared" si="2"/>
        <v>96</v>
      </c>
      <c r="G119" s="28"/>
      <c r="H119" s="28"/>
      <c r="I119" s="22"/>
      <c r="J119" s="20" t="s">
        <v>259</v>
      </c>
      <c r="K119" s="21" t="s">
        <v>388</v>
      </c>
      <c r="L119" s="19" t="s">
        <v>239</v>
      </c>
      <c r="M119" s="22"/>
      <c r="N119" s="23"/>
    </row>
    <row r="120" spans="2:14" ht="15" x14ac:dyDescent="0.25">
      <c r="B120" s="18">
        <v>1200</v>
      </c>
      <c r="C120" s="19" t="s">
        <v>710</v>
      </c>
      <c r="D120" s="20" t="s">
        <v>147</v>
      </c>
      <c r="E120" s="47">
        <v>10770635</v>
      </c>
      <c r="F120" s="28">
        <f t="shared" si="2"/>
        <v>97</v>
      </c>
      <c r="G120" s="28"/>
      <c r="H120" s="28"/>
      <c r="I120" s="22"/>
      <c r="J120" s="20" t="s">
        <v>259</v>
      </c>
      <c r="K120" s="21" t="s">
        <v>388</v>
      </c>
      <c r="L120" s="19" t="s">
        <v>239</v>
      </c>
      <c r="M120" s="22"/>
      <c r="N120" s="23"/>
    </row>
    <row r="121" spans="2:14" ht="15" x14ac:dyDescent="0.25">
      <c r="B121" s="18">
        <v>1000</v>
      </c>
      <c r="C121" s="19" t="s">
        <v>360</v>
      </c>
      <c r="D121" s="20" t="s">
        <v>141</v>
      </c>
      <c r="E121" s="48">
        <v>10768094</v>
      </c>
      <c r="F121" s="28">
        <f t="shared" si="2"/>
        <v>98</v>
      </c>
      <c r="G121" s="28"/>
      <c r="H121" s="28"/>
      <c r="I121" s="22"/>
      <c r="J121" s="20" t="s">
        <v>761</v>
      </c>
      <c r="K121" s="21" t="s">
        <v>388</v>
      </c>
      <c r="L121" s="19" t="s">
        <v>239</v>
      </c>
      <c r="M121" s="22"/>
      <c r="N121" s="23"/>
    </row>
    <row r="122" spans="2:14" ht="15" x14ac:dyDescent="0.25">
      <c r="B122" s="18">
        <v>750</v>
      </c>
      <c r="C122" s="19" t="s">
        <v>700</v>
      </c>
      <c r="D122" s="20" t="s">
        <v>451</v>
      </c>
      <c r="E122" s="47">
        <v>11862639</v>
      </c>
      <c r="F122" s="28">
        <f t="shared" si="2"/>
        <v>99</v>
      </c>
      <c r="G122" s="28"/>
      <c r="H122" s="28"/>
      <c r="I122" s="22"/>
      <c r="J122" s="20" t="s">
        <v>815</v>
      </c>
      <c r="K122" s="21" t="s">
        <v>389</v>
      </c>
      <c r="L122" s="19" t="s">
        <v>239</v>
      </c>
      <c r="M122" s="22"/>
      <c r="N122" s="23"/>
    </row>
    <row r="123" spans="2:14" ht="15" x14ac:dyDescent="0.25">
      <c r="B123" s="18">
        <v>750</v>
      </c>
      <c r="C123" s="19" t="s">
        <v>457</v>
      </c>
      <c r="D123" s="20" t="s">
        <v>701</v>
      </c>
      <c r="E123" s="48">
        <v>11805027</v>
      </c>
      <c r="F123" s="28">
        <f t="shared" si="2"/>
        <v>100</v>
      </c>
      <c r="G123" s="28"/>
      <c r="H123" s="28"/>
      <c r="I123" s="22"/>
      <c r="J123" s="20" t="s">
        <v>815</v>
      </c>
      <c r="K123" s="21" t="s">
        <v>389</v>
      </c>
      <c r="L123" s="19" t="s">
        <v>239</v>
      </c>
      <c r="M123" s="22"/>
      <c r="N123" s="23"/>
    </row>
    <row r="124" spans="2:14" ht="15" x14ac:dyDescent="0.25">
      <c r="B124" s="18">
        <v>750</v>
      </c>
      <c r="C124" s="19" t="s">
        <v>866</v>
      </c>
      <c r="D124" s="20" t="s">
        <v>536</v>
      </c>
      <c r="E124" s="48">
        <v>10770643</v>
      </c>
      <c r="F124" s="28">
        <f t="shared" si="2"/>
        <v>101</v>
      </c>
      <c r="G124" s="28"/>
      <c r="H124" s="28"/>
      <c r="I124" s="22"/>
      <c r="J124" s="20" t="s">
        <v>259</v>
      </c>
      <c r="K124" s="21" t="s">
        <v>388</v>
      </c>
      <c r="L124" s="19" t="s">
        <v>239</v>
      </c>
      <c r="M124" s="22"/>
      <c r="N124" s="23"/>
    </row>
    <row r="125" spans="2:14" ht="15" x14ac:dyDescent="0.25">
      <c r="B125" s="18">
        <v>750</v>
      </c>
      <c r="C125" s="19" t="s">
        <v>355</v>
      </c>
      <c r="D125" s="20" t="s">
        <v>1014</v>
      </c>
      <c r="E125" s="48">
        <v>10768010</v>
      </c>
      <c r="F125" s="28">
        <f t="shared" si="2"/>
        <v>102</v>
      </c>
      <c r="G125" s="28"/>
      <c r="H125" s="28"/>
      <c r="I125" s="22"/>
      <c r="J125" s="20" t="s">
        <v>920</v>
      </c>
      <c r="K125" s="21" t="s">
        <v>388</v>
      </c>
      <c r="L125" s="19" t="s">
        <v>239</v>
      </c>
      <c r="M125" s="22"/>
      <c r="N125" s="23"/>
    </row>
    <row r="126" spans="2:14" ht="15" x14ac:dyDescent="0.25">
      <c r="B126" s="18">
        <f>90+600</f>
        <v>690</v>
      </c>
      <c r="C126" s="19" t="s">
        <v>136</v>
      </c>
      <c r="D126" s="20" t="s">
        <v>137</v>
      </c>
      <c r="E126" s="47">
        <v>10766361</v>
      </c>
      <c r="F126" s="28">
        <f t="shared" si="2"/>
        <v>103</v>
      </c>
      <c r="G126" s="28"/>
      <c r="H126" s="28"/>
      <c r="I126" s="22"/>
      <c r="J126" s="20" t="s">
        <v>259</v>
      </c>
      <c r="K126" s="21" t="s">
        <v>388</v>
      </c>
      <c r="L126" s="19" t="s">
        <v>239</v>
      </c>
      <c r="M126" s="22"/>
      <c r="N126" s="23"/>
    </row>
    <row r="127" spans="2:14" ht="15" x14ac:dyDescent="0.25">
      <c r="B127" s="18">
        <v>400</v>
      </c>
      <c r="C127" s="19" t="s">
        <v>1015</v>
      </c>
      <c r="D127" s="20" t="s">
        <v>534</v>
      </c>
      <c r="E127" s="47">
        <v>10772954</v>
      </c>
      <c r="F127" s="28">
        <f t="shared" si="2"/>
        <v>104</v>
      </c>
      <c r="G127" s="28"/>
      <c r="H127" s="28"/>
      <c r="I127" s="22"/>
      <c r="J127" s="20" t="s">
        <v>259</v>
      </c>
      <c r="K127" s="21" t="s">
        <v>388</v>
      </c>
      <c r="L127" s="19" t="s">
        <v>239</v>
      </c>
      <c r="M127" s="22"/>
      <c r="N127" s="23"/>
    </row>
    <row r="128" spans="2:14" ht="15" x14ac:dyDescent="0.25">
      <c r="B128" s="18">
        <v>400</v>
      </c>
      <c r="C128" s="19" t="s">
        <v>871</v>
      </c>
      <c r="D128" s="20" t="s">
        <v>531</v>
      </c>
      <c r="E128" s="47">
        <v>10772988</v>
      </c>
      <c r="F128" s="28">
        <f t="shared" si="2"/>
        <v>105</v>
      </c>
      <c r="G128" s="28"/>
      <c r="H128" s="28"/>
      <c r="I128" s="22"/>
      <c r="J128" s="20" t="s">
        <v>259</v>
      </c>
      <c r="K128" s="21" t="s">
        <v>388</v>
      </c>
      <c r="L128" s="19" t="s">
        <v>239</v>
      </c>
      <c r="M128" s="22"/>
      <c r="N128" s="23"/>
    </row>
    <row r="129" spans="2:14" ht="15" x14ac:dyDescent="0.25">
      <c r="B129" s="18">
        <v>250</v>
      </c>
      <c r="C129" s="19" t="s">
        <v>237</v>
      </c>
      <c r="D129" s="20" t="s">
        <v>366</v>
      </c>
      <c r="E129" s="47">
        <v>10768581</v>
      </c>
      <c r="F129" s="28">
        <f t="shared" si="2"/>
        <v>106</v>
      </c>
      <c r="G129" s="28"/>
      <c r="H129" s="28"/>
      <c r="I129" s="22"/>
      <c r="J129" s="20" t="s">
        <v>259</v>
      </c>
      <c r="K129" s="21" t="s">
        <v>388</v>
      </c>
      <c r="L129" s="19" t="s">
        <v>239</v>
      </c>
      <c r="M129" s="22"/>
      <c r="N129" s="23"/>
    </row>
    <row r="130" spans="2:14" ht="15" x14ac:dyDescent="0.25">
      <c r="B130" s="18">
        <f>90+45</f>
        <v>135</v>
      </c>
      <c r="C130" s="19" t="s">
        <v>242</v>
      </c>
      <c r="D130" s="20" t="s">
        <v>213</v>
      </c>
      <c r="E130" s="47">
        <v>16307664</v>
      </c>
      <c r="F130" s="28">
        <f t="shared" si="2"/>
        <v>107</v>
      </c>
      <c r="G130" s="28"/>
      <c r="H130" s="28"/>
      <c r="I130" s="22"/>
      <c r="J130" s="20" t="s">
        <v>259</v>
      </c>
      <c r="K130" s="21" t="s">
        <v>388</v>
      </c>
      <c r="L130" s="19" t="s">
        <v>239</v>
      </c>
      <c r="M130" s="22"/>
      <c r="N130" s="23"/>
    </row>
    <row r="131" spans="2:14" ht="15" x14ac:dyDescent="0.25">
      <c r="B131" s="18">
        <f>90+45</f>
        <v>135</v>
      </c>
      <c r="C131" s="19" t="s">
        <v>1016</v>
      </c>
      <c r="D131" s="20" t="s">
        <v>1017</v>
      </c>
      <c r="E131" s="47">
        <v>10766452</v>
      </c>
      <c r="F131" s="28">
        <f t="shared" si="2"/>
        <v>108</v>
      </c>
      <c r="G131" s="28"/>
      <c r="H131" s="28"/>
      <c r="I131" s="22"/>
      <c r="J131" s="20" t="s">
        <v>259</v>
      </c>
      <c r="K131" s="21" t="s">
        <v>388</v>
      </c>
      <c r="L131" s="19" t="s">
        <v>239</v>
      </c>
      <c r="M131" s="22"/>
      <c r="N131" s="23"/>
    </row>
    <row r="132" spans="2:14" ht="15" x14ac:dyDescent="0.25">
      <c r="B132" s="18">
        <v>90</v>
      </c>
      <c r="C132" s="34" t="s">
        <v>362</v>
      </c>
      <c r="D132" s="20" t="s">
        <v>215</v>
      </c>
      <c r="E132" s="47">
        <v>16307721</v>
      </c>
      <c r="F132" s="28">
        <f t="shared" si="2"/>
        <v>109</v>
      </c>
      <c r="G132" s="28"/>
      <c r="H132" s="28"/>
      <c r="I132" s="22"/>
      <c r="J132" s="20" t="s">
        <v>259</v>
      </c>
      <c r="K132" s="21" t="s">
        <v>388</v>
      </c>
      <c r="L132" s="19" t="s">
        <v>239</v>
      </c>
      <c r="M132" s="22"/>
      <c r="N132" s="23"/>
    </row>
    <row r="133" spans="2:14" ht="15" x14ac:dyDescent="0.25">
      <c r="B133" s="18">
        <v>45</v>
      </c>
      <c r="C133" s="19" t="s">
        <v>1018</v>
      </c>
      <c r="D133" s="20" t="s">
        <v>627</v>
      </c>
      <c r="E133" s="48">
        <v>10770792</v>
      </c>
      <c r="F133" s="28">
        <f t="shared" si="2"/>
        <v>110</v>
      </c>
      <c r="G133" s="28"/>
      <c r="H133" s="28"/>
      <c r="I133" s="22"/>
      <c r="J133" s="20" t="s">
        <v>259</v>
      </c>
      <c r="K133" s="21" t="s">
        <v>388</v>
      </c>
      <c r="L133" s="19" t="s">
        <v>239</v>
      </c>
      <c r="M133" s="22"/>
      <c r="N133" s="23"/>
    </row>
    <row r="134" spans="2:14" ht="15" x14ac:dyDescent="0.25">
      <c r="B134" s="18">
        <v>45</v>
      </c>
      <c r="C134" s="19" t="s">
        <v>365</v>
      </c>
      <c r="D134" s="20" t="s">
        <v>1014</v>
      </c>
      <c r="E134" s="48">
        <v>10764943</v>
      </c>
      <c r="F134" s="28">
        <f t="shared" si="2"/>
        <v>111</v>
      </c>
      <c r="G134" s="28"/>
      <c r="H134" s="28"/>
      <c r="I134" s="22"/>
      <c r="J134" s="20" t="s">
        <v>761</v>
      </c>
      <c r="K134" s="21" t="s">
        <v>388</v>
      </c>
      <c r="L134" s="19" t="s">
        <v>239</v>
      </c>
      <c r="M134" s="22"/>
      <c r="N134" s="23"/>
    </row>
    <row r="135" spans="2:14" ht="15" x14ac:dyDescent="0.25">
      <c r="B135" s="18">
        <v>45</v>
      </c>
      <c r="C135" s="19" t="s">
        <v>628</v>
      </c>
      <c r="D135" s="20" t="s">
        <v>128</v>
      </c>
      <c r="E135" s="47">
        <v>10773639</v>
      </c>
      <c r="F135" s="28">
        <f t="shared" si="2"/>
        <v>112</v>
      </c>
      <c r="G135" s="28"/>
      <c r="H135" s="28"/>
      <c r="I135" s="22"/>
      <c r="J135" s="20" t="s">
        <v>259</v>
      </c>
      <c r="K135" s="21" t="s">
        <v>388</v>
      </c>
      <c r="L135" s="19" t="s">
        <v>239</v>
      </c>
      <c r="M135" s="22"/>
      <c r="N135" s="23"/>
    </row>
    <row r="136" spans="2:14" ht="15" x14ac:dyDescent="0.25">
      <c r="B136" s="18">
        <v>45</v>
      </c>
      <c r="C136" s="19" t="s">
        <v>702</v>
      </c>
      <c r="D136" s="20" t="s">
        <v>450</v>
      </c>
      <c r="E136" s="48">
        <v>11862358</v>
      </c>
      <c r="F136" s="28">
        <f t="shared" si="2"/>
        <v>113</v>
      </c>
      <c r="G136" s="28"/>
      <c r="H136" s="28"/>
      <c r="I136" s="22"/>
      <c r="J136" s="20" t="s">
        <v>270</v>
      </c>
      <c r="K136" s="21" t="s">
        <v>389</v>
      </c>
      <c r="L136" s="19" t="s">
        <v>239</v>
      </c>
      <c r="M136" s="22"/>
      <c r="N136" s="23"/>
    </row>
    <row r="137" spans="2:14" ht="15" x14ac:dyDescent="0.25">
      <c r="B137" s="18">
        <v>45</v>
      </c>
      <c r="C137" s="19" t="s">
        <v>1011</v>
      </c>
      <c r="D137" s="20" t="s">
        <v>241</v>
      </c>
      <c r="E137" s="47">
        <v>11882843</v>
      </c>
      <c r="F137" s="28">
        <f t="shared" si="2"/>
        <v>114</v>
      </c>
      <c r="G137" s="28"/>
      <c r="H137" s="28"/>
      <c r="I137" s="22"/>
      <c r="J137" s="20" t="s">
        <v>270</v>
      </c>
      <c r="K137" s="21" t="s">
        <v>389</v>
      </c>
      <c r="L137" s="19" t="s">
        <v>239</v>
      </c>
      <c r="M137" s="22"/>
      <c r="N137" s="23"/>
    </row>
    <row r="138" spans="2:14" ht="15" x14ac:dyDescent="0.25">
      <c r="E138"/>
    </row>
  </sheetData>
  <mergeCells count="1">
    <mergeCell ref="C4:K4"/>
  </mergeCells>
  <pageMargins left="0.70866141732283472" right="0.70866141732283472" top="0.74803149606299213" bottom="0.74803149606299213" header="0.31496062992125984" footer="0.31496062992125984"/>
  <pageSetup paperSize="9" scale="66" fitToHeight="3" orientation="landscape" horizontalDpi="1200" verticalDpi="1200" r:id="rId1"/>
  <headerFooter>
    <oddFooter>&amp;A&amp;RPágina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4" sqref="E4"/>
    </sheetView>
  </sheetViews>
  <sheetFormatPr baseColWidth="10" defaultRowHeight="15" x14ac:dyDescent="0.25"/>
  <cols>
    <col min="3" max="3" width="19" bestFit="1" customWidth="1"/>
    <col min="4" max="4" width="15.28515625" customWidth="1"/>
  </cols>
  <sheetData>
    <row r="1" spans="1:7" ht="21" x14ac:dyDescent="0.25">
      <c r="A1" s="105" t="s">
        <v>425</v>
      </c>
      <c r="B1" s="105"/>
      <c r="C1" s="105"/>
      <c r="D1" s="105"/>
      <c r="E1" s="105"/>
      <c r="F1" s="105"/>
      <c r="G1" s="106"/>
    </row>
    <row r="2" spans="1:7" ht="21" x14ac:dyDescent="0.25">
      <c r="A2" s="107" t="s">
        <v>426</v>
      </c>
      <c r="B2" s="107"/>
      <c r="C2" s="107"/>
      <c r="D2" s="107"/>
      <c r="E2" s="107"/>
      <c r="F2" s="107"/>
      <c r="G2" s="108"/>
    </row>
    <row r="3" spans="1:7" x14ac:dyDescent="0.25">
      <c r="A3" s="13"/>
      <c r="B3" s="42" t="s">
        <v>427</v>
      </c>
      <c r="C3" s="42" t="s">
        <v>428</v>
      </c>
      <c r="D3" s="42" t="s">
        <v>429</v>
      </c>
      <c r="E3" s="42" t="s">
        <v>430</v>
      </c>
      <c r="F3" s="42" t="s">
        <v>431</v>
      </c>
      <c r="G3" s="42" t="s">
        <v>432</v>
      </c>
    </row>
    <row r="4" spans="1:7" x14ac:dyDescent="0.25">
      <c r="A4" s="43" t="s">
        <v>433</v>
      </c>
      <c r="B4" s="13">
        <v>2000</v>
      </c>
      <c r="C4" s="13">
        <v>1500</v>
      </c>
      <c r="D4" s="13">
        <v>1000</v>
      </c>
      <c r="E4" s="13">
        <v>500</v>
      </c>
      <c r="F4" s="13">
        <v>250</v>
      </c>
      <c r="G4" s="13">
        <v>100</v>
      </c>
    </row>
    <row r="5" spans="1:7" x14ac:dyDescent="0.25">
      <c r="A5" s="43" t="s">
        <v>434</v>
      </c>
      <c r="B5" s="13">
        <v>1500</v>
      </c>
      <c r="C5" s="13">
        <v>1200</v>
      </c>
      <c r="D5" s="13">
        <v>750</v>
      </c>
      <c r="E5" s="13">
        <v>375</v>
      </c>
      <c r="F5" s="13">
        <v>188</v>
      </c>
      <c r="G5" s="13">
        <v>75</v>
      </c>
    </row>
    <row r="6" spans="1:7" x14ac:dyDescent="0.25">
      <c r="A6" s="43" t="s">
        <v>435</v>
      </c>
      <c r="B6" s="13">
        <v>1000</v>
      </c>
      <c r="C6" s="13">
        <v>750</v>
      </c>
      <c r="D6" s="13">
        <v>500</v>
      </c>
      <c r="E6" s="13">
        <v>250</v>
      </c>
      <c r="F6" s="13">
        <v>125</v>
      </c>
      <c r="G6" s="13">
        <v>50</v>
      </c>
    </row>
    <row r="7" spans="1:7" x14ac:dyDescent="0.25">
      <c r="A7" s="43" t="s">
        <v>436</v>
      </c>
      <c r="B7" s="13">
        <v>600</v>
      </c>
      <c r="C7" s="13">
        <v>400</v>
      </c>
      <c r="D7" s="13">
        <v>300</v>
      </c>
      <c r="E7" s="13">
        <v>150</v>
      </c>
      <c r="F7" s="13">
        <v>75</v>
      </c>
      <c r="G7" s="13">
        <v>25</v>
      </c>
    </row>
    <row r="8" spans="1:7" x14ac:dyDescent="0.25">
      <c r="A8" s="43" t="s">
        <v>437</v>
      </c>
      <c r="B8" s="13">
        <v>360</v>
      </c>
      <c r="C8" s="13">
        <f>B8/2</f>
        <v>180</v>
      </c>
      <c r="D8" s="13">
        <f>C8/2</f>
        <v>90</v>
      </c>
      <c r="E8" s="13">
        <f t="shared" ref="E8:E10" si="0">D8/2</f>
        <v>45</v>
      </c>
      <c r="F8" s="13">
        <v>22</v>
      </c>
      <c r="G8" s="13">
        <v>10</v>
      </c>
    </row>
    <row r="9" spans="1:7" x14ac:dyDescent="0.25">
      <c r="A9" s="43" t="s">
        <v>479</v>
      </c>
      <c r="B9" s="13">
        <v>180</v>
      </c>
      <c r="C9" s="13">
        <v>90</v>
      </c>
      <c r="D9" s="13">
        <v>45</v>
      </c>
      <c r="E9" s="13">
        <v>22</v>
      </c>
      <c r="F9" s="13">
        <v>11</v>
      </c>
      <c r="G9" s="13">
        <v>5</v>
      </c>
    </row>
    <row r="10" spans="1:7" x14ac:dyDescent="0.25">
      <c r="A10" s="43" t="s">
        <v>438</v>
      </c>
      <c r="B10" s="13">
        <v>90</v>
      </c>
      <c r="C10" s="13">
        <f>B10/2</f>
        <v>45</v>
      </c>
      <c r="D10" s="13">
        <v>22</v>
      </c>
      <c r="E10" s="13">
        <f t="shared" si="0"/>
        <v>11</v>
      </c>
      <c r="F10" s="13">
        <v>5</v>
      </c>
      <c r="G10" s="13">
        <v>2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RAK GRAL MASC INDIV.</vt:lpstr>
      <vt:lpstr>RAK. GRAL. FEM. INDIV.</vt:lpstr>
      <vt:lpstr>RANK. DOUB. MIXTO</vt:lpstr>
      <vt:lpstr>RANK. DOUB. MASCULINO</vt:lpstr>
      <vt:lpstr>RANK. DOUB. FEMENINO</vt:lpstr>
      <vt:lpstr>Valores</vt:lpstr>
      <vt:lpstr>'RAK GRAL MASC INDIV.'!Área_de_impresión</vt:lpstr>
      <vt:lpstr>'RAK. GRAL. FEM. INDIV.'!Área_de_impresión</vt:lpstr>
      <vt:lpstr>'RANK. DOUB. FEMENINO'!Área_de_impresión</vt:lpstr>
      <vt:lpstr>'RANK. DOUB. MASCULINO'!Área_de_impresión</vt:lpstr>
      <vt:lpstr>'RANK. DOUB. MIXTO'!Área_de_impresión</vt:lpstr>
      <vt:lpstr>'RAK GRAL MASC INDIV.'!Títulos_a_imprimir</vt:lpstr>
      <vt:lpstr>'RANK. DOUB. FEMENINO'!Títulos_a_imprimir</vt:lpstr>
      <vt:lpstr>'RANK. DOUB. MASCULINO'!Títulos_a_imprimir</vt:lpstr>
      <vt:lpstr>'RANK. DOUB. MIXTO'!Títulos_a_imprimir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Cuadros Catalan</dc:creator>
  <cp:lastModifiedBy>Gabriel Cuadros Catalan</cp:lastModifiedBy>
  <cp:lastPrinted>2025-01-16T15:10:00Z</cp:lastPrinted>
  <dcterms:created xsi:type="dcterms:W3CDTF">2024-07-12T07:38:58Z</dcterms:created>
  <dcterms:modified xsi:type="dcterms:W3CDTF">2025-01-29T08:54:09Z</dcterms:modified>
</cp:coreProperties>
</file>