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TORNEOS\Spanish Nationals 2024\"/>
    </mc:Choice>
  </mc:AlternateContent>
  <bookViews>
    <workbookView xWindow="0" yWindow="0" windowWidth="28800" windowHeight="12300" activeTab="2"/>
  </bookViews>
  <sheets>
    <sheet name="SOLICITANTES" sheetId="2" r:id="rId1"/>
    <sheet name="RESUMEN" sheetId="11" r:id="rId2"/>
    <sheet name="PLANIF" sheetId="9" r:id="rId3"/>
    <sheet name="PRESUPUESTO" sheetId="8" r:id="rId4"/>
    <sheet name="CATALOGO" sheetId="4" r:id="rId5"/>
  </sheets>
  <definedNames>
    <definedName name="_xlnm._FilterDatabase" localSheetId="2" hidden="1">PLANIF!$A$3:$AN$3</definedName>
    <definedName name="_xlnm._FilterDatabase" localSheetId="1" hidden="1">RESUMEN!$A$1:$D$1</definedName>
    <definedName name="_xlnm._FilterDatabase" localSheetId="0" hidden="1">SOLICITANTES!$A$1:$N$1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8" l="1"/>
  <c r="D19" i="8"/>
  <c r="AE5" i="9"/>
  <c r="AE6" i="9"/>
  <c r="AE7" i="9"/>
  <c r="AE8" i="9"/>
  <c r="AE9" i="9"/>
  <c r="AE10" i="9"/>
  <c r="AE11" i="9"/>
  <c r="AE12" i="9"/>
  <c r="AE13" i="9"/>
  <c r="AE14" i="9"/>
  <c r="AE16" i="9"/>
  <c r="AE17" i="9"/>
  <c r="AE18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4" i="9"/>
  <c r="E13" i="8"/>
  <c r="D13" i="8"/>
  <c r="AC1" i="9"/>
  <c r="K1" i="11"/>
  <c r="L1" i="11"/>
  <c r="J1" i="11"/>
  <c r="J4" i="11"/>
  <c r="K4" i="11"/>
  <c r="L4" i="11"/>
  <c r="J5" i="11"/>
  <c r="K5" i="11"/>
  <c r="L5" i="11"/>
  <c r="J6" i="11"/>
  <c r="K6" i="11"/>
  <c r="L6" i="11"/>
  <c r="J7" i="11"/>
  <c r="K7" i="11"/>
  <c r="L7" i="11"/>
  <c r="J8" i="11"/>
  <c r="K8" i="11"/>
  <c r="L8" i="11"/>
  <c r="K3" i="11"/>
  <c r="L3" i="11"/>
  <c r="J3" i="11"/>
  <c r="D17" i="11"/>
  <c r="D11" i="11"/>
  <c r="D10" i="11"/>
  <c r="D9" i="11"/>
  <c r="D8" i="11"/>
  <c r="D3" i="11"/>
  <c r="D4" i="11"/>
  <c r="D5" i="11"/>
  <c r="D6" i="11"/>
  <c r="D2" i="11"/>
  <c r="D5" i="9"/>
  <c r="D6" i="9"/>
  <c r="D7" i="9"/>
  <c r="D8" i="9"/>
  <c r="D9" i="9"/>
  <c r="D10" i="9"/>
  <c r="D11" i="9"/>
  <c r="D12" i="9"/>
  <c r="D14" i="9"/>
  <c r="D15" i="9"/>
  <c r="D16" i="9"/>
  <c r="D17" i="9"/>
  <c r="D18" i="9"/>
  <c r="D19" i="9"/>
  <c r="D13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D10" i="8"/>
  <c r="D11" i="8" l="1"/>
  <c r="D14" i="8"/>
  <c r="C10" i="8"/>
  <c r="D8" i="8"/>
  <c r="AN24" i="9" l="1"/>
  <c r="AM24" i="9"/>
  <c r="AL24" i="9"/>
  <c r="AJ24" i="9"/>
  <c r="AI24" i="9"/>
  <c r="AH24" i="9"/>
  <c r="AG24" i="9"/>
  <c r="AF24" i="9"/>
  <c r="B24" i="9"/>
  <c r="AN12" i="9"/>
  <c r="AM12" i="9"/>
  <c r="AL12" i="9"/>
  <c r="AJ12" i="9"/>
  <c r="AI12" i="9"/>
  <c r="AH12" i="9"/>
  <c r="AG12" i="9"/>
  <c r="AF12" i="9"/>
  <c r="B12" i="9"/>
  <c r="AN7" i="9"/>
  <c r="AM7" i="9"/>
  <c r="AL7" i="9"/>
  <c r="AJ7" i="9"/>
  <c r="AI7" i="9"/>
  <c r="AH7" i="9"/>
  <c r="AG7" i="9"/>
  <c r="AF7" i="9"/>
  <c r="B7" i="9"/>
  <c r="AN23" i="9"/>
  <c r="AM23" i="9"/>
  <c r="AL23" i="9"/>
  <c r="AJ23" i="9"/>
  <c r="AI23" i="9"/>
  <c r="AH23" i="9"/>
  <c r="AG23" i="9"/>
  <c r="AF23" i="9"/>
  <c r="B23" i="9"/>
  <c r="AN18" i="9"/>
  <c r="AM18" i="9"/>
  <c r="AL18" i="9"/>
  <c r="AJ18" i="9"/>
  <c r="AI18" i="9"/>
  <c r="AH18" i="9"/>
  <c r="AG18" i="9"/>
  <c r="AF18" i="9"/>
  <c r="B18" i="9"/>
  <c r="AN22" i="9"/>
  <c r="AM22" i="9"/>
  <c r="AL22" i="9"/>
  <c r="AJ22" i="9"/>
  <c r="AI22" i="9"/>
  <c r="AH22" i="9"/>
  <c r="AG22" i="9"/>
  <c r="AF22" i="9"/>
  <c r="B22" i="9"/>
  <c r="AN13" i="9"/>
  <c r="AM13" i="9"/>
  <c r="AL13" i="9"/>
  <c r="AJ13" i="9"/>
  <c r="AI13" i="9"/>
  <c r="AH13" i="9"/>
  <c r="AG13" i="9"/>
  <c r="AF13" i="9"/>
  <c r="B13" i="9"/>
  <c r="AN17" i="9"/>
  <c r="AM17" i="9"/>
  <c r="AL17" i="9"/>
  <c r="AJ17" i="9"/>
  <c r="AI17" i="9"/>
  <c r="AH17" i="9"/>
  <c r="AG17" i="9"/>
  <c r="AF17" i="9"/>
  <c r="B17" i="9"/>
  <c r="AN21" i="9"/>
  <c r="AM21" i="9"/>
  <c r="AL21" i="9"/>
  <c r="AJ21" i="9"/>
  <c r="AI21" i="9"/>
  <c r="AH21" i="9"/>
  <c r="AG21" i="9"/>
  <c r="AF21" i="9"/>
  <c r="B21" i="9"/>
  <c r="D9" i="8"/>
  <c r="D7" i="8"/>
  <c r="D6" i="8"/>
  <c r="D5" i="8"/>
  <c r="D4" i="8"/>
  <c r="AN26" i="9"/>
  <c r="AM26" i="9"/>
  <c r="AL26" i="9"/>
  <c r="AJ26" i="9"/>
  <c r="AI26" i="9"/>
  <c r="AH26" i="9"/>
  <c r="AG26" i="9"/>
  <c r="AF26" i="9"/>
  <c r="AN25" i="9"/>
  <c r="AM25" i="9"/>
  <c r="AL25" i="9"/>
  <c r="AJ25" i="9"/>
  <c r="AI25" i="9"/>
  <c r="AH25" i="9"/>
  <c r="AG25" i="9"/>
  <c r="AF25" i="9"/>
  <c r="B25" i="9"/>
  <c r="AN10" i="9"/>
  <c r="AM10" i="9"/>
  <c r="AL10" i="9"/>
  <c r="AJ10" i="9"/>
  <c r="AI10" i="9"/>
  <c r="AH10" i="9"/>
  <c r="AG10" i="9"/>
  <c r="AF10" i="9"/>
  <c r="B10" i="9"/>
  <c r="AN8" i="9"/>
  <c r="AM8" i="9"/>
  <c r="AL8" i="9"/>
  <c r="AJ8" i="9"/>
  <c r="AI8" i="9"/>
  <c r="AH8" i="9"/>
  <c r="AG8" i="9"/>
  <c r="AF8" i="9"/>
  <c r="B8" i="9"/>
  <c r="AN14" i="9"/>
  <c r="AM14" i="9"/>
  <c r="AL14" i="9"/>
  <c r="AJ14" i="9"/>
  <c r="AI14" i="9"/>
  <c r="AH14" i="9"/>
  <c r="AG14" i="9"/>
  <c r="AF14" i="9"/>
  <c r="B14" i="9"/>
  <c r="B15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D1" i="9"/>
  <c r="G1" i="9"/>
  <c r="B4" i="9"/>
  <c r="B9" i="9"/>
  <c r="B5" i="9"/>
  <c r="B19" i="9"/>
  <c r="B6" i="9"/>
  <c r="B16" i="9"/>
  <c r="B11" i="9"/>
  <c r="B27" i="9"/>
  <c r="B28" i="9"/>
  <c r="B29" i="9"/>
  <c r="B30" i="9"/>
  <c r="B31" i="9"/>
  <c r="B32" i="9"/>
  <c r="B20" i="9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B26" i="9" s="1"/>
  <c r="D2" i="2"/>
  <c r="C15" i="8" l="1"/>
  <c r="AJ9" i="9"/>
  <c r="AJ5" i="9"/>
  <c r="AJ19" i="9"/>
  <c r="AJ6" i="9"/>
  <c r="AJ15" i="9"/>
  <c r="AJ20" i="9"/>
  <c r="AJ16" i="9"/>
  <c r="AJ11" i="9"/>
  <c r="AJ27" i="9"/>
  <c r="AJ28" i="9"/>
  <c r="AJ29" i="9"/>
  <c r="AJ30" i="9"/>
  <c r="AJ31" i="9"/>
  <c r="AJ32" i="9"/>
  <c r="AJ4" i="9"/>
  <c r="AK5" i="9"/>
  <c r="AK4" i="9"/>
  <c r="AJ2" i="9" l="1"/>
  <c r="D15" i="8"/>
  <c r="AK2" i="9"/>
  <c r="E15" i="8"/>
  <c r="AN9" i="9"/>
  <c r="AN5" i="9"/>
  <c r="AN19" i="9"/>
  <c r="AN6" i="9"/>
  <c r="AN15" i="9"/>
  <c r="AN20" i="9"/>
  <c r="AN16" i="9"/>
  <c r="AN11" i="9"/>
  <c r="AN27" i="9"/>
  <c r="AN28" i="9"/>
  <c r="AN29" i="9"/>
  <c r="AN30" i="9"/>
  <c r="AN31" i="9"/>
  <c r="AN32" i="9"/>
  <c r="AN4" i="9"/>
  <c r="AF9" i="9"/>
  <c r="AG9" i="9"/>
  <c r="AH9" i="9"/>
  <c r="AI9" i="9"/>
  <c r="AL9" i="9"/>
  <c r="AM9" i="9"/>
  <c r="AF5" i="9"/>
  <c r="AG5" i="9"/>
  <c r="AH5" i="9"/>
  <c r="AI5" i="9"/>
  <c r="AL5" i="9"/>
  <c r="AM5" i="9"/>
  <c r="AF19" i="9"/>
  <c r="AG19" i="9"/>
  <c r="AH19" i="9"/>
  <c r="AI19" i="9"/>
  <c r="AL19" i="9"/>
  <c r="AM19" i="9"/>
  <c r="AF6" i="9"/>
  <c r="AG6" i="9"/>
  <c r="AH6" i="9"/>
  <c r="AI6" i="9"/>
  <c r="AL6" i="9"/>
  <c r="AM6" i="9"/>
  <c r="AF15" i="9"/>
  <c r="AG15" i="9"/>
  <c r="AH15" i="9"/>
  <c r="AI15" i="9"/>
  <c r="AL15" i="9"/>
  <c r="AM15" i="9"/>
  <c r="AF20" i="9"/>
  <c r="AG20" i="9"/>
  <c r="AH20" i="9"/>
  <c r="AI20" i="9"/>
  <c r="AL20" i="9"/>
  <c r="AM20" i="9"/>
  <c r="AF16" i="9"/>
  <c r="AG16" i="9"/>
  <c r="AH16" i="9"/>
  <c r="AI16" i="9"/>
  <c r="AL16" i="9"/>
  <c r="AM16" i="9"/>
  <c r="AF11" i="9"/>
  <c r="AG11" i="9"/>
  <c r="AH11" i="9"/>
  <c r="AI11" i="9"/>
  <c r="AL11" i="9"/>
  <c r="AM11" i="9"/>
  <c r="AF27" i="9"/>
  <c r="AG27" i="9"/>
  <c r="AH27" i="9"/>
  <c r="AI27" i="9"/>
  <c r="AL27" i="9"/>
  <c r="AM27" i="9"/>
  <c r="AF28" i="9"/>
  <c r="AG28" i="9"/>
  <c r="AH28" i="9"/>
  <c r="AI28" i="9"/>
  <c r="AL28" i="9"/>
  <c r="AM28" i="9"/>
  <c r="AF29" i="9"/>
  <c r="AG29" i="9"/>
  <c r="AH29" i="9"/>
  <c r="AI29" i="9"/>
  <c r="AL29" i="9"/>
  <c r="AM29" i="9"/>
  <c r="AF30" i="9"/>
  <c r="AG30" i="9"/>
  <c r="AH30" i="9"/>
  <c r="AI30" i="9"/>
  <c r="AL30" i="9"/>
  <c r="AM30" i="9"/>
  <c r="AF31" i="9"/>
  <c r="AG31" i="9"/>
  <c r="AH31" i="9"/>
  <c r="AI31" i="9"/>
  <c r="AL31" i="9"/>
  <c r="AM31" i="9"/>
  <c r="AF32" i="9"/>
  <c r="AG32" i="9"/>
  <c r="AH32" i="9"/>
  <c r="AI32" i="9"/>
  <c r="AL32" i="9"/>
  <c r="AM32" i="9"/>
  <c r="AM4" i="9"/>
  <c r="AL4" i="9"/>
  <c r="AG4" i="9"/>
  <c r="AH4" i="9"/>
  <c r="AI4" i="9"/>
  <c r="AF4" i="9"/>
  <c r="D3" i="4"/>
  <c r="C3" i="4"/>
  <c r="C14" i="8"/>
  <c r="C12" i="8"/>
  <c r="C11" i="8"/>
  <c r="C9" i="8"/>
  <c r="C8" i="8"/>
  <c r="D12" i="8"/>
  <c r="AE15" i="9" l="1"/>
  <c r="AE19" i="9"/>
  <c r="AL2" i="9"/>
  <c r="AI2" i="9"/>
  <c r="AH2" i="9"/>
  <c r="AG2" i="9"/>
  <c r="AF2" i="9"/>
  <c r="AM2" i="9"/>
  <c r="E8" i="8"/>
  <c r="E12" i="8"/>
  <c r="E18" i="8"/>
  <c r="E9" i="8"/>
  <c r="C7" i="8"/>
  <c r="C6" i="8"/>
  <c r="E7" i="8" l="1"/>
  <c r="E6" i="8"/>
  <c r="E20" i="8" l="1"/>
  <c r="E10" i="8" l="1"/>
  <c r="E11" i="8" l="1"/>
  <c r="E14" i="8"/>
  <c r="C4" i="8"/>
  <c r="E4" i="8" s="1"/>
  <c r="B3" i="4"/>
  <c r="C5" i="8" s="1"/>
  <c r="E5" i="8" s="1"/>
  <c r="AE1" i="9" l="1"/>
  <c r="E21" i="8"/>
</calcChain>
</file>

<file path=xl/sharedStrings.xml><?xml version="1.0" encoding="utf-8"?>
<sst xmlns="http://schemas.openxmlformats.org/spreadsheetml/2006/main" count="659" uniqueCount="205">
  <si>
    <t>Nombre</t>
  </si>
  <si>
    <t>Licencia</t>
  </si>
  <si>
    <t>Apellidos</t>
  </si>
  <si>
    <t>Disponibilidad</t>
  </si>
  <si>
    <t>Pantalón</t>
  </si>
  <si>
    <t>Polo</t>
  </si>
  <si>
    <t>Sudadera</t>
  </si>
  <si>
    <t>M</t>
  </si>
  <si>
    <t>Domini Elias</t>
  </si>
  <si>
    <t>Pereira de Mattos</t>
  </si>
  <si>
    <t>dominielias@gmail.com</t>
  </si>
  <si>
    <t>L</t>
  </si>
  <si>
    <t>XL</t>
  </si>
  <si>
    <t>Millon Soto</t>
  </si>
  <si>
    <t>Juan Carlos</t>
  </si>
  <si>
    <t>García Flores</t>
  </si>
  <si>
    <t>dreamer.juankar@gmail.com</t>
  </si>
  <si>
    <t>2XL</t>
  </si>
  <si>
    <t xml:space="preserve">Gustavo Adolfo </t>
  </si>
  <si>
    <t xml:space="preserve">Alonso González </t>
  </si>
  <si>
    <t>gustavalonso@gmail.com</t>
  </si>
  <si>
    <t>Belén</t>
  </si>
  <si>
    <t>S</t>
  </si>
  <si>
    <t>Angeles</t>
  </si>
  <si>
    <t>pilumpilon@hotmail.com</t>
  </si>
  <si>
    <t>3XL</t>
  </si>
  <si>
    <t xml:space="preserve">Enrique </t>
  </si>
  <si>
    <t xml:space="preserve">Bilbao Blanco </t>
  </si>
  <si>
    <t xml:space="preserve">bilbaoblanco2@hotmail.com </t>
  </si>
  <si>
    <t>alvarotg100@hotmail.com</t>
  </si>
  <si>
    <t xml:space="preserve">Sánchez-Cid García-Tenorio </t>
  </si>
  <si>
    <t>Víctor</t>
  </si>
  <si>
    <t xml:space="preserve">García Torres </t>
  </si>
  <si>
    <t>Total</t>
  </si>
  <si>
    <t>Zapatillas</t>
  </si>
  <si>
    <t>ejsanchezcidg@gmail.com</t>
  </si>
  <si>
    <t>JP</t>
  </si>
  <si>
    <t>JA</t>
  </si>
  <si>
    <t>MÁLAGA</t>
  </si>
  <si>
    <t>MADRID</t>
  </si>
  <si>
    <t>SEVILLA</t>
  </si>
  <si>
    <t>ZARAGOZA</t>
  </si>
  <si>
    <t>JAD</t>
  </si>
  <si>
    <t>TARIFA</t>
  </si>
  <si>
    <t>CENA</t>
  </si>
  <si>
    <t>ALOJAMIENTO</t>
  </si>
  <si>
    <t>KM</t>
  </si>
  <si>
    <t>TOTAL</t>
  </si>
  <si>
    <t>CONCEPTO</t>
  </si>
  <si>
    <t>PRECIO</t>
  </si>
  <si>
    <t>UNIDADES</t>
  </si>
  <si>
    <t>SUMA</t>
  </si>
  <si>
    <t>TARIFA ARBITRAL</t>
  </si>
  <si>
    <t>Juez Árbitro</t>
  </si>
  <si>
    <t>Juez Adjunto</t>
  </si>
  <si>
    <t>SES</t>
  </si>
  <si>
    <t>JUEVES</t>
  </si>
  <si>
    <t>VIERNES</t>
  </si>
  <si>
    <t>SÁBADO</t>
  </si>
  <si>
    <t>DOMINGO</t>
  </si>
  <si>
    <t>ALOJ.</t>
  </si>
  <si>
    <t>IMPREVISTOS</t>
  </si>
  <si>
    <t>AYUDA</t>
  </si>
  <si>
    <t>TIPO</t>
  </si>
  <si>
    <t>JP/JUG</t>
  </si>
  <si>
    <t>Material - Placas identificativas</t>
  </si>
  <si>
    <t>Juez Pista</t>
  </si>
  <si>
    <t>Juez Pista (1/2 Jornada)</t>
  </si>
  <si>
    <t>DIETA</t>
  </si>
  <si>
    <t>GES</t>
  </si>
  <si>
    <t>HOTEL</t>
  </si>
  <si>
    <t>COMIDAS/CENA</t>
  </si>
  <si>
    <t>GESTIÓN</t>
  </si>
  <si>
    <t>TARIFA APLICABLE</t>
  </si>
  <si>
    <t>NACIONAL/INTERNACIONAL</t>
  </si>
  <si>
    <t>AUTONÓMICO</t>
  </si>
  <si>
    <t>LOCAL</t>
  </si>
  <si>
    <t>Ayuda ALOJAMIENTO JL</t>
  </si>
  <si>
    <t>JL</t>
  </si>
  <si>
    <t>PR</t>
  </si>
  <si>
    <t>Ayuda DESPLAZAMIENTO JL</t>
  </si>
  <si>
    <t>Ayuda DESPLAZAMIENTO JL (Extranjeros, ISLAS, CEUTA y MELILLA)</t>
  </si>
  <si>
    <t>Ayuda DESPLAZAMIENTO para Prácticas</t>
  </si>
  <si>
    <t>Ayuda DESPLAZAMIENTO Arbitro/Jugador</t>
  </si>
  <si>
    <t>Ayuda ALOJAMIENTO Arbitro/Jugador</t>
  </si>
  <si>
    <t>Ayuda ALOJAMIENTO para Prácticas</t>
  </si>
  <si>
    <t>DESPLAZAMIENTO</t>
  </si>
  <si>
    <t>MANUTENCIÓN</t>
  </si>
  <si>
    <t>Juez Practicas</t>
  </si>
  <si>
    <t>Juez Línea</t>
  </si>
  <si>
    <t>MAÑ.</t>
  </si>
  <si>
    <t>TAR.</t>
  </si>
  <si>
    <t>COM.</t>
  </si>
  <si>
    <t>PROV.</t>
  </si>
  <si>
    <t>EXT.</t>
  </si>
  <si>
    <t>EXT</t>
  </si>
  <si>
    <t>Extras</t>
  </si>
  <si>
    <t>60+ Mens Doubles</t>
  </si>
  <si>
    <t>50+ 5.0 Mens Singles</t>
  </si>
  <si>
    <t>50+ 3.5/4.5 Mens Singles</t>
  </si>
  <si>
    <t>60+ Individual Masculino</t>
  </si>
  <si>
    <t>18+ 5.0 Mens Singles</t>
  </si>
  <si>
    <t>18+ 4.0/4.5 Mens Singles</t>
  </si>
  <si>
    <t>18+ 3.0/3.5 Mens Singles</t>
  </si>
  <si>
    <t>18+ 5.0 Womens Singles</t>
  </si>
  <si>
    <t>18+ 4.0/4.5 Womens Singles</t>
  </si>
  <si>
    <t>18+ 3.0/3.5 Womens Single</t>
  </si>
  <si>
    <t>60+ Womens Doubles</t>
  </si>
  <si>
    <t>19+ 5.0 Mixto</t>
  </si>
  <si>
    <t>19+ 4.0/4.5 Mixto</t>
  </si>
  <si>
    <t>19+ 3.0/3.5 Mixto</t>
  </si>
  <si>
    <t>50+ 4.0/4.5 Mixto</t>
  </si>
  <si>
    <t>50+ 3.0/3.5 Mixto</t>
  </si>
  <si>
    <t>60+ Mixto</t>
  </si>
  <si>
    <t>19+ 5.0 Mens Doubles</t>
  </si>
  <si>
    <t>19+ 4.0/4.5 Mens Doubles</t>
  </si>
  <si>
    <t>19+ 3.0/3.5 Mens Doubles</t>
  </si>
  <si>
    <t>50+ 5.0 Mens Doubles</t>
  </si>
  <si>
    <t>50+ 4.0/4.5 Mens Doubles</t>
  </si>
  <si>
    <t>50+ 3.0/3.5 Mens Doubles</t>
  </si>
  <si>
    <t>19+ 5.0 Womens Doubles</t>
  </si>
  <si>
    <t>19+ 4.0/4.5 Womens Doubles</t>
  </si>
  <si>
    <t>19+ 3.0/3.5 Womens Doubles</t>
  </si>
  <si>
    <t>50+ Womens Doubles</t>
  </si>
  <si>
    <t>Nombre1</t>
  </si>
  <si>
    <t>Dirección de correo electrónico</t>
  </si>
  <si>
    <t>Teléfono</t>
  </si>
  <si>
    <t>Prácticas hechas</t>
  </si>
  <si>
    <t>¿Disputarás el Campeonato como jugador/a?</t>
  </si>
  <si>
    <t>¿En que categorías?</t>
  </si>
  <si>
    <t>N/A</t>
  </si>
  <si>
    <t>No</t>
  </si>
  <si>
    <t>Jueves y Viernes</t>
  </si>
  <si>
    <t>Juan María</t>
  </si>
  <si>
    <t>Becerril Fraguas</t>
  </si>
  <si>
    <t>juan.becerril.fraguas@gmail.com</t>
  </si>
  <si>
    <t>SI</t>
  </si>
  <si>
    <t>Jueves</t>
  </si>
  <si>
    <t>Patricia</t>
  </si>
  <si>
    <t>Gartorpat@gmail.com</t>
  </si>
  <si>
    <t>Si</t>
  </si>
  <si>
    <t>Dobles Femeninos y dobles mixtos 4.5</t>
  </si>
  <si>
    <t>JOSE MIGUEL</t>
  </si>
  <si>
    <t>CABRA GOMEZ</t>
  </si>
  <si>
    <t>jcabragomez@gmail.com</t>
  </si>
  <si>
    <t>Celia</t>
  </si>
  <si>
    <t>Celia.m.s@hotmail.es</t>
  </si>
  <si>
    <t>Dobles femenino y dobles mixtos 5.0</t>
  </si>
  <si>
    <t>Palomo Gutierrez</t>
  </si>
  <si>
    <t>layamakyama@gmail.com</t>
  </si>
  <si>
    <t xml:space="preserve">+50 3.0/3.5 Dob.fem y Dob.mixto </t>
  </si>
  <si>
    <t xml:space="preserve">JUAN LUIS </t>
  </si>
  <si>
    <t>MARINAS PONTE</t>
  </si>
  <si>
    <t>jlmponte@hotmail.com</t>
  </si>
  <si>
    <t>JOSÉ MIGUEL</t>
  </si>
  <si>
    <t>ALFONSO GALERA</t>
  </si>
  <si>
    <t>Jomyalfonso@gmail.com</t>
  </si>
  <si>
    <t>Probablemente Individuales, Dobles y Mixtos 5.0</t>
  </si>
  <si>
    <t>MARÍA</t>
  </si>
  <si>
    <t>DURÁN ROSÓN</t>
  </si>
  <si>
    <t>m.duran.roson@gmail.com</t>
  </si>
  <si>
    <t>+18 3.0/3.5 Ind.fem, dob.fem y dob.mixto</t>
  </si>
  <si>
    <t xml:space="preserve">María José </t>
  </si>
  <si>
    <t xml:space="preserve">Serrano García </t>
  </si>
  <si>
    <t>mariajose4slam@hotmail.es</t>
  </si>
  <si>
    <t>Pedro Luis</t>
  </si>
  <si>
    <t xml:space="preserve">Sánchez Rodríguez </t>
  </si>
  <si>
    <t>Pedroluissanchezrodriguez@gmail.com</t>
  </si>
  <si>
    <t>Individual, Dobles Masculino y Dobles Mixto</t>
  </si>
  <si>
    <t>Antonio</t>
  </si>
  <si>
    <t>Gracia Calvo</t>
  </si>
  <si>
    <t>angracal@gmail.com</t>
  </si>
  <si>
    <t>ALVARO</t>
  </si>
  <si>
    <t>PRIETO DURAN</t>
  </si>
  <si>
    <t xml:space="preserve">BelenPickmad@gmail.com </t>
  </si>
  <si>
    <t>Individual y doble femenino</t>
  </si>
  <si>
    <t>Báez Fernández</t>
  </si>
  <si>
    <t>Victorbaezf@gmail.com</t>
  </si>
  <si>
    <t>5.0 Dobles masculino. 5.0 Dobles mixtos. Individual aún por decidir si juego y si es en 4.5 o 5.0</t>
  </si>
  <si>
    <t>Consuelo</t>
  </si>
  <si>
    <t>Dominguez Munaiz</t>
  </si>
  <si>
    <t>mconsuelodm@gmail.com</t>
  </si>
  <si>
    <t>Pilar Begoña</t>
  </si>
  <si>
    <t>Serrano Garrote</t>
  </si>
  <si>
    <t xml:space="preserve">Eloy Jesús </t>
  </si>
  <si>
    <t>anademingo@hotmail.es</t>
  </si>
  <si>
    <t>Nombre Completo</t>
  </si>
  <si>
    <t xml:space="preserve">Ortiz </t>
  </si>
  <si>
    <t>ORDEN</t>
  </si>
  <si>
    <t>PRESUPUESTO ARBITRAL PARA EL CAMPEONATO DE ESPAÑA DEL 26 al 29 de SEPTIEMBRE 2024</t>
  </si>
  <si>
    <t>Ana Belen de</t>
  </si>
  <si>
    <t>Mingo Iglesias</t>
  </si>
  <si>
    <t>X</t>
  </si>
  <si>
    <t>TREN SEVILLA</t>
  </si>
  <si>
    <t>80€ Ida y vuelta</t>
  </si>
  <si>
    <t>JA/JP</t>
  </si>
  <si>
    <t>ALMERÍA</t>
  </si>
  <si>
    <t>TOLEDO</t>
  </si>
  <si>
    <t>PONTEVEDRA</t>
  </si>
  <si>
    <t>PR/JUG</t>
  </si>
  <si>
    <t>CARNET</t>
  </si>
  <si>
    <t>TALLA</t>
  </si>
  <si>
    <t>TREN</t>
  </si>
  <si>
    <t>Precio web billete</t>
  </si>
  <si>
    <t>Ayuda Alojamiento/KM Arbitro&amp;Jugador/Prácticas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</si>
</sst>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_-;\-* #,##0_-;_-* &quot;-&quot;??_-;_-@_-"/>
    <numFmt numFmtId="166" formatCode="_-* #,##0.00\ [$€-C0A]_-;\-* #,##0.00\ [$€-C0A]_-;_-* &quot;-&quot;??\ [$€-C0A]_-;_-@_-"/>
    <numFmt numFmtId="167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3" borderId="2" xfId="4" applyBorder="1"/>
    <xf numFmtId="0" fontId="2" fillId="2" borderId="2" xfId="3" applyBorder="1"/>
    <xf numFmtId="0" fontId="0" fillId="0" borderId="2" xfId="0" applyBorder="1"/>
    <xf numFmtId="164" fontId="0" fillId="0" borderId="2" xfId="2" applyNumberFormat="1" applyFont="1" applyBorder="1"/>
    <xf numFmtId="165" fontId="0" fillId="0" borderId="2" xfId="1" applyNumberFormat="1" applyFont="1" applyBorder="1"/>
    <xf numFmtId="44" fontId="0" fillId="0" borderId="2" xfId="2" applyNumberFormat="1" applyFont="1" applyBorder="1"/>
    <xf numFmtId="0" fontId="3" fillId="4" borderId="2" xfId="5" applyBorder="1" applyAlignment="1">
      <alignment horizontal="right"/>
    </xf>
    <xf numFmtId="164" fontId="0" fillId="0" borderId="2" xfId="0" applyNumberFormat="1" applyBorder="1"/>
    <xf numFmtId="0" fontId="4" fillId="0" borderId="0" xfId="0" applyFont="1"/>
    <xf numFmtId="0" fontId="0" fillId="0" borderId="2" xfId="0" applyBorder="1" applyAlignment="1">
      <alignment vertical="center"/>
    </xf>
    <xf numFmtId="0" fontId="3" fillId="5" borderId="2" xfId="6" applyBorder="1" applyAlignment="1">
      <alignment vertical="center"/>
    </xf>
    <xf numFmtId="0" fontId="3" fillId="6" borderId="2" xfId="7" applyBorder="1" applyAlignment="1">
      <alignment vertical="center"/>
    </xf>
    <xf numFmtId="0" fontId="3" fillId="7" borderId="2" xfId="8" applyBorder="1" applyAlignment="1">
      <alignment vertical="center"/>
    </xf>
    <xf numFmtId="0" fontId="3" fillId="8" borderId="2" xfId="9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8" borderId="3" xfId="9" applyBorder="1" applyAlignment="1">
      <alignment vertical="center"/>
    </xf>
    <xf numFmtId="6" fontId="0" fillId="0" borderId="0" xfId="0" applyNumberFormat="1"/>
    <xf numFmtId="44" fontId="0" fillId="0" borderId="2" xfId="2" applyNumberFormat="1" applyFont="1" applyFill="1" applyBorder="1"/>
    <xf numFmtId="164" fontId="0" fillId="0" borderId="2" xfId="2" applyNumberFormat="1" applyFont="1" applyFill="1" applyBorder="1"/>
    <xf numFmtId="166" fontId="0" fillId="0" borderId="2" xfId="0" applyNumberFormat="1" applyBorder="1"/>
    <xf numFmtId="166" fontId="0" fillId="0" borderId="2" xfId="2" applyNumberFormat="1" applyFont="1" applyFill="1" applyBorder="1"/>
    <xf numFmtId="167" fontId="0" fillId="0" borderId="2" xfId="0" applyNumberFormat="1" applyBorder="1"/>
    <xf numFmtId="167" fontId="0" fillId="0" borderId="2" xfId="2" applyNumberFormat="1" applyFont="1" applyBorder="1"/>
    <xf numFmtId="167" fontId="0" fillId="0" borderId="2" xfId="2" applyNumberFormat="1" applyFont="1" applyFill="1" applyBorder="1"/>
    <xf numFmtId="2" fontId="0" fillId="0" borderId="0" xfId="0" applyNumberFormat="1"/>
    <xf numFmtId="1" fontId="3" fillId="8" borderId="3" xfId="9" applyNumberFormat="1" applyBorder="1" applyAlignment="1">
      <alignment vertical="center"/>
    </xf>
    <xf numFmtId="1" fontId="0" fillId="0" borderId="0" xfId="0" applyNumberFormat="1"/>
    <xf numFmtId="4" fontId="0" fillId="0" borderId="0" xfId="2" applyNumberFormat="1" applyFont="1"/>
    <xf numFmtId="0" fontId="3" fillId="5" borderId="2" xfId="6" applyBorder="1" applyAlignment="1">
      <alignment horizontal="center"/>
    </xf>
    <xf numFmtId="0" fontId="3" fillId="6" borderId="2" xfId="7" applyBorder="1" applyAlignment="1">
      <alignment horizontal="center"/>
    </xf>
    <xf numFmtId="0" fontId="3" fillId="7" borderId="2" xfId="8" applyBorder="1" applyAlignment="1">
      <alignment horizontal="center"/>
    </xf>
    <xf numFmtId="0" fontId="3" fillId="8" borderId="4" xfId="9" applyBorder="1" applyAlignment="1">
      <alignment horizontal="center"/>
    </xf>
    <xf numFmtId="0" fontId="3" fillId="8" borderId="6" xfId="9" applyBorder="1" applyAlignment="1">
      <alignment horizontal="center"/>
    </xf>
    <xf numFmtId="0" fontId="3" fillId="8" borderId="5" xfId="9" applyBorder="1" applyAlignment="1">
      <alignment horizontal="center"/>
    </xf>
    <xf numFmtId="0" fontId="3" fillId="5" borderId="2" xfId="6" applyBorder="1" applyAlignment="1">
      <alignment vertical="center" wrapText="1"/>
    </xf>
    <xf numFmtId="0" fontId="0" fillId="9" borderId="0" xfId="0" applyFill="1"/>
    <xf numFmtId="0" fontId="5" fillId="0" borderId="0" xfId="0" applyFont="1"/>
    <xf numFmtId="0" fontId="6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/>
    <xf numFmtId="0" fontId="5" fillId="0" borderId="0" xfId="0" applyFont="1" applyAlignment="1">
      <alignment horizontal="left"/>
    </xf>
    <xf numFmtId="0" fontId="5" fillId="11" borderId="0" xfId="0" quotePrefix="1" applyFont="1" applyFill="1"/>
    <xf numFmtId="0" fontId="5" fillId="0" borderId="2" xfId="0" applyFont="1" applyBorder="1"/>
    <xf numFmtId="3" fontId="0" fillId="0" borderId="0" xfId="2" applyNumberFormat="1" applyFont="1"/>
    <xf numFmtId="20" fontId="0" fillId="0" borderId="0" xfId="0" applyNumberFormat="1"/>
    <xf numFmtId="0" fontId="6" fillId="10" borderId="2" xfId="0" applyFont="1" applyFill="1" applyBorder="1"/>
    <xf numFmtId="0" fontId="5" fillId="0" borderId="2" xfId="0" applyFont="1" applyBorder="1" applyAlignment="1">
      <alignment horizontal="center"/>
    </xf>
    <xf numFmtId="165" fontId="0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0">
    <cellStyle name="Énfasis1" xfId="4" builtinId="29"/>
    <cellStyle name="Énfasis2" xfId="6" builtinId="33"/>
    <cellStyle name="Énfasis3" xfId="7" builtinId="37"/>
    <cellStyle name="Énfasis4" xfId="8" builtinId="41"/>
    <cellStyle name="Énfasis5" xfId="5" builtinId="45"/>
    <cellStyle name="Énfasis6" xfId="9" builtinId="49"/>
    <cellStyle name="Entrada" xfId="3" builtinId="20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E12" sqref="E12"/>
    </sheetView>
  </sheetViews>
  <sheetFormatPr baseColWidth="10" defaultColWidth="10.88671875" defaultRowHeight="14.4" x14ac:dyDescent="0.3"/>
  <cols>
    <col min="1" max="1" width="9.88671875" style="1" bestFit="1" customWidth="1"/>
    <col min="2" max="2" width="14" style="1" bestFit="1" customWidth="1"/>
    <col min="3" max="3" width="24.109375" style="2" bestFit="1" customWidth="1"/>
    <col min="4" max="4" width="24.109375" style="2" customWidth="1"/>
    <col min="5" max="5" width="33.109375" style="1" bestFit="1" customWidth="1"/>
    <col min="6" max="6" width="10.6640625" style="2" bestFit="1" customWidth="1"/>
    <col min="7" max="7" width="17" style="1" bestFit="1" customWidth="1"/>
    <col min="8" max="8" width="5.33203125" style="1" customWidth="1"/>
    <col min="9" max="9" width="78.21875" style="1" bestFit="1" customWidth="1"/>
    <col min="10" max="10" width="15.109375" style="2" bestFit="1" customWidth="1"/>
    <col min="11" max="11" width="10.77734375" style="1" bestFit="1" customWidth="1"/>
    <col min="12" max="12" width="7" style="1" bestFit="1" customWidth="1"/>
    <col min="13" max="13" width="11.21875" style="1" bestFit="1" customWidth="1"/>
    <col min="14" max="14" width="11.109375" style="1" bestFit="1" customWidth="1"/>
    <col min="15" max="16384" width="10.88671875" style="1"/>
  </cols>
  <sheetData>
    <row r="1" spans="1:14" x14ac:dyDescent="0.3">
      <c r="A1" s="40" t="s">
        <v>1</v>
      </c>
      <c r="B1" s="40" t="s">
        <v>124</v>
      </c>
      <c r="C1" s="40" t="s">
        <v>2</v>
      </c>
      <c r="D1" s="40" t="s">
        <v>186</v>
      </c>
      <c r="E1" s="40" t="s">
        <v>125</v>
      </c>
      <c r="F1" s="40" t="s">
        <v>126</v>
      </c>
      <c r="G1" s="40" t="s">
        <v>127</v>
      </c>
      <c r="H1" s="40" t="s">
        <v>128</v>
      </c>
      <c r="I1" s="40" t="s">
        <v>129</v>
      </c>
      <c r="J1" s="40" t="s">
        <v>3</v>
      </c>
      <c r="K1" s="40" t="s">
        <v>4</v>
      </c>
      <c r="L1" s="40" t="s">
        <v>5</v>
      </c>
      <c r="M1" s="40" t="s">
        <v>6</v>
      </c>
      <c r="N1" s="40" t="s">
        <v>34</v>
      </c>
    </row>
    <row r="2" spans="1:14" x14ac:dyDescent="0.3">
      <c r="A2" s="41">
        <v>10761353</v>
      </c>
      <c r="B2" s="41" t="s">
        <v>14</v>
      </c>
      <c r="C2" s="41" t="s">
        <v>15</v>
      </c>
      <c r="D2" s="41" t="str">
        <f>CONCATENATE(B2," ",LEFT(C2,FIND(" ",C2)))</f>
        <v xml:space="preserve">Juan Carlos García </v>
      </c>
      <c r="E2" s="41" t="s">
        <v>16</v>
      </c>
      <c r="F2" s="41">
        <v>611493755</v>
      </c>
      <c r="G2" s="41" t="s">
        <v>130</v>
      </c>
      <c r="H2" s="41" t="s">
        <v>131</v>
      </c>
      <c r="I2" s="41"/>
      <c r="J2" s="41" t="s">
        <v>132</v>
      </c>
      <c r="K2" s="42" t="s">
        <v>17</v>
      </c>
      <c r="L2" s="42" t="s">
        <v>17</v>
      </c>
      <c r="M2" s="42" t="s">
        <v>25</v>
      </c>
      <c r="N2" s="42">
        <v>45</v>
      </c>
    </row>
    <row r="3" spans="1:14" x14ac:dyDescent="0.3">
      <c r="A3" s="39">
        <v>7351472</v>
      </c>
      <c r="B3" s="39" t="s">
        <v>133</v>
      </c>
      <c r="C3" s="39" t="s">
        <v>134</v>
      </c>
      <c r="D3" s="41" t="str">
        <f t="shared" ref="D3:D23" si="0">CONCATENATE(B3," ",LEFT(C3,FIND(" ",C3)))</f>
        <v xml:space="preserve">Juan María Becerril </v>
      </c>
      <c r="E3" s="39" t="s">
        <v>135</v>
      </c>
      <c r="F3" s="39">
        <v>690764721</v>
      </c>
      <c r="G3" s="39" t="s">
        <v>136</v>
      </c>
      <c r="H3" s="39" t="s">
        <v>131</v>
      </c>
      <c r="I3" s="39"/>
      <c r="J3" s="39" t="s">
        <v>137</v>
      </c>
      <c r="K3" s="43" t="s">
        <v>7</v>
      </c>
      <c r="L3" s="43" t="s">
        <v>7</v>
      </c>
      <c r="M3" s="43" t="s">
        <v>7</v>
      </c>
      <c r="N3" s="43">
        <v>39</v>
      </c>
    </row>
    <row r="4" spans="1:14" x14ac:dyDescent="0.3">
      <c r="A4" s="41">
        <v>16952261</v>
      </c>
      <c r="B4" s="41" t="s">
        <v>138</v>
      </c>
      <c r="C4" s="41" t="s">
        <v>32</v>
      </c>
      <c r="D4" s="41" t="str">
        <f t="shared" si="0"/>
        <v xml:space="preserve">Patricia García </v>
      </c>
      <c r="E4" s="41" t="s">
        <v>139</v>
      </c>
      <c r="F4" s="41">
        <v>680667293</v>
      </c>
      <c r="G4" s="41"/>
      <c r="H4" s="41" t="s">
        <v>140</v>
      </c>
      <c r="I4" s="41" t="s">
        <v>141</v>
      </c>
      <c r="J4" s="41" t="s">
        <v>132</v>
      </c>
      <c r="K4" s="42" t="s">
        <v>11</v>
      </c>
      <c r="L4" s="42" t="s">
        <v>22</v>
      </c>
      <c r="M4" s="42" t="s">
        <v>22</v>
      </c>
      <c r="N4" s="42">
        <v>39</v>
      </c>
    </row>
    <row r="5" spans="1:14" x14ac:dyDescent="0.3">
      <c r="A5" s="39">
        <v>4235653</v>
      </c>
      <c r="B5" s="39" t="s">
        <v>142</v>
      </c>
      <c r="C5" s="39" t="s">
        <v>143</v>
      </c>
      <c r="D5" s="41" t="str">
        <f t="shared" si="0"/>
        <v xml:space="preserve">JOSE MIGUEL CABRA </v>
      </c>
      <c r="E5" s="39" t="s">
        <v>144</v>
      </c>
      <c r="F5" s="39">
        <v>618963861</v>
      </c>
      <c r="G5" s="39"/>
      <c r="H5" s="39" t="s">
        <v>131</v>
      </c>
      <c r="I5" s="39"/>
      <c r="J5" s="41" t="s">
        <v>132</v>
      </c>
      <c r="K5" s="43" t="s">
        <v>12</v>
      </c>
      <c r="L5" s="43" t="s">
        <v>12</v>
      </c>
      <c r="M5" s="43" t="s">
        <v>12</v>
      </c>
      <c r="N5" s="43">
        <v>43</v>
      </c>
    </row>
    <row r="6" spans="1:14" x14ac:dyDescent="0.3">
      <c r="A6" s="41">
        <v>16951726</v>
      </c>
      <c r="B6" s="41" t="s">
        <v>145</v>
      </c>
      <c r="C6" s="41" t="s">
        <v>13</v>
      </c>
      <c r="D6" s="41" t="str">
        <f t="shared" si="0"/>
        <v xml:space="preserve">Celia Millon </v>
      </c>
      <c r="E6" s="41" t="s">
        <v>146</v>
      </c>
      <c r="F6" s="41">
        <v>680807827</v>
      </c>
      <c r="G6" s="41" t="s">
        <v>136</v>
      </c>
      <c r="H6" s="41" t="s">
        <v>140</v>
      </c>
      <c r="I6" s="41" t="s">
        <v>147</v>
      </c>
      <c r="J6" s="41" t="s">
        <v>132</v>
      </c>
      <c r="K6" s="42" t="s">
        <v>11</v>
      </c>
      <c r="L6" s="42" t="s">
        <v>11</v>
      </c>
      <c r="M6" s="42" t="s">
        <v>11</v>
      </c>
      <c r="N6" s="42">
        <v>39</v>
      </c>
    </row>
    <row r="7" spans="1:14" x14ac:dyDescent="0.3">
      <c r="A7" s="39">
        <v>10763565</v>
      </c>
      <c r="B7" s="39" t="s">
        <v>23</v>
      </c>
      <c r="C7" s="39" t="s">
        <v>148</v>
      </c>
      <c r="D7" s="41" t="str">
        <f t="shared" si="0"/>
        <v xml:space="preserve">Angeles Palomo </v>
      </c>
      <c r="E7" s="39" t="s">
        <v>149</v>
      </c>
      <c r="F7" s="39">
        <v>699434506</v>
      </c>
      <c r="G7" s="39" t="s">
        <v>136</v>
      </c>
      <c r="H7" s="39" t="s">
        <v>140</v>
      </c>
      <c r="I7" s="44" t="s">
        <v>150</v>
      </c>
      <c r="J7" s="39" t="s">
        <v>137</v>
      </c>
      <c r="K7" s="43" t="s">
        <v>11</v>
      </c>
      <c r="L7" s="43" t="s">
        <v>12</v>
      </c>
      <c r="M7" s="43" t="s">
        <v>12</v>
      </c>
      <c r="N7" s="43">
        <v>40</v>
      </c>
    </row>
    <row r="8" spans="1:14" x14ac:dyDescent="0.3">
      <c r="A8" s="41">
        <v>9579478</v>
      </c>
      <c r="B8" s="41" t="s">
        <v>151</v>
      </c>
      <c r="C8" s="41" t="s">
        <v>152</v>
      </c>
      <c r="D8" s="41" t="str">
        <f t="shared" si="0"/>
        <v xml:space="preserve">JUAN LUIS  MARINAS </v>
      </c>
      <c r="E8" s="41" t="s">
        <v>153</v>
      </c>
      <c r="F8" s="41">
        <v>629452405</v>
      </c>
      <c r="G8" s="41"/>
      <c r="H8" s="41" t="s">
        <v>131</v>
      </c>
      <c r="I8" s="41"/>
      <c r="J8" s="41" t="s">
        <v>132</v>
      </c>
      <c r="K8" s="42" t="s">
        <v>11</v>
      </c>
      <c r="L8" s="42" t="s">
        <v>12</v>
      </c>
      <c r="M8" s="42" t="s">
        <v>12</v>
      </c>
      <c r="N8" s="42">
        <v>43</v>
      </c>
    </row>
    <row r="9" spans="1:14" x14ac:dyDescent="0.3">
      <c r="A9" s="39">
        <v>4084133</v>
      </c>
      <c r="B9" s="39" t="s">
        <v>154</v>
      </c>
      <c r="C9" s="39" t="s">
        <v>155</v>
      </c>
      <c r="D9" s="41" t="str">
        <f t="shared" si="0"/>
        <v xml:space="preserve">JOSÉ MIGUEL ALFONSO </v>
      </c>
      <c r="E9" s="39" t="s">
        <v>156</v>
      </c>
      <c r="F9" s="39">
        <v>687300243</v>
      </c>
      <c r="G9" s="39"/>
      <c r="H9" s="39" t="s">
        <v>131</v>
      </c>
      <c r="I9" s="39"/>
      <c r="J9" s="41" t="s">
        <v>132</v>
      </c>
      <c r="K9" s="43" t="s">
        <v>7</v>
      </c>
      <c r="L9" s="43" t="s">
        <v>7</v>
      </c>
      <c r="M9" s="43" t="s">
        <v>7</v>
      </c>
      <c r="N9" s="43">
        <v>43</v>
      </c>
    </row>
    <row r="10" spans="1:14" x14ac:dyDescent="0.3">
      <c r="A10" s="41">
        <v>16937065</v>
      </c>
      <c r="B10" s="41" t="s">
        <v>8</v>
      </c>
      <c r="C10" s="41" t="s">
        <v>9</v>
      </c>
      <c r="D10" s="41" t="str">
        <f t="shared" si="0"/>
        <v xml:space="preserve">Domini Elias Pereira </v>
      </c>
      <c r="E10" s="41" t="s">
        <v>10</v>
      </c>
      <c r="F10" s="41">
        <v>649668492</v>
      </c>
      <c r="G10" s="41"/>
      <c r="H10" s="41" t="s">
        <v>140</v>
      </c>
      <c r="I10" s="41" t="s">
        <v>157</v>
      </c>
      <c r="J10" s="41" t="s">
        <v>132</v>
      </c>
      <c r="K10" s="42" t="s">
        <v>11</v>
      </c>
      <c r="L10" s="42" t="s">
        <v>11</v>
      </c>
      <c r="M10" s="42" t="s">
        <v>11</v>
      </c>
      <c r="N10" s="42">
        <v>46</v>
      </c>
    </row>
    <row r="11" spans="1:14" x14ac:dyDescent="0.3">
      <c r="A11" s="39">
        <v>9634719</v>
      </c>
      <c r="B11" s="39" t="s">
        <v>18</v>
      </c>
      <c r="C11" s="39" t="s">
        <v>19</v>
      </c>
      <c r="D11" s="41" t="str">
        <f t="shared" si="0"/>
        <v xml:space="preserve">Gustavo Adolfo  Alonso </v>
      </c>
      <c r="E11" s="39" t="s">
        <v>20</v>
      </c>
      <c r="F11" s="39">
        <v>678762287</v>
      </c>
      <c r="G11" s="39"/>
      <c r="H11" s="39" t="s">
        <v>140</v>
      </c>
      <c r="I11" s="45">
        <v>60</v>
      </c>
      <c r="J11" s="41" t="s">
        <v>132</v>
      </c>
      <c r="K11" s="43" t="s">
        <v>11</v>
      </c>
      <c r="L11" s="43" t="s">
        <v>12</v>
      </c>
      <c r="M11" s="43" t="s">
        <v>12</v>
      </c>
      <c r="N11" s="43">
        <v>42</v>
      </c>
    </row>
    <row r="12" spans="1:14" x14ac:dyDescent="0.3">
      <c r="A12" s="41">
        <v>10764290</v>
      </c>
      <c r="B12" s="41" t="s">
        <v>158</v>
      </c>
      <c r="C12" s="41" t="s">
        <v>159</v>
      </c>
      <c r="D12" s="41" t="str">
        <f t="shared" si="0"/>
        <v xml:space="preserve">MARÍA DURÁN </v>
      </c>
      <c r="E12" s="41" t="s">
        <v>160</v>
      </c>
      <c r="F12" s="41">
        <v>686676085</v>
      </c>
      <c r="G12" s="41"/>
      <c r="H12" s="41" t="s">
        <v>140</v>
      </c>
      <c r="I12" s="46" t="s">
        <v>161</v>
      </c>
      <c r="J12" s="41" t="s">
        <v>132</v>
      </c>
      <c r="K12" s="42" t="s">
        <v>7</v>
      </c>
      <c r="L12" s="42" t="s">
        <v>22</v>
      </c>
      <c r="M12" s="42" t="s">
        <v>7</v>
      </c>
      <c r="N12" s="42">
        <v>40</v>
      </c>
    </row>
    <row r="13" spans="1:14" x14ac:dyDescent="0.3">
      <c r="A13" s="39">
        <v>2045252</v>
      </c>
      <c r="B13" s="39" t="s">
        <v>162</v>
      </c>
      <c r="C13" s="39" t="s">
        <v>163</v>
      </c>
      <c r="D13" s="41" t="str">
        <f t="shared" si="0"/>
        <v xml:space="preserve">María José  Serrano </v>
      </c>
      <c r="E13" s="39" t="s">
        <v>164</v>
      </c>
      <c r="F13" s="39">
        <v>636976333</v>
      </c>
      <c r="G13" s="39"/>
      <c r="H13" s="39" t="s">
        <v>131</v>
      </c>
      <c r="I13" s="39"/>
      <c r="J13" s="41" t="s">
        <v>132</v>
      </c>
      <c r="K13" s="43" t="s">
        <v>7</v>
      </c>
      <c r="L13" s="43" t="s">
        <v>7</v>
      </c>
      <c r="M13" s="43" t="s">
        <v>7</v>
      </c>
      <c r="N13" s="43">
        <v>39</v>
      </c>
    </row>
    <row r="14" spans="1:14" x14ac:dyDescent="0.3">
      <c r="A14" s="41">
        <v>16951669</v>
      </c>
      <c r="B14" s="41" t="s">
        <v>165</v>
      </c>
      <c r="C14" s="41" t="s">
        <v>166</v>
      </c>
      <c r="D14" s="41" t="str">
        <f t="shared" si="0"/>
        <v xml:space="preserve">Pedro Luis Sánchez </v>
      </c>
      <c r="E14" s="41" t="s">
        <v>167</v>
      </c>
      <c r="F14" s="41">
        <v>606423409</v>
      </c>
      <c r="G14" s="41" t="s">
        <v>136</v>
      </c>
      <c r="H14" s="41" t="s">
        <v>140</v>
      </c>
      <c r="I14" s="41" t="s">
        <v>168</v>
      </c>
      <c r="J14" s="39" t="s">
        <v>137</v>
      </c>
      <c r="K14" s="42" t="s">
        <v>7</v>
      </c>
      <c r="L14" s="42" t="s">
        <v>7</v>
      </c>
      <c r="M14" s="42" t="s">
        <v>7</v>
      </c>
      <c r="N14" s="42">
        <v>43</v>
      </c>
    </row>
    <row r="15" spans="1:14" x14ac:dyDescent="0.3">
      <c r="A15" s="39">
        <v>1420091</v>
      </c>
      <c r="B15" s="39" t="s">
        <v>169</v>
      </c>
      <c r="C15" s="39" t="s">
        <v>170</v>
      </c>
      <c r="D15" s="41" t="str">
        <f t="shared" si="0"/>
        <v xml:space="preserve">Antonio Gracia </v>
      </c>
      <c r="E15" s="39" t="s">
        <v>171</v>
      </c>
      <c r="F15" s="39">
        <v>654837135</v>
      </c>
      <c r="G15" s="39"/>
      <c r="H15" s="39" t="s">
        <v>131</v>
      </c>
      <c r="I15" s="39"/>
      <c r="J15" s="41" t="s">
        <v>132</v>
      </c>
      <c r="K15" s="43" t="s">
        <v>22</v>
      </c>
      <c r="L15" s="43" t="s">
        <v>7</v>
      </c>
      <c r="M15" s="43" t="s">
        <v>7</v>
      </c>
      <c r="N15" s="43">
        <v>41</v>
      </c>
    </row>
    <row r="16" spans="1:14" x14ac:dyDescent="0.3">
      <c r="A16" s="41">
        <v>7322845</v>
      </c>
      <c r="B16" s="41" t="s">
        <v>172</v>
      </c>
      <c r="C16" s="41" t="s">
        <v>173</v>
      </c>
      <c r="D16" s="41" t="str">
        <f t="shared" si="0"/>
        <v xml:space="preserve">ALVARO PRIETO </v>
      </c>
      <c r="E16" s="41" t="s">
        <v>29</v>
      </c>
      <c r="F16" s="41">
        <v>616805481</v>
      </c>
      <c r="G16" s="41"/>
      <c r="H16" s="41" t="s">
        <v>131</v>
      </c>
      <c r="I16" s="41"/>
      <c r="J16" s="41" t="s">
        <v>132</v>
      </c>
      <c r="K16" s="42" t="s">
        <v>22</v>
      </c>
      <c r="L16" s="42" t="s">
        <v>22</v>
      </c>
      <c r="M16" s="42" t="s">
        <v>22</v>
      </c>
      <c r="N16" s="42">
        <v>43</v>
      </c>
    </row>
    <row r="17" spans="1:14" x14ac:dyDescent="0.3">
      <c r="A17" s="39">
        <v>10185628</v>
      </c>
      <c r="B17" s="39" t="s">
        <v>26</v>
      </c>
      <c r="C17" s="39" t="s">
        <v>27</v>
      </c>
      <c r="D17" s="41" t="str">
        <f t="shared" si="0"/>
        <v xml:space="preserve">Enrique  Bilbao </v>
      </c>
      <c r="E17" s="39" t="s">
        <v>28</v>
      </c>
      <c r="F17" s="39">
        <v>607646862</v>
      </c>
      <c r="G17" s="39" t="s">
        <v>136</v>
      </c>
      <c r="H17" s="39" t="s">
        <v>131</v>
      </c>
      <c r="I17" s="39"/>
      <c r="J17" s="41" t="s">
        <v>132</v>
      </c>
      <c r="K17" s="43" t="s">
        <v>12</v>
      </c>
      <c r="L17" s="43" t="s">
        <v>12</v>
      </c>
      <c r="M17" s="43" t="s">
        <v>12</v>
      </c>
      <c r="N17" s="43">
        <v>43</v>
      </c>
    </row>
    <row r="18" spans="1:14" x14ac:dyDescent="0.3">
      <c r="A18" s="41">
        <v>10675421</v>
      </c>
      <c r="B18" s="41" t="s">
        <v>21</v>
      </c>
      <c r="C18" s="41" t="s">
        <v>187</v>
      </c>
      <c r="D18" s="41" t="str">
        <f t="shared" si="0"/>
        <v xml:space="preserve">Belén Ortiz </v>
      </c>
      <c r="E18" s="41" t="s">
        <v>174</v>
      </c>
      <c r="F18" s="41">
        <v>656424632</v>
      </c>
      <c r="G18" s="41" t="s">
        <v>136</v>
      </c>
      <c r="H18" s="41" t="s">
        <v>140</v>
      </c>
      <c r="I18" s="41" t="s">
        <v>175</v>
      </c>
      <c r="J18" s="41" t="s">
        <v>132</v>
      </c>
      <c r="K18" s="42" t="s">
        <v>22</v>
      </c>
      <c r="L18" s="42" t="s">
        <v>22</v>
      </c>
      <c r="M18" s="42" t="s">
        <v>22</v>
      </c>
      <c r="N18" s="42">
        <v>40</v>
      </c>
    </row>
    <row r="19" spans="1:14" x14ac:dyDescent="0.3">
      <c r="A19" s="39">
        <v>16952378</v>
      </c>
      <c r="B19" s="39" t="s">
        <v>31</v>
      </c>
      <c r="C19" s="39" t="s">
        <v>176</v>
      </c>
      <c r="D19" s="41" t="str">
        <f t="shared" si="0"/>
        <v xml:space="preserve">Víctor Báez </v>
      </c>
      <c r="E19" s="39" t="s">
        <v>177</v>
      </c>
      <c r="F19" s="39">
        <v>658436672</v>
      </c>
      <c r="G19" s="39" t="s">
        <v>130</v>
      </c>
      <c r="H19" s="39" t="s">
        <v>140</v>
      </c>
      <c r="I19" s="39" t="s">
        <v>178</v>
      </c>
      <c r="J19" s="41" t="s">
        <v>132</v>
      </c>
      <c r="K19" s="43" t="s">
        <v>7</v>
      </c>
      <c r="L19" s="43" t="s">
        <v>7</v>
      </c>
      <c r="M19" s="43" t="s">
        <v>7</v>
      </c>
      <c r="N19" s="43">
        <v>42</v>
      </c>
    </row>
    <row r="20" spans="1:14" x14ac:dyDescent="0.3">
      <c r="A20" s="41">
        <v>2046002</v>
      </c>
      <c r="B20" s="41" t="s">
        <v>179</v>
      </c>
      <c r="C20" s="41" t="s">
        <v>180</v>
      </c>
      <c r="D20" s="41" t="str">
        <f t="shared" si="0"/>
        <v xml:space="preserve">Consuelo Dominguez </v>
      </c>
      <c r="E20" s="41" t="s">
        <v>181</v>
      </c>
      <c r="F20" s="41">
        <v>610942575</v>
      </c>
      <c r="G20" s="41"/>
      <c r="H20" s="41" t="s">
        <v>131</v>
      </c>
      <c r="I20" s="41"/>
      <c r="J20" s="41" t="s">
        <v>132</v>
      </c>
      <c r="K20" s="42" t="s">
        <v>17</v>
      </c>
      <c r="L20" s="42" t="s">
        <v>17</v>
      </c>
      <c r="M20" s="42" t="s">
        <v>17</v>
      </c>
      <c r="N20" s="42">
        <v>42</v>
      </c>
    </row>
    <row r="21" spans="1:14" x14ac:dyDescent="0.3">
      <c r="A21" s="39">
        <v>10766931</v>
      </c>
      <c r="B21" s="39" t="s">
        <v>182</v>
      </c>
      <c r="C21" s="39" t="s">
        <v>183</v>
      </c>
      <c r="D21" s="41" t="str">
        <f t="shared" si="0"/>
        <v xml:space="preserve">Pilar Begoña Serrano </v>
      </c>
      <c r="E21" s="39" t="s">
        <v>24</v>
      </c>
      <c r="F21" s="39">
        <v>600710323</v>
      </c>
      <c r="G21" s="39"/>
      <c r="H21" s="39" t="s">
        <v>131</v>
      </c>
      <c r="I21" s="39"/>
      <c r="J21" s="41" t="s">
        <v>132</v>
      </c>
      <c r="K21" s="43" t="s">
        <v>25</v>
      </c>
      <c r="L21" s="43" t="s">
        <v>25</v>
      </c>
      <c r="M21" s="43" t="s">
        <v>25</v>
      </c>
      <c r="N21" s="43">
        <v>41</v>
      </c>
    </row>
    <row r="22" spans="1:14" x14ac:dyDescent="0.3">
      <c r="A22" s="41">
        <v>10765173</v>
      </c>
      <c r="B22" s="41" t="s">
        <v>184</v>
      </c>
      <c r="C22" s="41" t="s">
        <v>30</v>
      </c>
      <c r="D22" s="41" t="str">
        <f t="shared" si="0"/>
        <v xml:space="preserve">Eloy Jesús  Sánchez-Cid </v>
      </c>
      <c r="E22" s="41" t="s">
        <v>35</v>
      </c>
      <c r="F22" s="41">
        <v>633298235</v>
      </c>
      <c r="G22" s="41" t="s">
        <v>130</v>
      </c>
      <c r="H22" s="41" t="s">
        <v>131</v>
      </c>
      <c r="I22" s="41"/>
      <c r="J22" s="41" t="s">
        <v>132</v>
      </c>
      <c r="K22" s="42" t="s">
        <v>11</v>
      </c>
      <c r="L22" s="42" t="s">
        <v>11</v>
      </c>
      <c r="M22" s="42" t="s">
        <v>11</v>
      </c>
      <c r="N22" s="42">
        <v>43</v>
      </c>
    </row>
    <row r="23" spans="1:14" x14ac:dyDescent="0.3">
      <c r="A23" s="39">
        <v>10205608</v>
      </c>
      <c r="B23" s="39" t="s">
        <v>190</v>
      </c>
      <c r="C23" s="39" t="s">
        <v>191</v>
      </c>
      <c r="D23" s="41" t="str">
        <f t="shared" si="0"/>
        <v xml:space="preserve">Ana Belen de Mingo </v>
      </c>
      <c r="E23" s="39" t="s">
        <v>185</v>
      </c>
      <c r="F23" s="39">
        <v>606033545</v>
      </c>
      <c r="G23" s="39" t="s">
        <v>136</v>
      </c>
      <c r="H23" s="39" t="s">
        <v>131</v>
      </c>
      <c r="I23" s="39"/>
      <c r="J23" s="41" t="s">
        <v>132</v>
      </c>
      <c r="K23" s="43" t="s">
        <v>17</v>
      </c>
      <c r="L23" s="43" t="s">
        <v>12</v>
      </c>
      <c r="M23" s="43" t="s">
        <v>12</v>
      </c>
      <c r="N23" s="43">
        <v>37</v>
      </c>
    </row>
  </sheetData>
  <autoFilter ref="A1:N1">
    <sortState ref="A2:P18">
      <sortCondition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" sqref="I2:L8"/>
    </sheetView>
  </sheetViews>
  <sheetFormatPr baseColWidth="10" defaultRowHeight="14.4" x14ac:dyDescent="0.3"/>
  <cols>
    <col min="1" max="1" width="9" bestFit="1" customWidth="1"/>
    <col min="2" max="2" width="14" bestFit="1" customWidth="1"/>
    <col min="3" max="3" width="24.109375" bestFit="1" customWidth="1"/>
    <col min="4" max="4" width="10.6640625" customWidth="1"/>
    <col min="9" max="9" width="6.21875" bestFit="1" customWidth="1"/>
    <col min="10" max="10" width="8.5546875" bestFit="1" customWidth="1"/>
    <col min="11" max="11" width="4.77734375" bestFit="1" customWidth="1"/>
    <col min="12" max="12" width="9" bestFit="1" customWidth="1"/>
    <col min="13" max="15" width="21.44140625" bestFit="1" customWidth="1"/>
    <col min="16" max="16" width="11.88671875" bestFit="1" customWidth="1"/>
  </cols>
  <sheetData>
    <row r="1" spans="1:12" x14ac:dyDescent="0.3">
      <c r="A1" s="40" t="s">
        <v>1</v>
      </c>
      <c r="B1" s="40" t="s">
        <v>124</v>
      </c>
      <c r="C1" s="40" t="s">
        <v>2</v>
      </c>
      <c r="D1" s="40" t="s">
        <v>200</v>
      </c>
      <c r="E1" s="40" t="s">
        <v>4</v>
      </c>
      <c r="F1" s="40" t="s">
        <v>5</v>
      </c>
      <c r="G1" s="40" t="s">
        <v>6</v>
      </c>
      <c r="J1">
        <f>SUBTOTAL(109,J3:J8)</f>
        <v>21</v>
      </c>
      <c r="K1">
        <f t="shared" ref="K1:L1" si="0">SUBTOTAL(109,K3:K8)</f>
        <v>21</v>
      </c>
      <c r="L1">
        <f t="shared" si="0"/>
        <v>21</v>
      </c>
    </row>
    <row r="2" spans="1:12" x14ac:dyDescent="0.3">
      <c r="A2" s="39">
        <v>1420091</v>
      </c>
      <c r="B2" s="39" t="s">
        <v>169</v>
      </c>
      <c r="C2" s="39" t="s">
        <v>170</v>
      </c>
      <c r="D2" s="39" t="str">
        <f>VLOOKUP(A2,PLANIF!A:E,5,FALSE)</f>
        <v>PR</v>
      </c>
      <c r="E2" s="43" t="s">
        <v>22</v>
      </c>
      <c r="F2" s="43" t="s">
        <v>7</v>
      </c>
      <c r="G2" s="43" t="s">
        <v>7</v>
      </c>
      <c r="I2" s="50" t="s">
        <v>201</v>
      </c>
      <c r="J2" s="50" t="s">
        <v>4</v>
      </c>
      <c r="K2" s="50" t="s">
        <v>5</v>
      </c>
      <c r="L2" s="50" t="s">
        <v>6</v>
      </c>
    </row>
    <row r="3" spans="1:12" x14ac:dyDescent="0.3">
      <c r="A3" s="39">
        <v>2045252</v>
      </c>
      <c r="B3" s="39" t="s">
        <v>162</v>
      </c>
      <c r="C3" s="39" t="s">
        <v>163</v>
      </c>
      <c r="D3" s="39" t="str">
        <f>VLOOKUP(A3,PLANIF!A:E,5,FALSE)</f>
        <v>PR</v>
      </c>
      <c r="E3" s="43" t="s">
        <v>7</v>
      </c>
      <c r="F3" s="43" t="s">
        <v>7</v>
      </c>
      <c r="G3" s="43" t="s">
        <v>7</v>
      </c>
      <c r="I3" s="51" t="s">
        <v>22</v>
      </c>
      <c r="J3" s="5">
        <f>COUNTIF(E$2:E$22,$I3)</f>
        <v>3</v>
      </c>
      <c r="K3" s="5">
        <f t="shared" ref="K3:L3" si="1">COUNTIF(F$2:F$22,$I3)</f>
        <v>4</v>
      </c>
      <c r="L3" s="5">
        <f t="shared" si="1"/>
        <v>3</v>
      </c>
    </row>
    <row r="4" spans="1:12" x14ac:dyDescent="0.3">
      <c r="A4" s="41">
        <v>2046002</v>
      </c>
      <c r="B4" s="41" t="s">
        <v>179</v>
      </c>
      <c r="C4" s="41" t="s">
        <v>180</v>
      </c>
      <c r="D4" s="39" t="str">
        <f>VLOOKUP(A4,PLANIF!A:E,5,FALSE)</f>
        <v>PR</v>
      </c>
      <c r="E4" s="42" t="s">
        <v>17</v>
      </c>
      <c r="F4" s="42" t="s">
        <v>17</v>
      </c>
      <c r="G4" s="42" t="s">
        <v>17</v>
      </c>
      <c r="I4" s="51" t="s">
        <v>7</v>
      </c>
      <c r="J4" s="5">
        <f t="shared" ref="J4:J8" si="2">COUNTIF(E$2:E$22,$I4)</f>
        <v>6</v>
      </c>
      <c r="K4" s="5">
        <f t="shared" ref="K4:K8" si="3">COUNTIF(F$2:F$22,$I4)</f>
        <v>6</v>
      </c>
      <c r="L4" s="5">
        <f t="shared" ref="L4:L8" si="4">COUNTIF(G$2:G$22,$I4)</f>
        <v>7</v>
      </c>
    </row>
    <row r="5" spans="1:12" x14ac:dyDescent="0.3">
      <c r="A5" s="39">
        <v>4084133</v>
      </c>
      <c r="B5" s="39" t="s">
        <v>154</v>
      </c>
      <c r="C5" s="39" t="s">
        <v>155</v>
      </c>
      <c r="D5" s="39" t="str">
        <f>VLOOKUP(A5,PLANIF!A:E,5,FALSE)</f>
        <v>PR</v>
      </c>
      <c r="E5" s="43" t="s">
        <v>7</v>
      </c>
      <c r="F5" s="43" t="s">
        <v>7</v>
      </c>
      <c r="G5" s="43" t="s">
        <v>7</v>
      </c>
      <c r="I5" s="51" t="s">
        <v>11</v>
      </c>
      <c r="J5" s="5">
        <f t="shared" si="2"/>
        <v>6</v>
      </c>
      <c r="K5" s="5">
        <f t="shared" si="3"/>
        <v>3</v>
      </c>
      <c r="L5" s="5">
        <f t="shared" si="4"/>
        <v>3</v>
      </c>
    </row>
    <row r="6" spans="1:12" x14ac:dyDescent="0.3">
      <c r="A6" s="39">
        <v>4235653</v>
      </c>
      <c r="B6" s="39" t="s">
        <v>142</v>
      </c>
      <c r="C6" s="39" t="s">
        <v>143</v>
      </c>
      <c r="D6" s="39" t="str">
        <f>VLOOKUP(A6,PLANIF!A:E,5,FALSE)</f>
        <v>PR</v>
      </c>
      <c r="E6" s="43" t="s">
        <v>12</v>
      </c>
      <c r="F6" s="43" t="s">
        <v>12</v>
      </c>
      <c r="G6" s="43" t="s">
        <v>12</v>
      </c>
      <c r="I6" s="51" t="s">
        <v>12</v>
      </c>
      <c r="J6" s="5">
        <f t="shared" si="2"/>
        <v>3</v>
      </c>
      <c r="K6" s="5">
        <f t="shared" si="3"/>
        <v>5</v>
      </c>
      <c r="L6" s="5">
        <f t="shared" si="4"/>
        <v>5</v>
      </c>
    </row>
    <row r="7" spans="1:12" x14ac:dyDescent="0.3">
      <c r="A7" s="41">
        <v>7322845</v>
      </c>
      <c r="B7" s="41" t="s">
        <v>172</v>
      </c>
      <c r="C7" s="41" t="s">
        <v>173</v>
      </c>
      <c r="D7" s="41" t="s">
        <v>37</v>
      </c>
      <c r="E7" s="42" t="s">
        <v>22</v>
      </c>
      <c r="F7" s="42" t="s">
        <v>22</v>
      </c>
      <c r="G7" s="42" t="s">
        <v>22</v>
      </c>
      <c r="I7" s="51" t="s">
        <v>17</v>
      </c>
      <c r="J7" s="5">
        <f t="shared" si="2"/>
        <v>2</v>
      </c>
      <c r="K7" s="5">
        <f t="shared" si="3"/>
        <v>2</v>
      </c>
      <c r="L7" s="5">
        <f t="shared" si="4"/>
        <v>1</v>
      </c>
    </row>
    <row r="8" spans="1:12" x14ac:dyDescent="0.3">
      <c r="A8" s="39">
        <v>7351472</v>
      </c>
      <c r="B8" s="39" t="s">
        <v>133</v>
      </c>
      <c r="C8" s="39" t="s">
        <v>134</v>
      </c>
      <c r="D8" s="39" t="str">
        <f>VLOOKUP(A8,PLANIF!A:E,5,FALSE)</f>
        <v>JP</v>
      </c>
      <c r="E8" s="43" t="s">
        <v>7</v>
      </c>
      <c r="F8" s="43" t="s">
        <v>7</v>
      </c>
      <c r="G8" s="43" t="s">
        <v>7</v>
      </c>
      <c r="I8" s="51" t="s">
        <v>25</v>
      </c>
      <c r="J8" s="5">
        <f t="shared" si="2"/>
        <v>1</v>
      </c>
      <c r="K8" s="5">
        <f t="shared" si="3"/>
        <v>1</v>
      </c>
      <c r="L8" s="5">
        <f t="shared" si="4"/>
        <v>2</v>
      </c>
    </row>
    <row r="9" spans="1:12" x14ac:dyDescent="0.3">
      <c r="A9" s="41">
        <v>9579478</v>
      </c>
      <c r="B9" s="41" t="s">
        <v>151</v>
      </c>
      <c r="C9" s="41" t="s">
        <v>152</v>
      </c>
      <c r="D9" s="39" t="str">
        <f>VLOOKUP(A9,PLANIF!A:E,5,FALSE)</f>
        <v>JP</v>
      </c>
      <c r="E9" s="42" t="s">
        <v>11</v>
      </c>
      <c r="F9" s="42" t="s">
        <v>12</v>
      </c>
      <c r="G9" s="42" t="s">
        <v>12</v>
      </c>
    </row>
    <row r="10" spans="1:12" x14ac:dyDescent="0.3">
      <c r="A10" s="39">
        <v>10185628</v>
      </c>
      <c r="B10" s="39" t="s">
        <v>26</v>
      </c>
      <c r="C10" s="39" t="s">
        <v>27</v>
      </c>
      <c r="D10" s="39" t="str">
        <f>VLOOKUP(A10,PLANIF!A:E,5,FALSE)</f>
        <v>JP</v>
      </c>
      <c r="E10" s="43" t="s">
        <v>12</v>
      </c>
      <c r="F10" s="43" t="s">
        <v>12</v>
      </c>
      <c r="G10" s="43" t="s">
        <v>12</v>
      </c>
    </row>
    <row r="11" spans="1:12" x14ac:dyDescent="0.3">
      <c r="A11" s="39">
        <v>10205608</v>
      </c>
      <c r="B11" s="39" t="s">
        <v>190</v>
      </c>
      <c r="C11" s="39" t="s">
        <v>191</v>
      </c>
      <c r="D11" s="39" t="str">
        <f>VLOOKUP(A11,PLANIF!A:E,5,FALSE)</f>
        <v>JP</v>
      </c>
      <c r="E11" s="43" t="s">
        <v>17</v>
      </c>
      <c r="F11" s="43" t="s">
        <v>12</v>
      </c>
      <c r="G11" s="43" t="s">
        <v>12</v>
      </c>
    </row>
    <row r="12" spans="1:12" x14ac:dyDescent="0.3">
      <c r="A12" s="41">
        <v>10675421</v>
      </c>
      <c r="B12" s="41" t="s">
        <v>21</v>
      </c>
      <c r="C12" s="41" t="s">
        <v>187</v>
      </c>
      <c r="D12" s="39" t="s">
        <v>36</v>
      </c>
      <c r="E12" s="42" t="s">
        <v>22</v>
      </c>
      <c r="F12" s="42" t="s">
        <v>22</v>
      </c>
      <c r="G12" s="42" t="s">
        <v>22</v>
      </c>
    </row>
    <row r="13" spans="1:12" x14ac:dyDescent="0.3">
      <c r="A13" s="41">
        <v>10761353</v>
      </c>
      <c r="B13" s="41" t="s">
        <v>14</v>
      </c>
      <c r="C13" s="41" t="s">
        <v>15</v>
      </c>
      <c r="D13" s="41" t="s">
        <v>195</v>
      </c>
      <c r="E13" s="42" t="s">
        <v>12</v>
      </c>
      <c r="F13" s="42" t="s">
        <v>17</v>
      </c>
      <c r="G13" s="42" t="s">
        <v>25</v>
      </c>
    </row>
    <row r="14" spans="1:12" x14ac:dyDescent="0.3">
      <c r="A14" s="39">
        <v>10763565</v>
      </c>
      <c r="B14" s="39" t="s">
        <v>23</v>
      </c>
      <c r="C14" s="39" t="s">
        <v>148</v>
      </c>
      <c r="D14" s="39" t="s">
        <v>36</v>
      </c>
      <c r="E14" s="43" t="s">
        <v>11</v>
      </c>
      <c r="F14" s="43" t="s">
        <v>12</v>
      </c>
      <c r="G14" s="43" t="s">
        <v>12</v>
      </c>
    </row>
    <row r="15" spans="1:12" x14ac:dyDescent="0.3">
      <c r="A15" s="41">
        <v>10764290</v>
      </c>
      <c r="B15" s="41" t="s">
        <v>158</v>
      </c>
      <c r="C15" s="41" t="s">
        <v>159</v>
      </c>
      <c r="D15" s="39" t="s">
        <v>79</v>
      </c>
      <c r="E15" s="42" t="s">
        <v>7</v>
      </c>
      <c r="F15" s="42" t="s">
        <v>22</v>
      </c>
      <c r="G15" s="42" t="s">
        <v>7</v>
      </c>
    </row>
    <row r="16" spans="1:12" x14ac:dyDescent="0.3">
      <c r="A16" s="41">
        <v>10765173</v>
      </c>
      <c r="B16" s="41" t="s">
        <v>184</v>
      </c>
      <c r="C16" s="41" t="s">
        <v>30</v>
      </c>
      <c r="D16" s="41" t="s">
        <v>195</v>
      </c>
      <c r="E16" s="43" t="s">
        <v>25</v>
      </c>
      <c r="F16" s="43" t="s">
        <v>25</v>
      </c>
      <c r="G16" s="43" t="s">
        <v>25</v>
      </c>
    </row>
    <row r="17" spans="1:7" x14ac:dyDescent="0.3">
      <c r="A17" s="39">
        <v>10766931</v>
      </c>
      <c r="B17" s="39" t="s">
        <v>182</v>
      </c>
      <c r="C17" s="39" t="s">
        <v>183</v>
      </c>
      <c r="D17" s="39" t="str">
        <f>VLOOKUP(A17,PLANIF!A:E,5,FALSE)</f>
        <v>JP</v>
      </c>
      <c r="E17" s="42" t="s">
        <v>11</v>
      </c>
      <c r="F17" s="42" t="s">
        <v>11</v>
      </c>
      <c r="G17" s="42" t="s">
        <v>11</v>
      </c>
    </row>
    <row r="18" spans="1:7" x14ac:dyDescent="0.3">
      <c r="A18" s="41">
        <v>16937065</v>
      </c>
      <c r="B18" s="41" t="s">
        <v>8</v>
      </c>
      <c r="C18" s="41" t="s">
        <v>9</v>
      </c>
      <c r="D18" s="39" t="s">
        <v>36</v>
      </c>
      <c r="E18" s="42" t="s">
        <v>7</v>
      </c>
      <c r="F18" s="42" t="s">
        <v>7</v>
      </c>
      <c r="G18" s="42" t="s">
        <v>7</v>
      </c>
    </row>
    <row r="19" spans="1:7" x14ac:dyDescent="0.3">
      <c r="A19" s="41">
        <v>16951669</v>
      </c>
      <c r="B19" s="41" t="s">
        <v>165</v>
      </c>
      <c r="C19" s="41" t="s">
        <v>166</v>
      </c>
      <c r="D19" s="39" t="s">
        <v>36</v>
      </c>
      <c r="E19" s="42" t="s">
        <v>11</v>
      </c>
      <c r="F19" s="42" t="s">
        <v>11</v>
      </c>
      <c r="G19" s="42" t="s">
        <v>11</v>
      </c>
    </row>
    <row r="20" spans="1:7" x14ac:dyDescent="0.3">
      <c r="A20" s="41">
        <v>16951726</v>
      </c>
      <c r="B20" s="41" t="s">
        <v>145</v>
      </c>
      <c r="C20" s="41" t="s">
        <v>13</v>
      </c>
      <c r="D20" s="39" t="s">
        <v>36</v>
      </c>
      <c r="E20" s="42" t="s">
        <v>11</v>
      </c>
      <c r="F20" s="42" t="s">
        <v>22</v>
      </c>
      <c r="G20" s="42" t="s">
        <v>22</v>
      </c>
    </row>
    <row r="21" spans="1:7" x14ac:dyDescent="0.3">
      <c r="A21" s="41">
        <v>16952261</v>
      </c>
      <c r="B21" s="41" t="s">
        <v>138</v>
      </c>
      <c r="C21" s="41" t="s">
        <v>32</v>
      </c>
      <c r="D21" s="39" t="s">
        <v>36</v>
      </c>
      <c r="E21" s="43" t="s">
        <v>7</v>
      </c>
      <c r="F21" s="43" t="s">
        <v>7</v>
      </c>
      <c r="G21" s="43" t="s">
        <v>7</v>
      </c>
    </row>
    <row r="22" spans="1:7" x14ac:dyDescent="0.3">
      <c r="A22" s="39">
        <v>16952378</v>
      </c>
      <c r="B22" s="39" t="s">
        <v>31</v>
      </c>
      <c r="C22" s="39" t="s">
        <v>176</v>
      </c>
      <c r="D22" s="39" t="s">
        <v>195</v>
      </c>
      <c r="E22" s="42" t="s">
        <v>11</v>
      </c>
      <c r="F22" s="42" t="s">
        <v>11</v>
      </c>
      <c r="G22" s="42" t="s">
        <v>11</v>
      </c>
    </row>
  </sheetData>
  <autoFilter ref="A1:D22">
    <sortState ref="A2:D22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workbookViewId="0">
      <pane xSplit="6" ySplit="3" topLeftCell="G4" activePane="bottomRight" state="frozen"/>
      <selection pane="topRight" activeCell="D1" sqref="D1"/>
      <selection pane="bottomLeft" activeCell="A4" sqref="A4"/>
      <selection pane="bottomRight" activeCell="I20" sqref="I20"/>
    </sheetView>
  </sheetViews>
  <sheetFormatPr baseColWidth="10" defaultRowHeight="14.4" x14ac:dyDescent="0.3"/>
  <cols>
    <col min="1" max="1" width="9.77734375" bestFit="1" customWidth="1"/>
    <col min="2" max="2" width="24.109375" bestFit="1" customWidth="1"/>
    <col min="3" max="3" width="8.21875" customWidth="1"/>
    <col min="4" max="4" width="11.21875" bestFit="1" customWidth="1"/>
    <col min="5" max="5" width="8.21875" customWidth="1"/>
    <col min="6" max="6" width="14.6640625" bestFit="1" customWidth="1"/>
    <col min="7" max="7" width="18" bestFit="1" customWidth="1"/>
    <col min="8" max="8" width="24.109375" bestFit="1" customWidth="1"/>
    <col min="9" max="9" width="7.5546875" bestFit="1" customWidth="1"/>
    <col min="10" max="10" width="7.88671875" bestFit="1" customWidth="1"/>
    <col min="11" max="12" width="7.77734375" bestFit="1" customWidth="1"/>
    <col min="13" max="13" width="15.5546875" bestFit="1" customWidth="1"/>
    <col min="14" max="14" width="25.21875" bestFit="1" customWidth="1"/>
    <col min="15" max="15" width="7.5546875" bestFit="1" customWidth="1"/>
    <col min="16" max="16" width="7.88671875" bestFit="1" customWidth="1"/>
    <col min="17" max="18" width="7.77734375" bestFit="1" customWidth="1"/>
    <col min="19" max="19" width="20.6640625" bestFit="1" customWidth="1"/>
    <col min="20" max="20" width="7" bestFit="1" customWidth="1"/>
    <col min="21" max="21" width="7.5546875" bestFit="1" customWidth="1"/>
    <col min="22" max="22" width="7.88671875" bestFit="1" customWidth="1"/>
    <col min="23" max="24" width="7.77734375" bestFit="1" customWidth="1"/>
    <col min="25" max="25" width="19" bestFit="1" customWidth="1"/>
    <col min="26" max="27" width="7.88671875" bestFit="1" customWidth="1"/>
    <col min="28" max="29" width="9" bestFit="1" customWidth="1"/>
    <col min="30" max="30" width="6.88671875" bestFit="1" customWidth="1"/>
    <col min="31" max="31" width="8.88671875" bestFit="1" customWidth="1"/>
    <col min="32" max="32" width="7.44140625" bestFit="1" customWidth="1"/>
    <col min="33" max="33" width="6.21875" bestFit="1" customWidth="1"/>
    <col min="34" max="34" width="5.5546875" bestFit="1" customWidth="1"/>
    <col min="35" max="35" width="6" bestFit="1" customWidth="1"/>
    <col min="36" max="36" width="6.21875" bestFit="1" customWidth="1"/>
    <col min="37" max="37" width="6.33203125" bestFit="1" customWidth="1"/>
    <col min="38" max="38" width="8.109375" bestFit="1" customWidth="1"/>
    <col min="39" max="39" width="8.6640625" bestFit="1" customWidth="1"/>
    <col min="40" max="40" width="6.44140625" bestFit="1" customWidth="1"/>
  </cols>
  <sheetData>
    <row r="1" spans="1:40" x14ac:dyDescent="0.3">
      <c r="G1">
        <f>SUBTOTAL(103,G4:G32)</f>
        <v>19</v>
      </c>
      <c r="H1">
        <f t="shared" ref="H1:AD1" si="0">SUBTOTAL(103,H4:H32)</f>
        <v>17</v>
      </c>
      <c r="I1">
        <f t="shared" si="0"/>
        <v>4</v>
      </c>
      <c r="J1">
        <f t="shared" si="0"/>
        <v>19</v>
      </c>
      <c r="K1">
        <f t="shared" si="0"/>
        <v>17</v>
      </c>
      <c r="L1">
        <f t="shared" si="0"/>
        <v>1</v>
      </c>
      <c r="M1">
        <f t="shared" si="0"/>
        <v>12</v>
      </c>
      <c r="N1">
        <f t="shared" si="0"/>
        <v>11</v>
      </c>
      <c r="O1">
        <f t="shared" si="0"/>
        <v>3</v>
      </c>
      <c r="P1">
        <f t="shared" si="0"/>
        <v>12</v>
      </c>
      <c r="Q1">
        <f t="shared" si="0"/>
        <v>11</v>
      </c>
      <c r="R1">
        <f t="shared" si="0"/>
        <v>0</v>
      </c>
      <c r="S1">
        <f t="shared" si="0"/>
        <v>5</v>
      </c>
      <c r="T1">
        <f t="shared" si="0"/>
        <v>5</v>
      </c>
      <c r="U1">
        <f t="shared" si="0"/>
        <v>5</v>
      </c>
      <c r="V1">
        <f t="shared" si="0"/>
        <v>5</v>
      </c>
      <c r="W1">
        <f t="shared" si="0"/>
        <v>5</v>
      </c>
      <c r="X1">
        <f t="shared" si="0"/>
        <v>2</v>
      </c>
      <c r="Y1">
        <f t="shared" si="0"/>
        <v>5</v>
      </c>
      <c r="Z1">
        <f t="shared" si="0"/>
        <v>5</v>
      </c>
      <c r="AA1">
        <f t="shared" si="0"/>
        <v>5</v>
      </c>
      <c r="AB1">
        <f t="shared" si="0"/>
        <v>0</v>
      </c>
      <c r="AC1">
        <f t="shared" ref="AC1" si="1">SUBTOTAL(103,AC4:AC32)</f>
        <v>1</v>
      </c>
      <c r="AD1">
        <f t="shared" si="0"/>
        <v>1</v>
      </c>
      <c r="AE1" s="30">
        <f>SUBTOTAL(109,AE4:AE32)</f>
        <v>4857</v>
      </c>
    </row>
    <row r="2" spans="1:40" x14ac:dyDescent="0.3">
      <c r="G2" s="31" t="s">
        <v>56</v>
      </c>
      <c r="H2" s="31"/>
      <c r="I2" s="31"/>
      <c r="J2" s="31"/>
      <c r="K2" s="31"/>
      <c r="L2" s="31"/>
      <c r="M2" s="32" t="s">
        <v>57</v>
      </c>
      <c r="N2" s="32"/>
      <c r="O2" s="32"/>
      <c r="P2" s="32"/>
      <c r="Q2" s="32"/>
      <c r="R2" s="32"/>
      <c r="S2" s="33" t="s">
        <v>58</v>
      </c>
      <c r="T2" s="33"/>
      <c r="U2" s="33"/>
      <c r="V2" s="33"/>
      <c r="W2" s="33"/>
      <c r="X2" s="33"/>
      <c r="Y2" s="34" t="s">
        <v>59</v>
      </c>
      <c r="Z2" s="35"/>
      <c r="AA2" s="36"/>
      <c r="AB2" s="5"/>
      <c r="AC2" s="5"/>
      <c r="AD2" s="5"/>
      <c r="AF2" s="48">
        <f>SUBTOTAL(109,AF4:AF32)</f>
        <v>440</v>
      </c>
      <c r="AG2" s="48">
        <f t="shared" ref="AG2:AM2" si="2">SUBTOTAL(109,AG4:AG32)</f>
        <v>340</v>
      </c>
      <c r="AH2" s="48">
        <f t="shared" si="2"/>
        <v>1422</v>
      </c>
      <c r="AI2" s="48">
        <f t="shared" si="2"/>
        <v>210</v>
      </c>
      <c r="AJ2" s="48">
        <f t="shared" si="2"/>
        <v>560</v>
      </c>
      <c r="AK2" s="48">
        <f t="shared" si="2"/>
        <v>220</v>
      </c>
      <c r="AL2" s="48">
        <f t="shared" si="2"/>
        <v>1110</v>
      </c>
      <c r="AM2" s="48">
        <f t="shared" si="2"/>
        <v>195</v>
      </c>
    </row>
    <row r="3" spans="1:40" x14ac:dyDescent="0.3">
      <c r="A3" s="12" t="s">
        <v>1</v>
      </c>
      <c r="B3" s="12" t="s">
        <v>0</v>
      </c>
      <c r="C3" s="17" t="s">
        <v>188</v>
      </c>
      <c r="D3" s="17" t="s">
        <v>76</v>
      </c>
      <c r="E3" s="17" t="s">
        <v>63</v>
      </c>
      <c r="F3" s="17" t="s">
        <v>93</v>
      </c>
      <c r="G3" s="37" t="s">
        <v>90</v>
      </c>
      <c r="H3" s="37" t="s">
        <v>91</v>
      </c>
      <c r="I3" s="13" t="s">
        <v>94</v>
      </c>
      <c r="J3" s="13" t="s">
        <v>92</v>
      </c>
      <c r="K3" s="13" t="s">
        <v>44</v>
      </c>
      <c r="L3" s="13" t="s">
        <v>60</v>
      </c>
      <c r="M3" s="14" t="s">
        <v>90</v>
      </c>
      <c r="N3" s="14" t="s">
        <v>91</v>
      </c>
      <c r="O3" s="14" t="s">
        <v>94</v>
      </c>
      <c r="P3" s="14" t="s">
        <v>92</v>
      </c>
      <c r="Q3" s="14" t="s">
        <v>44</v>
      </c>
      <c r="R3" s="14" t="s">
        <v>60</v>
      </c>
      <c r="S3" s="15" t="s">
        <v>90</v>
      </c>
      <c r="T3" s="15" t="s">
        <v>91</v>
      </c>
      <c r="U3" s="15" t="s">
        <v>95</v>
      </c>
      <c r="V3" s="15" t="s">
        <v>92</v>
      </c>
      <c r="W3" s="15" t="s">
        <v>44</v>
      </c>
      <c r="X3" s="15" t="s">
        <v>60</v>
      </c>
      <c r="Y3" s="16" t="s">
        <v>43</v>
      </c>
      <c r="Z3" s="16" t="s">
        <v>94</v>
      </c>
      <c r="AA3" s="16" t="s">
        <v>92</v>
      </c>
      <c r="AB3" s="12" t="s">
        <v>62</v>
      </c>
      <c r="AC3" s="12" t="s">
        <v>202</v>
      </c>
      <c r="AD3" s="12" t="s">
        <v>46</v>
      </c>
      <c r="AE3" s="18" t="s">
        <v>33</v>
      </c>
      <c r="AF3" s="28" t="s">
        <v>37</v>
      </c>
      <c r="AG3" s="28" t="s">
        <v>42</v>
      </c>
      <c r="AH3" s="28" t="s">
        <v>36</v>
      </c>
      <c r="AI3" s="28" t="s">
        <v>55</v>
      </c>
      <c r="AJ3" s="28" t="s">
        <v>95</v>
      </c>
      <c r="AK3" s="28" t="s">
        <v>69</v>
      </c>
      <c r="AL3" s="28" t="s">
        <v>68</v>
      </c>
      <c r="AM3" s="28" t="s">
        <v>70</v>
      </c>
      <c r="AN3" s="28" t="s">
        <v>46</v>
      </c>
    </row>
    <row r="4" spans="1:40" x14ac:dyDescent="0.3">
      <c r="A4" s="12">
        <v>7322845</v>
      </c>
      <c r="B4" s="12" t="str">
        <f>IFERROR(VLOOKUP(A4,SOLICITANTES!A:N,4,FALSE),"")</f>
        <v xml:space="preserve">ALVARO PRIETO </v>
      </c>
      <c r="C4" s="17">
        <v>15</v>
      </c>
      <c r="D4" s="17" t="b">
        <f>F4="MADRID"</f>
        <v>1</v>
      </c>
      <c r="E4" s="17" t="s">
        <v>37</v>
      </c>
      <c r="F4" s="53" t="s">
        <v>39</v>
      </c>
      <c r="G4" s="17" t="s">
        <v>37</v>
      </c>
      <c r="H4" s="17" t="s">
        <v>192</v>
      </c>
      <c r="I4" s="17">
        <v>2</v>
      </c>
      <c r="J4" s="17" t="s">
        <v>68</v>
      </c>
      <c r="K4" s="17" t="s">
        <v>68</v>
      </c>
      <c r="L4" s="17"/>
      <c r="M4" s="17" t="s">
        <v>37</v>
      </c>
      <c r="N4" s="17" t="s">
        <v>192</v>
      </c>
      <c r="O4" s="17">
        <v>2</v>
      </c>
      <c r="P4" s="17" t="s">
        <v>68</v>
      </c>
      <c r="Q4" s="17" t="s">
        <v>68</v>
      </c>
      <c r="R4" s="17"/>
      <c r="S4" s="17" t="s">
        <v>37</v>
      </c>
      <c r="T4" s="17" t="s">
        <v>192</v>
      </c>
      <c r="U4" s="17">
        <v>2</v>
      </c>
      <c r="V4" s="17" t="s">
        <v>68</v>
      </c>
      <c r="W4" s="17" t="s">
        <v>68</v>
      </c>
      <c r="X4" s="17"/>
      <c r="Y4" s="17" t="s">
        <v>37</v>
      </c>
      <c r="Z4" s="17">
        <v>1</v>
      </c>
      <c r="AA4" s="17" t="s">
        <v>68</v>
      </c>
      <c r="AB4" s="52"/>
      <c r="AC4" s="52"/>
      <c r="AD4" s="52"/>
      <c r="AE4" s="30">
        <f>SUM(AF4:AN4)+AB4+AC4</f>
        <v>795</v>
      </c>
      <c r="AF4" s="29">
        <f>COUNTIF($G4:$AD4,AF$3)*VLOOKUP(AF$3,CATALOGO!$A:$B,2,FALSE)</f>
        <v>440</v>
      </c>
      <c r="AG4" s="29">
        <f>COUNTIF($G4:$AD4,AG$3)*VLOOKUP(AG$3,CATALOGO!$A:$B,2,FALSE)</f>
        <v>0</v>
      </c>
      <c r="AH4" s="29">
        <f>COUNTIF($G4:$AD4,AH$3)*VLOOKUP(AH$3,CATALOGO!$A:$B,2,FALSE)</f>
        <v>0</v>
      </c>
      <c r="AI4" s="29">
        <f>COUNTIF($G4:$AD4,AI$3)*VLOOKUP(AI$3,CATALOGO!$A:$B,2,FALSE)</f>
        <v>0</v>
      </c>
      <c r="AJ4" s="29">
        <f>(+I4+O4+U4+Z4)*VLOOKUP("EXT",CATALOGO!$A:$B,2,FALSE)</f>
        <v>140</v>
      </c>
      <c r="AK4" s="29">
        <f>1*VLOOKUP("JA",CATALOGO!$A:$B,2,FALSE)</f>
        <v>110</v>
      </c>
      <c r="AL4" s="29">
        <f>COUNTIF($G4:$AD4,AL$3)*VLOOKUP("MANUTENCIÓN",CATALOGO!$A:$B,2,FALSE)</f>
        <v>105</v>
      </c>
      <c r="AM4" s="29">
        <f>COUNTIF($G4:$AD4,AM$3)*VLOOKUP("ALOJAMIENTO",CATALOGO!$A:$B,2,FALSE)</f>
        <v>0</v>
      </c>
      <c r="AN4" s="27">
        <f>AD4*VLOOKUP("DESPLAZAMIENTO",CATALOGO!$A:$B,2,FALSE)</f>
        <v>0</v>
      </c>
    </row>
    <row r="5" spans="1:40" x14ac:dyDescent="0.3">
      <c r="A5" s="12">
        <v>10761353</v>
      </c>
      <c r="B5" s="12" t="str">
        <f>IFERROR(VLOOKUP(A5,SOLICITANTES!A:N,4,FALSE),"")</f>
        <v xml:space="preserve">Juan Carlos García </v>
      </c>
      <c r="C5" s="17">
        <v>1</v>
      </c>
      <c r="D5" s="17" t="b">
        <f>F5="MADRID"</f>
        <v>1</v>
      </c>
      <c r="E5" s="17" t="s">
        <v>42</v>
      </c>
      <c r="F5" s="53" t="s">
        <v>39</v>
      </c>
      <c r="G5" s="17" t="s">
        <v>42</v>
      </c>
      <c r="H5" s="17" t="s">
        <v>192</v>
      </c>
      <c r="I5" s="17">
        <v>2</v>
      </c>
      <c r="J5" s="17" t="s">
        <v>68</v>
      </c>
      <c r="K5" s="17" t="s">
        <v>68</v>
      </c>
      <c r="L5" s="17"/>
      <c r="M5" s="17" t="s">
        <v>42</v>
      </c>
      <c r="N5" s="17" t="s">
        <v>192</v>
      </c>
      <c r="O5" s="17">
        <v>2</v>
      </c>
      <c r="P5" s="17" t="s">
        <v>68</v>
      </c>
      <c r="Q5" s="17" t="s">
        <v>68</v>
      </c>
      <c r="R5" s="17"/>
      <c r="S5" s="17" t="s">
        <v>42</v>
      </c>
      <c r="T5" s="17" t="s">
        <v>192</v>
      </c>
      <c r="U5" s="17">
        <v>2</v>
      </c>
      <c r="V5" s="17" t="s">
        <v>68</v>
      </c>
      <c r="W5" s="17" t="s">
        <v>68</v>
      </c>
      <c r="X5" s="17"/>
      <c r="Y5" s="17" t="s">
        <v>42</v>
      </c>
      <c r="Z5" s="17">
        <v>1</v>
      </c>
      <c r="AA5" s="17" t="s">
        <v>68</v>
      </c>
      <c r="AB5" s="52"/>
      <c r="AC5" s="52"/>
      <c r="AD5" s="52"/>
      <c r="AE5" s="30">
        <f t="shared" ref="AE5:AE32" si="3">SUM(AF5:AN5)+AB5+AC5</f>
        <v>695</v>
      </c>
      <c r="AF5" s="29">
        <f>COUNTIF($G5:$AD5,AF$3)*VLOOKUP(AF$3,CATALOGO!$A:$B,2,FALSE)</f>
        <v>0</v>
      </c>
      <c r="AG5" s="29">
        <f>COUNTIF($G5:$AD5,AG$3)*VLOOKUP(AG$3,CATALOGO!$A:$B,2,FALSE)</f>
        <v>340</v>
      </c>
      <c r="AH5" s="29">
        <f>COUNTIF($G5:$AD5,AH$3)*VLOOKUP(AH$3,CATALOGO!$A:$B,2,FALSE)</f>
        <v>0</v>
      </c>
      <c r="AI5" s="29">
        <f>COUNTIF($G5:$AD5,AI$3)*VLOOKUP(AI$3,CATALOGO!$A:$B,2,FALSE)</f>
        <v>0</v>
      </c>
      <c r="AJ5" s="29">
        <f>(+I5+O5+U5+Z5)*VLOOKUP("EXT",CATALOGO!$A:$B,2,FALSE)</f>
        <v>140</v>
      </c>
      <c r="AK5" s="29">
        <f>1*VLOOKUP("JA",CATALOGO!$A:$B,2,FALSE)</f>
        <v>110</v>
      </c>
      <c r="AL5" s="29">
        <f>COUNTIF($G5:$AD5,AL$3)*VLOOKUP("MANUTENCIÓN",CATALOGO!$A:$B,2,FALSE)</f>
        <v>105</v>
      </c>
      <c r="AM5" s="29">
        <f>COUNTIF($G5:$AD5,AM$3)*VLOOKUP("ALOJAMIENTO",CATALOGO!$A:$B,2,FALSE)</f>
        <v>0</v>
      </c>
      <c r="AN5" s="27">
        <f>AD5*VLOOKUP("DESPLAZAMIENTO",CATALOGO!$A:$B,2,FALSE)</f>
        <v>0</v>
      </c>
    </row>
    <row r="6" spans="1:40" x14ac:dyDescent="0.3">
      <c r="A6" s="47">
        <v>7351472</v>
      </c>
      <c r="B6" s="12" t="str">
        <f>IFERROR(VLOOKUP(A6,SOLICITANTES!A:N,4,FALSE),"")</f>
        <v xml:space="preserve">Juan María Becerril </v>
      </c>
      <c r="C6" s="17">
        <v>2</v>
      </c>
      <c r="D6" s="17" t="b">
        <f>F6="MADRID"</f>
        <v>1</v>
      </c>
      <c r="E6" s="17" t="s">
        <v>36</v>
      </c>
      <c r="F6" s="53" t="s">
        <v>39</v>
      </c>
      <c r="G6" s="17" t="s">
        <v>36</v>
      </c>
      <c r="H6" s="17" t="s">
        <v>192</v>
      </c>
      <c r="I6" s="17"/>
      <c r="J6" s="17" t="s">
        <v>68</v>
      </c>
      <c r="K6" s="17" t="s">
        <v>68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52"/>
      <c r="AC6" s="52"/>
      <c r="AD6" s="52"/>
      <c r="AE6" s="30">
        <f t="shared" si="3"/>
        <v>109</v>
      </c>
      <c r="AF6" s="29">
        <f>COUNTIF($G6:$AD6,AF$3)*VLOOKUP(AF$3,CATALOGO!$A:$B,2,FALSE)</f>
        <v>0</v>
      </c>
      <c r="AG6" s="29">
        <f>COUNTIF($G6:$AD6,AG$3)*VLOOKUP(AG$3,CATALOGO!$A:$B,2,FALSE)</f>
        <v>0</v>
      </c>
      <c r="AH6" s="29">
        <f>COUNTIF($G6:$AD6,AH$3)*VLOOKUP(AH$3,CATALOGO!$A:$B,2,FALSE)</f>
        <v>79</v>
      </c>
      <c r="AI6" s="29">
        <f>COUNTIF($G6:$AD6,AI$3)*VLOOKUP(AI$3,CATALOGO!$A:$B,2,FALSE)</f>
        <v>0</v>
      </c>
      <c r="AJ6" s="29">
        <f>(+I6+O6+U6+Z6)*VLOOKUP("EXT",CATALOGO!$A:$B,2,FALSE)</f>
        <v>0</v>
      </c>
      <c r="AK6" s="29"/>
      <c r="AL6" s="29">
        <f>COUNTIF($G6:$AD6,AL$3)*VLOOKUP("MANUTENCIÓN",CATALOGO!$A:$B,2,FALSE)</f>
        <v>30</v>
      </c>
      <c r="AM6" s="29">
        <f>COUNTIF($G6:$AD6,AM$3)*VLOOKUP("ALOJAMIENTO",CATALOGO!$A:$B,2,FALSE)</f>
        <v>0</v>
      </c>
      <c r="AN6" s="27">
        <f>AD6*VLOOKUP("DESPLAZAMIENTO",CATALOGO!$A:$B,2,FALSE)</f>
        <v>0</v>
      </c>
    </row>
    <row r="7" spans="1:40" x14ac:dyDescent="0.3">
      <c r="A7" s="12">
        <v>10185628</v>
      </c>
      <c r="B7" s="12" t="str">
        <f>IFERROR(VLOOKUP(A7,SOLICITANTES!A:N,4,FALSE),"")</f>
        <v xml:space="preserve">Enrique  Bilbao </v>
      </c>
      <c r="C7" s="17">
        <v>16</v>
      </c>
      <c r="D7" s="17" t="b">
        <f>F7="MADRID"</f>
        <v>1</v>
      </c>
      <c r="E7" s="17" t="s">
        <v>36</v>
      </c>
      <c r="F7" s="53" t="s">
        <v>39</v>
      </c>
      <c r="G7" s="17" t="s">
        <v>36</v>
      </c>
      <c r="H7" s="17" t="s">
        <v>192</v>
      </c>
      <c r="I7" s="17"/>
      <c r="J7" s="17" t="s">
        <v>68</v>
      </c>
      <c r="K7" s="17" t="s">
        <v>68</v>
      </c>
      <c r="L7" s="17"/>
      <c r="M7" s="17" t="s">
        <v>36</v>
      </c>
      <c r="N7" s="17" t="s">
        <v>192</v>
      </c>
      <c r="O7" s="17"/>
      <c r="P7" s="17" t="s">
        <v>68</v>
      </c>
      <c r="Q7" s="17" t="s">
        <v>68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52"/>
      <c r="AC7" s="52"/>
      <c r="AD7" s="52"/>
      <c r="AE7" s="30">
        <f t="shared" si="3"/>
        <v>218</v>
      </c>
      <c r="AF7" s="29">
        <f>COUNTIF($G7:$AD7,AF$3)*VLOOKUP(AF$3,CATALOGO!$A:$B,2,FALSE)</f>
        <v>0</v>
      </c>
      <c r="AG7" s="29">
        <f>COUNTIF($G7:$AD7,AG$3)*VLOOKUP(AG$3,CATALOGO!$A:$B,2,FALSE)</f>
        <v>0</v>
      </c>
      <c r="AH7" s="29">
        <f>COUNTIF($G7:$AD7,AH$3)*VLOOKUP(AH$3,CATALOGO!$A:$B,2,FALSE)</f>
        <v>158</v>
      </c>
      <c r="AI7" s="29">
        <f>COUNTIF($G7:$AD7,AI$3)*VLOOKUP(AI$3,CATALOGO!$A:$B,2,FALSE)</f>
        <v>0</v>
      </c>
      <c r="AJ7" s="29">
        <f>(+I7+O7+U7+Z7)*VLOOKUP("EXT",CATALOGO!$A:$B,2,FALSE)</f>
        <v>0</v>
      </c>
      <c r="AK7" s="29"/>
      <c r="AL7" s="29">
        <f>COUNTIF($G7:$AD7,AL$3)*VLOOKUP("MANUTENCIÓN",CATALOGO!$A:$B,2,FALSE)</f>
        <v>60</v>
      </c>
      <c r="AM7" s="29">
        <f>COUNTIF($G7:$AD7,AM$3)*VLOOKUP("ALOJAMIENTO",CATALOGO!$A:$B,2,FALSE)</f>
        <v>0</v>
      </c>
      <c r="AN7" s="27">
        <f>AD7*VLOOKUP("DESPLAZAMIENTO",CATALOGO!$A:$B,2,FALSE)</f>
        <v>0</v>
      </c>
    </row>
    <row r="8" spans="1:40" x14ac:dyDescent="0.3">
      <c r="A8" s="12">
        <v>10766931</v>
      </c>
      <c r="B8" s="12" t="str">
        <f>IFERROR(VLOOKUP(A8,SOLICITANTES!A:N,4,FALSE),"")</f>
        <v xml:space="preserve">Pilar Begoña Serrano </v>
      </c>
      <c r="C8" s="17">
        <v>20</v>
      </c>
      <c r="D8" s="17" t="b">
        <f>F8="MADRID"</f>
        <v>1</v>
      </c>
      <c r="E8" s="17" t="s">
        <v>36</v>
      </c>
      <c r="F8" s="53" t="s">
        <v>39</v>
      </c>
      <c r="G8" s="17" t="s">
        <v>36</v>
      </c>
      <c r="H8" s="17" t="s">
        <v>192</v>
      </c>
      <c r="I8" s="17"/>
      <c r="J8" s="17" t="s">
        <v>68</v>
      </c>
      <c r="K8" s="17" t="s">
        <v>68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52"/>
      <c r="AC8" s="52"/>
      <c r="AD8" s="52"/>
      <c r="AE8" s="30">
        <f t="shared" si="3"/>
        <v>109</v>
      </c>
      <c r="AF8" s="29">
        <f>COUNTIF($G8:$AD8,AF$3)*VLOOKUP(AF$3,CATALOGO!$A:$B,2,FALSE)</f>
        <v>0</v>
      </c>
      <c r="AG8" s="29">
        <f>COUNTIF($G8:$AD8,AG$3)*VLOOKUP(AG$3,CATALOGO!$A:$B,2,FALSE)</f>
        <v>0</v>
      </c>
      <c r="AH8" s="29">
        <f>COUNTIF($G8:$AD8,AH$3)*VLOOKUP(AH$3,CATALOGO!$A:$B,2,FALSE)</f>
        <v>79</v>
      </c>
      <c r="AI8" s="29">
        <f>COUNTIF($G8:$AD8,AI$3)*VLOOKUP(AI$3,CATALOGO!$A:$B,2,FALSE)</f>
        <v>0</v>
      </c>
      <c r="AJ8" s="29">
        <f>(+I8+O8+U8+Z8)*VLOOKUP("EXT",CATALOGO!$A:$B,2,FALSE)</f>
        <v>0</v>
      </c>
      <c r="AK8" s="29"/>
      <c r="AL8" s="29">
        <f>COUNTIF($G8:$AD8,AL$3)*VLOOKUP("MANUTENCIÓN",CATALOGO!$A:$B,2,FALSE)</f>
        <v>30</v>
      </c>
      <c r="AM8" s="29">
        <f>COUNTIF($G8:$AD8,AM$3)*VLOOKUP("ALOJAMIENTO",CATALOGO!$A:$B,2,FALSE)</f>
        <v>0</v>
      </c>
      <c r="AN8" s="27">
        <f>AD8*VLOOKUP("DESPLAZAMIENTO",CATALOGO!$A:$B,2,FALSE)</f>
        <v>0</v>
      </c>
    </row>
    <row r="9" spans="1:40" x14ac:dyDescent="0.3">
      <c r="A9" s="12">
        <v>10765173</v>
      </c>
      <c r="B9" s="12" t="str">
        <f>IFERROR(VLOOKUP(A9,SOLICITANTES!A:N,4,FALSE),"")</f>
        <v xml:space="preserve">Eloy Jesús  Sánchez-Cid </v>
      </c>
      <c r="C9" s="17">
        <v>21</v>
      </c>
      <c r="D9" s="17" t="b">
        <f>F9="MADRID"</f>
        <v>1</v>
      </c>
      <c r="E9" s="17" t="s">
        <v>36</v>
      </c>
      <c r="F9" s="53" t="s">
        <v>39</v>
      </c>
      <c r="G9" s="17" t="s">
        <v>36</v>
      </c>
      <c r="H9" s="17" t="s">
        <v>192</v>
      </c>
      <c r="I9" s="17">
        <v>2</v>
      </c>
      <c r="J9" s="17" t="s">
        <v>68</v>
      </c>
      <c r="K9" s="17" t="s">
        <v>68</v>
      </c>
      <c r="L9" s="17"/>
      <c r="M9" s="17" t="s">
        <v>36</v>
      </c>
      <c r="N9" s="17" t="s">
        <v>192</v>
      </c>
      <c r="O9" s="17">
        <v>2</v>
      </c>
      <c r="P9" s="17" t="s">
        <v>68</v>
      </c>
      <c r="Q9" s="17" t="s">
        <v>68</v>
      </c>
      <c r="R9" s="17"/>
      <c r="S9" s="17" t="s">
        <v>36</v>
      </c>
      <c r="T9" s="17" t="s">
        <v>192</v>
      </c>
      <c r="U9" s="17">
        <v>2</v>
      </c>
      <c r="V9" s="17" t="s">
        <v>68</v>
      </c>
      <c r="W9" s="17" t="s">
        <v>68</v>
      </c>
      <c r="X9" s="17"/>
      <c r="Y9" s="17" t="s">
        <v>36</v>
      </c>
      <c r="Z9" s="17">
        <v>1</v>
      </c>
      <c r="AA9" s="17" t="s">
        <v>68</v>
      </c>
      <c r="AB9" s="52"/>
      <c r="AC9" s="52"/>
      <c r="AD9" s="52"/>
      <c r="AE9" s="30">
        <f t="shared" si="3"/>
        <v>561</v>
      </c>
      <c r="AF9" s="29">
        <f>COUNTIF($G9:$AD9,AF$3)*VLOOKUP(AF$3,CATALOGO!$A:$B,2,FALSE)</f>
        <v>0</v>
      </c>
      <c r="AG9" s="29">
        <f>COUNTIF($G9:$AD9,AG$3)*VLOOKUP(AG$3,CATALOGO!$A:$B,2,FALSE)</f>
        <v>0</v>
      </c>
      <c r="AH9" s="29">
        <f>COUNTIF($G9:$AD9,AH$3)*VLOOKUP(AH$3,CATALOGO!$A:$B,2,FALSE)</f>
        <v>316</v>
      </c>
      <c r="AI9" s="29">
        <f>COUNTIF($G9:$AD9,AI$3)*VLOOKUP(AI$3,CATALOGO!$A:$B,2,FALSE)</f>
        <v>0</v>
      </c>
      <c r="AJ9" s="29">
        <f>(+I9+O9+U9+Z9)*VLOOKUP("EXT",CATALOGO!$A:$B,2,FALSE)</f>
        <v>140</v>
      </c>
      <c r="AK9" s="29"/>
      <c r="AL9" s="29">
        <f>COUNTIF($G9:$AD9,AL$3)*VLOOKUP("MANUTENCIÓN",CATALOGO!$A:$B,2,FALSE)</f>
        <v>105</v>
      </c>
      <c r="AM9" s="29">
        <f>COUNTIF($G9:$AD9,AM$3)*VLOOKUP("ALOJAMIENTO",CATALOGO!$A:$B,2,FALSE)</f>
        <v>0</v>
      </c>
      <c r="AN9" s="27">
        <f>AD9*VLOOKUP("DESPLAZAMIENTO",CATALOGO!$A:$B,2,FALSE)</f>
        <v>0</v>
      </c>
    </row>
    <row r="10" spans="1:40" x14ac:dyDescent="0.3">
      <c r="A10" s="12">
        <v>10205608</v>
      </c>
      <c r="B10" s="12" t="str">
        <f>IFERROR(VLOOKUP(A10,SOLICITANTES!A:N,4,FALSE),"")</f>
        <v xml:space="preserve">Ana Belen de Mingo </v>
      </c>
      <c r="C10" s="17">
        <v>22</v>
      </c>
      <c r="D10" s="17" t="b">
        <f>F10="MADRID"</f>
        <v>1</v>
      </c>
      <c r="E10" s="17" t="s">
        <v>36</v>
      </c>
      <c r="F10" s="53" t="s">
        <v>39</v>
      </c>
      <c r="G10" s="17" t="s">
        <v>36</v>
      </c>
      <c r="H10" s="17" t="s">
        <v>192</v>
      </c>
      <c r="I10" s="17"/>
      <c r="J10" s="17" t="s">
        <v>68</v>
      </c>
      <c r="K10" s="17" t="s">
        <v>68</v>
      </c>
      <c r="L10" s="17"/>
      <c r="M10" s="17" t="s">
        <v>36</v>
      </c>
      <c r="N10" s="17" t="s">
        <v>192</v>
      </c>
      <c r="O10" s="17"/>
      <c r="P10" s="17" t="s">
        <v>68</v>
      </c>
      <c r="Q10" s="17" t="s">
        <v>68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52"/>
      <c r="AC10" s="52"/>
      <c r="AD10" s="52"/>
      <c r="AE10" s="30">
        <f t="shared" si="3"/>
        <v>218</v>
      </c>
      <c r="AF10" s="29">
        <f>COUNTIF($G10:$AD10,AF$3)*VLOOKUP(AF$3,CATALOGO!$A:$B,2,FALSE)</f>
        <v>0</v>
      </c>
      <c r="AG10" s="29">
        <f>COUNTIF($G10:$AD10,AG$3)*VLOOKUP(AG$3,CATALOGO!$A:$B,2,FALSE)</f>
        <v>0</v>
      </c>
      <c r="AH10" s="29">
        <f>COUNTIF($G10:$AD10,AH$3)*VLOOKUP(AH$3,CATALOGO!$A:$B,2,FALSE)</f>
        <v>158</v>
      </c>
      <c r="AI10" s="29">
        <f>COUNTIF($G10:$AD10,AI$3)*VLOOKUP(AI$3,CATALOGO!$A:$B,2,FALSE)</f>
        <v>0</v>
      </c>
      <c r="AJ10" s="29">
        <f>(+I10+O10+U10+Z10)*VLOOKUP("EXT",CATALOGO!$A:$B,2,FALSE)</f>
        <v>0</v>
      </c>
      <c r="AK10" s="29"/>
      <c r="AL10" s="29">
        <f>COUNTIF($G10:$AD10,AL$3)*VLOOKUP("MANUTENCIÓN",CATALOGO!$A:$B,2,FALSE)</f>
        <v>60</v>
      </c>
      <c r="AM10" s="29">
        <f>COUNTIF($G10:$AD10,AM$3)*VLOOKUP("ALOJAMIENTO",CATALOGO!$A:$B,2,FALSE)</f>
        <v>0</v>
      </c>
      <c r="AN10" s="27">
        <f>AD10*VLOOKUP("DESPLAZAMIENTO",CATALOGO!$A:$B,2,FALSE)</f>
        <v>0</v>
      </c>
    </row>
    <row r="11" spans="1:40" x14ac:dyDescent="0.3">
      <c r="A11" s="12">
        <v>10763565</v>
      </c>
      <c r="B11" s="12" t="str">
        <f>IFERROR(VLOOKUP(A11,SOLICITANTES!A:N,4,FALSE),"")</f>
        <v xml:space="preserve">Angeles Palomo </v>
      </c>
      <c r="C11" s="17">
        <v>6</v>
      </c>
      <c r="D11" s="17" t="b">
        <f>F11="MADRID"</f>
        <v>1</v>
      </c>
      <c r="E11" s="17" t="s">
        <v>64</v>
      </c>
      <c r="F11" s="53" t="s">
        <v>39</v>
      </c>
      <c r="G11" s="17" t="s">
        <v>36</v>
      </c>
      <c r="H11" s="17" t="s">
        <v>192</v>
      </c>
      <c r="I11" s="17"/>
      <c r="J11" s="17" t="s">
        <v>68</v>
      </c>
      <c r="K11" s="17" t="s">
        <v>68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52"/>
      <c r="AC11" s="52"/>
      <c r="AD11" s="52"/>
      <c r="AE11" s="30">
        <f t="shared" si="3"/>
        <v>109</v>
      </c>
      <c r="AF11" s="29">
        <f>COUNTIF($G11:$AD11,AF$3)*VLOOKUP(AF$3,CATALOGO!$A:$B,2,FALSE)</f>
        <v>0</v>
      </c>
      <c r="AG11" s="29">
        <f>COUNTIF($G11:$AD11,AG$3)*VLOOKUP(AG$3,CATALOGO!$A:$B,2,FALSE)</f>
        <v>0</v>
      </c>
      <c r="AH11" s="29">
        <f>COUNTIF($G11:$AD11,AH$3)*VLOOKUP(AH$3,CATALOGO!$A:$B,2,FALSE)</f>
        <v>79</v>
      </c>
      <c r="AI11" s="29">
        <f>COUNTIF($G11:$AD11,AI$3)*VLOOKUP(AI$3,CATALOGO!$A:$B,2,FALSE)</f>
        <v>0</v>
      </c>
      <c r="AJ11" s="29">
        <f>(+I11+O11+U11+Z11)*VLOOKUP("EXT",CATALOGO!$A:$B,2,FALSE)</f>
        <v>0</v>
      </c>
      <c r="AK11" s="29"/>
      <c r="AL11" s="29">
        <f>COUNTIF($G11:$AD11,AL$3)*VLOOKUP("MANUTENCIÓN",CATALOGO!$A:$B,2,FALSE)</f>
        <v>30</v>
      </c>
      <c r="AM11" s="29">
        <f>COUNTIF($G11:$AD11,AM$3)*VLOOKUP("ALOJAMIENTO",CATALOGO!$A:$B,2,FALSE)</f>
        <v>0</v>
      </c>
      <c r="AN11" s="27">
        <f>AD11*VLOOKUP("DESPLAZAMIENTO",CATALOGO!$A:$B,2,FALSE)</f>
        <v>0</v>
      </c>
    </row>
    <row r="12" spans="1:40" x14ac:dyDescent="0.3">
      <c r="A12" s="12">
        <v>10675421</v>
      </c>
      <c r="B12" s="12" t="str">
        <f>IFERROR(VLOOKUP(A12,SOLICITANTES!A:N,4,FALSE),"")</f>
        <v xml:space="preserve">Belén Ortiz </v>
      </c>
      <c r="C12" s="17">
        <v>17</v>
      </c>
      <c r="D12" s="17" t="b">
        <f>F12="MADRID"</f>
        <v>1</v>
      </c>
      <c r="E12" s="17" t="s">
        <v>64</v>
      </c>
      <c r="F12" s="53" t="s">
        <v>39</v>
      </c>
      <c r="G12" s="17" t="s">
        <v>55</v>
      </c>
      <c r="H12" s="17"/>
      <c r="I12" s="17"/>
      <c r="J12" s="17" t="s">
        <v>68</v>
      </c>
      <c r="K12" s="17"/>
      <c r="L12" s="17"/>
      <c r="M12" s="17" t="s">
        <v>55</v>
      </c>
      <c r="N12" s="17"/>
      <c r="O12" s="17"/>
      <c r="P12" s="17" t="s">
        <v>68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52"/>
      <c r="AC12" s="52"/>
      <c r="AD12" s="52"/>
      <c r="AE12" s="30">
        <f t="shared" si="3"/>
        <v>100</v>
      </c>
      <c r="AF12" s="29">
        <f>COUNTIF($G12:$AD12,AF$3)*VLOOKUP(AF$3,CATALOGO!$A:$B,2,FALSE)</f>
        <v>0</v>
      </c>
      <c r="AG12" s="29">
        <f>COUNTIF($G12:$AD12,AG$3)*VLOOKUP(AG$3,CATALOGO!$A:$B,2,FALSE)</f>
        <v>0</v>
      </c>
      <c r="AH12" s="29">
        <f>COUNTIF($G12:$AD12,AH$3)*VLOOKUP(AH$3,CATALOGO!$A:$B,2,FALSE)</f>
        <v>0</v>
      </c>
      <c r="AI12" s="29">
        <f>COUNTIF($G12:$AD12,AI$3)*VLOOKUP(AI$3,CATALOGO!$A:$B,2,FALSE)</f>
        <v>70</v>
      </c>
      <c r="AJ12" s="29">
        <f>(+I12+O12+U12+Z12)*VLOOKUP("EXT",CATALOGO!$A:$B,2,FALSE)</f>
        <v>0</v>
      </c>
      <c r="AK12" s="29"/>
      <c r="AL12" s="29">
        <f>COUNTIF($G12:$AD12,AL$3)*VLOOKUP("MANUTENCIÓN",CATALOGO!$A:$B,2,FALSE)</f>
        <v>30</v>
      </c>
      <c r="AM12" s="29">
        <f>COUNTIF($G12:$AD12,AM$3)*VLOOKUP("ALOJAMIENTO",CATALOGO!$A:$B,2,FALSE)</f>
        <v>0</v>
      </c>
      <c r="AN12" s="27">
        <f>AD12*VLOOKUP("DESPLAZAMIENTO",CATALOGO!$A:$B,2,FALSE)</f>
        <v>0</v>
      </c>
    </row>
    <row r="13" spans="1:40" x14ac:dyDescent="0.3">
      <c r="A13" s="12">
        <v>10764290</v>
      </c>
      <c r="B13" s="12" t="str">
        <f>IFERROR(VLOOKUP(A13,SOLICITANTES!A:N,4,FALSE),"")</f>
        <v xml:space="preserve">MARÍA DURÁN </v>
      </c>
      <c r="C13" s="17">
        <v>11</v>
      </c>
      <c r="D13" s="17" t="b">
        <f>F13="MADRID"</f>
        <v>1</v>
      </c>
      <c r="E13" s="17" t="s">
        <v>199</v>
      </c>
      <c r="F13" s="53" t="s">
        <v>39</v>
      </c>
      <c r="G13" s="17" t="s">
        <v>79</v>
      </c>
      <c r="H13" s="17"/>
      <c r="I13" s="17"/>
      <c r="J13" s="17" t="s">
        <v>68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52"/>
      <c r="AC13" s="52"/>
      <c r="AD13" s="52"/>
      <c r="AE13" s="30">
        <f t="shared" si="3"/>
        <v>15</v>
      </c>
      <c r="AF13" s="29">
        <f>COUNTIF($G13:$AD13,AF$3)*VLOOKUP(AF$3,CATALOGO!$A:$B,2,FALSE)</f>
        <v>0</v>
      </c>
      <c r="AG13" s="29">
        <f>COUNTIF($G13:$AD13,AG$3)*VLOOKUP(AG$3,CATALOGO!$A:$B,2,FALSE)</f>
        <v>0</v>
      </c>
      <c r="AH13" s="29">
        <f>COUNTIF($G13:$AD13,AH$3)*VLOOKUP(AH$3,CATALOGO!$A:$B,2,FALSE)</f>
        <v>0</v>
      </c>
      <c r="AI13" s="29">
        <f>COUNTIF($G13:$AD13,AI$3)*VLOOKUP(AI$3,CATALOGO!$A:$B,2,FALSE)</f>
        <v>0</v>
      </c>
      <c r="AJ13" s="29">
        <f>(+I13+O13+U13+Z13)*VLOOKUP("EXT",CATALOGO!$A:$B,2,FALSE)</f>
        <v>0</v>
      </c>
      <c r="AK13" s="29"/>
      <c r="AL13" s="29">
        <f>COUNTIF($G13:$AD13,AL$3)*VLOOKUP("MANUTENCIÓN",CATALOGO!$A:$B,2,FALSE)</f>
        <v>15</v>
      </c>
      <c r="AM13" s="29">
        <f>COUNTIF($G13:$AD13,AM$3)*VLOOKUP("ALOJAMIENTO",CATALOGO!$A:$B,2,FALSE)</f>
        <v>0</v>
      </c>
      <c r="AN13" s="27">
        <f>AD13*VLOOKUP("DESPLAZAMIENTO",CATALOGO!$A:$B,2,FALSE)</f>
        <v>0</v>
      </c>
    </row>
    <row r="14" spans="1:40" x14ac:dyDescent="0.3">
      <c r="A14" s="12">
        <v>9579478</v>
      </c>
      <c r="B14" s="12" t="str">
        <f>IFERROR(VLOOKUP(A14,SOLICITANTES!A:N,4,FALSE),"")</f>
        <v xml:space="preserve">JUAN LUIS  MARINAS </v>
      </c>
      <c r="C14" s="17">
        <v>7</v>
      </c>
      <c r="D14" s="17" t="b">
        <f>F14="MADRID"</f>
        <v>0</v>
      </c>
      <c r="E14" s="17" t="s">
        <v>36</v>
      </c>
      <c r="F14" s="53" t="s">
        <v>40</v>
      </c>
      <c r="G14" s="17" t="s">
        <v>36</v>
      </c>
      <c r="H14" s="17" t="s">
        <v>192</v>
      </c>
      <c r="I14" s="17"/>
      <c r="J14" s="17" t="s">
        <v>68</v>
      </c>
      <c r="K14" s="17" t="s">
        <v>68</v>
      </c>
      <c r="L14" s="17" t="s">
        <v>70</v>
      </c>
      <c r="M14" s="17" t="s">
        <v>36</v>
      </c>
      <c r="N14" s="17" t="s">
        <v>192</v>
      </c>
      <c r="O14" s="17"/>
      <c r="P14" s="17" t="s">
        <v>68</v>
      </c>
      <c r="Q14" s="17" t="s">
        <v>68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52"/>
      <c r="AC14" s="52">
        <v>100</v>
      </c>
      <c r="AD14" s="52"/>
      <c r="AE14" s="30">
        <f t="shared" si="3"/>
        <v>383</v>
      </c>
      <c r="AF14" s="29">
        <f>COUNTIF($G14:$AD14,AF$3)*VLOOKUP(AF$3,CATALOGO!$A:$B,2,FALSE)</f>
        <v>0</v>
      </c>
      <c r="AG14" s="29">
        <f>COUNTIF($G14:$AD14,AG$3)*VLOOKUP(AG$3,CATALOGO!$A:$B,2,FALSE)</f>
        <v>0</v>
      </c>
      <c r="AH14" s="29">
        <f>COUNTIF($G14:$AD14,AH$3)*VLOOKUP(AH$3,CATALOGO!$A:$B,2,FALSE)</f>
        <v>158</v>
      </c>
      <c r="AI14" s="29">
        <f>COUNTIF($G14:$AD14,AI$3)*VLOOKUP(AI$3,CATALOGO!$A:$B,2,FALSE)</f>
        <v>0</v>
      </c>
      <c r="AJ14" s="29">
        <f>(+I14+O14+U14+Z14)*VLOOKUP("EXT",CATALOGO!$A:$B,2,FALSE)</f>
        <v>0</v>
      </c>
      <c r="AK14" s="29"/>
      <c r="AL14" s="29">
        <f>COUNTIF($G14:$AD14,AL$3)*VLOOKUP("MANUTENCIÓN",CATALOGO!$A:$B,2,FALSE)</f>
        <v>60</v>
      </c>
      <c r="AM14" s="29">
        <f>COUNTIF($G14:$AD14,AM$3)*VLOOKUP("ALOJAMIENTO",CATALOGO!$A:$B,2,FALSE)</f>
        <v>65</v>
      </c>
      <c r="AN14" s="27">
        <f>AD14*VLOOKUP("DESPLAZAMIENTO",CATALOGO!$A:$B,2,FALSE)</f>
        <v>0</v>
      </c>
    </row>
    <row r="15" spans="1:40" x14ac:dyDescent="0.3">
      <c r="A15" s="47">
        <v>16952261</v>
      </c>
      <c r="B15" s="12" t="str">
        <f>IFERROR(VLOOKUP(A15,SOLICITANTES!A:N,4,FALSE),"")</f>
        <v xml:space="preserve">Patricia García </v>
      </c>
      <c r="C15" s="17">
        <v>3</v>
      </c>
      <c r="D15" s="17" t="b">
        <f>F15="MADRID"</f>
        <v>0</v>
      </c>
      <c r="E15" s="17" t="s">
        <v>64</v>
      </c>
      <c r="F15" s="53" t="s">
        <v>38</v>
      </c>
      <c r="G15" s="17"/>
      <c r="H15" s="17" t="s">
        <v>55</v>
      </c>
      <c r="I15" s="17"/>
      <c r="J15" s="17"/>
      <c r="K15" s="17" t="s">
        <v>68</v>
      </c>
      <c r="L15" s="17"/>
      <c r="M15" s="17"/>
      <c r="N15" s="17"/>
      <c r="O15" s="17"/>
      <c r="P15" s="17"/>
      <c r="Q15" s="17"/>
      <c r="R15" s="17"/>
      <c r="S15" s="17" t="s">
        <v>36</v>
      </c>
      <c r="T15" s="17" t="s">
        <v>192</v>
      </c>
      <c r="U15" s="17">
        <v>2</v>
      </c>
      <c r="V15" s="17" t="s">
        <v>68</v>
      </c>
      <c r="W15" s="17" t="s">
        <v>68</v>
      </c>
      <c r="X15" s="17" t="s">
        <v>70</v>
      </c>
      <c r="Y15" s="17" t="s">
        <v>36</v>
      </c>
      <c r="Z15" s="17">
        <v>1</v>
      </c>
      <c r="AA15" s="17" t="s">
        <v>68</v>
      </c>
      <c r="AB15" s="52"/>
      <c r="AC15" s="52"/>
      <c r="AD15" s="52"/>
      <c r="AE15" s="30">
        <f t="shared" si="3"/>
        <v>378</v>
      </c>
      <c r="AF15" s="29">
        <f>COUNTIF($G15:$AD15,AF$3)*VLOOKUP(AF$3,CATALOGO!$A:$B,2,FALSE)</f>
        <v>0</v>
      </c>
      <c r="AG15" s="29">
        <f>COUNTIF($G15:$AD15,AG$3)*VLOOKUP(AG$3,CATALOGO!$A:$B,2,FALSE)</f>
        <v>0</v>
      </c>
      <c r="AH15" s="29">
        <f>COUNTIF($G15:$AD15,AH$3)*VLOOKUP(AH$3,CATALOGO!$A:$B,2,FALSE)</f>
        <v>158</v>
      </c>
      <c r="AI15" s="29">
        <f>COUNTIF($G15:$AD15,AI$3)*VLOOKUP(AI$3,CATALOGO!$A:$B,2,FALSE)</f>
        <v>35</v>
      </c>
      <c r="AJ15" s="29">
        <f>(+I15+O15+U15+Z15)*VLOOKUP("EXT",CATALOGO!$A:$B,2,FALSE)</f>
        <v>60</v>
      </c>
      <c r="AK15" s="29"/>
      <c r="AL15" s="29">
        <f>COUNTIF($G15:$AD15,AL$3)*VLOOKUP("MANUTENCIÓN",CATALOGO!$A:$B,2,FALSE)</f>
        <v>60</v>
      </c>
      <c r="AM15" s="29">
        <f>COUNTIF($G15:$AD15,AM$3)*VLOOKUP("ALOJAMIENTO",CATALOGO!$A:$B,2,FALSE)</f>
        <v>65</v>
      </c>
      <c r="AN15" s="27">
        <f>AD15*VLOOKUP("DESPLAZAMIENTO",CATALOGO!$A:$B,2,FALSE)</f>
        <v>0</v>
      </c>
    </row>
    <row r="16" spans="1:40" x14ac:dyDescent="0.3">
      <c r="A16" s="12">
        <v>16951726</v>
      </c>
      <c r="B16" s="12" t="str">
        <f>IFERROR(VLOOKUP(A16,SOLICITANTES!A:N,4,FALSE),"")</f>
        <v xml:space="preserve">Celia Millon </v>
      </c>
      <c r="C16" s="17">
        <v>5</v>
      </c>
      <c r="D16" s="17" t="b">
        <f>F16="MADRID"</f>
        <v>0</v>
      </c>
      <c r="E16" s="17" t="s">
        <v>64</v>
      </c>
      <c r="F16" s="53" t="s">
        <v>38</v>
      </c>
      <c r="G16" s="17" t="s">
        <v>36</v>
      </c>
      <c r="H16" s="17" t="s">
        <v>192</v>
      </c>
      <c r="I16" s="17"/>
      <c r="J16" s="17" t="s">
        <v>68</v>
      </c>
      <c r="K16" s="17" t="s">
        <v>68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52"/>
      <c r="AC16" s="52"/>
      <c r="AD16" s="52"/>
      <c r="AE16" s="30">
        <f t="shared" si="3"/>
        <v>109</v>
      </c>
      <c r="AF16" s="29">
        <f>COUNTIF($G16:$AD16,AF$3)*VLOOKUP(AF$3,CATALOGO!$A:$B,2,FALSE)</f>
        <v>0</v>
      </c>
      <c r="AG16" s="29">
        <f>COUNTIF($G16:$AD16,AG$3)*VLOOKUP(AG$3,CATALOGO!$A:$B,2,FALSE)</f>
        <v>0</v>
      </c>
      <c r="AH16" s="29">
        <f>COUNTIF($G16:$AD16,AH$3)*VLOOKUP(AH$3,CATALOGO!$A:$B,2,FALSE)</f>
        <v>79</v>
      </c>
      <c r="AI16" s="29">
        <f>COUNTIF($G16:$AD16,AI$3)*VLOOKUP(AI$3,CATALOGO!$A:$B,2,FALSE)</f>
        <v>0</v>
      </c>
      <c r="AJ16" s="29">
        <f>(+I16+O16+U16+Z16)*VLOOKUP("EXT",CATALOGO!$A:$B,2,FALSE)</f>
        <v>0</v>
      </c>
      <c r="AK16" s="29"/>
      <c r="AL16" s="29">
        <f>COUNTIF($G16:$AD16,AL$3)*VLOOKUP("MANUTENCIÓN",CATALOGO!$A:$B,2,FALSE)</f>
        <v>30</v>
      </c>
      <c r="AM16" s="29">
        <f>COUNTIF($G16:$AD16,AM$3)*VLOOKUP("ALOJAMIENTO",CATALOGO!$A:$B,2,FALSE)</f>
        <v>0</v>
      </c>
      <c r="AN16" s="27">
        <f>AD16*VLOOKUP("DESPLAZAMIENTO",CATALOGO!$A:$B,2,FALSE)</f>
        <v>0</v>
      </c>
    </row>
    <row r="17" spans="1:40" x14ac:dyDescent="0.3">
      <c r="A17" s="12">
        <v>16937065</v>
      </c>
      <c r="B17" s="12" t="str">
        <f>IFERROR(VLOOKUP(A17,SOLICITANTES!A:N,4,FALSE),"")</f>
        <v xml:space="preserve">Domini Elias Pereira </v>
      </c>
      <c r="C17" s="17">
        <v>9</v>
      </c>
      <c r="D17" s="17" t="b">
        <f>F17="MADRID"</f>
        <v>0</v>
      </c>
      <c r="E17" s="17" t="s">
        <v>64</v>
      </c>
      <c r="F17" s="53" t="s">
        <v>40</v>
      </c>
      <c r="G17" s="17" t="s">
        <v>55</v>
      </c>
      <c r="H17" s="17"/>
      <c r="I17" s="17"/>
      <c r="J17" s="17" t="s">
        <v>68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52"/>
      <c r="AC17" s="52"/>
      <c r="AD17" s="52"/>
      <c r="AE17" s="30">
        <f t="shared" si="3"/>
        <v>50</v>
      </c>
      <c r="AF17" s="29">
        <f>COUNTIF($G17:$AD17,AF$3)*VLOOKUP(AF$3,CATALOGO!$A:$B,2,FALSE)</f>
        <v>0</v>
      </c>
      <c r="AG17" s="29">
        <f>COUNTIF($G17:$AD17,AG$3)*VLOOKUP(AG$3,CATALOGO!$A:$B,2,FALSE)</f>
        <v>0</v>
      </c>
      <c r="AH17" s="29">
        <f>COUNTIF($G17:$AD17,AH$3)*VLOOKUP(AH$3,CATALOGO!$A:$B,2,FALSE)</f>
        <v>0</v>
      </c>
      <c r="AI17" s="29">
        <f>COUNTIF($G17:$AD17,AI$3)*VLOOKUP(AI$3,CATALOGO!$A:$B,2,FALSE)</f>
        <v>35</v>
      </c>
      <c r="AJ17" s="29">
        <f>(+I17+O17+U17+Z17)*VLOOKUP("EXT",CATALOGO!$A:$B,2,FALSE)</f>
        <v>0</v>
      </c>
      <c r="AK17" s="29"/>
      <c r="AL17" s="29">
        <f>COUNTIF($G17:$AD17,AL$3)*VLOOKUP("MANUTENCIÓN",CATALOGO!$A:$B,2,FALSE)</f>
        <v>15</v>
      </c>
      <c r="AM17" s="29">
        <f>COUNTIF($G17:$AD17,AM$3)*VLOOKUP("ALOJAMIENTO",CATALOGO!$A:$B,2,FALSE)</f>
        <v>0</v>
      </c>
      <c r="AN17" s="27">
        <f>AD17*VLOOKUP("DESPLAZAMIENTO",CATALOGO!$A:$B,2,FALSE)</f>
        <v>0</v>
      </c>
    </row>
    <row r="18" spans="1:40" x14ac:dyDescent="0.3">
      <c r="A18" s="12">
        <v>16951669</v>
      </c>
      <c r="B18" s="12" t="str">
        <f>IFERROR(VLOOKUP(A18,SOLICITANTES!A:N,4,FALSE),"")</f>
        <v xml:space="preserve">Pedro Luis Sánchez </v>
      </c>
      <c r="C18" s="17">
        <v>13</v>
      </c>
      <c r="D18" s="17" t="b">
        <f>F18="MADRID"</f>
        <v>0</v>
      </c>
      <c r="E18" s="17" t="s">
        <v>64</v>
      </c>
      <c r="F18" s="53" t="s">
        <v>38</v>
      </c>
      <c r="G18" s="17" t="s">
        <v>55</v>
      </c>
      <c r="H18" s="17"/>
      <c r="I18" s="17"/>
      <c r="J18" s="17" t="s">
        <v>68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52"/>
      <c r="AC18" s="52"/>
      <c r="AD18" s="52"/>
      <c r="AE18" s="30">
        <f t="shared" si="3"/>
        <v>50</v>
      </c>
      <c r="AF18" s="29">
        <f>COUNTIF($G18:$AD18,AF$3)*VLOOKUP(AF$3,CATALOGO!$A:$B,2,FALSE)</f>
        <v>0</v>
      </c>
      <c r="AG18" s="29">
        <f>COUNTIF($G18:$AD18,AG$3)*VLOOKUP(AG$3,CATALOGO!$A:$B,2,FALSE)</f>
        <v>0</v>
      </c>
      <c r="AH18" s="29">
        <f>COUNTIF($G18:$AD18,AH$3)*VLOOKUP(AH$3,CATALOGO!$A:$B,2,FALSE)</f>
        <v>0</v>
      </c>
      <c r="AI18" s="29">
        <f>COUNTIF($G18:$AD18,AI$3)*VLOOKUP(AI$3,CATALOGO!$A:$B,2,FALSE)</f>
        <v>35</v>
      </c>
      <c r="AJ18" s="29">
        <f>(+I18+O18+U18+Z18)*VLOOKUP("EXT",CATALOGO!$A:$B,2,FALSE)</f>
        <v>0</v>
      </c>
      <c r="AK18" s="29"/>
      <c r="AL18" s="29">
        <f>COUNTIF($G18:$AD18,AL$3)*VLOOKUP("MANUTENCIÓN",CATALOGO!$A:$B,2,FALSE)</f>
        <v>15</v>
      </c>
      <c r="AM18" s="29">
        <f>COUNTIF($G18:$AD18,AM$3)*VLOOKUP("ALOJAMIENTO",CATALOGO!$A:$B,2,FALSE)</f>
        <v>0</v>
      </c>
      <c r="AN18" s="27">
        <f>AD18*VLOOKUP("DESPLAZAMIENTO",CATALOGO!$A:$B,2,FALSE)</f>
        <v>0</v>
      </c>
    </row>
    <row r="19" spans="1:40" x14ac:dyDescent="0.3">
      <c r="A19" s="12">
        <v>16952378</v>
      </c>
      <c r="B19" s="12" t="str">
        <f>IFERROR(VLOOKUP(A19,SOLICITANTES!A:N,4,FALSE),"")</f>
        <v xml:space="preserve">Víctor Báez </v>
      </c>
      <c r="C19" s="17">
        <v>18</v>
      </c>
      <c r="D19" s="17" t="b">
        <f>F19="MADRID"</f>
        <v>0</v>
      </c>
      <c r="E19" s="17" t="s">
        <v>64</v>
      </c>
      <c r="F19" s="53" t="s">
        <v>38</v>
      </c>
      <c r="G19" s="17"/>
      <c r="H19" s="17" t="s">
        <v>55</v>
      </c>
      <c r="I19" s="17">
        <v>1</v>
      </c>
      <c r="J19" s="17"/>
      <c r="K19" s="17" t="s">
        <v>68</v>
      </c>
      <c r="L19" s="17"/>
      <c r="M19" s="17"/>
      <c r="N19" s="17"/>
      <c r="O19" s="17"/>
      <c r="P19" s="17"/>
      <c r="Q19" s="17"/>
      <c r="R19" s="17"/>
      <c r="S19" s="17" t="s">
        <v>36</v>
      </c>
      <c r="T19" s="17" t="s">
        <v>192</v>
      </c>
      <c r="U19" s="17">
        <v>2</v>
      </c>
      <c r="V19" s="17" t="s">
        <v>68</v>
      </c>
      <c r="W19" s="17" t="s">
        <v>68</v>
      </c>
      <c r="X19" s="17" t="s">
        <v>70</v>
      </c>
      <c r="Y19" s="17" t="s">
        <v>36</v>
      </c>
      <c r="Z19" s="17">
        <v>1</v>
      </c>
      <c r="AA19" s="17" t="s">
        <v>68</v>
      </c>
      <c r="AB19" s="52"/>
      <c r="AC19" s="52"/>
      <c r="AD19" s="52">
        <v>1000</v>
      </c>
      <c r="AE19" s="30">
        <f t="shared" si="3"/>
        <v>658</v>
      </c>
      <c r="AF19" s="29">
        <f>COUNTIF($G19:$AD19,AF$3)*VLOOKUP(AF$3,CATALOGO!$A:$B,2,FALSE)</f>
        <v>0</v>
      </c>
      <c r="AG19" s="29">
        <f>COUNTIF($G19:$AD19,AG$3)*VLOOKUP(AG$3,CATALOGO!$A:$B,2,FALSE)</f>
        <v>0</v>
      </c>
      <c r="AH19" s="29">
        <f>COUNTIF($G19:$AD19,AH$3)*VLOOKUP(AH$3,CATALOGO!$A:$B,2,FALSE)</f>
        <v>158</v>
      </c>
      <c r="AI19" s="29">
        <f>COUNTIF($G19:$AD19,AI$3)*VLOOKUP(AI$3,CATALOGO!$A:$B,2,FALSE)</f>
        <v>35</v>
      </c>
      <c r="AJ19" s="29">
        <f>(+I19+O19+U19+Z19)*VLOOKUP("EXT",CATALOGO!$A:$B,2,FALSE)</f>
        <v>80</v>
      </c>
      <c r="AK19" s="29"/>
      <c r="AL19" s="29">
        <f>COUNTIF($G19:$AD19,AL$3)*VLOOKUP("MANUTENCIÓN",CATALOGO!$A:$B,2,FALSE)</f>
        <v>60</v>
      </c>
      <c r="AM19" s="29">
        <f>COUNTIF($G19:$AD19,AM$3)*VLOOKUP("ALOJAMIENTO",CATALOGO!$A:$B,2,FALSE)</f>
        <v>65</v>
      </c>
      <c r="AN19" s="27">
        <f>AD19*VLOOKUP("DESPLAZAMIENTO",CATALOGO!$A:$B,2,FALSE)</f>
        <v>260</v>
      </c>
    </row>
    <row r="20" spans="1:40" x14ac:dyDescent="0.3">
      <c r="A20" s="12">
        <v>4235653</v>
      </c>
      <c r="B20" s="12" t="str">
        <f>IFERROR(VLOOKUP(A20,SOLICITANTES!A:N,4,FALSE),"")</f>
        <v xml:space="preserve">JOSE MIGUEL CABRA </v>
      </c>
      <c r="C20" s="17">
        <v>4</v>
      </c>
      <c r="D20" s="17" t="b">
        <f>F20="MADRID"</f>
        <v>0</v>
      </c>
      <c r="E20" s="17" t="s">
        <v>79</v>
      </c>
      <c r="F20" s="53" t="s">
        <v>38</v>
      </c>
      <c r="G20" s="17" t="s">
        <v>79</v>
      </c>
      <c r="H20" s="17" t="s">
        <v>192</v>
      </c>
      <c r="I20" s="17"/>
      <c r="J20" s="17" t="s">
        <v>68</v>
      </c>
      <c r="K20" s="17" t="s">
        <v>68</v>
      </c>
      <c r="L20" s="17"/>
      <c r="M20" s="17" t="s">
        <v>79</v>
      </c>
      <c r="N20" s="17" t="s">
        <v>192</v>
      </c>
      <c r="O20" s="17"/>
      <c r="P20" s="17" t="s">
        <v>68</v>
      </c>
      <c r="Q20" s="17" t="s">
        <v>68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52"/>
      <c r="AC20" s="52"/>
      <c r="AD20" s="52"/>
      <c r="AE20" s="30">
        <f t="shared" si="3"/>
        <v>60</v>
      </c>
      <c r="AF20" s="29">
        <f>COUNTIF($G20:$AD20,AF$3)*VLOOKUP(AF$3,CATALOGO!$A:$B,2,FALSE)</f>
        <v>0</v>
      </c>
      <c r="AG20" s="29">
        <f>COUNTIF($G20:$AD20,AG$3)*VLOOKUP(AG$3,CATALOGO!$A:$B,2,FALSE)</f>
        <v>0</v>
      </c>
      <c r="AH20" s="29">
        <f>COUNTIF($G20:$AD20,AH$3)*VLOOKUP(AH$3,CATALOGO!$A:$B,2,FALSE)</f>
        <v>0</v>
      </c>
      <c r="AI20" s="29">
        <f>COUNTIF($G20:$AD20,AI$3)*VLOOKUP(AI$3,CATALOGO!$A:$B,2,FALSE)</f>
        <v>0</v>
      </c>
      <c r="AJ20" s="29">
        <f>(+I20+O20+U20+Z20)*VLOOKUP("EXT",CATALOGO!$A:$B,2,FALSE)</f>
        <v>0</v>
      </c>
      <c r="AK20" s="29"/>
      <c r="AL20" s="29">
        <f>COUNTIF($G20:$AD20,AL$3)*VLOOKUP("MANUTENCIÓN",CATALOGO!$A:$B,2,FALSE)</f>
        <v>60</v>
      </c>
      <c r="AM20" s="29">
        <f>COUNTIF($G20:$AD20,AM$3)*VLOOKUP("ALOJAMIENTO",CATALOGO!$A:$B,2,FALSE)</f>
        <v>0</v>
      </c>
      <c r="AN20" s="27">
        <f>AD20*VLOOKUP("DESPLAZAMIENTO",CATALOGO!$A:$B,2,FALSE)</f>
        <v>0</v>
      </c>
    </row>
    <row r="21" spans="1:40" x14ac:dyDescent="0.3">
      <c r="A21" s="12">
        <v>4084133</v>
      </c>
      <c r="B21" s="12" t="str">
        <f>IFERROR(VLOOKUP(A21,SOLICITANTES!A:N,4,FALSE),"")</f>
        <v xml:space="preserve">JOSÉ MIGUEL ALFONSO </v>
      </c>
      <c r="C21" s="17">
        <v>8</v>
      </c>
      <c r="D21" s="17" t="b">
        <f>F21="MADRID"</f>
        <v>0</v>
      </c>
      <c r="E21" s="17" t="s">
        <v>79</v>
      </c>
      <c r="F21" s="53" t="s">
        <v>196</v>
      </c>
      <c r="G21" s="17" t="s">
        <v>79</v>
      </c>
      <c r="H21" s="17" t="s">
        <v>192</v>
      </c>
      <c r="I21" s="17"/>
      <c r="J21" s="17" t="s">
        <v>68</v>
      </c>
      <c r="K21" s="17" t="s">
        <v>68</v>
      </c>
      <c r="L21" s="17"/>
      <c r="M21" s="17" t="s">
        <v>79</v>
      </c>
      <c r="N21" s="17" t="s">
        <v>192</v>
      </c>
      <c r="O21" s="17"/>
      <c r="P21" s="17" t="s">
        <v>68</v>
      </c>
      <c r="Q21" s="17" t="s">
        <v>68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52"/>
      <c r="AC21" s="52"/>
      <c r="AD21" s="52"/>
      <c r="AE21" s="30">
        <f t="shared" si="3"/>
        <v>60</v>
      </c>
      <c r="AF21" s="29">
        <f>COUNTIF($G21:$AD21,AF$3)*VLOOKUP(AF$3,CATALOGO!$A:$B,2,FALSE)</f>
        <v>0</v>
      </c>
      <c r="AG21" s="29">
        <f>COUNTIF($G21:$AD21,AG$3)*VLOOKUP(AG$3,CATALOGO!$A:$B,2,FALSE)</f>
        <v>0</v>
      </c>
      <c r="AH21" s="29">
        <f>COUNTIF($G21:$AD21,AH$3)*VLOOKUP(AH$3,CATALOGO!$A:$B,2,FALSE)</f>
        <v>0</v>
      </c>
      <c r="AI21" s="29">
        <f>COUNTIF($G21:$AD21,AI$3)*VLOOKUP(AI$3,CATALOGO!$A:$B,2,FALSE)</f>
        <v>0</v>
      </c>
      <c r="AJ21" s="29">
        <f>(+I21+O21+U21+Z21)*VLOOKUP("EXT",CATALOGO!$A:$B,2,FALSE)</f>
        <v>0</v>
      </c>
      <c r="AK21" s="29"/>
      <c r="AL21" s="29">
        <f>COUNTIF($G21:$AD21,AL$3)*VLOOKUP("MANUTENCIÓN",CATALOGO!$A:$B,2,FALSE)</f>
        <v>60</v>
      </c>
      <c r="AM21" s="29">
        <f>COUNTIF($G21:$AD21,AM$3)*VLOOKUP("ALOJAMIENTO",CATALOGO!$A:$B,2,FALSE)</f>
        <v>0</v>
      </c>
      <c r="AN21" s="27">
        <f>AD21*VLOOKUP("DESPLAZAMIENTO",CATALOGO!$A:$B,2,FALSE)</f>
        <v>0</v>
      </c>
    </row>
    <row r="22" spans="1:40" x14ac:dyDescent="0.3">
      <c r="A22" s="12">
        <v>2045252</v>
      </c>
      <c r="B22" s="12" t="str">
        <f>IFERROR(VLOOKUP(A22,SOLICITANTES!A:N,4,FALSE),"")</f>
        <v xml:space="preserve">María José  Serrano </v>
      </c>
      <c r="C22" s="17">
        <v>12</v>
      </c>
      <c r="D22" s="17" t="b">
        <f>F22="MADRID"</f>
        <v>0</v>
      </c>
      <c r="E22" s="17" t="s">
        <v>79</v>
      </c>
      <c r="F22" s="53" t="s">
        <v>197</v>
      </c>
      <c r="G22" s="17" t="s">
        <v>79</v>
      </c>
      <c r="H22" s="17" t="s">
        <v>192</v>
      </c>
      <c r="I22" s="17"/>
      <c r="J22" s="17" t="s">
        <v>68</v>
      </c>
      <c r="K22" s="17" t="s">
        <v>68</v>
      </c>
      <c r="L22" s="17"/>
      <c r="M22" s="17" t="s">
        <v>79</v>
      </c>
      <c r="N22" s="17" t="s">
        <v>192</v>
      </c>
      <c r="O22" s="17"/>
      <c r="P22" s="17" t="s">
        <v>68</v>
      </c>
      <c r="Q22" s="17" t="s">
        <v>68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52"/>
      <c r="AC22" s="52"/>
      <c r="AD22" s="52"/>
      <c r="AE22" s="30">
        <f t="shared" si="3"/>
        <v>60</v>
      </c>
      <c r="AF22" s="29">
        <f>COUNTIF($G22:$AD22,AF$3)*VLOOKUP(AF$3,CATALOGO!$A:$B,2,FALSE)</f>
        <v>0</v>
      </c>
      <c r="AG22" s="29">
        <f>COUNTIF($G22:$AD22,AG$3)*VLOOKUP(AG$3,CATALOGO!$A:$B,2,FALSE)</f>
        <v>0</v>
      </c>
      <c r="AH22" s="29">
        <f>COUNTIF($G22:$AD22,AH$3)*VLOOKUP(AH$3,CATALOGO!$A:$B,2,FALSE)</f>
        <v>0</v>
      </c>
      <c r="AI22" s="29">
        <f>COUNTIF($G22:$AD22,AI$3)*VLOOKUP(AI$3,CATALOGO!$A:$B,2,FALSE)</f>
        <v>0</v>
      </c>
      <c r="AJ22" s="29">
        <f>(+I22+O22+U22+Z22)*VLOOKUP("EXT",CATALOGO!$A:$B,2,FALSE)</f>
        <v>0</v>
      </c>
      <c r="AK22" s="29"/>
      <c r="AL22" s="29">
        <f>COUNTIF($G22:$AD22,AL$3)*VLOOKUP("MANUTENCIÓN",CATALOGO!$A:$B,2,FALSE)</f>
        <v>60</v>
      </c>
      <c r="AM22" s="29">
        <f>COUNTIF($G22:$AD22,AM$3)*VLOOKUP("ALOJAMIENTO",CATALOGO!$A:$B,2,FALSE)</f>
        <v>0</v>
      </c>
      <c r="AN22" s="27">
        <f>AD22*VLOOKUP("DESPLAZAMIENTO",CATALOGO!$A:$B,2,FALSE)</f>
        <v>0</v>
      </c>
    </row>
    <row r="23" spans="1:40" x14ac:dyDescent="0.3">
      <c r="A23" s="12">
        <v>1420091</v>
      </c>
      <c r="B23" s="12" t="str">
        <f>IFERROR(VLOOKUP(A23,SOLICITANTES!A:N,4,FALSE),"")</f>
        <v xml:space="preserve">Antonio Gracia </v>
      </c>
      <c r="C23" s="17">
        <v>14</v>
      </c>
      <c r="D23" s="17" t="b">
        <f>F23="MADRID"</f>
        <v>0</v>
      </c>
      <c r="E23" s="17" t="s">
        <v>79</v>
      </c>
      <c r="F23" s="53" t="s">
        <v>41</v>
      </c>
      <c r="G23" s="17" t="s">
        <v>79</v>
      </c>
      <c r="H23" s="17" t="s">
        <v>192</v>
      </c>
      <c r="I23" s="17"/>
      <c r="J23" s="17" t="s">
        <v>68</v>
      </c>
      <c r="K23" s="17" t="s">
        <v>68</v>
      </c>
      <c r="L23" s="17"/>
      <c r="M23" s="17" t="s">
        <v>79</v>
      </c>
      <c r="N23" s="17" t="s">
        <v>192</v>
      </c>
      <c r="O23" s="17"/>
      <c r="P23" s="17" t="s">
        <v>68</v>
      </c>
      <c r="Q23" s="17" t="s">
        <v>68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52"/>
      <c r="AC23" s="52"/>
      <c r="AD23" s="52"/>
      <c r="AE23" s="30">
        <f t="shared" si="3"/>
        <v>60</v>
      </c>
      <c r="AF23" s="29">
        <f>COUNTIF($G23:$AD23,AF$3)*VLOOKUP(AF$3,CATALOGO!$A:$B,2,FALSE)</f>
        <v>0</v>
      </c>
      <c r="AG23" s="29">
        <f>COUNTIF($G23:$AD23,AG$3)*VLOOKUP(AG$3,CATALOGO!$A:$B,2,FALSE)</f>
        <v>0</v>
      </c>
      <c r="AH23" s="29">
        <f>COUNTIF($G23:$AD23,AH$3)*VLOOKUP(AH$3,CATALOGO!$A:$B,2,FALSE)</f>
        <v>0</v>
      </c>
      <c r="AI23" s="29">
        <f>COUNTIF($G23:$AD23,AI$3)*VLOOKUP(AI$3,CATALOGO!$A:$B,2,FALSE)</f>
        <v>0</v>
      </c>
      <c r="AJ23" s="29">
        <f>(+I23+O23+U23+Z23)*VLOOKUP("EXT",CATALOGO!$A:$B,2,FALSE)</f>
        <v>0</v>
      </c>
      <c r="AK23" s="29"/>
      <c r="AL23" s="29">
        <f>COUNTIF($G23:$AD23,AL$3)*VLOOKUP("MANUTENCIÓN",CATALOGO!$A:$B,2,FALSE)</f>
        <v>60</v>
      </c>
      <c r="AM23" s="29">
        <f>COUNTIF($G23:$AD23,AM$3)*VLOOKUP("ALOJAMIENTO",CATALOGO!$A:$B,2,FALSE)</f>
        <v>0</v>
      </c>
      <c r="AN23" s="27">
        <f>AD23*VLOOKUP("DESPLAZAMIENTO",CATALOGO!$A:$B,2,FALSE)</f>
        <v>0</v>
      </c>
    </row>
    <row r="24" spans="1:40" x14ac:dyDescent="0.3">
      <c r="A24" s="12">
        <v>2046002</v>
      </c>
      <c r="B24" s="12" t="str">
        <f>IFERROR(VLOOKUP(A24,SOLICITANTES!A:N,4,FALSE),"")</f>
        <v xml:space="preserve">Consuelo Dominguez </v>
      </c>
      <c r="C24" s="17">
        <v>19</v>
      </c>
      <c r="D24" s="17" t="b">
        <f>F24="MADRID"</f>
        <v>0</v>
      </c>
      <c r="E24" s="17" t="s">
        <v>79</v>
      </c>
      <c r="F24" s="53" t="s">
        <v>198</v>
      </c>
      <c r="G24" s="17" t="s">
        <v>79</v>
      </c>
      <c r="H24" s="17" t="s">
        <v>192</v>
      </c>
      <c r="I24" s="17"/>
      <c r="J24" s="17" t="s">
        <v>68</v>
      </c>
      <c r="K24" s="17" t="s">
        <v>68</v>
      </c>
      <c r="L24" s="17"/>
      <c r="M24" s="17" t="s">
        <v>79</v>
      </c>
      <c r="N24" s="17" t="s">
        <v>192</v>
      </c>
      <c r="O24" s="17"/>
      <c r="P24" s="17" t="s">
        <v>68</v>
      </c>
      <c r="Q24" s="17" t="s">
        <v>68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52"/>
      <c r="AC24" s="52"/>
      <c r="AD24" s="52"/>
      <c r="AE24" s="30">
        <f t="shared" si="3"/>
        <v>60</v>
      </c>
      <c r="AF24" s="29">
        <f>COUNTIF($G24:$AD24,AF$3)*VLOOKUP(AF$3,CATALOGO!$A:$B,2,FALSE)</f>
        <v>0</v>
      </c>
      <c r="AG24" s="29">
        <f>COUNTIF($G24:$AD24,AG$3)*VLOOKUP(AG$3,CATALOGO!$A:$B,2,FALSE)</f>
        <v>0</v>
      </c>
      <c r="AH24" s="29">
        <f>COUNTIF($G24:$AD24,AH$3)*VLOOKUP(AH$3,CATALOGO!$A:$B,2,FALSE)</f>
        <v>0</v>
      </c>
      <c r="AI24" s="29">
        <f>COUNTIF($G24:$AD24,AI$3)*VLOOKUP(AI$3,CATALOGO!$A:$B,2,FALSE)</f>
        <v>0</v>
      </c>
      <c r="AJ24" s="29">
        <f>(+I24+O24+U24+Z24)*VLOOKUP("EXT",CATALOGO!$A:$B,2,FALSE)</f>
        <v>0</v>
      </c>
      <c r="AK24" s="29"/>
      <c r="AL24" s="29">
        <f>COUNTIF($G24:$AD24,AL$3)*VLOOKUP("MANUTENCIÓN",CATALOGO!$A:$B,2,FALSE)</f>
        <v>60</v>
      </c>
      <c r="AM24" s="29">
        <f>COUNTIF($G24:$AD24,AM$3)*VLOOKUP("ALOJAMIENTO",CATALOGO!$A:$B,2,FALSE)</f>
        <v>0</v>
      </c>
      <c r="AN24" s="27">
        <f>AD24*VLOOKUP("DESPLAZAMIENTO",CATALOGO!$A:$B,2,FALSE)</f>
        <v>0</v>
      </c>
    </row>
    <row r="25" spans="1:40" x14ac:dyDescent="0.3">
      <c r="A25" s="12"/>
      <c r="B25" s="12" t="str">
        <f>IFERROR(VLOOKUP(A25,SOLICITANTES!A:N,4,FALSE),"")</f>
        <v/>
      </c>
      <c r="C25" s="17"/>
      <c r="D25" s="17" t="b">
        <f>F25="MADRID"</f>
        <v>0</v>
      </c>
      <c r="E25" s="17"/>
      <c r="F25" s="53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52"/>
      <c r="AC25" s="52"/>
      <c r="AD25" s="52"/>
      <c r="AE25" s="30">
        <f t="shared" si="3"/>
        <v>0</v>
      </c>
      <c r="AF25" s="29">
        <f>COUNTIF($G25:$AD25,AF$3)*VLOOKUP(AF$3,CATALOGO!$A:$B,2,FALSE)</f>
        <v>0</v>
      </c>
      <c r="AG25" s="29">
        <f>COUNTIF($G25:$AD25,AG$3)*VLOOKUP(AG$3,CATALOGO!$A:$B,2,FALSE)</f>
        <v>0</v>
      </c>
      <c r="AH25" s="29">
        <f>COUNTIF($G25:$AD25,AH$3)*VLOOKUP(AH$3,CATALOGO!$A:$B,2,FALSE)</f>
        <v>0</v>
      </c>
      <c r="AI25" s="29">
        <f>COUNTIF($G25:$AD25,AI$3)*VLOOKUP(AI$3,CATALOGO!$A:$B,2,FALSE)</f>
        <v>0</v>
      </c>
      <c r="AJ25" s="29">
        <f>(+I25+O25+U25+Z25)*VLOOKUP("EXT",CATALOGO!$A:$B,2,FALSE)</f>
        <v>0</v>
      </c>
      <c r="AK25" s="29"/>
      <c r="AL25" s="29">
        <f>COUNTIF($G25:$AD25,AL$3)*VLOOKUP("MANUTENCIÓN",CATALOGO!$A:$B,2,FALSE)</f>
        <v>0</v>
      </c>
      <c r="AM25" s="29">
        <f>COUNTIF($G25:$AD25,AM$3)*VLOOKUP("ALOJAMIENTO",CATALOGO!$A:$B,2,FALSE)</f>
        <v>0</v>
      </c>
      <c r="AN25" s="27">
        <f>AD25*VLOOKUP("DESPLAZAMIENTO",CATALOGO!$A:$B,2,FALSE)</f>
        <v>0</v>
      </c>
    </row>
    <row r="26" spans="1:40" x14ac:dyDescent="0.3">
      <c r="A26" s="12"/>
      <c r="B26" s="12" t="str">
        <f>IFERROR(VLOOKUP(A26,SOLICITANTES!A:N,4,FALSE),"")</f>
        <v/>
      </c>
      <c r="C26" s="17"/>
      <c r="D26" s="17" t="b">
        <f>F26="MADRID"</f>
        <v>0</v>
      </c>
      <c r="E26" s="17"/>
      <c r="F26" s="53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52"/>
      <c r="AC26" s="52"/>
      <c r="AD26" s="52"/>
      <c r="AE26" s="30">
        <f t="shared" si="3"/>
        <v>0</v>
      </c>
      <c r="AF26" s="29">
        <f>COUNTIF($G26:$AD26,AF$3)*VLOOKUP(AF$3,CATALOGO!$A:$B,2,FALSE)</f>
        <v>0</v>
      </c>
      <c r="AG26" s="29">
        <f>COUNTIF($G26:$AD26,AG$3)*VLOOKUP(AG$3,CATALOGO!$A:$B,2,FALSE)</f>
        <v>0</v>
      </c>
      <c r="AH26" s="29">
        <f>COUNTIF($G26:$AD26,AH$3)*VLOOKUP(AH$3,CATALOGO!$A:$B,2,FALSE)</f>
        <v>0</v>
      </c>
      <c r="AI26" s="29">
        <f>COUNTIF($G26:$AD26,AI$3)*VLOOKUP(AI$3,CATALOGO!$A:$B,2,FALSE)</f>
        <v>0</v>
      </c>
      <c r="AJ26" s="29">
        <f>(+I26+O26+U26+Z26)*VLOOKUP("EXT",CATALOGO!$A:$B,2,FALSE)</f>
        <v>0</v>
      </c>
      <c r="AK26" s="29"/>
      <c r="AL26" s="29">
        <f>COUNTIF($G26:$AD26,AL$3)*VLOOKUP("MANUTENCIÓN",CATALOGO!$A:$B,2,FALSE)</f>
        <v>0</v>
      </c>
      <c r="AM26" s="29">
        <f>COUNTIF($G26:$AD26,AM$3)*VLOOKUP("ALOJAMIENTO",CATALOGO!$A:$B,2,FALSE)</f>
        <v>0</v>
      </c>
      <c r="AN26" s="27">
        <f>AD26*VLOOKUP("DESPLAZAMIENTO",CATALOGO!$A:$B,2,FALSE)</f>
        <v>0</v>
      </c>
    </row>
    <row r="27" spans="1:40" x14ac:dyDescent="0.3">
      <c r="A27" s="12"/>
      <c r="B27" s="12" t="str">
        <f>IFERROR(VLOOKUP(A27,SOLICITANTES!A:N,4,FALSE),"")</f>
        <v/>
      </c>
      <c r="C27" s="17"/>
      <c r="D27" s="17" t="b">
        <f>F27="MADRID"</f>
        <v>0</v>
      </c>
      <c r="E27" s="17"/>
      <c r="F27" s="53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52"/>
      <c r="AC27" s="52"/>
      <c r="AD27" s="52"/>
      <c r="AE27" s="30">
        <f t="shared" si="3"/>
        <v>0</v>
      </c>
      <c r="AF27" s="29">
        <f>COUNTIF($G27:$AD27,AF$3)*VLOOKUP(AF$3,CATALOGO!$A:$B,2,FALSE)</f>
        <v>0</v>
      </c>
      <c r="AG27" s="29">
        <f>COUNTIF($G27:$AD27,AG$3)*VLOOKUP(AG$3,CATALOGO!$A:$B,2,FALSE)</f>
        <v>0</v>
      </c>
      <c r="AH27" s="29">
        <f>COUNTIF($G27:$AD27,AH$3)*VLOOKUP(AH$3,CATALOGO!$A:$B,2,FALSE)</f>
        <v>0</v>
      </c>
      <c r="AI27" s="29">
        <f>COUNTIF($G27:$AD27,AI$3)*VLOOKUP(AI$3,CATALOGO!$A:$B,2,FALSE)</f>
        <v>0</v>
      </c>
      <c r="AJ27" s="29">
        <f>(+I27+O27+U27+Z27)*VLOOKUP("EXT",CATALOGO!$A:$B,2,FALSE)</f>
        <v>0</v>
      </c>
      <c r="AK27" s="29"/>
      <c r="AL27" s="29">
        <f>COUNTIF($G27:$AD27,AL$3)*VLOOKUP("MANUTENCIÓN",CATALOGO!$A:$B,2,FALSE)</f>
        <v>0</v>
      </c>
      <c r="AM27" s="29">
        <f>COUNTIF($G27:$AD27,AM$3)*VLOOKUP("ALOJAMIENTO",CATALOGO!$A:$B,2,FALSE)</f>
        <v>0</v>
      </c>
      <c r="AN27" s="27">
        <f>AD27*VLOOKUP("DESPLAZAMIENTO",CATALOGO!$A:$B,2,FALSE)</f>
        <v>0</v>
      </c>
    </row>
    <row r="28" spans="1:40" x14ac:dyDescent="0.3">
      <c r="A28" s="12"/>
      <c r="B28" s="12" t="str">
        <f>IFERROR(VLOOKUP(A28,SOLICITANTES!A:N,4,FALSE),"")</f>
        <v/>
      </c>
      <c r="C28" s="17"/>
      <c r="D28" s="17" t="b">
        <f>F28="MADRID"</f>
        <v>0</v>
      </c>
      <c r="E28" s="17"/>
      <c r="F28" s="53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52"/>
      <c r="AC28" s="52"/>
      <c r="AD28" s="52"/>
      <c r="AE28" s="30">
        <f t="shared" si="3"/>
        <v>0</v>
      </c>
      <c r="AF28" s="29">
        <f>COUNTIF($G28:$AD28,AF$3)*VLOOKUP(AF$3,CATALOGO!$A:$B,2,FALSE)</f>
        <v>0</v>
      </c>
      <c r="AG28" s="29">
        <f>COUNTIF($G28:$AD28,AG$3)*VLOOKUP(AG$3,CATALOGO!$A:$B,2,FALSE)</f>
        <v>0</v>
      </c>
      <c r="AH28" s="29">
        <f>COUNTIF($G28:$AD28,AH$3)*VLOOKUP(AH$3,CATALOGO!$A:$B,2,FALSE)</f>
        <v>0</v>
      </c>
      <c r="AI28" s="29">
        <f>COUNTIF($G28:$AD28,AI$3)*VLOOKUP(AI$3,CATALOGO!$A:$B,2,FALSE)</f>
        <v>0</v>
      </c>
      <c r="AJ28" s="29">
        <f>(+I28+O28+U28+Z28)*VLOOKUP("EXT",CATALOGO!$A:$B,2,FALSE)</f>
        <v>0</v>
      </c>
      <c r="AK28" s="29"/>
      <c r="AL28" s="29">
        <f>COUNTIF($G28:$AD28,AL$3)*VLOOKUP("MANUTENCIÓN",CATALOGO!$A:$B,2,FALSE)</f>
        <v>0</v>
      </c>
      <c r="AM28" s="29">
        <f>COUNTIF($G28:$AD28,AM$3)*VLOOKUP("ALOJAMIENTO",CATALOGO!$A:$B,2,FALSE)</f>
        <v>0</v>
      </c>
      <c r="AN28" s="27">
        <f>AD28*VLOOKUP("DESPLAZAMIENTO",CATALOGO!$A:$B,2,FALSE)</f>
        <v>0</v>
      </c>
    </row>
    <row r="29" spans="1:40" x14ac:dyDescent="0.3">
      <c r="A29" s="12"/>
      <c r="B29" s="12" t="str">
        <f>IFERROR(VLOOKUP(A29,SOLICITANTES!A:N,4,FALSE),"")</f>
        <v/>
      </c>
      <c r="C29" s="17"/>
      <c r="D29" s="17" t="b">
        <f>F29="MADRID"</f>
        <v>0</v>
      </c>
      <c r="E29" s="17"/>
      <c r="F29" s="53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52"/>
      <c r="AC29" s="52"/>
      <c r="AD29" s="52"/>
      <c r="AE29" s="30">
        <f t="shared" si="3"/>
        <v>0</v>
      </c>
      <c r="AF29" s="29">
        <f>COUNTIF($G29:$AD29,AF$3)*VLOOKUP(AF$3,CATALOGO!$A:$B,2,FALSE)</f>
        <v>0</v>
      </c>
      <c r="AG29" s="29">
        <f>COUNTIF($G29:$AD29,AG$3)*VLOOKUP(AG$3,CATALOGO!$A:$B,2,FALSE)</f>
        <v>0</v>
      </c>
      <c r="AH29" s="29">
        <f>COUNTIF($G29:$AD29,AH$3)*VLOOKUP(AH$3,CATALOGO!$A:$B,2,FALSE)</f>
        <v>0</v>
      </c>
      <c r="AI29" s="29">
        <f>COUNTIF($G29:$AD29,AI$3)*VLOOKUP(AI$3,CATALOGO!$A:$B,2,FALSE)</f>
        <v>0</v>
      </c>
      <c r="AJ29" s="29">
        <f>(+I29+O29+U29+Z29)*VLOOKUP("EXT",CATALOGO!$A:$B,2,FALSE)</f>
        <v>0</v>
      </c>
      <c r="AK29" s="29"/>
      <c r="AL29" s="29">
        <f>COUNTIF($G29:$AD29,AL$3)*VLOOKUP("MANUTENCIÓN",CATALOGO!$A:$B,2,FALSE)</f>
        <v>0</v>
      </c>
      <c r="AM29" s="29">
        <f>COUNTIF($G29:$AD29,AM$3)*VLOOKUP("ALOJAMIENTO",CATALOGO!$A:$B,2,FALSE)</f>
        <v>0</v>
      </c>
      <c r="AN29" s="27">
        <f>AD29*VLOOKUP("DESPLAZAMIENTO",CATALOGO!$A:$B,2,FALSE)</f>
        <v>0</v>
      </c>
    </row>
    <row r="30" spans="1:40" x14ac:dyDescent="0.3">
      <c r="A30" s="12"/>
      <c r="B30" s="12" t="str">
        <f>IFERROR(VLOOKUP(A30,SOLICITANTES!A:N,4,FALSE),"")</f>
        <v/>
      </c>
      <c r="C30" s="17"/>
      <c r="D30" s="17" t="b">
        <f>F30="MADRID"</f>
        <v>0</v>
      </c>
      <c r="E30" s="17"/>
      <c r="F30" s="53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52"/>
      <c r="AC30" s="52"/>
      <c r="AD30" s="52"/>
      <c r="AE30" s="30">
        <f t="shared" si="3"/>
        <v>0</v>
      </c>
      <c r="AF30" s="29">
        <f>COUNTIF($G30:$AD30,AF$3)*VLOOKUP(AF$3,CATALOGO!$A:$B,2,FALSE)</f>
        <v>0</v>
      </c>
      <c r="AG30" s="29">
        <f>COUNTIF($G30:$AD30,AG$3)*VLOOKUP(AG$3,CATALOGO!$A:$B,2,FALSE)</f>
        <v>0</v>
      </c>
      <c r="AH30" s="29">
        <f>COUNTIF($G30:$AD30,AH$3)*VLOOKUP(AH$3,CATALOGO!$A:$B,2,FALSE)</f>
        <v>0</v>
      </c>
      <c r="AI30" s="29">
        <f>COUNTIF($G30:$AD30,AI$3)*VLOOKUP(AI$3,CATALOGO!$A:$B,2,FALSE)</f>
        <v>0</v>
      </c>
      <c r="AJ30" s="29">
        <f>(+I30+O30+U30+Z30)*VLOOKUP("EXT",CATALOGO!$A:$B,2,FALSE)</f>
        <v>0</v>
      </c>
      <c r="AK30" s="29"/>
      <c r="AL30" s="29">
        <f>COUNTIF($G30:$AD30,AL$3)*VLOOKUP("MANUTENCIÓN",CATALOGO!$A:$B,2,FALSE)</f>
        <v>0</v>
      </c>
      <c r="AM30" s="29">
        <f>COUNTIF($G30:$AD30,AM$3)*VLOOKUP("ALOJAMIENTO",CATALOGO!$A:$B,2,FALSE)</f>
        <v>0</v>
      </c>
      <c r="AN30" s="27">
        <f>AD30*VLOOKUP("DESPLAZAMIENTO",CATALOGO!$A:$B,2,FALSE)</f>
        <v>0</v>
      </c>
    </row>
    <row r="31" spans="1:40" x14ac:dyDescent="0.3">
      <c r="A31" s="12"/>
      <c r="B31" s="12" t="str">
        <f>IFERROR(VLOOKUP(A31,SOLICITANTES!A:N,4,FALSE),"")</f>
        <v/>
      </c>
      <c r="C31" s="17"/>
      <c r="D31" s="17" t="b">
        <f>F31="MADRID"</f>
        <v>0</v>
      </c>
      <c r="E31" s="17"/>
      <c r="F31" s="53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52"/>
      <c r="AC31" s="52"/>
      <c r="AD31" s="52"/>
      <c r="AE31" s="30">
        <f t="shared" si="3"/>
        <v>0</v>
      </c>
      <c r="AF31" s="29">
        <f>COUNTIF($G31:$AD31,AF$3)*VLOOKUP(AF$3,CATALOGO!$A:$B,2,FALSE)</f>
        <v>0</v>
      </c>
      <c r="AG31" s="29">
        <f>COUNTIF($G31:$AD31,AG$3)*VLOOKUP(AG$3,CATALOGO!$A:$B,2,FALSE)</f>
        <v>0</v>
      </c>
      <c r="AH31" s="29">
        <f>COUNTIF($G31:$AD31,AH$3)*VLOOKUP(AH$3,CATALOGO!$A:$B,2,FALSE)</f>
        <v>0</v>
      </c>
      <c r="AI31" s="29">
        <f>COUNTIF($G31:$AD31,AI$3)*VLOOKUP(AI$3,CATALOGO!$A:$B,2,FALSE)</f>
        <v>0</v>
      </c>
      <c r="AJ31" s="29">
        <f>(+I31+O31+U31+Z31)*VLOOKUP("EXT",CATALOGO!$A:$B,2,FALSE)</f>
        <v>0</v>
      </c>
      <c r="AK31" s="29"/>
      <c r="AL31" s="29">
        <f>COUNTIF($G31:$AD31,AL$3)*VLOOKUP("MANUTENCIÓN",CATALOGO!$A:$B,2,FALSE)</f>
        <v>0</v>
      </c>
      <c r="AM31" s="29">
        <f>COUNTIF($G31:$AD31,AM$3)*VLOOKUP("ALOJAMIENTO",CATALOGO!$A:$B,2,FALSE)</f>
        <v>0</v>
      </c>
      <c r="AN31" s="27">
        <f>AD31*VLOOKUP("DESPLAZAMIENTO",CATALOGO!$A:$B,2,FALSE)</f>
        <v>0</v>
      </c>
    </row>
    <row r="32" spans="1:40" x14ac:dyDescent="0.3">
      <c r="A32" s="12"/>
      <c r="B32" s="12" t="str">
        <f>IFERROR(VLOOKUP(A32,SOLICITANTES!A:N,4,FALSE),"")</f>
        <v/>
      </c>
      <c r="C32" s="17"/>
      <c r="D32" s="17" t="b">
        <f>F32="MADRID"</f>
        <v>0</v>
      </c>
      <c r="E32" s="17"/>
      <c r="F32" s="5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52"/>
      <c r="AC32" s="52"/>
      <c r="AD32" s="52"/>
      <c r="AE32" s="30">
        <f t="shared" si="3"/>
        <v>0</v>
      </c>
      <c r="AF32" s="29">
        <f>COUNTIF($G32:$AD32,AF$3)*VLOOKUP(AF$3,CATALOGO!$A:$B,2,FALSE)</f>
        <v>0</v>
      </c>
      <c r="AG32" s="29">
        <f>COUNTIF($G32:$AD32,AG$3)*VLOOKUP(AG$3,CATALOGO!$A:$B,2,FALSE)</f>
        <v>0</v>
      </c>
      <c r="AH32" s="29">
        <f>COUNTIF($G32:$AD32,AH$3)*VLOOKUP(AH$3,CATALOGO!$A:$B,2,FALSE)</f>
        <v>0</v>
      </c>
      <c r="AI32" s="29">
        <f>COUNTIF($G32:$AD32,AI$3)*VLOOKUP(AI$3,CATALOGO!$A:$B,2,FALSE)</f>
        <v>0</v>
      </c>
      <c r="AJ32" s="29">
        <f>(+I32+O32+U32+Z32)*VLOOKUP("EXT",CATALOGO!$A:$B,2,FALSE)</f>
        <v>0</v>
      </c>
      <c r="AK32" s="29"/>
      <c r="AL32" s="29">
        <f>COUNTIF($G32:$AD32,AL$3)*VLOOKUP("MANUTENCIÓN",CATALOGO!$A:$B,2,FALSE)</f>
        <v>0</v>
      </c>
      <c r="AM32" s="29">
        <f>COUNTIF($G32:$AD32,AM$3)*VLOOKUP("ALOJAMIENTO",CATALOGO!$A:$B,2,FALSE)</f>
        <v>0</v>
      </c>
      <c r="AN32" s="27">
        <f>AD32*VLOOKUP("DESPLAZAMIENTO",CATALOGO!$A:$B,2,FALSE)</f>
        <v>0</v>
      </c>
    </row>
    <row r="33" spans="2:19" x14ac:dyDescent="0.3">
      <c r="G33" t="s">
        <v>97</v>
      </c>
      <c r="H33" s="38" t="s">
        <v>98</v>
      </c>
      <c r="M33" s="38" t="s">
        <v>108</v>
      </c>
      <c r="N33" s="38" t="s">
        <v>114</v>
      </c>
      <c r="S33" s="38" t="s">
        <v>98</v>
      </c>
    </row>
    <row r="34" spans="2:19" x14ac:dyDescent="0.3">
      <c r="G34" t="s">
        <v>107</v>
      </c>
      <c r="H34" t="s">
        <v>99</v>
      </c>
      <c r="M34" t="s">
        <v>109</v>
      </c>
      <c r="N34" t="s">
        <v>115</v>
      </c>
      <c r="S34" s="38" t="s">
        <v>101</v>
      </c>
    </row>
    <row r="35" spans="2:19" x14ac:dyDescent="0.3">
      <c r="B35" s="19"/>
      <c r="C35" s="19"/>
      <c r="D35" s="19"/>
      <c r="E35" s="19"/>
      <c r="H35" t="s">
        <v>100</v>
      </c>
      <c r="M35" t="s">
        <v>110</v>
      </c>
      <c r="N35" t="s">
        <v>116</v>
      </c>
      <c r="S35" s="38" t="s">
        <v>104</v>
      </c>
    </row>
    <row r="36" spans="2:19" x14ac:dyDescent="0.3">
      <c r="B36" s="19"/>
      <c r="C36" s="19"/>
      <c r="D36" s="19"/>
      <c r="E36" s="19"/>
      <c r="H36" s="38" t="s">
        <v>101</v>
      </c>
      <c r="M36" t="s">
        <v>111</v>
      </c>
      <c r="N36" s="38" t="s">
        <v>117</v>
      </c>
      <c r="S36" s="38" t="s">
        <v>108</v>
      </c>
    </row>
    <row r="37" spans="2:19" x14ac:dyDescent="0.3">
      <c r="H37" t="s">
        <v>102</v>
      </c>
      <c r="M37" t="s">
        <v>112</v>
      </c>
      <c r="N37" t="s">
        <v>118</v>
      </c>
      <c r="S37" s="38" t="s">
        <v>114</v>
      </c>
    </row>
    <row r="38" spans="2:19" x14ac:dyDescent="0.3">
      <c r="H38" t="s">
        <v>103</v>
      </c>
      <c r="M38" t="s">
        <v>113</v>
      </c>
      <c r="N38" t="s">
        <v>119</v>
      </c>
      <c r="S38" s="38" t="s">
        <v>117</v>
      </c>
    </row>
    <row r="39" spans="2:19" x14ac:dyDescent="0.3">
      <c r="H39" s="38" t="s">
        <v>104</v>
      </c>
      <c r="N39" s="38" t="s">
        <v>120</v>
      </c>
      <c r="S39" s="38" t="s">
        <v>120</v>
      </c>
    </row>
    <row r="40" spans="2:19" x14ac:dyDescent="0.3">
      <c r="H40" t="s">
        <v>105</v>
      </c>
      <c r="N40" t="s">
        <v>121</v>
      </c>
    </row>
    <row r="41" spans="2:19" x14ac:dyDescent="0.3">
      <c r="C41" s="11"/>
      <c r="D41" s="11"/>
      <c r="E41" s="11"/>
      <c r="F41" s="11"/>
      <c r="H41" t="s">
        <v>106</v>
      </c>
      <c r="N41" t="s">
        <v>122</v>
      </c>
    </row>
    <row r="42" spans="2:19" x14ac:dyDescent="0.3">
      <c r="N42" t="s">
        <v>123</v>
      </c>
    </row>
  </sheetData>
  <autoFilter ref="A3:AN3"/>
  <sortState ref="A4:AM42">
    <sortCondition descending="1" ref="D4:D42"/>
    <sortCondition ref="E4:E42"/>
    <sortCondition ref="C4:C42"/>
  </sortState>
  <mergeCells count="5">
    <mergeCell ref="G2:J2"/>
    <mergeCell ref="K2:L2"/>
    <mergeCell ref="M2:R2"/>
    <mergeCell ref="S2:X2"/>
    <mergeCell ref="Y2:A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0" sqref="E20"/>
    </sheetView>
  </sheetViews>
  <sheetFormatPr baseColWidth="10" defaultRowHeight="14.4" x14ac:dyDescent="0.3"/>
  <cols>
    <col min="1" max="1" width="16.109375" customWidth="1"/>
    <col min="2" max="2" width="42.33203125" bestFit="1" customWidth="1"/>
  </cols>
  <sheetData>
    <row r="1" spans="1:5" x14ac:dyDescent="0.3">
      <c r="A1" t="s">
        <v>189</v>
      </c>
    </row>
    <row r="2" spans="1:5" x14ac:dyDescent="0.3">
      <c r="A2" s="3" t="s">
        <v>48</v>
      </c>
      <c r="B2" s="3"/>
      <c r="C2" s="3" t="s">
        <v>49</v>
      </c>
      <c r="D2" s="3" t="s">
        <v>50</v>
      </c>
      <c r="E2" s="3" t="s">
        <v>51</v>
      </c>
    </row>
    <row r="3" spans="1:5" x14ac:dyDescent="0.3">
      <c r="A3" s="4" t="s">
        <v>52</v>
      </c>
      <c r="B3" s="5"/>
      <c r="C3" s="5"/>
      <c r="D3" s="5"/>
      <c r="E3" s="5"/>
    </row>
    <row r="4" spans="1:5" x14ac:dyDescent="0.3">
      <c r="A4" s="5"/>
      <c r="B4" s="5" t="s">
        <v>53</v>
      </c>
      <c r="C4" s="6">
        <f>CATALOGO!$B$2</f>
        <v>110</v>
      </c>
      <c r="D4" s="7">
        <f>SUM(COUNTIF(PLANIF!G4:AD32,"JA"))</f>
        <v>4</v>
      </c>
      <c r="E4" s="6">
        <f>C4*D4</f>
        <v>440</v>
      </c>
    </row>
    <row r="5" spans="1:5" x14ac:dyDescent="0.3">
      <c r="A5" s="5"/>
      <c r="B5" s="5" t="s">
        <v>54</v>
      </c>
      <c r="C5" s="6">
        <f>CATALOGO!$B$3</f>
        <v>85</v>
      </c>
      <c r="D5" s="7">
        <f>SUM(COUNTIF(PLANIF!G4:AD32,"JAD"))</f>
        <v>4</v>
      </c>
      <c r="E5" s="6">
        <f>C5*D5</f>
        <v>340</v>
      </c>
    </row>
    <row r="6" spans="1:5" x14ac:dyDescent="0.3">
      <c r="A6" s="5"/>
      <c r="B6" s="5" t="s">
        <v>66</v>
      </c>
      <c r="C6" s="6">
        <f>CATALOGO!$B$4</f>
        <v>79</v>
      </c>
      <c r="D6" s="7">
        <f>SUM(COUNTIF(PLANIF!G4:AD32,"JP"))</f>
        <v>18</v>
      </c>
      <c r="E6" s="6">
        <f t="shared" ref="E6:E9" si="0">C6*D6</f>
        <v>1422</v>
      </c>
    </row>
    <row r="7" spans="1:5" x14ac:dyDescent="0.3">
      <c r="A7" s="5"/>
      <c r="B7" s="5" t="s">
        <v>67</v>
      </c>
      <c r="C7" s="6">
        <f>CATALOGO!$B$5</f>
        <v>35</v>
      </c>
      <c r="D7" s="7">
        <f>SUM(COUNTIF(PLANIF!G4:AD32,"SES"))</f>
        <v>6</v>
      </c>
      <c r="E7" s="6">
        <f t="shared" si="0"/>
        <v>210</v>
      </c>
    </row>
    <row r="8" spans="1:5" x14ac:dyDescent="0.3">
      <c r="A8" s="5"/>
      <c r="B8" s="5" t="s">
        <v>89</v>
      </c>
      <c r="C8" s="6">
        <f>CATALOGO!$B$6</f>
        <v>65</v>
      </c>
      <c r="D8" s="7">
        <f>SUM(COUNTIF(PLANIF!G3:AD32,"JL"))</f>
        <v>0</v>
      </c>
      <c r="E8" s="6">
        <f t="shared" ref="E8" si="1">C8*D8</f>
        <v>0</v>
      </c>
    </row>
    <row r="9" spans="1:5" x14ac:dyDescent="0.3">
      <c r="A9" s="5"/>
      <c r="B9" s="5" t="s">
        <v>88</v>
      </c>
      <c r="C9" s="6">
        <f>CATALOGO!$B$7</f>
        <v>0</v>
      </c>
      <c r="D9" s="7">
        <f>SUM(COUNTIF(PLANIF!G4:AD32,"PR"))</f>
        <v>11</v>
      </c>
      <c r="E9" s="6">
        <f t="shared" si="0"/>
        <v>0</v>
      </c>
    </row>
    <row r="10" spans="1:5" x14ac:dyDescent="0.3">
      <c r="A10" s="5"/>
      <c r="B10" s="5" t="s">
        <v>96</v>
      </c>
      <c r="C10" s="6">
        <f>CATALOGO!$B$8</f>
        <v>20</v>
      </c>
      <c r="D10" s="7">
        <f>SUMIF(PLANIF!G4:AA32,"&gt;0")</f>
        <v>28</v>
      </c>
      <c r="E10" s="6">
        <f>C10*D10</f>
        <v>560</v>
      </c>
    </row>
    <row r="11" spans="1:5" x14ac:dyDescent="0.3">
      <c r="A11" s="4" t="s">
        <v>71</v>
      </c>
      <c r="B11" s="5"/>
      <c r="C11" s="6">
        <f>CATALOGO!$B$9</f>
        <v>15</v>
      </c>
      <c r="D11" s="7">
        <f>SUM(COUNTIF(PLANIF!G4:AD32,"DIETA"))</f>
        <v>74</v>
      </c>
      <c r="E11" s="6">
        <f t="shared" ref="E11:E15" si="2">C11*D11</f>
        <v>1110</v>
      </c>
    </row>
    <row r="12" spans="1:5" x14ac:dyDescent="0.3">
      <c r="A12" s="4" t="s">
        <v>46</v>
      </c>
      <c r="B12" s="5"/>
      <c r="C12" s="8">
        <f>CATALOGO!$B$10</f>
        <v>0.26</v>
      </c>
      <c r="D12" s="7">
        <f>SUM(PLANIF!AD4:AD44)</f>
        <v>1000</v>
      </c>
      <c r="E12" s="6">
        <f t="shared" si="2"/>
        <v>260</v>
      </c>
    </row>
    <row r="13" spans="1:5" x14ac:dyDescent="0.3">
      <c r="A13" s="4" t="s">
        <v>202</v>
      </c>
      <c r="B13" s="5" t="s">
        <v>203</v>
      </c>
      <c r="C13" s="6"/>
      <c r="D13" s="7">
        <f>COUNTA(PLANIF!AC4:AC32)</f>
        <v>1</v>
      </c>
      <c r="E13" s="6">
        <f>SUM(PLANIF!AC4:AC32)</f>
        <v>100</v>
      </c>
    </row>
    <row r="14" spans="1:5" x14ac:dyDescent="0.3">
      <c r="A14" s="4" t="s">
        <v>45</v>
      </c>
      <c r="B14" s="5"/>
      <c r="C14" s="6">
        <f>CATALOGO!$B$15</f>
        <v>65</v>
      </c>
      <c r="D14" s="7">
        <f>SUM(COUNTIF(PLANIF!G4:AD32,"HOTEL"))</f>
        <v>3</v>
      </c>
      <c r="E14" s="6">
        <f t="shared" si="2"/>
        <v>195</v>
      </c>
    </row>
    <row r="15" spans="1:5" x14ac:dyDescent="0.3">
      <c r="A15" s="4" t="s">
        <v>72</v>
      </c>
      <c r="B15" s="5"/>
      <c r="C15" s="6">
        <f>CATALOGO!$B$2</f>
        <v>110</v>
      </c>
      <c r="D15" s="7">
        <f>COUNTA(PLANIF!AK4:AK32)</f>
        <v>2</v>
      </c>
      <c r="E15" s="6">
        <f t="shared" si="2"/>
        <v>220</v>
      </c>
    </row>
    <row r="16" spans="1:5" x14ac:dyDescent="0.3">
      <c r="A16" s="4" t="s">
        <v>61</v>
      </c>
      <c r="B16" s="5"/>
      <c r="C16" s="8"/>
      <c r="D16" s="7"/>
      <c r="E16" s="6"/>
    </row>
    <row r="17" spans="1:5" x14ac:dyDescent="0.3">
      <c r="A17" s="5"/>
      <c r="B17" s="5"/>
      <c r="C17" s="6"/>
      <c r="D17" s="7"/>
      <c r="E17" s="6"/>
    </row>
    <row r="18" spans="1:5" x14ac:dyDescent="0.3">
      <c r="A18" s="5"/>
      <c r="B18" s="5" t="s">
        <v>65</v>
      </c>
      <c r="C18" s="6">
        <v>35</v>
      </c>
      <c r="D18" s="7">
        <v>1</v>
      </c>
      <c r="E18" s="6">
        <f>C18*D18</f>
        <v>35</v>
      </c>
    </row>
    <row r="19" spans="1:5" x14ac:dyDescent="0.3">
      <c r="A19" s="5"/>
      <c r="B19" s="5" t="s">
        <v>204</v>
      </c>
      <c r="C19" s="6"/>
      <c r="D19" s="7">
        <f>COUNTA(PLANIF!AB4:AB32)</f>
        <v>0</v>
      </c>
      <c r="E19" s="6">
        <f>SUM(PLANIF!AB4:AB32)</f>
        <v>0</v>
      </c>
    </row>
    <row r="20" spans="1:5" x14ac:dyDescent="0.3">
      <c r="A20" s="5"/>
      <c r="B20" s="5"/>
      <c r="C20" s="6"/>
      <c r="D20" s="7"/>
      <c r="E20" s="6">
        <f t="shared" ref="E20" si="3">C20*D20</f>
        <v>0</v>
      </c>
    </row>
    <row r="21" spans="1:5" x14ac:dyDescent="0.3">
      <c r="A21" s="9" t="s">
        <v>47</v>
      </c>
      <c r="B21" s="5"/>
      <c r="C21" s="5"/>
      <c r="D21" s="5"/>
      <c r="E21" s="10">
        <f>SUM(E4:E20)</f>
        <v>4892</v>
      </c>
    </row>
    <row r="23" spans="1:5" x14ac:dyDescent="0.3">
      <c r="A23" t="s">
        <v>193</v>
      </c>
      <c r="B23" t="s">
        <v>194</v>
      </c>
      <c r="C23" s="49">
        <v>0.27777777777777779</v>
      </c>
      <c r="D23" s="49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7" sqref="E7"/>
    </sheetView>
  </sheetViews>
  <sheetFormatPr baseColWidth="10" defaultRowHeight="14.4" x14ac:dyDescent="0.3"/>
  <cols>
    <col min="1" max="1" width="53.5546875" bestFit="1" customWidth="1"/>
    <col min="2" max="2" width="9.21875" bestFit="1" customWidth="1"/>
    <col min="3" max="3" width="24.5546875" bestFit="1" customWidth="1"/>
    <col min="4" max="4" width="13.109375" bestFit="1" customWidth="1"/>
    <col min="5" max="5" width="8.21875" bestFit="1" customWidth="1"/>
  </cols>
  <sheetData>
    <row r="1" spans="1:5" x14ac:dyDescent="0.3">
      <c r="A1" s="5" t="s">
        <v>73</v>
      </c>
      <c r="B1" s="5" t="s">
        <v>49</v>
      </c>
      <c r="C1" s="5" t="s">
        <v>74</v>
      </c>
      <c r="D1" s="5" t="s">
        <v>75</v>
      </c>
      <c r="E1" s="5" t="s">
        <v>76</v>
      </c>
    </row>
    <row r="2" spans="1:5" x14ac:dyDescent="0.3">
      <c r="A2" s="5" t="s">
        <v>37</v>
      </c>
      <c r="B2" s="24">
        <v>110</v>
      </c>
      <c r="C2" s="24">
        <v>110</v>
      </c>
      <c r="D2" s="24">
        <v>110</v>
      </c>
      <c r="E2" s="24"/>
    </row>
    <row r="3" spans="1:5" x14ac:dyDescent="0.3">
      <c r="A3" s="5" t="s">
        <v>42</v>
      </c>
      <c r="B3" s="24">
        <f>110-25</f>
        <v>85</v>
      </c>
      <c r="C3" s="24">
        <f>110-25</f>
        <v>85</v>
      </c>
      <c r="D3" s="24">
        <f>110-25</f>
        <v>85</v>
      </c>
      <c r="E3" s="24"/>
    </row>
    <row r="4" spans="1:5" x14ac:dyDescent="0.3">
      <c r="A4" s="5" t="s">
        <v>36</v>
      </c>
      <c r="B4" s="24">
        <v>79</v>
      </c>
      <c r="C4" s="24">
        <v>79</v>
      </c>
      <c r="D4" s="24">
        <v>79</v>
      </c>
      <c r="E4" s="24"/>
    </row>
    <row r="5" spans="1:5" x14ac:dyDescent="0.3">
      <c r="A5" s="5" t="s">
        <v>55</v>
      </c>
      <c r="B5" s="24">
        <v>35</v>
      </c>
      <c r="C5" s="24">
        <v>35</v>
      </c>
      <c r="D5" s="24">
        <v>35</v>
      </c>
      <c r="E5" s="24"/>
    </row>
    <row r="6" spans="1:5" x14ac:dyDescent="0.3">
      <c r="A6" s="5" t="s">
        <v>78</v>
      </c>
      <c r="B6" s="24">
        <v>65</v>
      </c>
      <c r="C6" s="24">
        <v>65</v>
      </c>
      <c r="D6" s="24">
        <v>65</v>
      </c>
      <c r="E6" s="24"/>
    </row>
    <row r="7" spans="1:5" x14ac:dyDescent="0.3">
      <c r="A7" s="5" t="s">
        <v>79</v>
      </c>
      <c r="B7" s="24">
        <v>0</v>
      </c>
      <c r="C7" s="24">
        <v>0</v>
      </c>
      <c r="D7" s="24">
        <v>0</v>
      </c>
      <c r="E7" s="24"/>
    </row>
    <row r="8" spans="1:5" x14ac:dyDescent="0.3">
      <c r="A8" s="5" t="s">
        <v>95</v>
      </c>
      <c r="B8" s="24">
        <v>20</v>
      </c>
      <c r="C8" s="24">
        <v>20</v>
      </c>
      <c r="D8" s="24">
        <v>15</v>
      </c>
      <c r="E8" s="24">
        <v>10</v>
      </c>
    </row>
    <row r="9" spans="1:5" x14ac:dyDescent="0.3">
      <c r="A9" s="5" t="s">
        <v>87</v>
      </c>
      <c r="B9" s="24">
        <v>15</v>
      </c>
      <c r="C9" s="24">
        <v>15</v>
      </c>
      <c r="D9" s="24">
        <v>15</v>
      </c>
      <c r="E9" s="24"/>
    </row>
    <row r="10" spans="1:5" x14ac:dyDescent="0.3">
      <c r="A10" s="5" t="s">
        <v>86</v>
      </c>
      <c r="B10" s="22">
        <v>0.26</v>
      </c>
      <c r="C10" s="22">
        <v>0.26</v>
      </c>
      <c r="D10" s="22">
        <v>0.26</v>
      </c>
      <c r="E10" s="24"/>
    </row>
    <row r="11" spans="1:5" x14ac:dyDescent="0.3">
      <c r="A11" s="5" t="s">
        <v>83</v>
      </c>
      <c r="B11" s="25">
        <v>150</v>
      </c>
      <c r="C11" s="25">
        <v>150</v>
      </c>
      <c r="D11" s="5"/>
      <c r="E11" s="24"/>
    </row>
    <row r="12" spans="1:5" x14ac:dyDescent="0.3">
      <c r="A12" s="5" t="s">
        <v>80</v>
      </c>
      <c r="B12" s="23">
        <v>0.15</v>
      </c>
      <c r="C12" s="23">
        <v>0.15</v>
      </c>
      <c r="D12" s="20">
        <v>0.1</v>
      </c>
      <c r="E12" s="24">
        <v>0</v>
      </c>
    </row>
    <row r="13" spans="1:5" x14ac:dyDescent="0.3">
      <c r="A13" s="5" t="s">
        <v>81</v>
      </c>
      <c r="B13" s="26">
        <v>150</v>
      </c>
      <c r="C13" s="26">
        <v>150</v>
      </c>
      <c r="D13" s="21">
        <v>100</v>
      </c>
      <c r="E13" s="24">
        <v>0</v>
      </c>
    </row>
    <row r="14" spans="1:5" x14ac:dyDescent="0.3">
      <c r="A14" s="5" t="s">
        <v>82</v>
      </c>
      <c r="B14" s="25">
        <v>70</v>
      </c>
      <c r="C14" s="25">
        <v>70</v>
      </c>
      <c r="D14" s="5"/>
      <c r="E14" s="24"/>
    </row>
    <row r="15" spans="1:5" x14ac:dyDescent="0.3">
      <c r="A15" s="5" t="s">
        <v>45</v>
      </c>
      <c r="B15" s="24">
        <v>65</v>
      </c>
      <c r="C15" s="24">
        <v>65</v>
      </c>
      <c r="D15" s="5"/>
      <c r="E15" s="24"/>
    </row>
    <row r="16" spans="1:5" x14ac:dyDescent="0.3">
      <c r="A16" s="5" t="s">
        <v>84</v>
      </c>
      <c r="B16" s="25">
        <v>40</v>
      </c>
      <c r="C16" s="25">
        <v>40</v>
      </c>
      <c r="D16" s="5"/>
      <c r="E16" s="24"/>
    </row>
    <row r="17" spans="1:5" x14ac:dyDescent="0.3">
      <c r="A17" s="5" t="s">
        <v>77</v>
      </c>
      <c r="B17" s="26">
        <v>20</v>
      </c>
      <c r="C17" s="26">
        <v>20</v>
      </c>
      <c r="D17" s="26">
        <v>15</v>
      </c>
      <c r="E17" s="24">
        <v>10</v>
      </c>
    </row>
    <row r="18" spans="1:5" x14ac:dyDescent="0.3">
      <c r="A18" s="5" t="s">
        <v>85</v>
      </c>
      <c r="B18" s="25">
        <v>20</v>
      </c>
      <c r="C18" s="25">
        <v>20</v>
      </c>
      <c r="D18" s="5"/>
      <c r="E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SOLICITANTES</vt:lpstr>
      <vt:lpstr>RESUMEN</vt:lpstr>
      <vt:lpstr>PLANIF</vt:lpstr>
      <vt:lpstr>PRESUPUESTO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Juankar .</cp:lastModifiedBy>
  <dcterms:created xsi:type="dcterms:W3CDTF">2024-06-03T14:20:29Z</dcterms:created>
  <dcterms:modified xsi:type="dcterms:W3CDTF">2024-09-11T06:31:12Z</dcterms:modified>
</cp:coreProperties>
</file>