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c Gage\Documents\College-Work\Autumn 2023\Engineering Economics\Homework\"/>
    </mc:Choice>
  </mc:AlternateContent>
  <xr:revisionPtr revIDLastSave="0" documentId="13_ncr:1_{FD74CBCC-ACCD-4E23-B592-978075E94EE9}" xr6:coauthVersionLast="47" xr6:coauthVersionMax="47" xr10:uidLastSave="{00000000-0000-0000-0000-000000000000}"/>
  <bookViews>
    <workbookView xWindow="-60" yWindow="-60" windowWidth="38520" windowHeight="21270" xr2:uid="{A5C9C904-A07D-4E0C-B216-AD84CD5F45DE}"/>
  </bookViews>
  <sheets>
    <sheet name="Data" sheetId="7" r:id="rId1"/>
    <sheet name="Q1-Q10" sheetId="5" r:id="rId2"/>
    <sheet name="Q11-Q13" sheetId="2" r:id="rId3"/>
    <sheet name="Q14" sheetId="4" r:id="rId4"/>
    <sheet name="Q15-Q16" sheetId="3" r:id="rId5"/>
    <sheet name="Prob 13.1" sheetId="10" r:id="rId6"/>
    <sheet name="Prob 13.5" sheetId="11" r:id="rId7"/>
    <sheet name="Probl 13.14" sheetId="12" r:id="rId8"/>
    <sheet name="Prob 13.27" sheetId="13" r:id="rId9"/>
    <sheet name="Prob 13.31" sheetId="14" r:id="rId10"/>
    <sheet name="Original statements" sheetId="9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5" l="1"/>
  <c r="C17" i="5"/>
  <c r="E15" i="13"/>
  <c r="E17" i="2"/>
  <c r="C11" i="5"/>
  <c r="C26" i="5"/>
  <c r="C20" i="5"/>
  <c r="C14" i="5"/>
  <c r="C2" i="5"/>
  <c r="C11" i="14"/>
  <c r="C8" i="14"/>
  <c r="F18" i="3"/>
  <c r="G5" i="3"/>
  <c r="G6" i="3"/>
  <c r="G7" i="3"/>
  <c r="G4" i="3"/>
  <c r="B10" i="12"/>
  <c r="B10" i="11"/>
  <c r="C12" i="10"/>
  <c r="C11" i="10"/>
  <c r="C9" i="10"/>
  <c r="F16" i="3"/>
  <c r="F14" i="3"/>
  <c r="D11" i="3"/>
  <c r="E12" i="3"/>
  <c r="E11" i="3"/>
  <c r="F11" i="3" s="1"/>
  <c r="D12" i="3"/>
  <c r="E9" i="3"/>
  <c r="F9" i="3" s="1"/>
  <c r="F10" i="3"/>
  <c r="F12" i="3"/>
  <c r="F8" i="3"/>
  <c r="E5" i="3"/>
  <c r="F5" i="3" s="1"/>
  <c r="E6" i="3"/>
  <c r="F6" i="3" s="1"/>
  <c r="E7" i="3"/>
  <c r="F7" i="3" s="1"/>
  <c r="E4" i="3"/>
  <c r="F4" i="3" s="1"/>
  <c r="D9" i="3"/>
  <c r="D8" i="3"/>
  <c r="C9" i="4" a="1"/>
  <c r="C9" i="4" s="1"/>
  <c r="E9" i="2"/>
  <c r="E7" i="2"/>
  <c r="D23" i="5"/>
  <c r="C23" i="5"/>
  <c r="C8" i="5"/>
  <c r="I66" i="7"/>
  <c r="C68" i="7"/>
  <c r="B68" i="7"/>
  <c r="C67" i="7"/>
  <c r="B67" i="7"/>
  <c r="J66" i="7"/>
  <c r="I65" i="7"/>
  <c r="J65" i="7"/>
  <c r="J53" i="7"/>
  <c r="I53" i="7"/>
  <c r="J40" i="7"/>
  <c r="J45" i="7" s="1"/>
  <c r="I40" i="7"/>
  <c r="I45" i="7" s="1"/>
  <c r="C54" i="7"/>
  <c r="B54" i="7"/>
  <c r="C39" i="7"/>
  <c r="C45" i="7" s="1"/>
  <c r="B39" i="7"/>
  <c r="B45" i="7" s="1"/>
  <c r="D11" i="7"/>
  <c r="C11" i="7"/>
  <c r="D8" i="7"/>
  <c r="C8" i="7"/>
  <c r="C14" i="7" s="1"/>
  <c r="C16" i="7" s="1"/>
  <c r="B11" i="7"/>
  <c r="B8" i="7"/>
  <c r="B14" i="7" s="1"/>
  <c r="B16" i="7" s="1"/>
  <c r="D14" i="7" l="1"/>
  <c r="D16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<sst xmlns="http://schemas.openxmlformats.org/spreadsheetml/2006/main" count="216" uniqueCount="172">
  <si>
    <t xml:space="preserve">Answer: </t>
  </si>
  <si>
    <t>Return on Total Assets 2021</t>
  </si>
  <si>
    <t>Total Liabilities 2021</t>
  </si>
  <si>
    <t>Earnings Per Share 2021</t>
  </si>
  <si>
    <t>Inventory TurnOver 2021</t>
  </si>
  <si>
    <t>Net Margin 2021</t>
  </si>
  <si>
    <t>Quick Ratio 2021</t>
  </si>
  <si>
    <t>Return on Equity 2021</t>
  </si>
  <si>
    <t>Debt Ratio 2021</t>
  </si>
  <si>
    <t>Gross Margin 2021</t>
  </si>
  <si>
    <t>Increase or decrease in debt ratio (2015 to 2021)?</t>
  </si>
  <si>
    <t>Use the internet to look up Microsoft's 2020 (10-K) Annual Report.  (Try searching "Microsoft 2020 annual report")
Find the "Income Statements" and "Balance Sheets" sections in the report to answer the following questions:</t>
  </si>
  <si>
    <t>What are Microsoft's cost of goods (cost of revenue) sold in 2020?</t>
  </si>
  <si>
    <t>million</t>
  </si>
  <si>
    <t>What is the balance of inventories for the 2019 fiscal year?</t>
  </si>
  <si>
    <t>Q11</t>
  </si>
  <si>
    <t>What is the inventory turnover ratio for the 2020 fiscal year?</t>
  </si>
  <si>
    <t>Q12</t>
  </si>
  <si>
    <t>CALCULATE the tax rate in 2020:</t>
  </si>
  <si>
    <t>What is the balance of current assets for the 2020 fiscal year?</t>
  </si>
  <si>
    <t>What is the balance of current liabilities for the 2020 fiscal year?</t>
  </si>
  <si>
    <t>What is the balance of inventories for the 2020 fiscal year?</t>
  </si>
  <si>
    <t>Q13</t>
  </si>
  <si>
    <t>What is the quick ratio for 2020?</t>
  </si>
  <si>
    <t>Nike develops a new football helmet. They don't know how many are going to sell, so they asked for 3 pricing options and assume the relationship is linear (or best fit)</t>
  </si>
  <si>
    <t>Units</t>
  </si>
  <si>
    <t>Cost Quote</t>
  </si>
  <si>
    <t>Min Order</t>
  </si>
  <si>
    <t>Medium Order</t>
  </si>
  <si>
    <t>Large Order</t>
  </si>
  <si>
    <t xml:space="preserve">What would you expect it to cost if you produced 3500 helmets? </t>
  </si>
  <si>
    <t>You are tasked with finding a standard cost of a new shirt for Nike. Nike plans to produce 1,000,000 of these shirts. It takes 3.5 sq ft of fabric, 2 yds of thread, 2 sqin of labeling, and one logo to to produce one shirt. There was also a design team of 3 members that each put in 50 days to design the shirt (Assume their salary distribution is based on design days/total days per year). These shirts can be assembled by 4 people operating 1 complex machine operating with a rate of 100 shirts an hour.  You get Lebron James to endorse the shirt for a one time rate. The trucks can ship out a max of 50000 shirts per load. Assume the plant is operation 365 days a year at 8 hrs a day. What is the standard cost we can associate with each shirt?</t>
  </si>
  <si>
    <t>Type</t>
  </si>
  <si>
    <t>Cost</t>
  </si>
  <si>
    <t>Unit</t>
  </si>
  <si>
    <t>Materials</t>
  </si>
  <si>
    <t>Fabric</t>
  </si>
  <si>
    <t>per sq ft</t>
  </si>
  <si>
    <t>Thread</t>
  </si>
  <si>
    <t>per yard</t>
  </si>
  <si>
    <t>Label</t>
  </si>
  <si>
    <t>per sq in</t>
  </si>
  <si>
    <t>Logo</t>
  </si>
  <si>
    <t>per logo</t>
  </si>
  <si>
    <t>Design Team (3 members)</t>
  </si>
  <si>
    <t>annual salary per person</t>
  </si>
  <si>
    <t>Direct Labor</t>
  </si>
  <si>
    <t>per hour</t>
  </si>
  <si>
    <t>Lebron's Endorsement</t>
  </si>
  <si>
    <t>flat rate</t>
  </si>
  <si>
    <t>Running Machines</t>
  </si>
  <si>
    <t>Shipping</t>
  </si>
  <si>
    <t>per truck</t>
  </si>
  <si>
    <t>Nike Consolidate statements of income</t>
  </si>
  <si>
    <t>Year ended May 31,</t>
  </si>
  <si>
    <t>(in millions, except per share data)</t>
  </si>
  <si>
    <t>Revenues</t>
  </si>
  <si>
    <t>Cost of sales</t>
  </si>
  <si>
    <t xml:space="preserve">   Gross profit</t>
  </si>
  <si>
    <t>Demand creation expense</t>
  </si>
  <si>
    <t>Operating overhead expense</t>
  </si>
  <si>
    <t xml:space="preserve">   Total selling and administrative expense</t>
  </si>
  <si>
    <t>Interest expense (income), net</t>
  </si>
  <si>
    <t>Other (income) expense, net</t>
  </si>
  <si>
    <t>Income before income taxes</t>
  </si>
  <si>
    <t>Income tax expense</t>
  </si>
  <si>
    <t>NET INCOME</t>
  </si>
  <si>
    <t>Earnings per common share</t>
  </si>
  <si>
    <t xml:space="preserve">   Basic</t>
  </si>
  <si>
    <t xml:space="preserve">   Diluted</t>
  </si>
  <si>
    <t>Weighted average common shares outstanding</t>
  </si>
  <si>
    <t xml:space="preserve">  Basic </t>
  </si>
  <si>
    <t xml:space="preserve">  Diluted</t>
  </si>
  <si>
    <t>Consolidated Balance Sheets</t>
  </si>
  <si>
    <t>(in millions)</t>
  </si>
  <si>
    <t>ASSETS</t>
  </si>
  <si>
    <t>Current assets:</t>
  </si>
  <si>
    <t>Cash and equivalents</t>
  </si>
  <si>
    <t>Short-term investments</t>
  </si>
  <si>
    <t>Accounts receivable, net</t>
  </si>
  <si>
    <t>Inventories</t>
  </si>
  <si>
    <t>Prepaid expenses and other current assets</t>
  </si>
  <si>
    <t>Total current assets</t>
  </si>
  <si>
    <t>Property, plant and equipment, net</t>
  </si>
  <si>
    <t>Operating lease right-of-use assets, net</t>
  </si>
  <si>
    <t>Identifiable intangible assets, net</t>
  </si>
  <si>
    <t>Goodwill</t>
  </si>
  <si>
    <t>Deferred income taxes and other assets</t>
  </si>
  <si>
    <t>TOTAL ASSETS</t>
  </si>
  <si>
    <t>LIABILITIES AND SHAREHOLDERS' EQUITY</t>
  </si>
  <si>
    <t>Current liabilities:</t>
  </si>
  <si>
    <t>Current portion of long-term debt</t>
  </si>
  <si>
    <t>Accounts payable</t>
  </si>
  <si>
    <t>Current portion of operating lease liabilities</t>
  </si>
  <si>
    <t>Accrued liabilities</t>
  </si>
  <si>
    <t>Total current liabilities</t>
  </si>
  <si>
    <t>Long-term debt</t>
  </si>
  <si>
    <t>Operating lease liabilities</t>
  </si>
  <si>
    <t>Deferred income taxes and other liabilities</t>
  </si>
  <si>
    <t>Commitments and contingenices (Note 18)</t>
  </si>
  <si>
    <t>Redeemable preferred stock</t>
  </si>
  <si>
    <t>Shareholders' equity:</t>
  </si>
  <si>
    <t>Common stock at stated value:</t>
  </si>
  <si>
    <t>Class A convertible __ 305 and 315 shares outstanding</t>
  </si>
  <si>
    <t>Class B __ 1,273 and 1,243 shares outstanding</t>
  </si>
  <si>
    <t>Capital in excess of state value</t>
  </si>
  <si>
    <t>Accumulated other comprehensive income (loss)</t>
  </si>
  <si>
    <t>Retained earnings (deficit)</t>
  </si>
  <si>
    <t>Total shareholders' equity</t>
  </si>
  <si>
    <t>TOTAL LIABILITIES AND SHAREHOLDERS' EQUITY</t>
  </si>
  <si>
    <t>The accompanying NOTES to the Consolidate Financial Statements are an integral part of this statement</t>
  </si>
  <si>
    <t>NIKE, INC.</t>
  </si>
  <si>
    <t xml:space="preserve">May 31, </t>
  </si>
  <si>
    <t>Income taxes payable</t>
  </si>
  <si>
    <t>Deferred income taxes</t>
  </si>
  <si>
    <t>Class A convertible __ 178 and 178 shares outstanding</t>
  </si>
  <si>
    <t>Class B __ 679 and 692 shares outstanding</t>
  </si>
  <si>
    <t>Notes payable</t>
  </si>
  <si>
    <t>Problem 13.1</t>
  </si>
  <si>
    <r>
      <t>The fixed cost at Harley Motors is $5 million annu­ally. The main product has revenue of $89 per unit and $45 variable cost. Estimate the following: (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 Breakeven quantity per year; and (</t>
    </r>
    <r>
      <rPr>
        <i/>
        <sz val="11"/>
        <color theme="1"/>
        <rFont val="Calibri"/>
        <family val="2"/>
        <scheme val="minor"/>
      </rPr>
      <t>b1</t>
    </r>
    <r>
      <rPr>
        <sz val="11"/>
        <color theme="1"/>
        <rFont val="Calibri"/>
        <family val="2"/>
        <scheme val="minor"/>
      </rPr>
      <t>) annual profit if 100,000 units are sold, and (</t>
    </r>
    <r>
      <rPr>
        <i/>
        <sz val="11"/>
        <color theme="1"/>
        <rFont val="Calibri"/>
        <family val="2"/>
        <scheme val="minor"/>
      </rPr>
      <t>b2</t>
    </r>
    <r>
      <rPr>
        <sz val="11"/>
        <color theme="1"/>
        <rFont val="Calibri"/>
        <family val="2"/>
        <scheme val="minor"/>
      </rPr>
      <t>) if 200,000 units are sold.</t>
    </r>
  </si>
  <si>
    <t>Problem 13.5</t>
  </si>
  <si>
    <t>Handheld fiber optic meters with white light polar­ization interferometry are useful for measuring tem­perature, pressure, and strain in electrically noisy environments. The fixed costs associated with man­ufacturing are $800,000 per year. If variable costs are $290 per unit and the company sells 4000 units per year, at what selling price per unit will the com­pany break even?</t>
  </si>
  <si>
    <t>Problem 13.14</t>
  </si>
  <si>
    <t>Problem 13.27</t>
  </si>
  <si>
    <r>
      <t xml:space="preserve">Process X is estimated to have a fixed cost of $40,000 per year and a variable cost of $60 per unit in year 1, decreasing by $5 per unit per year thereafter. Process Y will have a fixed cost of $70,000 per year and a variable cost of $10 per unit in year 1, increasing by $1 per unit per year thereafter. At an interest rate of 12% per year, how many units must be produced </t>
    </r>
    <r>
      <rPr>
        <i/>
        <sz val="11"/>
        <color theme="1"/>
        <rFont val="Calibri"/>
        <family val="2"/>
        <scheme val="minor"/>
      </rPr>
      <t xml:space="preserve">in year 3 </t>
    </r>
    <r>
      <rPr>
        <sz val="11"/>
        <color theme="1"/>
        <rFont val="Calibri"/>
        <family val="2"/>
        <scheme val="minor"/>
      </rPr>
      <t>for the two processes to break even?</t>
    </r>
  </si>
  <si>
    <t>Round up, no decimals</t>
  </si>
  <si>
    <t>Hint: For this problem, consider only what is happening in year 3</t>
  </si>
  <si>
    <t>Problem 13.31</t>
  </si>
  <si>
    <t>What is the approximate number of years you would have to sell a mobile phone app to break even if income is estimated to be $50,000 per year, expense is $15,000 per year, your initial invest­ment is $280,000, and your MARR is 10% per year?</t>
  </si>
  <si>
    <t>[numberyears]</t>
  </si>
  <si>
    <r>
      <t>Choose the spreadsheet function that determines </t>
    </r>
    <r>
      <rPr>
        <i/>
        <sz val="11"/>
        <color theme="1"/>
        <rFont val="Calibri"/>
        <family val="2"/>
        <scheme val="minor"/>
      </rPr>
      <t>n</t>
    </r>
    <r>
      <rPr>
        <i/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.</t>
    </r>
  </si>
  <si>
    <t>Increase</t>
  </si>
  <si>
    <t>Total Need</t>
  </si>
  <si>
    <t>Total Cost</t>
  </si>
  <si>
    <t>Per Unit</t>
  </si>
  <si>
    <t>Total Total Cost</t>
  </si>
  <si>
    <t xml:space="preserve"> Cost Per Shirt</t>
  </si>
  <si>
    <t>Fixed Cost</t>
  </si>
  <si>
    <t>Revenue</t>
  </si>
  <si>
    <t>Variable Cost</t>
  </si>
  <si>
    <t>a</t>
  </si>
  <si>
    <t>b1</t>
  </si>
  <si>
    <t>b2</t>
  </si>
  <si>
    <t>200,000 Units Sold</t>
  </si>
  <si>
    <t>Profit if…</t>
  </si>
  <si>
    <t>Fixed Costs</t>
  </si>
  <si>
    <t>Variable Costs</t>
  </si>
  <si>
    <t>Breakeven Quantity</t>
  </si>
  <si>
    <t>100,000 Units Sold</t>
  </si>
  <si>
    <t>Units Sold</t>
  </si>
  <si>
    <t>Selling Price to Break Even</t>
  </si>
  <si>
    <t>Fixed Cost A</t>
  </si>
  <si>
    <t>Variable Cost A</t>
  </si>
  <si>
    <t>Fixed Cost B</t>
  </si>
  <si>
    <t>Variable Cost B</t>
  </si>
  <si>
    <r>
      <t>A ro</t>
    </r>
    <r>
      <rPr>
        <sz val="11"/>
        <color theme="1"/>
        <rFont val="Inherit"/>
      </rPr>
      <t>tational molding operation has fixed costs of $10,000 per year and variable costs of $50 per unit. If the process is automated via conveyor, its fixed cost will be $22,800 per year but its variable cost will be only $10 per unit. Determine the number of units each year necessary for the two operations to break even</t>
    </r>
  </si>
  <si>
    <t>Break Even</t>
  </si>
  <si>
    <t>Variable Cost Y3</t>
  </si>
  <si>
    <t>Variable Cost Y1</t>
  </si>
  <si>
    <t>i</t>
  </si>
  <si>
    <t>Fixed Cost X</t>
  </si>
  <si>
    <t>Fixed Cost Y</t>
  </si>
  <si>
    <t>Break Even Y3</t>
  </si>
  <si>
    <t>n</t>
  </si>
  <si>
    <t>Income</t>
  </si>
  <si>
    <t>Expense</t>
  </si>
  <si>
    <t>PV</t>
  </si>
  <si>
    <t>MARR</t>
  </si>
  <si>
    <t>Direct Materials Per Shirt</t>
  </si>
  <si>
    <t>Per Shirt</t>
  </si>
  <si>
    <t>Income-Expense</t>
  </si>
  <si>
    <t>Break Even 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</si>
</sst>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7" formatCode="0.000"/>
    <numFmt numFmtId="175" formatCode="&quot;$&quot;#,##0.00"/>
    <numFmt numFmtId="178" formatCode="#,##0.0_);[Red]\(#,##0.0\)"/>
    <numFmt numFmtId="186" formatCode="#,##0.000_);\(#,##0.000\)"/>
    <numFmt numFmtId="188" formatCode="#,##0.00000_);\(#,##0.00000\)"/>
    <numFmt numFmtId="189" formatCode="0.0%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Inherit"/>
    </font>
    <font>
      <i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9">
    <xf numFmtId="0" fontId="0" fillId="0" borderId="0" xfId="0"/>
    <xf numFmtId="44" fontId="0" fillId="0" borderId="1" xfId="1" applyFont="1" applyFill="1" applyBorder="1"/>
    <xf numFmtId="2" fontId="0" fillId="2" borderId="0" xfId="0" applyNumberFormat="1" applyFill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44" fontId="0" fillId="0" borderId="0" xfId="1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4" fontId="0" fillId="0" borderId="0" xfId="0" applyNumberFormat="1"/>
    <xf numFmtId="0" fontId="0" fillId="0" borderId="1" xfId="0" applyBorder="1"/>
    <xf numFmtId="165" fontId="0" fillId="0" borderId="1" xfId="3" applyNumberFormat="1" applyFont="1" applyBorder="1"/>
    <xf numFmtId="164" fontId="0" fillId="0" borderId="1" xfId="1" applyNumberFormat="1" applyFont="1" applyBorder="1"/>
    <xf numFmtId="0" fontId="5" fillId="0" borderId="0" xfId="0" applyFont="1"/>
    <xf numFmtId="0" fontId="3" fillId="0" borderId="0" xfId="0" applyFont="1"/>
    <xf numFmtId="0" fontId="7" fillId="0" borderId="0" xfId="0" applyFont="1"/>
    <xf numFmtId="10" fontId="0" fillId="0" borderId="0" xfId="0" applyNumberFormat="1"/>
    <xf numFmtId="8" fontId="7" fillId="0" borderId="0" xfId="0" applyNumberFormat="1" applyFont="1"/>
    <xf numFmtId="44" fontId="7" fillId="0" borderId="0" xfId="0" applyNumberFormat="1" applyFont="1"/>
    <xf numFmtId="44" fontId="3" fillId="0" borderId="0" xfId="0" applyNumberFormat="1" applyFont="1"/>
    <xf numFmtId="10" fontId="6" fillId="2" borderId="0" xfId="0" applyNumberFormat="1" applyFont="1" applyFill="1"/>
    <xf numFmtId="0" fontId="0" fillId="2" borderId="0" xfId="0" applyFill="1"/>
    <xf numFmtId="10" fontId="0" fillId="2" borderId="0" xfId="0" applyNumberFormat="1" applyFill="1"/>
    <xf numFmtId="43" fontId="0" fillId="0" borderId="0" xfId="0" applyNumberFormat="1"/>
    <xf numFmtId="10" fontId="6" fillId="0" borderId="0" xfId="0" applyNumberFormat="1" applyFont="1"/>
    <xf numFmtId="0" fontId="0" fillId="0" borderId="2" xfId="0" applyBorder="1"/>
    <xf numFmtId="0" fontId="0" fillId="0" borderId="3" xfId="0" applyBorder="1"/>
    <xf numFmtId="6" fontId="0" fillId="0" borderId="3" xfId="0" applyNumberFormat="1" applyBorder="1"/>
    <xf numFmtId="165" fontId="0" fillId="0" borderId="2" xfId="3" applyNumberFormat="1" applyFont="1" applyBorder="1"/>
    <xf numFmtId="165" fontId="0" fillId="0" borderId="0" xfId="3" applyNumberFormat="1" applyFont="1"/>
    <xf numFmtId="165" fontId="0" fillId="0" borderId="0" xfId="3" applyNumberFormat="1" applyFont="1" applyFill="1" applyBorder="1"/>
    <xf numFmtId="0" fontId="0" fillId="0" borderId="4" xfId="0" applyBorder="1"/>
    <xf numFmtId="164" fontId="3" fillId="0" borderId="4" xfId="1" applyNumberFormat="1" applyFont="1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left" indent="2"/>
    </xf>
    <xf numFmtId="0" fontId="3" fillId="0" borderId="3" xfId="0" applyFont="1" applyBorder="1"/>
    <xf numFmtId="0" fontId="0" fillId="0" borderId="0" xfId="0" applyAlignment="1">
      <alignment horizontal="left" indent="3"/>
    </xf>
    <xf numFmtId="6" fontId="0" fillId="0" borderId="0" xfId="0" applyNumberFormat="1"/>
    <xf numFmtId="0" fontId="0" fillId="0" borderId="0" xfId="0" applyFill="1" applyBorder="1"/>
    <xf numFmtId="5" fontId="0" fillId="0" borderId="0" xfId="0" applyNumberFormat="1"/>
    <xf numFmtId="164" fontId="0" fillId="0" borderId="3" xfId="1" applyNumberFormat="1" applyFont="1" applyBorder="1"/>
    <xf numFmtId="164" fontId="0" fillId="0" borderId="3" xfId="0" applyNumberFormat="1" applyBorder="1"/>
    <xf numFmtId="0" fontId="0" fillId="0" borderId="0" xfId="0" applyAlignment="1">
      <alignment wrapText="1"/>
    </xf>
    <xf numFmtId="0" fontId="8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6" fontId="0" fillId="2" borderId="0" xfId="0" applyNumberFormat="1" applyFill="1"/>
    <xf numFmtId="8" fontId="0" fillId="2" borderId="0" xfId="0" applyNumberFormat="1" applyFill="1"/>
    <xf numFmtId="1" fontId="0" fillId="2" borderId="0" xfId="0" applyNumberFormat="1" applyFill="1"/>
    <xf numFmtId="167" fontId="0" fillId="2" borderId="0" xfId="0" applyNumberFormat="1" applyFill="1"/>
    <xf numFmtId="2" fontId="0" fillId="0" borderId="0" xfId="0" applyNumberFormat="1"/>
    <xf numFmtId="175" fontId="0" fillId="0" borderId="0" xfId="0" applyNumberFormat="1"/>
    <xf numFmtId="175" fontId="0" fillId="2" borderId="0" xfId="0" applyNumberFormat="1" applyFill="1"/>
    <xf numFmtId="38" fontId="7" fillId="0" borderId="0" xfId="0" applyNumberFormat="1" applyFont="1"/>
    <xf numFmtId="167" fontId="0" fillId="0" borderId="0" xfId="0" applyNumberFormat="1"/>
    <xf numFmtId="37" fontId="0" fillId="0" borderId="0" xfId="0" applyNumberFormat="1"/>
    <xf numFmtId="186" fontId="0" fillId="0" borderId="0" xfId="0" applyNumberFormat="1"/>
    <xf numFmtId="188" fontId="0" fillId="0" borderId="0" xfId="0" applyNumberFormat="1"/>
    <xf numFmtId="44" fontId="7" fillId="2" borderId="0" xfId="0" applyNumberFormat="1" applyFont="1" applyFill="1"/>
    <xf numFmtId="38" fontId="0" fillId="0" borderId="0" xfId="0" applyNumberFormat="1"/>
    <xf numFmtId="38" fontId="0" fillId="2" borderId="0" xfId="0" applyNumberFormat="1" applyFill="1"/>
    <xf numFmtId="38" fontId="0" fillId="0" borderId="0" xfId="0" applyNumberFormat="1" applyFill="1"/>
    <xf numFmtId="9" fontId="0" fillId="0" borderId="0" xfId="0" applyNumberFormat="1"/>
    <xf numFmtId="189" fontId="0" fillId="2" borderId="0" xfId="2" applyNumberFormat="1" applyFont="1" applyFill="1" applyBorder="1"/>
    <xf numFmtId="2" fontId="4" fillId="0" borderId="1" xfId="1" applyNumberFormat="1" applyFont="1" applyFill="1" applyBorder="1"/>
    <xf numFmtId="178" fontId="0" fillId="2" borderId="0" xfId="0" applyNumberFormat="1" applyFill="1"/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171450</xdr:rowOff>
    </xdr:from>
    <xdr:to>
      <xdr:col>14</xdr:col>
      <xdr:colOff>251030</xdr:colOff>
      <xdr:row>27</xdr:row>
      <xdr:rowOff>307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AE69F4-E18D-40DF-B7A9-BAC4D6513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171450"/>
          <a:ext cx="8490155" cy="49723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14</xdr:col>
      <xdr:colOff>608986</xdr:colOff>
      <xdr:row>70</xdr:row>
      <xdr:rowOff>131199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04A204-E72D-4846-BC97-6BC5D362FC3A}"/>
            </a:ext>
            <a:ext uri="{147F2762-F138-4A5C-976F-8EAC2B608ADB}">
              <a16:predDERef xmlns:a16="http://schemas.microsoft.com/office/drawing/2014/main" pred="{B5950C3D-065A-4731-BF9D-481E8998C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8533786" cy="7941699"/>
        </a:xfrm>
        <a:prstGeom prst="rect">
          <a:avLst/>
        </a:prstGeom>
      </xdr:spPr>
    </xdr:pic>
    <xdr:clientData/>
  </xdr:twoCellAnchor>
  <xdr:twoCellAnchor editAs="oneCell">
    <xdr:from>
      <xdr:col>15</xdr:col>
      <xdr:colOff>523875</xdr:colOff>
      <xdr:row>28</xdr:row>
      <xdr:rowOff>38100</xdr:rowOff>
    </xdr:from>
    <xdr:to>
      <xdr:col>36</xdr:col>
      <xdr:colOff>78044</xdr:colOff>
      <xdr:row>69</xdr:row>
      <xdr:rowOff>80502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718C7DE-2C93-41DB-8FF8-21C33D7161F9}"/>
            </a:ext>
            <a:ext uri="{147F2762-F138-4A5C-976F-8EAC2B608ADB}">
              <a16:predDERef xmlns:a16="http://schemas.microsoft.com/office/drawing/2014/main" pred="{6089A1EC-A4A0-47E2-B729-7188171E1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67875" y="5372100"/>
          <a:ext cx="12355769" cy="78529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A663-2E31-4B76-BF07-B6A370BCB84A}">
  <dimension ref="A2:J70"/>
  <sheetViews>
    <sheetView tabSelected="1" topLeftCell="A4" workbookViewId="0">
      <selection activeCell="H66" sqref="H66"/>
    </sheetView>
  </sheetViews>
  <sheetFormatPr defaultRowHeight="15"/>
  <cols>
    <col min="1" max="1" width="57.28515625" customWidth="1"/>
    <col min="2" max="2" width="12.42578125" customWidth="1"/>
    <col min="3" max="3" width="11.42578125" customWidth="1"/>
    <col min="4" max="4" width="12.42578125" customWidth="1"/>
    <col min="8" max="8" width="43.140625" customWidth="1"/>
    <col min="9" max="9" width="12.85546875" customWidth="1"/>
    <col min="10" max="10" width="13" customWidth="1"/>
  </cols>
  <sheetData>
    <row r="2" spans="1:4">
      <c r="A2" t="s">
        <v>53</v>
      </c>
    </row>
    <row r="4" spans="1:4">
      <c r="B4" s="45" t="s">
        <v>54</v>
      </c>
      <c r="C4" s="45"/>
      <c r="D4" s="45"/>
    </row>
    <row r="5" spans="1:4">
      <c r="A5" t="s">
        <v>55</v>
      </c>
      <c r="B5" s="26">
        <v>2021</v>
      </c>
      <c r="C5" s="26">
        <v>2020</v>
      </c>
      <c r="D5" s="26">
        <v>2019</v>
      </c>
    </row>
    <row r="6" spans="1:4">
      <c r="A6" s="27" t="s">
        <v>56</v>
      </c>
      <c r="B6" s="28">
        <v>44538</v>
      </c>
      <c r="C6" s="28">
        <v>37403</v>
      </c>
      <c r="D6" s="28">
        <v>39117</v>
      </c>
    </row>
    <row r="7" spans="1:4">
      <c r="A7" s="26" t="s">
        <v>57</v>
      </c>
      <c r="B7" s="29">
        <v>24576</v>
      </c>
      <c r="C7" s="29">
        <v>21162</v>
      </c>
      <c r="D7" s="29">
        <v>21643</v>
      </c>
    </row>
    <row r="8" spans="1:4">
      <c r="A8" t="s">
        <v>58</v>
      </c>
      <c r="B8" s="7">
        <f>+B6-B7</f>
        <v>19962</v>
      </c>
      <c r="C8" s="30">
        <f>+C6-C7</f>
        <v>16241</v>
      </c>
      <c r="D8" s="30">
        <f>+D6-D7</f>
        <v>17474</v>
      </c>
    </row>
    <row r="9" spans="1:4">
      <c r="A9" t="s">
        <v>59</v>
      </c>
      <c r="B9" s="30">
        <v>3114</v>
      </c>
      <c r="C9" s="31">
        <v>3592</v>
      </c>
      <c r="D9" s="31">
        <v>3753</v>
      </c>
    </row>
    <row r="10" spans="1:4">
      <c r="A10" s="26" t="s">
        <v>60</v>
      </c>
      <c r="B10" s="29">
        <v>9911</v>
      </c>
      <c r="C10" s="29">
        <v>9534</v>
      </c>
      <c r="D10" s="29">
        <v>8949</v>
      </c>
    </row>
    <row r="11" spans="1:4">
      <c r="A11" t="s">
        <v>61</v>
      </c>
      <c r="B11" s="31">
        <f>SUM(B9:B10)</f>
        <v>13025</v>
      </c>
      <c r="C11" s="31">
        <f>SUM(C9:C10)</f>
        <v>13126</v>
      </c>
      <c r="D11" s="31">
        <f>SUM(D9:D10)</f>
        <v>12702</v>
      </c>
    </row>
    <row r="12" spans="1:4">
      <c r="A12" t="s">
        <v>62</v>
      </c>
      <c r="B12" s="31">
        <v>262</v>
      </c>
      <c r="C12" s="31">
        <v>89</v>
      </c>
      <c r="D12" s="31">
        <v>49</v>
      </c>
    </row>
    <row r="13" spans="1:4">
      <c r="A13" s="26" t="s">
        <v>63</v>
      </c>
      <c r="B13" s="29">
        <v>14</v>
      </c>
      <c r="C13" s="29">
        <v>139</v>
      </c>
      <c r="D13" s="29">
        <v>-78</v>
      </c>
    </row>
    <row r="14" spans="1:4">
      <c r="A14" t="s">
        <v>64</v>
      </c>
      <c r="B14" s="31">
        <f>+B8-SUM(B11:B13)</f>
        <v>6661</v>
      </c>
      <c r="C14" s="31">
        <f>+C8-SUM(C11:C13)</f>
        <v>2887</v>
      </c>
      <c r="D14" s="31">
        <f>+D8-SUM(D11:D13)</f>
        <v>4801</v>
      </c>
    </row>
    <row r="15" spans="1:4">
      <c r="A15" s="26" t="s">
        <v>65</v>
      </c>
      <c r="B15" s="29">
        <v>934</v>
      </c>
      <c r="C15" s="29">
        <v>348</v>
      </c>
      <c r="D15" s="29">
        <v>772</v>
      </c>
    </row>
    <row r="16" spans="1:4">
      <c r="A16" s="32" t="s">
        <v>66</v>
      </c>
      <c r="B16" s="33">
        <f>+B14-B15</f>
        <v>5727</v>
      </c>
      <c r="C16" s="33">
        <f>+C14-C15</f>
        <v>2539</v>
      </c>
      <c r="D16" s="33">
        <f>+D14-D15</f>
        <v>4029</v>
      </c>
    </row>
    <row r="17" spans="1:10">
      <c r="A17" t="s">
        <v>67</v>
      </c>
    </row>
    <row r="18" spans="1:10">
      <c r="A18" t="s">
        <v>68</v>
      </c>
      <c r="B18">
        <v>3.64</v>
      </c>
      <c r="C18">
        <v>1.63</v>
      </c>
      <c r="D18">
        <v>2.5499999999999998</v>
      </c>
    </row>
    <row r="19" spans="1:10">
      <c r="A19" t="s">
        <v>69</v>
      </c>
      <c r="B19">
        <v>3.56</v>
      </c>
      <c r="C19">
        <v>1.6</v>
      </c>
      <c r="D19">
        <v>2.4900000000000002</v>
      </c>
    </row>
    <row r="20" spans="1:10">
      <c r="A20" t="s">
        <v>70</v>
      </c>
    </row>
    <row r="21" spans="1:10">
      <c r="A21" t="s">
        <v>71</v>
      </c>
      <c r="B21">
        <v>1573</v>
      </c>
      <c r="C21">
        <v>1558.8</v>
      </c>
      <c r="D21">
        <v>1579.7</v>
      </c>
    </row>
    <row r="22" spans="1:10">
      <c r="A22" s="26" t="s">
        <v>72</v>
      </c>
      <c r="B22" s="26">
        <v>1609.4</v>
      </c>
      <c r="C22" s="26">
        <v>1591.6</v>
      </c>
      <c r="D22" s="26">
        <v>1618.4</v>
      </c>
    </row>
    <row r="29" spans="1:10">
      <c r="A29" t="s">
        <v>111</v>
      </c>
      <c r="H29" t="s">
        <v>111</v>
      </c>
    </row>
    <row r="30" spans="1:10">
      <c r="A30" t="s">
        <v>73</v>
      </c>
      <c r="B30" s="46" t="s">
        <v>112</v>
      </c>
      <c r="C30" s="46"/>
      <c r="H30" t="s">
        <v>73</v>
      </c>
      <c r="I30" s="46" t="s">
        <v>112</v>
      </c>
      <c r="J30" s="46"/>
    </row>
    <row r="31" spans="1:10">
      <c r="A31" t="s">
        <v>74</v>
      </c>
      <c r="B31" s="34">
        <v>2021</v>
      </c>
      <c r="C31" s="34">
        <v>2020</v>
      </c>
      <c r="H31" t="s">
        <v>74</v>
      </c>
      <c r="I31" s="34">
        <v>2015</v>
      </c>
      <c r="J31" s="34">
        <v>2014</v>
      </c>
    </row>
    <row r="32" spans="1:10">
      <c r="A32" s="27" t="s">
        <v>75</v>
      </c>
      <c r="B32" s="27"/>
      <c r="C32" s="27"/>
      <c r="H32" s="27" t="s">
        <v>75</v>
      </c>
      <c r="I32" s="27"/>
      <c r="J32" s="27"/>
    </row>
    <row r="33" spans="1:10">
      <c r="A33" t="s">
        <v>76</v>
      </c>
      <c r="H33" t="s">
        <v>76</v>
      </c>
    </row>
    <row r="34" spans="1:10">
      <c r="A34" s="35" t="s">
        <v>77</v>
      </c>
      <c r="B34" s="38">
        <v>9889</v>
      </c>
      <c r="C34">
        <v>8348</v>
      </c>
      <c r="H34" s="35" t="s">
        <v>77</v>
      </c>
      <c r="I34" s="38">
        <v>3852</v>
      </c>
      <c r="J34">
        <v>2220</v>
      </c>
    </row>
    <row r="35" spans="1:10">
      <c r="A35" s="35" t="s">
        <v>78</v>
      </c>
      <c r="B35">
        <v>3587</v>
      </c>
      <c r="C35">
        <v>439</v>
      </c>
      <c r="H35" s="35" t="s">
        <v>78</v>
      </c>
      <c r="I35">
        <v>2072</v>
      </c>
      <c r="J35">
        <v>2922</v>
      </c>
    </row>
    <row r="36" spans="1:10">
      <c r="A36" s="35" t="s">
        <v>79</v>
      </c>
      <c r="B36">
        <v>4463</v>
      </c>
      <c r="C36">
        <v>2749</v>
      </c>
      <c r="H36" s="35" t="s">
        <v>79</v>
      </c>
      <c r="I36">
        <v>3358</v>
      </c>
      <c r="J36">
        <v>3434</v>
      </c>
    </row>
    <row r="37" spans="1:10">
      <c r="A37" s="35" t="s">
        <v>80</v>
      </c>
      <c r="B37">
        <v>6854</v>
      </c>
      <c r="C37">
        <v>7367</v>
      </c>
      <c r="H37" s="35" t="s">
        <v>80</v>
      </c>
      <c r="I37">
        <v>4337</v>
      </c>
      <c r="J37">
        <v>3947</v>
      </c>
    </row>
    <row r="38" spans="1:10">
      <c r="A38" s="35" t="s">
        <v>81</v>
      </c>
      <c r="B38">
        <v>1498</v>
      </c>
      <c r="C38">
        <v>1653</v>
      </c>
      <c r="H38" s="35" t="s">
        <v>114</v>
      </c>
      <c r="I38">
        <v>389</v>
      </c>
      <c r="J38">
        <v>355</v>
      </c>
    </row>
    <row r="39" spans="1:10">
      <c r="A39" s="27" t="s">
        <v>82</v>
      </c>
      <c r="B39" s="28">
        <f>SUM(B34:B38)</f>
        <v>26291</v>
      </c>
      <c r="C39" s="28">
        <f>SUM(C34:C38)</f>
        <v>20556</v>
      </c>
      <c r="H39" s="35" t="s">
        <v>81</v>
      </c>
      <c r="I39">
        <v>1968</v>
      </c>
      <c r="J39">
        <v>818</v>
      </c>
    </row>
    <row r="40" spans="1:10">
      <c r="A40" s="35" t="s">
        <v>83</v>
      </c>
      <c r="B40">
        <v>4904</v>
      </c>
      <c r="C40">
        <v>4866</v>
      </c>
      <c r="H40" s="27" t="s">
        <v>82</v>
      </c>
      <c r="I40" s="28">
        <f>SUM(I34:I39)</f>
        <v>15976</v>
      </c>
      <c r="J40" s="28">
        <f>SUM(J34:J39)</f>
        <v>13696</v>
      </c>
    </row>
    <row r="41" spans="1:10">
      <c r="A41" s="35" t="s">
        <v>84</v>
      </c>
      <c r="B41">
        <v>3113</v>
      </c>
      <c r="C41">
        <v>3097</v>
      </c>
      <c r="H41" s="35" t="s">
        <v>83</v>
      </c>
      <c r="I41">
        <v>3011</v>
      </c>
      <c r="J41">
        <v>2834</v>
      </c>
    </row>
    <row r="42" spans="1:10">
      <c r="A42" s="35" t="s">
        <v>85</v>
      </c>
      <c r="B42">
        <v>269</v>
      </c>
      <c r="C42">
        <v>274</v>
      </c>
      <c r="H42" s="35" t="s">
        <v>85</v>
      </c>
      <c r="I42">
        <v>281</v>
      </c>
      <c r="J42">
        <v>282</v>
      </c>
    </row>
    <row r="43" spans="1:10">
      <c r="A43" s="35" t="s">
        <v>86</v>
      </c>
      <c r="B43">
        <v>242</v>
      </c>
      <c r="C43">
        <v>223</v>
      </c>
      <c r="H43" s="35" t="s">
        <v>86</v>
      </c>
      <c r="I43">
        <v>131</v>
      </c>
      <c r="J43">
        <v>131</v>
      </c>
    </row>
    <row r="44" spans="1:10">
      <c r="A44" s="35" t="s">
        <v>87</v>
      </c>
      <c r="B44">
        <v>2921</v>
      </c>
      <c r="C44">
        <v>2326</v>
      </c>
      <c r="H44" s="35" t="s">
        <v>87</v>
      </c>
      <c r="I44">
        <v>2201</v>
      </c>
      <c r="J44">
        <v>1651</v>
      </c>
    </row>
    <row r="45" spans="1:10">
      <c r="A45" s="36" t="s">
        <v>88</v>
      </c>
      <c r="B45" s="28">
        <f>SUM(B39:B44)</f>
        <v>37740</v>
      </c>
      <c r="C45" s="28">
        <f>SUM(C39:C44)</f>
        <v>31342</v>
      </c>
      <c r="H45" s="36" t="s">
        <v>88</v>
      </c>
      <c r="I45" s="28">
        <f>SUM(I40:I44)</f>
        <v>21600</v>
      </c>
      <c r="J45" s="28">
        <f>SUM(J40:J44)</f>
        <v>18594</v>
      </c>
    </row>
    <row r="46" spans="1:10">
      <c r="A46" s="36" t="s">
        <v>89</v>
      </c>
      <c r="B46" s="27"/>
      <c r="C46" s="27"/>
      <c r="H46" s="36" t="s">
        <v>89</v>
      </c>
      <c r="I46" s="27"/>
      <c r="J46" s="27"/>
    </row>
    <row r="47" spans="1:10">
      <c r="A47" t="s">
        <v>90</v>
      </c>
      <c r="H47" t="s">
        <v>90</v>
      </c>
    </row>
    <row r="48" spans="1:10">
      <c r="A48" s="35" t="s">
        <v>91</v>
      </c>
      <c r="B48">
        <v>0</v>
      </c>
      <c r="C48">
        <v>3</v>
      </c>
      <c r="H48" s="35" t="s">
        <v>91</v>
      </c>
      <c r="I48">
        <v>107</v>
      </c>
      <c r="J48">
        <v>7</v>
      </c>
    </row>
    <row r="49" spans="1:10">
      <c r="A49" s="35" t="s">
        <v>117</v>
      </c>
      <c r="B49">
        <v>2</v>
      </c>
      <c r="C49">
        <v>248</v>
      </c>
      <c r="H49" s="35" t="s">
        <v>117</v>
      </c>
      <c r="I49">
        <v>74</v>
      </c>
      <c r="J49">
        <v>167</v>
      </c>
    </row>
    <row r="50" spans="1:10">
      <c r="A50" s="35" t="s">
        <v>92</v>
      </c>
      <c r="B50">
        <v>2836</v>
      </c>
      <c r="C50">
        <v>2248</v>
      </c>
      <c r="H50" s="35" t="s">
        <v>92</v>
      </c>
      <c r="I50">
        <v>2131</v>
      </c>
      <c r="J50">
        <v>1930</v>
      </c>
    </row>
    <row r="51" spans="1:10">
      <c r="A51" s="35" t="s">
        <v>93</v>
      </c>
      <c r="B51">
        <v>467</v>
      </c>
      <c r="C51">
        <v>445</v>
      </c>
      <c r="H51" s="35" t="s">
        <v>94</v>
      </c>
      <c r="I51">
        <v>3951</v>
      </c>
      <c r="J51">
        <v>2491</v>
      </c>
    </row>
    <row r="52" spans="1:10">
      <c r="A52" s="35" t="s">
        <v>94</v>
      </c>
      <c r="B52">
        <v>6063</v>
      </c>
      <c r="C52">
        <v>5184</v>
      </c>
      <c r="H52" s="35" t="s">
        <v>113</v>
      </c>
      <c r="I52">
        <v>71</v>
      </c>
      <c r="J52">
        <v>432</v>
      </c>
    </row>
    <row r="53" spans="1:10">
      <c r="A53" s="35" t="s">
        <v>113</v>
      </c>
      <c r="B53">
        <v>306</v>
      </c>
      <c r="C53">
        <v>156</v>
      </c>
      <c r="H53" s="27" t="s">
        <v>95</v>
      </c>
      <c r="I53" s="27">
        <f>SUM(I48:I52)</f>
        <v>6334</v>
      </c>
      <c r="J53" s="27">
        <f>SUM(J48:J52)</f>
        <v>5027</v>
      </c>
    </row>
    <row r="54" spans="1:10">
      <c r="A54" s="27" t="s">
        <v>95</v>
      </c>
      <c r="B54" s="27">
        <f>SUM(B48:B53)</f>
        <v>9674</v>
      </c>
      <c r="C54" s="27">
        <f>SUM(C48:C53)</f>
        <v>8284</v>
      </c>
      <c r="H54" s="35" t="s">
        <v>96</v>
      </c>
      <c r="I54" s="39">
        <v>1079</v>
      </c>
      <c r="J54" s="39">
        <v>1199</v>
      </c>
    </row>
    <row r="55" spans="1:10">
      <c r="A55" s="35" t="s">
        <v>96</v>
      </c>
      <c r="B55" s="39">
        <v>9413</v>
      </c>
      <c r="C55" s="39">
        <v>9406</v>
      </c>
      <c r="H55" s="35" t="s">
        <v>98</v>
      </c>
      <c r="I55" s="39">
        <v>1480</v>
      </c>
      <c r="J55" s="39">
        <v>1544</v>
      </c>
    </row>
    <row r="56" spans="1:10">
      <c r="A56" s="35" t="s">
        <v>97</v>
      </c>
      <c r="B56" s="39">
        <v>2931</v>
      </c>
      <c r="C56" s="39">
        <v>2913</v>
      </c>
      <c r="H56" s="35" t="s">
        <v>99</v>
      </c>
    </row>
    <row r="57" spans="1:10">
      <c r="A57" s="35" t="s">
        <v>98</v>
      </c>
      <c r="B57" s="39">
        <v>2955</v>
      </c>
      <c r="C57" s="39">
        <v>2684</v>
      </c>
      <c r="H57" s="35" t="s">
        <v>100</v>
      </c>
    </row>
    <row r="58" spans="1:10">
      <c r="A58" s="35" t="s">
        <v>99</v>
      </c>
      <c r="H58" s="35" t="s">
        <v>101</v>
      </c>
    </row>
    <row r="59" spans="1:10">
      <c r="A59" s="35" t="s">
        <v>100</v>
      </c>
      <c r="H59" s="35" t="s">
        <v>102</v>
      </c>
    </row>
    <row r="60" spans="1:10">
      <c r="A60" s="35" t="s">
        <v>101</v>
      </c>
      <c r="H60" s="37" t="s">
        <v>115</v>
      </c>
    </row>
    <row r="61" spans="1:10">
      <c r="A61" s="35" t="s">
        <v>102</v>
      </c>
      <c r="H61" s="37" t="s">
        <v>116</v>
      </c>
      <c r="I61">
        <v>3</v>
      </c>
      <c r="J61">
        <v>3</v>
      </c>
    </row>
    <row r="62" spans="1:10">
      <c r="A62" s="37" t="s">
        <v>103</v>
      </c>
      <c r="H62" s="35" t="s">
        <v>105</v>
      </c>
      <c r="I62">
        <v>6773</v>
      </c>
      <c r="J62">
        <v>5865</v>
      </c>
    </row>
    <row r="63" spans="1:10">
      <c r="A63" s="37" t="s">
        <v>104</v>
      </c>
      <c r="B63">
        <v>3</v>
      </c>
      <c r="C63">
        <v>3</v>
      </c>
      <c r="H63" s="35" t="s">
        <v>106</v>
      </c>
      <c r="I63">
        <v>1246</v>
      </c>
      <c r="J63">
        <v>85</v>
      </c>
    </row>
    <row r="64" spans="1:10">
      <c r="A64" s="35" t="s">
        <v>105</v>
      </c>
      <c r="B64">
        <v>9965</v>
      </c>
      <c r="C64">
        <v>8299</v>
      </c>
      <c r="H64" s="35" t="s">
        <v>107</v>
      </c>
      <c r="I64">
        <v>4685</v>
      </c>
      <c r="J64">
        <v>4871</v>
      </c>
    </row>
    <row r="65" spans="1:10">
      <c r="A65" s="35" t="s">
        <v>106</v>
      </c>
      <c r="B65" s="40">
        <v>-380</v>
      </c>
      <c r="C65" s="40">
        <v>-56</v>
      </c>
      <c r="H65" s="27" t="s">
        <v>108</v>
      </c>
      <c r="I65" s="41">
        <f>SUM(I61:I64)</f>
        <v>12707</v>
      </c>
      <c r="J65" s="41">
        <f>SUM(J61:J64)</f>
        <v>10824</v>
      </c>
    </row>
    <row r="66" spans="1:10">
      <c r="A66" s="35" t="s">
        <v>107</v>
      </c>
      <c r="B66">
        <v>3179</v>
      </c>
      <c r="C66" s="40">
        <v>-191</v>
      </c>
      <c r="H66" s="36" t="s">
        <v>109</v>
      </c>
      <c r="I66" s="42">
        <f>SUM(I53:I57)+I65</f>
        <v>21600</v>
      </c>
      <c r="J66" s="42">
        <f>SUM(J53:J55)+J65</f>
        <v>18594</v>
      </c>
    </row>
    <row r="67" spans="1:10">
      <c r="A67" s="27" t="s">
        <v>108</v>
      </c>
      <c r="B67" s="41">
        <f>SUM(B63:B66)</f>
        <v>12767</v>
      </c>
      <c r="C67" s="41">
        <f>SUM(C63:C66)</f>
        <v>8055</v>
      </c>
    </row>
    <row r="68" spans="1:10">
      <c r="A68" s="36" t="s">
        <v>109</v>
      </c>
      <c r="B68" s="42">
        <f>SUM(B54:B59)+B67</f>
        <v>37740</v>
      </c>
      <c r="C68" s="42">
        <f>SUM(C54:C59)+C67</f>
        <v>31342</v>
      </c>
    </row>
    <row r="69" spans="1:10">
      <c r="A69" s="27"/>
      <c r="B69" s="27"/>
      <c r="C69" s="27"/>
    </row>
    <row r="70" spans="1:10">
      <c r="A70" t="s">
        <v>110</v>
      </c>
    </row>
  </sheetData>
  <mergeCells count="3">
    <mergeCell ref="B4:D4"/>
    <mergeCell ref="B30:C30"/>
    <mergeCell ref="I30:J3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E6E9C-EE60-42B5-B0EE-D563A7B18F35}">
  <dimension ref="A1:D30"/>
  <sheetViews>
    <sheetView workbookViewId="0"/>
  </sheetViews>
  <sheetFormatPr defaultRowHeight="15"/>
  <cols>
    <col min="2" max="2" width="84.85546875" bestFit="1" customWidth="1"/>
    <col min="5" max="5" width="49.140625" bestFit="1" customWidth="1"/>
  </cols>
  <sheetData>
    <row r="1" spans="1:3">
      <c r="C1" s="15" t="s">
        <v>0</v>
      </c>
    </row>
    <row r="2" spans="1:3" ht="15.75">
      <c r="A2" s="14">
        <v>1</v>
      </c>
      <c r="B2" s="14" t="s">
        <v>1</v>
      </c>
      <c r="C2" s="21">
        <f>Data!B16/Data!B45</f>
        <v>0.15174880763116058</v>
      </c>
    </row>
    <row r="3" spans="1:3" ht="15.75">
      <c r="A3" s="14"/>
      <c r="B3" s="14"/>
      <c r="C3" s="25"/>
    </row>
    <row r="4" spans="1:3">
      <c r="B4" s="16"/>
    </row>
    <row r="5" spans="1:3" ht="15.75">
      <c r="A5" s="14">
        <v>2</v>
      </c>
      <c r="B5" s="14" t="s">
        <v>2</v>
      </c>
      <c r="C5" s="22">
        <f>Data!B54</f>
        <v>9674</v>
      </c>
    </row>
    <row r="6" spans="1:3" ht="15.75">
      <c r="A6" s="14"/>
      <c r="B6" s="14"/>
    </row>
    <row r="8" spans="1:3" ht="15.75">
      <c r="A8" s="14">
        <v>3</v>
      </c>
      <c r="B8" s="14" t="s">
        <v>3</v>
      </c>
      <c r="C8" s="22">
        <f>Data!B18</f>
        <v>3.64</v>
      </c>
    </row>
    <row r="9" spans="1:3" ht="15.75">
      <c r="A9" s="14"/>
      <c r="B9" s="14"/>
    </row>
    <row r="10" spans="1:3" ht="15" customHeight="1"/>
    <row r="11" spans="1:3" ht="15.75">
      <c r="A11" s="14">
        <v>4</v>
      </c>
      <c r="B11" s="14" t="s">
        <v>4</v>
      </c>
      <c r="C11" s="50">
        <f>Data!B7/Data!B37</f>
        <v>3.5856434199007881</v>
      </c>
    </row>
    <row r="12" spans="1:3" ht="15.75">
      <c r="A12" s="14"/>
      <c r="B12" s="14"/>
    </row>
    <row r="14" spans="1:3" ht="15.75">
      <c r="A14" s="14">
        <v>5</v>
      </c>
      <c r="B14" s="14" t="s">
        <v>5</v>
      </c>
      <c r="C14" s="23">
        <f>((Data!B6-Data!B7)/Data!B6)</f>
        <v>0.44820153576721</v>
      </c>
    </row>
    <row r="15" spans="1:3" ht="15.75">
      <c r="A15" s="14"/>
      <c r="B15" s="14"/>
      <c r="C15" s="17"/>
    </row>
    <row r="17" spans="1:4" ht="15.75">
      <c r="A17" s="14">
        <v>6</v>
      </c>
      <c r="B17" s="14" t="s">
        <v>6</v>
      </c>
      <c r="C17" s="52">
        <f>(Data!B34+Data!B35+Data!B36+Data!B38)/(Data!B54)</f>
        <v>2.0091999173041142</v>
      </c>
    </row>
    <row r="18" spans="1:4" ht="15.75">
      <c r="A18" s="14"/>
      <c r="B18" s="14"/>
    </row>
    <row r="19" spans="1:4">
      <c r="B19" s="16"/>
    </row>
    <row r="20" spans="1:4" ht="15.75">
      <c r="A20" s="14">
        <v>7</v>
      </c>
      <c r="B20" s="14" t="s">
        <v>7</v>
      </c>
      <c r="C20" s="23">
        <f>Data!B16/Data!B67</f>
        <v>0.44857836610010182</v>
      </c>
    </row>
    <row r="21" spans="1:4" ht="15.75">
      <c r="A21" s="14"/>
      <c r="B21" s="14"/>
      <c r="C21" s="17"/>
    </row>
    <row r="23" spans="1:4" ht="15.75">
      <c r="A23" s="14">
        <v>8</v>
      </c>
      <c r="B23" s="14" t="s">
        <v>8</v>
      </c>
      <c r="C23" s="2">
        <f>(Data!B68-Data!B67)/Data!B45</f>
        <v>0.66171171171171173</v>
      </c>
      <c r="D23" s="53">
        <f>(Data!I66-Data!I65)/Data!I45</f>
        <v>0.41171296296296295</v>
      </c>
    </row>
    <row r="24" spans="1:4" ht="15.75">
      <c r="A24" s="14"/>
      <c r="B24" s="14"/>
    </row>
    <row r="25" spans="1:4">
      <c r="B25" s="16"/>
      <c r="C25" s="17"/>
    </row>
    <row r="26" spans="1:4" ht="15.75">
      <c r="A26" s="14">
        <v>9</v>
      </c>
      <c r="B26" s="14" t="s">
        <v>9</v>
      </c>
      <c r="C26" s="23">
        <f>(Data!B8)/Data!B6</f>
        <v>0.44820153576721</v>
      </c>
    </row>
    <row r="27" spans="1:4" ht="15.75">
      <c r="A27" s="14"/>
      <c r="B27" s="14"/>
    </row>
    <row r="28" spans="1:4">
      <c r="B28" s="16"/>
    </row>
    <row r="29" spans="1:4">
      <c r="A29" s="15">
        <v>10</v>
      </c>
      <c r="B29" s="15" t="s">
        <v>10</v>
      </c>
      <c r="C29" s="22" t="s">
        <v>131</v>
      </c>
    </row>
    <row r="30" spans="1:4">
      <c r="B30" s="16"/>
      <c r="C30" s="17"/>
      <c r="D30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E744-0D5B-483D-AAF8-839850CFB0F9}">
  <dimension ref="A1:G17"/>
  <sheetViews>
    <sheetView workbookViewId="0">
      <selection sqref="A1:C1"/>
    </sheetView>
  </sheetViews>
  <sheetFormatPr defaultColWidth="8.85546875" defaultRowHeight="15"/>
  <cols>
    <col min="3" max="3" width="80.42578125" customWidth="1"/>
    <col min="5" max="5" width="12.5703125" bestFit="1" customWidth="1"/>
    <col min="7" max="7" width="15.42578125" customWidth="1"/>
  </cols>
  <sheetData>
    <row r="1" spans="1:7" ht="54.6" customHeight="1">
      <c r="A1" s="47" t="s">
        <v>11</v>
      </c>
      <c r="B1" s="47"/>
      <c r="C1" s="47"/>
    </row>
    <row r="2" spans="1:7">
      <c r="C2" s="3"/>
      <c r="D2" s="3"/>
      <c r="E2" s="3"/>
      <c r="F2" s="3"/>
    </row>
    <row r="3" spans="1:7">
      <c r="B3" s="4"/>
      <c r="C3" s="4" t="s">
        <v>12</v>
      </c>
      <c r="D3" s="4"/>
      <c r="E3" s="67">
        <v>46078</v>
      </c>
      <c r="F3" s="4" t="s">
        <v>13</v>
      </c>
    </row>
    <row r="4" spans="1:7">
      <c r="E4" s="53"/>
    </row>
    <row r="5" spans="1:7">
      <c r="C5" t="s">
        <v>14</v>
      </c>
      <c r="E5" s="53">
        <v>1895</v>
      </c>
      <c r="F5" t="s">
        <v>13</v>
      </c>
    </row>
    <row r="7" spans="1:7">
      <c r="B7" t="s">
        <v>15</v>
      </c>
      <c r="C7" t="s">
        <v>16</v>
      </c>
      <c r="E7" s="2">
        <f>E3/E5</f>
        <v>24.315567282321901</v>
      </c>
      <c r="G7" s="10"/>
    </row>
    <row r="9" spans="1:7">
      <c r="B9" t="s">
        <v>17</v>
      </c>
      <c r="C9" t="s">
        <v>18</v>
      </c>
      <c r="E9" s="66">
        <f>8755/53036</f>
        <v>0.16507655177615205</v>
      </c>
    </row>
    <row r="11" spans="1:7">
      <c r="C11" t="s">
        <v>19</v>
      </c>
      <c r="E11" s="1">
        <v>136527</v>
      </c>
      <c r="F11" t="s">
        <v>13</v>
      </c>
    </row>
    <row r="13" spans="1:7">
      <c r="C13" t="s">
        <v>20</v>
      </c>
      <c r="E13" s="1">
        <v>72310</v>
      </c>
      <c r="F13" t="s">
        <v>13</v>
      </c>
    </row>
    <row r="15" spans="1:7">
      <c r="C15" t="s">
        <v>21</v>
      </c>
      <c r="E15" s="1">
        <v>1895</v>
      </c>
      <c r="F15" t="s">
        <v>13</v>
      </c>
    </row>
    <row r="17" spans="2:5">
      <c r="B17" t="s">
        <v>22</v>
      </c>
      <c r="C17" t="s">
        <v>23</v>
      </c>
      <c r="E17" s="2">
        <f>(E11-E15)/E13</f>
        <v>1.8618724934310606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BE2E-879B-4348-8270-D418F153B6B5}">
  <dimension ref="A1:C11"/>
  <sheetViews>
    <sheetView workbookViewId="0"/>
  </sheetViews>
  <sheetFormatPr defaultColWidth="10.85546875" defaultRowHeight="15"/>
  <cols>
    <col min="1" max="1" width="16.140625" customWidth="1"/>
    <col min="3" max="3" width="11.140625" bestFit="1" customWidth="1"/>
  </cols>
  <sheetData>
    <row r="1" spans="1:3">
      <c r="A1" t="s">
        <v>24</v>
      </c>
    </row>
    <row r="2" spans="1:3">
      <c r="A2" s="11"/>
      <c r="B2" s="11" t="s">
        <v>25</v>
      </c>
      <c r="C2" s="11" t="s">
        <v>26</v>
      </c>
    </row>
    <row r="3" spans="1:3">
      <c r="A3" s="11" t="s">
        <v>27</v>
      </c>
      <c r="B3" s="12">
        <v>1000</v>
      </c>
      <c r="C3" s="13">
        <v>3000</v>
      </c>
    </row>
    <row r="4" spans="1:3">
      <c r="A4" s="11" t="s">
        <v>28</v>
      </c>
      <c r="B4" s="12">
        <v>2000</v>
      </c>
      <c r="C4" s="13">
        <v>10000</v>
      </c>
    </row>
    <row r="5" spans="1:3">
      <c r="A5" s="11" t="s">
        <v>29</v>
      </c>
      <c r="B5" s="12">
        <v>10000</v>
      </c>
      <c r="C5" s="13">
        <v>45500</v>
      </c>
    </row>
    <row r="7" spans="1:3">
      <c r="A7" t="s">
        <v>30</v>
      </c>
    </row>
    <row r="9" spans="1:3">
      <c r="B9" s="54">
        <v>3500</v>
      </c>
      <c r="C9" s="55" cm="1">
        <f t="array" ref="C9">TREND(C3:C5,B3:B5,B9)</f>
        <v>15655.82191780822</v>
      </c>
    </row>
    <row r="10" spans="1:3">
      <c r="A10" s="16"/>
      <c r="B10" s="16"/>
    </row>
    <row r="11" spans="1:3">
      <c r="A11" s="16"/>
      <c r="B11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B7828-23D8-7040-85A4-9136A9DF4A8E}">
  <dimension ref="A1:L25"/>
  <sheetViews>
    <sheetView workbookViewId="0">
      <selection sqref="A1:H1"/>
    </sheetView>
  </sheetViews>
  <sheetFormatPr defaultColWidth="8.85546875" defaultRowHeight="15"/>
  <cols>
    <col min="1" max="1" width="23.42578125" customWidth="1"/>
    <col min="2" max="2" width="14.140625" style="7" customWidth="1"/>
    <col min="3" max="3" width="21.5703125" bestFit="1" customWidth="1"/>
    <col min="4" max="4" width="11.5703125" customWidth="1"/>
    <col min="5" max="5" width="23.42578125" customWidth="1"/>
    <col min="6" max="6" width="19" customWidth="1"/>
    <col min="7" max="7" width="10.28515625" customWidth="1"/>
    <col min="8" max="8" width="13.85546875" bestFit="1" customWidth="1"/>
    <col min="9" max="9" width="14.85546875" bestFit="1" customWidth="1"/>
  </cols>
  <sheetData>
    <row r="1" spans="1:10" ht="93.6" customHeight="1">
      <c r="A1" s="48" t="s">
        <v>31</v>
      </c>
      <c r="B1" s="48"/>
      <c r="C1" s="48"/>
      <c r="D1" s="48"/>
      <c r="E1" s="48"/>
      <c r="F1" s="48"/>
      <c r="G1" s="48"/>
      <c r="H1" s="48"/>
    </row>
    <row r="2" spans="1:10">
      <c r="A2" s="5" t="s">
        <v>32</v>
      </c>
      <c r="B2" s="6" t="s">
        <v>33</v>
      </c>
      <c r="C2" t="s">
        <v>34</v>
      </c>
      <c r="D2" t="s">
        <v>134</v>
      </c>
      <c r="E2" t="s">
        <v>132</v>
      </c>
      <c r="F2" t="s">
        <v>133</v>
      </c>
      <c r="G2" t="s">
        <v>169</v>
      </c>
    </row>
    <row r="3" spans="1:10">
      <c r="A3" t="s">
        <v>35</v>
      </c>
    </row>
    <row r="4" spans="1:10">
      <c r="A4" s="8" t="s">
        <v>36</v>
      </c>
      <c r="B4" s="7">
        <v>0.5</v>
      </c>
      <c r="C4" t="s">
        <v>37</v>
      </c>
      <c r="D4">
        <v>3.5</v>
      </c>
      <c r="E4" s="58">
        <f>D4*$B$14</f>
        <v>3500000</v>
      </c>
      <c r="F4" s="10">
        <f>E4*B4</f>
        <v>1750000</v>
      </c>
      <c r="G4" s="10">
        <f>F4/$B$14</f>
        <v>1.75</v>
      </c>
    </row>
    <row r="5" spans="1:10">
      <c r="A5" s="8" t="s">
        <v>38</v>
      </c>
      <c r="B5" s="7">
        <v>0.05</v>
      </c>
      <c r="C5" t="s">
        <v>39</v>
      </c>
      <c r="D5">
        <v>2</v>
      </c>
      <c r="E5" s="58">
        <f>D5*$B$14</f>
        <v>2000000</v>
      </c>
      <c r="F5" s="10">
        <f t="shared" ref="F5:F12" si="0">E5*B5</f>
        <v>100000</v>
      </c>
      <c r="G5" s="10">
        <f t="shared" ref="G5:G12" si="1">F5/$B$14</f>
        <v>0.1</v>
      </c>
    </row>
    <row r="6" spans="1:10">
      <c r="A6" s="8" t="s">
        <v>40</v>
      </c>
      <c r="B6" s="7">
        <v>0.4</v>
      </c>
      <c r="C6" t="s">
        <v>41</v>
      </c>
      <c r="D6">
        <v>2</v>
      </c>
      <c r="E6" s="58">
        <f>D6*$B$14</f>
        <v>2000000</v>
      </c>
      <c r="F6" s="10">
        <f t="shared" si="0"/>
        <v>800000</v>
      </c>
      <c r="G6" s="10">
        <f t="shared" si="1"/>
        <v>0.8</v>
      </c>
    </row>
    <row r="7" spans="1:10">
      <c r="A7" s="8" t="s">
        <v>42</v>
      </c>
      <c r="B7" s="7">
        <v>1</v>
      </c>
      <c r="C7" t="s">
        <v>43</v>
      </c>
      <c r="D7">
        <v>1</v>
      </c>
      <c r="E7" s="58">
        <f>D7*$B$14</f>
        <v>1000000</v>
      </c>
      <c r="F7" s="10">
        <f t="shared" si="0"/>
        <v>1000000</v>
      </c>
      <c r="G7" s="10">
        <f t="shared" si="1"/>
        <v>1</v>
      </c>
    </row>
    <row r="8" spans="1:10">
      <c r="A8" s="9" t="s">
        <v>44</v>
      </c>
      <c r="B8" s="7">
        <v>65000</v>
      </c>
      <c r="C8" t="s">
        <v>45</v>
      </c>
      <c r="D8" s="57">
        <f>50/365</f>
        <v>0.13698630136986301</v>
      </c>
      <c r="E8" s="59">
        <v>0.13700000000000001</v>
      </c>
      <c r="F8" s="10">
        <f t="shared" si="0"/>
        <v>8905</v>
      </c>
      <c r="G8" s="10"/>
    </row>
    <row r="9" spans="1:10">
      <c r="A9" s="9" t="s">
        <v>46</v>
      </c>
      <c r="B9" s="7">
        <v>22</v>
      </c>
      <c r="C9" t="s">
        <v>47</v>
      </c>
      <c r="D9">
        <f>4/100</f>
        <v>0.04</v>
      </c>
      <c r="E9" s="58">
        <f>D9*$B$14</f>
        <v>40000</v>
      </c>
      <c r="F9" s="10">
        <f t="shared" si="0"/>
        <v>880000</v>
      </c>
      <c r="G9" s="10"/>
    </row>
    <row r="10" spans="1:10">
      <c r="A10" s="9" t="s">
        <v>48</v>
      </c>
      <c r="B10" s="7">
        <v>100000</v>
      </c>
      <c r="C10" t="s">
        <v>49</v>
      </c>
      <c r="E10" s="58">
        <v>1</v>
      </c>
      <c r="F10" s="10">
        <f t="shared" si="0"/>
        <v>100000</v>
      </c>
      <c r="G10" s="10"/>
    </row>
    <row r="11" spans="1:10">
      <c r="A11" s="9" t="s">
        <v>50</v>
      </c>
      <c r="B11" s="7">
        <v>800</v>
      </c>
      <c r="C11" t="s">
        <v>47</v>
      </c>
      <c r="D11">
        <f>1/100</f>
        <v>0.01</v>
      </c>
      <c r="E11" s="58">
        <f>D11*$B$14</f>
        <v>10000</v>
      </c>
      <c r="F11" s="10">
        <f t="shared" si="0"/>
        <v>8000000</v>
      </c>
      <c r="G11" s="10"/>
    </row>
    <row r="12" spans="1:10">
      <c r="A12" s="9" t="s">
        <v>51</v>
      </c>
      <c r="B12" s="7">
        <v>10000</v>
      </c>
      <c r="C12" t="s">
        <v>52</v>
      </c>
      <c r="D12" s="60">
        <f>1/50000</f>
        <v>2.0000000000000002E-5</v>
      </c>
      <c r="E12" s="58">
        <f>D12*$B$14</f>
        <v>20</v>
      </c>
      <c r="F12" s="10">
        <f t="shared" si="0"/>
        <v>200000</v>
      </c>
      <c r="G12" s="10"/>
    </row>
    <row r="14" spans="1:10">
      <c r="A14" s="16" t="s">
        <v>25</v>
      </c>
      <c r="B14" s="56">
        <v>1000000</v>
      </c>
      <c r="C14" s="16"/>
      <c r="D14" s="16"/>
      <c r="E14" s="16" t="s">
        <v>135</v>
      </c>
      <c r="F14" s="19">
        <f>SUM(F4:F12)</f>
        <v>12838905</v>
      </c>
    </row>
    <row r="15" spans="1:10">
      <c r="C15" s="16"/>
      <c r="D15" s="16"/>
      <c r="E15" s="16"/>
      <c r="F15" s="16"/>
    </row>
    <row r="16" spans="1:10">
      <c r="C16" s="16"/>
      <c r="D16" s="16"/>
      <c r="E16" s="16" t="s">
        <v>136</v>
      </c>
      <c r="F16" s="61">
        <f>F14/B14</f>
        <v>12.838905</v>
      </c>
      <c r="G16" s="18"/>
      <c r="H16" s="19"/>
      <c r="I16" s="10"/>
      <c r="J16" s="20"/>
    </row>
    <row r="17" spans="1:12">
      <c r="A17" s="16"/>
      <c r="B17" s="18"/>
      <c r="C17" s="16"/>
      <c r="D17" s="16"/>
      <c r="E17" s="16"/>
      <c r="F17" s="16"/>
      <c r="G17" s="18"/>
      <c r="H17" s="19"/>
      <c r="I17" s="10"/>
      <c r="J17" s="20"/>
      <c r="L17" s="20"/>
    </row>
    <row r="18" spans="1:12">
      <c r="A18" s="16"/>
      <c r="B18" s="18"/>
      <c r="C18" s="16"/>
      <c r="D18" s="16"/>
      <c r="E18" s="16" t="s">
        <v>168</v>
      </c>
      <c r="F18" s="61">
        <f>SUM(G4:G7)</f>
        <v>3.6500000000000004</v>
      </c>
      <c r="G18" s="18"/>
      <c r="H18" s="19"/>
      <c r="I18" s="10"/>
      <c r="J18" s="20"/>
    </row>
    <row r="19" spans="1:12">
      <c r="A19" s="16"/>
      <c r="B19" s="18"/>
      <c r="C19" s="16"/>
      <c r="D19" s="16"/>
      <c r="E19" s="16"/>
      <c r="F19" s="16"/>
      <c r="G19" s="18"/>
      <c r="H19" s="19"/>
      <c r="I19" s="10"/>
      <c r="J19" s="20"/>
    </row>
    <row r="20" spans="1:12">
      <c r="A20" s="16"/>
      <c r="B20" s="18"/>
      <c r="C20" s="16"/>
      <c r="D20" s="16"/>
      <c r="E20" s="16"/>
      <c r="F20" s="16"/>
      <c r="G20" s="16"/>
      <c r="H20" s="19"/>
      <c r="J20" s="10"/>
    </row>
    <row r="21" spans="1:12">
      <c r="A21" s="16"/>
      <c r="B21" s="18"/>
      <c r="C21" s="16"/>
      <c r="D21" s="16"/>
      <c r="E21" s="16"/>
      <c r="F21" s="16"/>
      <c r="G21" s="18"/>
      <c r="H21" s="24"/>
      <c r="I21" s="10"/>
      <c r="J21" s="10"/>
    </row>
    <row r="22" spans="1:12">
      <c r="A22" s="16"/>
      <c r="B22" s="18"/>
      <c r="C22" s="16"/>
      <c r="D22" s="16"/>
      <c r="E22" s="16"/>
      <c r="F22" s="16"/>
      <c r="G22" s="16"/>
      <c r="I22" s="10"/>
      <c r="J22" s="10"/>
    </row>
    <row r="23" spans="1:12">
      <c r="A23" s="16"/>
      <c r="B23" s="18"/>
      <c r="C23" s="16"/>
      <c r="D23" s="16"/>
      <c r="E23" s="16"/>
      <c r="F23" s="16"/>
      <c r="G23" s="16"/>
      <c r="I23" s="10"/>
      <c r="J23" s="10"/>
    </row>
    <row r="24" spans="1:12">
      <c r="A24" s="16"/>
      <c r="B24" s="18"/>
      <c r="C24" s="16"/>
      <c r="D24" s="16"/>
      <c r="E24" s="16"/>
      <c r="F24" s="16"/>
      <c r="G24" s="16"/>
      <c r="I24" s="10"/>
      <c r="J24" s="10"/>
    </row>
    <row r="25" spans="1:12">
      <c r="I25" s="10"/>
      <c r="J25" s="20"/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284C-1312-435D-ABB0-92782FEFA659}">
  <dimension ref="A1:C12"/>
  <sheetViews>
    <sheetView workbookViewId="0"/>
  </sheetViews>
  <sheetFormatPr defaultRowHeight="15"/>
  <cols>
    <col min="1" max="1" width="44" customWidth="1"/>
    <col min="2" max="2" width="19.140625" customWidth="1"/>
    <col min="3" max="3" width="11.5703125" bestFit="1" customWidth="1"/>
  </cols>
  <sheetData>
    <row r="1" spans="1:3">
      <c r="A1" s="15" t="s">
        <v>118</v>
      </c>
    </row>
    <row r="3" spans="1:3" ht="90">
      <c r="A3" s="43" t="s">
        <v>119</v>
      </c>
    </row>
    <row r="4" spans="1:3">
      <c r="C4" s="38"/>
    </row>
    <row r="5" spans="1:3">
      <c r="C5" s="38"/>
    </row>
    <row r="6" spans="1:3">
      <c r="B6" t="s">
        <v>138</v>
      </c>
      <c r="C6" s="38">
        <v>89</v>
      </c>
    </row>
    <row r="7" spans="1:3">
      <c r="B7" t="s">
        <v>146</v>
      </c>
      <c r="C7" s="38">
        <v>45</v>
      </c>
    </row>
    <row r="8" spans="1:3">
      <c r="B8" t="s">
        <v>145</v>
      </c>
      <c r="C8" s="38">
        <v>5000000</v>
      </c>
    </row>
    <row r="9" spans="1:3">
      <c r="A9" t="s">
        <v>140</v>
      </c>
      <c r="B9" t="s">
        <v>147</v>
      </c>
      <c r="C9" s="51">
        <f>C8/(C6-C7)</f>
        <v>113636.36363636363</v>
      </c>
    </row>
    <row r="10" spans="1:3">
      <c r="B10" t="s">
        <v>144</v>
      </c>
      <c r="C10" s="38"/>
    </row>
    <row r="11" spans="1:3">
      <c r="A11" t="s">
        <v>141</v>
      </c>
      <c r="B11" t="s">
        <v>148</v>
      </c>
      <c r="C11" s="49">
        <f>((C8/C9)*100000)-5000000</f>
        <v>-600000</v>
      </c>
    </row>
    <row r="12" spans="1:3">
      <c r="A12" t="s">
        <v>142</v>
      </c>
      <c r="B12" t="s">
        <v>143</v>
      </c>
      <c r="C12" s="49">
        <f>((C8/C9)*200000)-5000000</f>
        <v>3800000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C8C1-1A59-466A-9922-098A5571ED37}">
  <dimension ref="A1:B10"/>
  <sheetViews>
    <sheetView workbookViewId="0"/>
  </sheetViews>
  <sheetFormatPr defaultRowHeight="15"/>
  <cols>
    <col min="1" max="1" width="36.7109375" customWidth="1"/>
  </cols>
  <sheetData>
    <row r="1" spans="1:2">
      <c r="A1" s="15" t="s">
        <v>120</v>
      </c>
    </row>
    <row r="3" spans="1:2">
      <c r="A3" s="44"/>
    </row>
    <row r="5" spans="1:2" ht="165">
      <c r="A5" s="43" t="s">
        <v>121</v>
      </c>
    </row>
    <row r="7" spans="1:2">
      <c r="A7" t="s">
        <v>137</v>
      </c>
      <c r="B7" s="38">
        <v>800000</v>
      </c>
    </row>
    <row r="8" spans="1:2">
      <c r="A8" t="s">
        <v>139</v>
      </c>
      <c r="B8" s="38">
        <v>290</v>
      </c>
    </row>
    <row r="9" spans="1:2">
      <c r="A9" t="s">
        <v>149</v>
      </c>
      <c r="B9">
        <v>4000</v>
      </c>
    </row>
    <row r="10" spans="1:2">
      <c r="A10" t="s">
        <v>150</v>
      </c>
      <c r="B10" s="49">
        <f>((B9*B8)+B7)/B9</f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6791-0821-4A24-A11B-72692EB5BC3E}">
  <dimension ref="A1:B12"/>
  <sheetViews>
    <sheetView workbookViewId="0"/>
  </sheetViews>
  <sheetFormatPr defaultRowHeight="15"/>
  <cols>
    <col min="1" max="1" width="38.42578125" customWidth="1"/>
  </cols>
  <sheetData>
    <row r="1" spans="1:2">
      <c r="A1" s="15" t="s">
        <v>122</v>
      </c>
    </row>
    <row r="3" spans="1:2" ht="129.75">
      <c r="A3" s="43" t="s">
        <v>155</v>
      </c>
    </row>
    <row r="5" spans="1:2">
      <c r="A5" t="s">
        <v>151</v>
      </c>
      <c r="B5" s="38">
        <v>10000</v>
      </c>
    </row>
    <row r="6" spans="1:2">
      <c r="A6" t="s">
        <v>152</v>
      </c>
      <c r="B6" s="38">
        <v>50</v>
      </c>
    </row>
    <row r="7" spans="1:2">
      <c r="A7" t="s">
        <v>153</v>
      </c>
      <c r="B7" s="38">
        <v>22800</v>
      </c>
    </row>
    <row r="8" spans="1:2">
      <c r="A8" t="s">
        <v>154</v>
      </c>
      <c r="B8" s="38">
        <v>10</v>
      </c>
    </row>
    <row r="10" spans="1:2">
      <c r="A10" t="s">
        <v>156</v>
      </c>
      <c r="B10" s="63">
        <f>(B7-B5)/(B6-B8)</f>
        <v>320</v>
      </c>
    </row>
    <row r="11" spans="1:2">
      <c r="B11" s="64"/>
    </row>
    <row r="12" spans="1:2">
      <c r="B12" s="6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B350B-64F2-49D0-86E0-BD8E513C6889}">
  <dimension ref="A1:E15"/>
  <sheetViews>
    <sheetView workbookViewId="0"/>
  </sheetViews>
  <sheetFormatPr defaultRowHeight="15"/>
  <cols>
    <col min="1" max="1" width="46.5703125" customWidth="1"/>
    <col min="4" max="4" width="15.42578125" customWidth="1"/>
    <col min="5" max="5" width="16.140625" customWidth="1"/>
  </cols>
  <sheetData>
    <row r="1" spans="1:5">
      <c r="A1" s="15" t="s">
        <v>123</v>
      </c>
    </row>
    <row r="3" spans="1:5">
      <c r="A3" s="44"/>
    </row>
    <row r="5" spans="1:5" ht="135">
      <c r="A5" s="43" t="s">
        <v>124</v>
      </c>
    </row>
    <row r="6" spans="1:5">
      <c r="D6" t="s">
        <v>160</v>
      </c>
      <c r="E6" s="38">
        <v>40000</v>
      </c>
    </row>
    <row r="7" spans="1:5">
      <c r="D7" t="s">
        <v>158</v>
      </c>
      <c r="E7" s="38">
        <v>60</v>
      </c>
    </row>
    <row r="8" spans="1:5">
      <c r="D8" t="s">
        <v>157</v>
      </c>
      <c r="E8" s="38">
        <v>50</v>
      </c>
    </row>
    <row r="9" spans="1:5">
      <c r="A9" t="s">
        <v>125</v>
      </c>
      <c r="D9" t="s">
        <v>161</v>
      </c>
      <c r="E9" s="38">
        <v>70000</v>
      </c>
    </row>
    <row r="10" spans="1:5">
      <c r="D10" t="s">
        <v>158</v>
      </c>
      <c r="E10" s="38">
        <v>10</v>
      </c>
    </row>
    <row r="11" spans="1:5">
      <c r="D11" t="s">
        <v>157</v>
      </c>
      <c r="E11" s="38">
        <v>12</v>
      </c>
    </row>
    <row r="12" spans="1:5">
      <c r="D12" t="s">
        <v>159</v>
      </c>
      <c r="E12" s="65">
        <v>0.12</v>
      </c>
    </row>
    <row r="13" spans="1:5">
      <c r="A13" t="s">
        <v>126</v>
      </c>
      <c r="D13" t="s">
        <v>171</v>
      </c>
    </row>
    <row r="15" spans="1:5">
      <c r="D15" t="s">
        <v>162</v>
      </c>
      <c r="E15" s="68">
        <f>((E9+E9*E12)-(E6+E6*E12))/(E8-E11)</f>
        <v>884.21052631578948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9B7B1-E2F0-4C3A-A9CA-DFEDE3224AC0}">
  <dimension ref="A1:C11"/>
  <sheetViews>
    <sheetView workbookViewId="0"/>
  </sheetViews>
  <sheetFormatPr defaultRowHeight="15"/>
  <cols>
    <col min="1" max="1" width="67.140625" customWidth="1"/>
    <col min="2" max="2" width="15.7109375" customWidth="1"/>
    <col min="3" max="3" width="10" bestFit="1" customWidth="1"/>
    <col min="12" max="12" width="13.7109375" customWidth="1"/>
  </cols>
  <sheetData>
    <row r="1" spans="1:3">
      <c r="A1" s="15" t="s">
        <v>127</v>
      </c>
    </row>
    <row r="3" spans="1:3">
      <c r="A3" s="44"/>
    </row>
    <row r="5" spans="1:3" ht="60">
      <c r="A5" s="43" t="s">
        <v>128</v>
      </c>
    </row>
    <row r="6" spans="1:3">
      <c r="B6" t="s">
        <v>164</v>
      </c>
      <c r="C6" s="38">
        <v>50000</v>
      </c>
    </row>
    <row r="7" spans="1:3">
      <c r="A7" t="s">
        <v>129</v>
      </c>
      <c r="B7" t="s">
        <v>165</v>
      </c>
      <c r="C7" s="38">
        <v>15000</v>
      </c>
    </row>
    <row r="8" spans="1:3">
      <c r="B8" t="s">
        <v>170</v>
      </c>
      <c r="C8" s="38">
        <f>C6-C7</f>
        <v>35000</v>
      </c>
    </row>
    <row r="9" spans="1:3">
      <c r="B9" t="s">
        <v>166</v>
      </c>
      <c r="C9" s="38">
        <v>-280000</v>
      </c>
    </row>
    <row r="10" spans="1:3">
      <c r="B10" t="s">
        <v>167</v>
      </c>
      <c r="C10" s="65">
        <v>0.1</v>
      </c>
    </row>
    <row r="11" spans="1:3" ht="18">
      <c r="A11" t="s">
        <v>130</v>
      </c>
      <c r="B11" t="s">
        <v>163</v>
      </c>
      <c r="C11" s="2">
        <f>NPER(C10,C8,C9)</f>
        <v>16.886317030755073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A7A1-00D1-4C1C-8888-49135A176586}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4B02C42B7A1148AD63B7FEF59E1E6F" ma:contentTypeVersion="10" ma:contentTypeDescription="Create a new document." ma:contentTypeScope="" ma:versionID="4a3dbdc5b0fd7e81d875dc84f800ebda">
  <xsd:schema xmlns:xsd="http://www.w3.org/2001/XMLSchema" xmlns:xs="http://www.w3.org/2001/XMLSchema" xmlns:p="http://schemas.microsoft.com/office/2006/metadata/properties" xmlns:ns2="645f9611-4d2b-4056-a728-8af3feceb533" xmlns:ns3="63dadbb3-b065-4d83-b7f7-d8a06d2e81b1" targetNamespace="http://schemas.microsoft.com/office/2006/metadata/properties" ma:root="true" ma:fieldsID="b7c6599c1f57af6b92ec46bd9426d623" ns2:_="" ns3:_="">
    <xsd:import namespace="645f9611-4d2b-4056-a728-8af3feceb533"/>
    <xsd:import namespace="63dadbb3-b065-4d83-b7f7-d8a06d2e81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f9611-4d2b-4056-a728-8af3feceb5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adbb3-b065-4d83-b7f7-d8a06d2e81b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50B47F-3A99-43F6-A5A0-C55FBC1796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0FF983-C720-40D0-9283-878D59AE15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FCC91D-285F-4EC0-8CCF-0B8D52F966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5f9611-4d2b-4056-a728-8af3feceb533"/>
    <ds:schemaRef ds:uri="63dadbb3-b065-4d83-b7f7-d8a06d2e81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Q1-Q10</vt:lpstr>
      <vt:lpstr>Q11-Q13</vt:lpstr>
      <vt:lpstr>Q14</vt:lpstr>
      <vt:lpstr>Q15-Q16</vt:lpstr>
      <vt:lpstr>Prob 13.1</vt:lpstr>
      <vt:lpstr>Prob 13.5</vt:lpstr>
      <vt:lpstr>Probl 13.14</vt:lpstr>
      <vt:lpstr>Prob 13.27</vt:lpstr>
      <vt:lpstr>Prob 13.31</vt:lpstr>
      <vt:lpstr>Original statements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 King</dc:creator>
  <cp:keywords/>
  <dc:description/>
  <cp:lastModifiedBy>Epic Gage</cp:lastModifiedBy>
  <cp:revision/>
  <dcterms:created xsi:type="dcterms:W3CDTF">2021-01-14T15:40:13Z</dcterms:created>
  <dcterms:modified xsi:type="dcterms:W3CDTF">2023-09-12T02:06:17Z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0x010100AD4B02C42B7A1148AD63B7FEF59E1E6F</vt:lpwstr>
  </property>
</Properties>
</file>