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pic Gage\Documents\College-Work\Autumn 2023\Engineering Economics\Homework\"/>
    </mc:Choice>
  </mc:AlternateContent>
  <xr:revisionPtr revIDLastSave="0" documentId="13_ncr:1_{E683C738-A51A-4901-BE27-0E97AAA82EEC}" xr6:coauthVersionLast="47" xr6:coauthVersionMax="47" xr10:uidLastSave="{00000000-0000-0000-0000-000000000000}"/>
  <bookViews>
    <workbookView xWindow="-60" yWindow="-60" windowWidth="38520" windowHeight="21270" activeTab="5" xr2:uid="{B4068B71-D893-4D6E-AE21-CF4AFED96A0A}"/>
  </bookViews>
  <sheets>
    <sheet name="6.8" sheetId="1" r:id="rId1"/>
    <sheet name="6.11" sheetId="2" r:id="rId2"/>
    <sheet name="6.18" sheetId="3" r:id="rId3"/>
    <sheet name="6.20" sheetId="4" r:id="rId4"/>
    <sheet name="6.28" sheetId="5" r:id="rId5"/>
    <sheet name="6.3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4" l="1"/>
  <c r="D20" i="4"/>
  <c r="D15" i="3"/>
  <c r="D21" i="4"/>
  <c r="F21" i="4" s="1"/>
  <c r="H28" i="4"/>
  <c r="I28" i="4"/>
  <c r="I27" i="4"/>
  <c r="H27" i="4"/>
  <c r="E15" i="3"/>
  <c r="J17" i="3"/>
  <c r="D34" i="6"/>
  <c r="D31" i="6"/>
  <c r="E30" i="6"/>
  <c r="F30" i="6"/>
  <c r="G30" i="6"/>
  <c r="H30" i="6"/>
  <c r="D30" i="6"/>
  <c r="C23" i="6"/>
  <c r="C24" i="6" s="1"/>
  <c r="C25" i="6" s="1"/>
  <c r="C26" i="6" s="1"/>
  <c r="C22" i="6"/>
  <c r="F22" i="4"/>
  <c r="F23" i="4"/>
  <c r="F24" i="4"/>
  <c r="D24" i="4"/>
  <c r="D23" i="4"/>
  <c r="D22" i="4"/>
  <c r="E23" i="4"/>
  <c r="E21" i="4"/>
  <c r="E22" i="4"/>
  <c r="E24" i="4"/>
  <c r="J14" i="4"/>
  <c r="J12" i="4"/>
  <c r="J11" i="4"/>
  <c r="J17" i="4"/>
  <c r="I22" i="4"/>
  <c r="I19" i="4"/>
  <c r="I15" i="4"/>
  <c r="J15" i="4"/>
  <c r="I21" i="4"/>
  <c r="I20" i="4"/>
  <c r="I17" i="4"/>
  <c r="I18" i="4"/>
  <c r="I16" i="4"/>
  <c r="I14" i="4"/>
  <c r="J18" i="4"/>
  <c r="J19" i="4"/>
  <c r="J20" i="4"/>
  <c r="J21" i="4"/>
  <c r="J22" i="4"/>
  <c r="J13" i="4"/>
  <c r="J16" i="4"/>
  <c r="I13" i="4"/>
  <c r="I12" i="4"/>
  <c r="I11" i="4"/>
  <c r="H12" i="4"/>
  <c r="H13" i="4" s="1"/>
  <c r="H14" i="4" s="1"/>
  <c r="H15" i="4" s="1"/>
  <c r="H16" i="4" s="1"/>
  <c r="H17" i="4" s="1"/>
  <c r="H18" i="4" s="1"/>
  <c r="H19" i="4" s="1"/>
  <c r="H20" i="4" s="1"/>
  <c r="H21" i="4" s="1"/>
  <c r="K15" i="3"/>
  <c r="K18" i="3"/>
  <c r="J18" i="3"/>
  <c r="J13" i="3"/>
  <c r="J14" i="3"/>
  <c r="J15" i="3"/>
  <c r="J16" i="3"/>
  <c r="J12" i="3"/>
  <c r="K14" i="3"/>
  <c r="K12" i="3"/>
  <c r="K13" i="3"/>
  <c r="K11" i="3"/>
  <c r="J11" i="3"/>
  <c r="I13" i="3"/>
  <c r="I14" i="3"/>
  <c r="I15" i="3" s="1"/>
  <c r="I16" i="3" s="1"/>
  <c r="I17" i="3" s="1"/>
  <c r="I12" i="3"/>
  <c r="G18" i="2"/>
  <c r="E15" i="2"/>
  <c r="G15" i="2"/>
  <c r="C15" i="2"/>
  <c r="E11" i="2"/>
  <c r="C11" i="2"/>
  <c r="E13" i="1"/>
  <c r="E14" i="1" s="1"/>
  <c r="E15" i="1" s="1"/>
  <c r="E16" i="1" s="1"/>
  <c r="E17" i="1" s="1"/>
  <c r="E18" i="1" s="1"/>
  <c r="E19" i="1" s="1"/>
  <c r="E20" i="1" s="1"/>
  <c r="F20" i="4" l="1"/>
</calcChain>
</file>

<file path=xl/sharedStrings.xml><?xml version="1.0" encoding="utf-8"?>
<sst xmlns="http://schemas.openxmlformats.org/spreadsheetml/2006/main" count="79" uniqueCount="69">
  <si>
    <t xml:space="preserve">Problem 6.8
White Oaks Properties builds strip shopping cen¬ters and small malls. The company plans to replace its refrigeration, cooking, and HVAC equipment with newer models in one entire center built 9 years ago. The original purchase price of the equipment was $638,000 nine years ago and the operating cost has averaged $240,000 per year. Determine the equivalent annual cost of the equip¬ment if the company can now sell it for $184,000. The company’s MARR is 25% per year. </t>
  </si>
  <si>
    <t xml:space="preserve">Problem 6.11
The Toro Company is expanding its El Paso, Texas plastic molding plant as it continues to transfer work from Juarez, Mexico contractors. The plant bought a $1.1 million precision injection molding machine to make plastic parts for Toro lawn mow¬ers, trimmers, and snow blowers. The plant also spent $275,000 for three smaller plastic injection molding machines to make plastic parts for a new line of sprinkler systems. The plant expects to hire 13 people, including some engineers for the ex¬pansion. If the average loaded cost (i.e., including benefits) of each employee is $100,000 per year, determine the annual worth of the new systems and employees over a 5-year study period. Use an investment return rate of 10% per year, and assume a 25% salvage value for the new equipment. </t>
  </si>
  <si>
    <t>Problem 6.20
You have two machines under consideration for an improved automated wrapping process for Snick¬ers Fun Size candy bars as detailed below. 
(a) Using an AW analysis, determine which should be selected at i = 15% per year.
(b) Assume you want machine D to be selected and are willing to extend its estimated life, if necessary. Perform this analysis to ensure D’s selection</t>
  </si>
  <si>
    <t>Machine</t>
  </si>
  <si>
    <t>C</t>
  </si>
  <si>
    <t>D</t>
  </si>
  <si>
    <t>First cost, $</t>
  </si>
  <si>
    <t>Annual cost, $/year</t>
  </si>
  <si>
    <t>Salvage value, $</t>
  </si>
  <si>
    <t>Life, years</t>
  </si>
  <si>
    <t>Problem 6.28
The State of Chiapas, Mexico, decided to fund a program for improving reading skills in elemen¬tary school students. The first cost is $300,000 now, and an update amount of $100,000 every 5 years forever. Determine the perpetual equiva¬lent annual cost at an interest rate of 10% per year.</t>
  </si>
  <si>
    <t>Problem 6.34
An international aerospace contractor has been asked by a municipal police department to estimate and analyze the life cycle costs for a proposed drone surveillance system to monitor traffic patterns and congestion within the central thoroughfares of the city. The list of items include the following general categories: R&amp;D costs (R&amp;D), nonrecurring invest¬ment costs (NRI), recurring investment costs (RI), scheduled and unscheduled maintenance costs (Maint), equipment usage costs (Equip), and dis¬posal costs (Disp). The costs (in $ million units) for the 20-year life cycle have been estimated. Calculate the annual LCC at an interest rate of 7% per year.</t>
  </si>
  <si>
    <t>Problem 6.18
An international textile company’s North America Division must decide which type of fabric cutting machines it will use—straight knife or round knife. The estimates are summarized below. Compare them on the basis of annual worth values at i = 10% per year.</t>
  </si>
  <si>
    <t>round knife</t>
  </si>
  <si>
    <t>straight knife</t>
  </si>
  <si>
    <t>First cost</t>
  </si>
  <si>
    <t>ann cost</t>
  </si>
  <si>
    <t>overhaul cost in year 2</t>
  </si>
  <si>
    <t>-</t>
  </si>
  <si>
    <t>sal val</t>
  </si>
  <si>
    <t>life</t>
  </si>
  <si>
    <t>Year</t>
  </si>
  <si>
    <t>CF</t>
  </si>
  <si>
    <t>S</t>
  </si>
  <si>
    <t>PW</t>
  </si>
  <si>
    <t>MARR</t>
  </si>
  <si>
    <t>PMT</t>
  </si>
  <si>
    <t>EAC</t>
  </si>
  <si>
    <t>Precision Machine</t>
  </si>
  <si>
    <t>Init Investment</t>
  </si>
  <si>
    <t>Salvage Value</t>
  </si>
  <si>
    <t>Life (Years)</t>
  </si>
  <si>
    <t>Each Small Machine</t>
  </si>
  <si>
    <t>Employees</t>
  </si>
  <si>
    <t>Cost Per Employee (Per Year)</t>
  </si>
  <si>
    <t>Number</t>
  </si>
  <si>
    <t>Total EAC</t>
  </si>
  <si>
    <t>NPV</t>
  </si>
  <si>
    <t>CF Round</t>
  </si>
  <si>
    <t>CF Straight</t>
  </si>
  <si>
    <t>CF C</t>
  </si>
  <si>
    <t>CF D</t>
  </si>
  <si>
    <t>i</t>
  </si>
  <si>
    <t>a)</t>
  </si>
  <si>
    <t>b)</t>
  </si>
  <si>
    <t>Diff</t>
  </si>
  <si>
    <t>5 years</t>
  </si>
  <si>
    <t>10 years</t>
  </si>
  <si>
    <t>6 years</t>
  </si>
  <si>
    <t>AW</t>
  </si>
  <si>
    <t>Description</t>
  </si>
  <si>
    <t>Initial Cost</t>
  </si>
  <si>
    <t>Interest Rate</t>
  </si>
  <si>
    <t>PEAC</t>
  </si>
  <si>
    <t>Recurring Cost 5 years</t>
  </si>
  <si>
    <t>R&amp;D</t>
  </si>
  <si>
    <t>RI</t>
  </si>
  <si>
    <t>Maint</t>
  </si>
  <si>
    <t>Equip</t>
  </si>
  <si>
    <t>Disp</t>
  </si>
  <si>
    <t>6-10.</t>
  </si>
  <si>
    <t>11-20.</t>
  </si>
  <si>
    <t>18-20</t>
  </si>
  <si>
    <t>Total</t>
  </si>
  <si>
    <t>Big Total</t>
  </si>
  <si>
    <t>n</t>
  </si>
  <si>
    <t>Total Cost</t>
  </si>
  <si>
    <t>Past Value</t>
  </si>
  <si>
    <t xml:space="preserve">4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</si>
</sst>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 x14ac:knownFonts="1">
    <font>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3" fontId="0" fillId="0" borderId="0" xfId="0" applyNumberFormat="1"/>
    <xf numFmtId="0" fontId="0" fillId="0" borderId="0" xfId="0" applyAlignment="1">
      <alignment horizontal="center" vertical="center"/>
    </xf>
    <xf numFmtId="6" fontId="0" fillId="0" borderId="0" xfId="0" applyNumberFormat="1"/>
    <xf numFmtId="9" fontId="0" fillId="0" borderId="0" xfId="0" applyNumberFormat="1"/>
    <xf numFmtId="8" fontId="0" fillId="0" borderId="0" xfId="0" applyNumberFormat="1"/>
    <xf numFmtId="8" fontId="1" fillId="2" borderId="0" xfId="1" applyNumberFormat="1"/>
    <xf numFmtId="40" fontId="0" fillId="0" borderId="0" xfId="0" applyNumberFormat="1"/>
    <xf numFmtId="38"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40" fontId="0" fillId="3" borderId="0" xfId="0" applyNumberFormat="1" applyFill="1"/>
    <xf numFmtId="0" fontId="0" fillId="3" borderId="0" xfId="0" applyFill="1"/>
    <xf numFmtId="16" fontId="0" fillId="0" borderId="0" xfId="0" applyNumberFormat="1"/>
    <xf numFmtId="40" fontId="1" fillId="2" borderId="0" xfId="1" applyNumberForma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17144</xdr:colOff>
      <xdr:row>7</xdr:row>
      <xdr:rowOff>9525</xdr:rowOff>
    </xdr:from>
    <xdr:to>
      <xdr:col>4</xdr:col>
      <xdr:colOff>171664</xdr:colOff>
      <xdr:row>17</xdr:row>
      <xdr:rowOff>62865</xdr:rowOff>
    </xdr:to>
    <xdr:pic>
      <xdr:nvPicPr>
        <xdr:cNvPr id="2" name="Picture 1">
          <a:extLst>
            <a:ext uri="{FF2B5EF4-FFF2-40B4-BE49-F238E27FC236}">
              <a16:creationId xmlns:a16="http://schemas.microsoft.com/office/drawing/2014/main" id="{A2ADC069-8671-4694-BE4F-C4BF06F389C2}"/>
            </a:ext>
          </a:extLst>
        </xdr:cNvPr>
        <xdr:cNvPicPr>
          <a:picLocks noChangeAspect="1"/>
        </xdr:cNvPicPr>
      </xdr:nvPicPr>
      <xdr:blipFill>
        <a:blip xmlns:r="http://schemas.openxmlformats.org/officeDocument/2006/relationships" r:embed="rId1" cstate="print"/>
        <a:srcRect/>
        <a:stretch>
          <a:fillRect/>
        </a:stretch>
      </xdr:blipFill>
      <xdr:spPr bwMode="auto">
        <a:xfrm>
          <a:off x="626744" y="1724025"/>
          <a:ext cx="3326345" cy="19583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544F-AD85-4C7E-AFCA-1B4F8844BB1A}">
  <dimension ref="B2:J23"/>
  <sheetViews>
    <sheetView workbookViewId="0">
      <selection activeCell="F43" sqref="F43"/>
    </sheetView>
  </sheetViews>
  <sheetFormatPr defaultRowHeight="15" x14ac:dyDescent="0.25"/>
  <cols>
    <col min="2" max="2" width="8.85546875" customWidth="1"/>
    <col min="6" max="6" width="12.5703125" bestFit="1" customWidth="1"/>
  </cols>
  <sheetData>
    <row r="2" spans="2:10" ht="55.9" customHeight="1" x14ac:dyDescent="0.25">
      <c r="B2" s="9" t="s">
        <v>0</v>
      </c>
      <c r="C2" s="10"/>
      <c r="D2" s="10"/>
      <c r="E2" s="10"/>
      <c r="F2" s="10"/>
      <c r="G2" s="10"/>
      <c r="H2" s="10"/>
      <c r="I2" s="10"/>
      <c r="J2" s="10"/>
    </row>
    <row r="3" spans="2:10" x14ac:dyDescent="0.25">
      <c r="B3" s="10"/>
      <c r="C3" s="10"/>
      <c r="D3" s="10"/>
      <c r="E3" s="10"/>
      <c r="F3" s="10"/>
      <c r="G3" s="10"/>
      <c r="H3" s="10"/>
      <c r="I3" s="10"/>
      <c r="J3" s="10"/>
    </row>
    <row r="4" spans="2:10" x14ac:dyDescent="0.25">
      <c r="B4" s="10"/>
      <c r="C4" s="10"/>
      <c r="D4" s="10"/>
      <c r="E4" s="10"/>
      <c r="F4" s="10"/>
      <c r="G4" s="10"/>
      <c r="H4" s="10"/>
      <c r="I4" s="10"/>
      <c r="J4" s="10"/>
    </row>
    <row r="5" spans="2:10" x14ac:dyDescent="0.25">
      <c r="B5" s="10"/>
      <c r="C5" s="10"/>
      <c r="D5" s="10"/>
      <c r="E5" s="10"/>
      <c r="F5" s="10"/>
      <c r="G5" s="10"/>
      <c r="H5" s="10"/>
      <c r="I5" s="10"/>
      <c r="J5" s="10"/>
    </row>
    <row r="6" spans="2:10" x14ac:dyDescent="0.25">
      <c r="B6" s="10"/>
      <c r="C6" s="10"/>
      <c r="D6" s="10"/>
      <c r="E6" s="10"/>
      <c r="F6" s="10"/>
      <c r="G6" s="10"/>
      <c r="H6" s="10"/>
      <c r="I6" s="10"/>
      <c r="J6" s="10"/>
    </row>
    <row r="11" spans="2:10" x14ac:dyDescent="0.25">
      <c r="E11" t="s">
        <v>21</v>
      </c>
      <c r="F11" t="s">
        <v>22</v>
      </c>
    </row>
    <row r="12" spans="2:10" x14ac:dyDescent="0.25">
      <c r="E12">
        <v>1</v>
      </c>
      <c r="F12" s="3">
        <v>-638000</v>
      </c>
    </row>
    <row r="13" spans="2:10" x14ac:dyDescent="0.25">
      <c r="E13">
        <f>E12+1</f>
        <v>2</v>
      </c>
      <c r="F13" s="3">
        <v>-240000</v>
      </c>
    </row>
    <row r="14" spans="2:10" x14ac:dyDescent="0.25">
      <c r="E14">
        <f t="shared" ref="E14:E20" si="0">E13+1</f>
        <v>3</v>
      </c>
      <c r="F14" s="3">
        <v>-240000</v>
      </c>
    </row>
    <row r="15" spans="2:10" x14ac:dyDescent="0.25">
      <c r="E15">
        <f t="shared" si="0"/>
        <v>4</v>
      </c>
      <c r="F15" s="3">
        <v>-240000</v>
      </c>
    </row>
    <row r="16" spans="2:10" x14ac:dyDescent="0.25">
      <c r="E16">
        <f t="shared" si="0"/>
        <v>5</v>
      </c>
      <c r="F16" s="3">
        <v>-240000</v>
      </c>
    </row>
    <row r="17" spans="5:6" x14ac:dyDescent="0.25">
      <c r="E17">
        <f t="shared" si="0"/>
        <v>6</v>
      </c>
      <c r="F17" s="3">
        <v>-240000</v>
      </c>
    </row>
    <row r="18" spans="5:6" x14ac:dyDescent="0.25">
      <c r="E18">
        <f t="shared" si="0"/>
        <v>7</v>
      </c>
      <c r="F18" s="3">
        <v>-240000</v>
      </c>
    </row>
    <row r="19" spans="5:6" x14ac:dyDescent="0.25">
      <c r="E19">
        <f t="shared" si="0"/>
        <v>8</v>
      </c>
      <c r="F19" s="3">
        <v>-240000</v>
      </c>
    </row>
    <row r="20" spans="5:6" x14ac:dyDescent="0.25">
      <c r="E20">
        <f t="shared" si="0"/>
        <v>9</v>
      </c>
      <c r="F20" s="3">
        <v>-240000</v>
      </c>
    </row>
    <row r="21" spans="5:6" x14ac:dyDescent="0.25">
      <c r="E21" t="s">
        <v>24</v>
      </c>
      <c r="F21" s="3">
        <v>184000</v>
      </c>
    </row>
    <row r="22" spans="5:6" x14ac:dyDescent="0.25">
      <c r="E22" t="s">
        <v>25</v>
      </c>
      <c r="F22" s="4">
        <v>0.25</v>
      </c>
    </row>
    <row r="23" spans="5:6" x14ac:dyDescent="0.25">
      <c r="E23" t="s">
        <v>26</v>
      </c>
      <c r="F23" s="6">
        <v>-417097</v>
      </c>
    </row>
  </sheetData>
  <mergeCells count="1">
    <mergeCell ref="B2:J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B52F-EF0E-4133-B5DC-28DC5C84AD6F}">
  <dimension ref="B2:J26"/>
  <sheetViews>
    <sheetView workbookViewId="0">
      <selection activeCell="G18" sqref="G18"/>
    </sheetView>
  </sheetViews>
  <sheetFormatPr defaultRowHeight="15" x14ac:dyDescent="0.25"/>
  <cols>
    <col min="2" max="2" width="28.85546875" customWidth="1"/>
    <col min="3" max="3" width="12.42578125" bestFit="1" customWidth="1"/>
    <col min="5" max="5" width="12.5703125" bestFit="1" customWidth="1"/>
    <col min="6" max="6" width="10.140625" customWidth="1"/>
    <col min="7" max="7" width="14.28515625" bestFit="1" customWidth="1"/>
  </cols>
  <sheetData>
    <row r="2" spans="2:10" ht="62.45" customHeight="1" x14ac:dyDescent="0.25">
      <c r="B2" s="9" t="s">
        <v>1</v>
      </c>
      <c r="C2" s="10"/>
      <c r="D2" s="10"/>
      <c r="E2" s="10"/>
      <c r="F2" s="10"/>
      <c r="G2" s="10"/>
      <c r="H2" s="10"/>
      <c r="I2" s="10"/>
      <c r="J2" s="10"/>
    </row>
    <row r="3" spans="2:10" x14ac:dyDescent="0.25">
      <c r="B3" s="10"/>
      <c r="C3" s="10"/>
      <c r="D3" s="10"/>
      <c r="E3" s="10"/>
      <c r="F3" s="10"/>
      <c r="G3" s="10"/>
      <c r="H3" s="10"/>
      <c r="I3" s="10"/>
      <c r="J3" s="10"/>
    </row>
    <row r="4" spans="2:10" x14ac:dyDescent="0.25">
      <c r="B4" s="10"/>
      <c r="C4" s="10"/>
      <c r="D4" s="10"/>
      <c r="E4" s="10"/>
      <c r="F4" s="10"/>
      <c r="G4" s="10"/>
      <c r="H4" s="10"/>
      <c r="I4" s="10"/>
      <c r="J4" s="10"/>
    </row>
    <row r="5" spans="2:10" x14ac:dyDescent="0.25">
      <c r="B5" s="10"/>
      <c r="C5" s="10"/>
      <c r="D5" s="10"/>
      <c r="E5" s="10"/>
      <c r="F5" s="10"/>
      <c r="G5" s="10"/>
      <c r="H5" s="10"/>
      <c r="I5" s="10"/>
      <c r="J5" s="10"/>
    </row>
    <row r="6" spans="2:10" x14ac:dyDescent="0.25">
      <c r="B6" s="10"/>
      <c r="C6" s="10"/>
      <c r="D6" s="10"/>
      <c r="E6" s="10"/>
      <c r="F6" s="10"/>
      <c r="G6" s="10"/>
      <c r="H6" s="10"/>
      <c r="I6" s="10"/>
      <c r="J6" s="10"/>
    </row>
    <row r="9" spans="2:10" x14ac:dyDescent="0.25">
      <c r="C9" t="s">
        <v>28</v>
      </c>
      <c r="E9" t="s">
        <v>32</v>
      </c>
      <c r="G9" t="s">
        <v>33</v>
      </c>
    </row>
    <row r="10" spans="2:10" x14ac:dyDescent="0.25">
      <c r="B10" t="s">
        <v>29</v>
      </c>
      <c r="C10" s="7">
        <v>1100000</v>
      </c>
      <c r="E10" s="3">
        <v>275000</v>
      </c>
    </row>
    <row r="11" spans="2:10" x14ac:dyDescent="0.25">
      <c r="B11" t="s">
        <v>30</v>
      </c>
      <c r="C11" s="7">
        <f>C10*0.25</f>
        <v>275000</v>
      </c>
      <c r="E11" s="5">
        <f>E10*0.25</f>
        <v>68750</v>
      </c>
    </row>
    <row r="12" spans="2:10" x14ac:dyDescent="0.25">
      <c r="B12" t="s">
        <v>31</v>
      </c>
      <c r="C12" s="8">
        <v>5</v>
      </c>
      <c r="E12">
        <v>5</v>
      </c>
    </row>
    <row r="13" spans="2:10" x14ac:dyDescent="0.25">
      <c r="B13" t="s">
        <v>34</v>
      </c>
      <c r="C13" s="7"/>
      <c r="G13" s="3">
        <v>100000</v>
      </c>
    </row>
    <row r="14" spans="2:10" x14ac:dyDescent="0.25">
      <c r="B14" t="s">
        <v>35</v>
      </c>
      <c r="C14" s="7"/>
      <c r="E14">
        <v>3</v>
      </c>
      <c r="G14">
        <v>13</v>
      </c>
    </row>
    <row r="15" spans="2:10" x14ac:dyDescent="0.25">
      <c r="B15" t="s">
        <v>27</v>
      </c>
      <c r="C15" s="7">
        <f>PMT(10%,5,(1100000-275000),-275000,0)</f>
        <v>-172588.61443710999</v>
      </c>
      <c r="E15" s="5">
        <f>3*PMT(10%, 5, 275000-68750, -68750, 0)</f>
        <v>-129441.46082783249</v>
      </c>
      <c r="G15" s="3">
        <f>-G13*G14</f>
        <v>-1300000</v>
      </c>
    </row>
    <row r="16" spans="2:10" x14ac:dyDescent="0.25">
      <c r="C16" s="7"/>
    </row>
    <row r="17" spans="3:7" x14ac:dyDescent="0.25">
      <c r="C17" s="7"/>
    </row>
    <row r="18" spans="3:7" x14ac:dyDescent="0.25">
      <c r="C18" s="7"/>
      <c r="F18" t="s">
        <v>36</v>
      </c>
      <c r="G18" s="6">
        <f>C15+E15+G15</f>
        <v>-1602030.0752649424</v>
      </c>
    </row>
    <row r="19" spans="3:7" x14ac:dyDescent="0.25">
      <c r="C19" s="7"/>
    </row>
    <row r="20" spans="3:7" x14ac:dyDescent="0.25">
      <c r="C20" s="7"/>
    </row>
    <row r="21" spans="3:7" x14ac:dyDescent="0.25">
      <c r="C21" s="7"/>
    </row>
    <row r="22" spans="3:7" x14ac:dyDescent="0.25">
      <c r="C22" s="7"/>
    </row>
    <row r="23" spans="3:7" x14ac:dyDescent="0.25">
      <c r="C23" s="7"/>
    </row>
    <row r="24" spans="3:7" x14ac:dyDescent="0.25">
      <c r="C24" s="7"/>
    </row>
    <row r="25" spans="3:7" x14ac:dyDescent="0.25">
      <c r="C25" s="7"/>
    </row>
    <row r="26" spans="3:7" x14ac:dyDescent="0.25">
      <c r="C26" s="7"/>
    </row>
  </sheetData>
  <mergeCells count="1">
    <mergeCell ref="B2:J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4F0E-2015-4261-86B7-AA7B62D48549}">
  <dimension ref="B2:K20"/>
  <sheetViews>
    <sheetView workbookViewId="0">
      <selection activeCell="D15" sqref="D15"/>
    </sheetView>
  </sheetViews>
  <sheetFormatPr defaultRowHeight="15" x14ac:dyDescent="0.25"/>
  <cols>
    <col min="3" max="3" width="24.5703125" customWidth="1"/>
    <col min="4" max="4" width="18" customWidth="1"/>
    <col min="5" max="5" width="16.42578125" customWidth="1"/>
  </cols>
  <sheetData>
    <row r="2" spans="2:11" x14ac:dyDescent="0.25">
      <c r="B2" s="9" t="s">
        <v>12</v>
      </c>
      <c r="C2" s="9"/>
      <c r="D2" s="9"/>
      <c r="E2" s="9"/>
      <c r="F2" s="9"/>
      <c r="G2" s="9"/>
      <c r="H2" s="9"/>
      <c r="I2" s="9"/>
      <c r="J2" s="9"/>
    </row>
    <row r="3" spans="2:11" x14ac:dyDescent="0.25">
      <c r="B3" s="9"/>
      <c r="C3" s="9"/>
      <c r="D3" s="9"/>
      <c r="E3" s="9"/>
      <c r="F3" s="9"/>
      <c r="G3" s="9"/>
      <c r="H3" s="9"/>
      <c r="I3" s="9"/>
      <c r="J3" s="9"/>
    </row>
    <row r="4" spans="2:11" x14ac:dyDescent="0.25">
      <c r="B4" s="9"/>
      <c r="C4" s="9"/>
      <c r="D4" s="9"/>
      <c r="E4" s="9"/>
      <c r="F4" s="9"/>
      <c r="G4" s="9"/>
      <c r="H4" s="9"/>
      <c r="I4" s="9"/>
      <c r="J4" s="9"/>
    </row>
    <row r="5" spans="2:11" x14ac:dyDescent="0.25">
      <c r="B5" s="9"/>
      <c r="C5" s="9"/>
      <c r="D5" s="9"/>
      <c r="E5" s="9"/>
      <c r="F5" s="9"/>
      <c r="G5" s="9"/>
      <c r="H5" s="9"/>
      <c r="I5" s="9"/>
      <c r="J5" s="9"/>
    </row>
    <row r="6" spans="2:11" x14ac:dyDescent="0.25">
      <c r="B6" s="9"/>
      <c r="C6" s="9"/>
      <c r="D6" s="9"/>
      <c r="E6" s="9"/>
      <c r="F6" s="9"/>
      <c r="G6" s="9"/>
      <c r="H6" s="9"/>
      <c r="I6" s="9"/>
      <c r="J6" s="9"/>
    </row>
    <row r="8" spans="2:11" x14ac:dyDescent="0.25">
      <c r="D8" s="2" t="s">
        <v>13</v>
      </c>
      <c r="E8" s="2" t="s">
        <v>14</v>
      </c>
    </row>
    <row r="9" spans="2:11" x14ac:dyDescent="0.25">
      <c r="C9" t="s">
        <v>15</v>
      </c>
      <c r="D9" s="1">
        <v>-250000</v>
      </c>
      <c r="E9" s="1">
        <v>-170000</v>
      </c>
    </row>
    <row r="10" spans="2:11" x14ac:dyDescent="0.25">
      <c r="C10" t="s">
        <v>16</v>
      </c>
      <c r="D10" s="1">
        <v>-31000</v>
      </c>
      <c r="E10" s="1">
        <v>-35000</v>
      </c>
      <c r="I10" t="s">
        <v>21</v>
      </c>
      <c r="J10" t="s">
        <v>38</v>
      </c>
      <c r="K10" t="s">
        <v>39</v>
      </c>
    </row>
    <row r="11" spans="2:11" x14ac:dyDescent="0.25">
      <c r="C11" t="s">
        <v>17</v>
      </c>
      <c r="D11" t="s">
        <v>18</v>
      </c>
      <c r="E11" s="1">
        <v>-26000</v>
      </c>
      <c r="I11">
        <v>0</v>
      </c>
      <c r="J11" s="1">
        <f>D9</f>
        <v>-250000</v>
      </c>
      <c r="K11" s="1">
        <f>E9</f>
        <v>-170000</v>
      </c>
    </row>
    <row r="12" spans="2:11" x14ac:dyDescent="0.25">
      <c r="C12" t="s">
        <v>19</v>
      </c>
      <c r="D12" s="1">
        <v>40000</v>
      </c>
      <c r="E12" s="1">
        <v>10000</v>
      </c>
      <c r="I12">
        <f>I11+1</f>
        <v>1</v>
      </c>
      <c r="J12" s="1">
        <f>$D$10</f>
        <v>-31000</v>
      </c>
      <c r="K12" s="1">
        <f>E10</f>
        <v>-35000</v>
      </c>
    </row>
    <row r="13" spans="2:11" x14ac:dyDescent="0.25">
      <c r="C13" t="s">
        <v>20</v>
      </c>
      <c r="D13" s="1">
        <v>6</v>
      </c>
      <c r="E13" s="1">
        <v>4</v>
      </c>
      <c r="I13">
        <f t="shared" ref="I13:I17" si="0">I12+1</f>
        <v>2</v>
      </c>
      <c r="J13" s="1">
        <f t="shared" ref="J13:J17" si="1">$D$10</f>
        <v>-31000</v>
      </c>
      <c r="K13" s="1">
        <f>E10+E11</f>
        <v>-61000</v>
      </c>
    </row>
    <row r="14" spans="2:11" x14ac:dyDescent="0.25">
      <c r="I14">
        <f t="shared" si="0"/>
        <v>3</v>
      </c>
      <c r="J14" s="1">
        <f t="shared" si="1"/>
        <v>-31000</v>
      </c>
      <c r="K14" s="1">
        <f>E10</f>
        <v>-35000</v>
      </c>
    </row>
    <row r="15" spans="2:11" x14ac:dyDescent="0.25">
      <c r="C15" t="s">
        <v>37</v>
      </c>
      <c r="D15" s="6">
        <f>NPV(0.1, J11:J18)</f>
        <v>-331351.5972310006</v>
      </c>
      <c r="E15" s="5">
        <f>NPV(0.1,K11:K18)</f>
        <v>-263085.04194888001</v>
      </c>
      <c r="I15">
        <f t="shared" si="0"/>
        <v>4</v>
      </c>
      <c r="J15" s="1">
        <f t="shared" si="1"/>
        <v>-31000</v>
      </c>
      <c r="K15" s="1">
        <f>$E$10+K18</f>
        <v>-25000</v>
      </c>
    </row>
    <row r="16" spans="2:11" x14ac:dyDescent="0.25">
      <c r="E16" s="5"/>
      <c r="I16">
        <f t="shared" si="0"/>
        <v>5</v>
      </c>
      <c r="J16" s="1">
        <f t="shared" si="1"/>
        <v>-31000</v>
      </c>
      <c r="K16" s="1"/>
    </row>
    <row r="17" spans="9:11" x14ac:dyDescent="0.25">
      <c r="I17">
        <f t="shared" si="0"/>
        <v>6</v>
      </c>
      <c r="J17" s="1">
        <f t="shared" si="1"/>
        <v>-31000</v>
      </c>
      <c r="K17" s="1"/>
    </row>
    <row r="18" spans="9:11" x14ac:dyDescent="0.25">
      <c r="I18" t="s">
        <v>23</v>
      </c>
      <c r="J18" s="1">
        <f>D12</f>
        <v>40000</v>
      </c>
      <c r="K18" s="1">
        <f>E12</f>
        <v>10000</v>
      </c>
    </row>
    <row r="19" spans="9:11" x14ac:dyDescent="0.25">
      <c r="K19" s="1"/>
    </row>
    <row r="20" spans="9:11" x14ac:dyDescent="0.25">
      <c r="K20" s="1"/>
    </row>
  </sheetData>
  <mergeCells count="1">
    <mergeCell ref="B2: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15FB-0D78-45B0-9A98-C5B12C61ACF8}">
  <dimension ref="B2:W83"/>
  <sheetViews>
    <sheetView workbookViewId="0">
      <selection activeCell="B2" sqref="B2:J6"/>
    </sheetView>
  </sheetViews>
  <sheetFormatPr defaultRowHeight="15" x14ac:dyDescent="0.25"/>
  <cols>
    <col min="2" max="2" width="16.7109375" bestFit="1" customWidth="1"/>
    <col min="3" max="3" width="11.140625" customWidth="1"/>
    <col min="4" max="5" width="13.5703125" customWidth="1"/>
    <col min="6" max="6" width="12" customWidth="1"/>
    <col min="7" max="8" width="13" customWidth="1"/>
    <col min="9" max="9" width="13.85546875" customWidth="1"/>
    <col min="10" max="10" width="14.140625" customWidth="1"/>
  </cols>
  <sheetData>
    <row r="2" spans="2:21" ht="39" customHeight="1" x14ac:dyDescent="0.25">
      <c r="B2" s="9" t="s">
        <v>2</v>
      </c>
      <c r="C2" s="10"/>
      <c r="D2" s="10"/>
      <c r="E2" s="10"/>
      <c r="F2" s="10"/>
      <c r="G2" s="10"/>
      <c r="H2" s="10"/>
      <c r="I2" s="10"/>
      <c r="J2" s="10"/>
    </row>
    <row r="3" spans="2:21" x14ac:dyDescent="0.25">
      <c r="B3" s="10"/>
      <c r="C3" s="10"/>
      <c r="D3" s="10"/>
      <c r="E3" s="10"/>
      <c r="F3" s="10"/>
      <c r="G3" s="10"/>
      <c r="H3" s="10"/>
      <c r="I3" s="10"/>
      <c r="J3" s="10"/>
    </row>
    <row r="4" spans="2:21" x14ac:dyDescent="0.25">
      <c r="B4" s="10"/>
      <c r="C4" s="10"/>
      <c r="D4" s="10"/>
      <c r="E4" s="10"/>
      <c r="F4" s="10"/>
      <c r="G4" s="10"/>
      <c r="H4" s="10"/>
      <c r="I4" s="10"/>
      <c r="J4" s="10"/>
    </row>
    <row r="5" spans="2:21" x14ac:dyDescent="0.25">
      <c r="B5" s="10"/>
      <c r="C5" s="10"/>
      <c r="D5" s="10"/>
      <c r="E5" s="10"/>
      <c r="F5" s="10"/>
      <c r="G5" s="10"/>
      <c r="H5" s="10"/>
      <c r="I5" s="10"/>
      <c r="J5" s="10"/>
    </row>
    <row r="6" spans="2:21" x14ac:dyDescent="0.25">
      <c r="B6" s="10"/>
      <c r="C6" s="10"/>
      <c r="D6" s="10"/>
      <c r="E6" s="10"/>
      <c r="F6" s="10"/>
      <c r="G6" s="10"/>
      <c r="H6" s="10"/>
      <c r="I6" s="10"/>
      <c r="J6" s="10"/>
    </row>
    <row r="8" spans="2:21" x14ac:dyDescent="0.25">
      <c r="B8" t="s">
        <v>3</v>
      </c>
      <c r="C8" t="s">
        <v>4</v>
      </c>
      <c r="D8" t="s">
        <v>5</v>
      </c>
    </row>
    <row r="9" spans="2:21" x14ac:dyDescent="0.25">
      <c r="B9" t="s">
        <v>6</v>
      </c>
      <c r="C9" s="1">
        <v>-40000</v>
      </c>
      <c r="D9" s="1">
        <v>-65000</v>
      </c>
    </row>
    <row r="10" spans="2:21" x14ac:dyDescent="0.25">
      <c r="B10" t="s">
        <v>7</v>
      </c>
      <c r="C10" s="1">
        <v>-10000</v>
      </c>
      <c r="D10" s="1">
        <v>-12000</v>
      </c>
      <c r="H10" t="s">
        <v>21</v>
      </c>
      <c r="I10" t="s">
        <v>40</v>
      </c>
      <c r="J10" t="s">
        <v>41</v>
      </c>
    </row>
    <row r="11" spans="2:21" x14ac:dyDescent="0.25">
      <c r="B11" t="s">
        <v>8</v>
      </c>
      <c r="C11" s="1">
        <v>12000</v>
      </c>
      <c r="D11" s="1">
        <v>25000</v>
      </c>
      <c r="H11">
        <v>0</v>
      </c>
      <c r="I11" s="1">
        <f>C9</f>
        <v>-40000</v>
      </c>
      <c r="J11" s="1">
        <f>$D$9</f>
        <v>-65000</v>
      </c>
      <c r="S11" s="1"/>
      <c r="T11" s="1"/>
      <c r="U11" s="1"/>
    </row>
    <row r="12" spans="2:21" x14ac:dyDescent="0.25">
      <c r="B12" t="s">
        <v>9</v>
      </c>
      <c r="C12">
        <v>3</v>
      </c>
      <c r="D12">
        <v>6.3333333333333313</v>
      </c>
      <c r="H12">
        <f>H11+1</f>
        <v>1</v>
      </c>
      <c r="I12" s="1">
        <f>C$10</f>
        <v>-10000</v>
      </c>
      <c r="J12" s="1">
        <f>D$10</f>
        <v>-12000</v>
      </c>
      <c r="S12" s="1"/>
      <c r="T12" s="1"/>
      <c r="U12" s="1"/>
    </row>
    <row r="13" spans="2:21" x14ac:dyDescent="0.25">
      <c r="H13">
        <f t="shared" ref="H13:H16" si="0">H12+1</f>
        <v>2</v>
      </c>
      <c r="I13" s="1">
        <f>C$10</f>
        <v>-10000</v>
      </c>
      <c r="J13" s="1">
        <f>D$10</f>
        <v>-12000</v>
      </c>
      <c r="S13" s="1"/>
      <c r="T13" s="1"/>
      <c r="U13" s="1"/>
    </row>
    <row r="14" spans="2:21" x14ac:dyDescent="0.25">
      <c r="H14">
        <f t="shared" si="0"/>
        <v>3</v>
      </c>
      <c r="I14" s="1">
        <f>C$10</f>
        <v>-10000</v>
      </c>
      <c r="J14" s="1">
        <f>D$10</f>
        <v>-12000</v>
      </c>
      <c r="S14" s="1"/>
      <c r="T14" s="1"/>
      <c r="U14" s="1"/>
    </row>
    <row r="15" spans="2:21" x14ac:dyDescent="0.25">
      <c r="H15">
        <f t="shared" si="0"/>
        <v>4</v>
      </c>
      <c r="I15" s="1">
        <f>2000-40000</f>
        <v>-38000</v>
      </c>
      <c r="J15" s="1">
        <f>D10</f>
        <v>-12000</v>
      </c>
      <c r="S15" s="1"/>
      <c r="T15" s="1"/>
      <c r="U15" s="1"/>
    </row>
    <row r="16" spans="2:21" x14ac:dyDescent="0.25">
      <c r="H16">
        <f t="shared" si="0"/>
        <v>5</v>
      </c>
      <c r="I16" s="1">
        <f>C$10</f>
        <v>-10000</v>
      </c>
      <c r="J16" s="1">
        <f>D$10</f>
        <v>-12000</v>
      </c>
      <c r="S16" s="1"/>
      <c r="T16" s="1"/>
      <c r="U16" s="1"/>
    </row>
    <row r="17" spans="2:23" x14ac:dyDescent="0.25">
      <c r="H17">
        <f>H16+1</f>
        <v>6</v>
      </c>
      <c r="I17" s="1">
        <f>C$10</f>
        <v>-10000</v>
      </c>
      <c r="J17" s="1">
        <f>$D$10+25000+$D$9</f>
        <v>-52000</v>
      </c>
      <c r="S17" s="1"/>
      <c r="T17" s="1"/>
      <c r="U17" s="1"/>
    </row>
    <row r="18" spans="2:23" x14ac:dyDescent="0.25">
      <c r="D18" t="s">
        <v>4</v>
      </c>
      <c r="E18" t="s">
        <v>5</v>
      </c>
      <c r="F18" t="s">
        <v>45</v>
      </c>
      <c r="H18">
        <f>H17+1</f>
        <v>7</v>
      </c>
      <c r="I18" s="1">
        <f>C$10</f>
        <v>-10000</v>
      </c>
      <c r="J18" s="1">
        <f>D$10</f>
        <v>-12000</v>
      </c>
      <c r="S18" s="1"/>
      <c r="T18" s="1"/>
      <c r="U18" s="1"/>
    </row>
    <row r="19" spans="2:23" x14ac:dyDescent="0.25">
      <c r="C19" t="s">
        <v>42</v>
      </c>
      <c r="D19" s="4">
        <v>0.15</v>
      </c>
      <c r="E19" s="4">
        <v>0.15</v>
      </c>
      <c r="G19" s="4"/>
      <c r="H19">
        <f>H18+1</f>
        <v>8</v>
      </c>
      <c r="I19" s="1">
        <f>2000-40000</f>
        <v>-38000</v>
      </c>
      <c r="J19" s="1">
        <f>D$10</f>
        <v>-12000</v>
      </c>
      <c r="S19" s="1"/>
      <c r="T19" s="1"/>
      <c r="U19" s="1"/>
    </row>
    <row r="20" spans="2:23" x14ac:dyDescent="0.25">
      <c r="B20" t="s">
        <v>43</v>
      </c>
      <c r="C20" t="s">
        <v>49</v>
      </c>
      <c r="D20" s="14">
        <f>NPV($D$19,$C$9,$C$10,$C$11/((1+$D$19)^3))</f>
        <v>-37156.114217681359</v>
      </c>
      <c r="E20" s="7">
        <f>NPV(E19,J11,J12,J22/((1+E19)^$D$12))</f>
        <v>-58812.38481151095</v>
      </c>
      <c r="F20" s="7">
        <f>E20-D20</f>
        <v>-21656.270593829591</v>
      </c>
      <c r="H20">
        <f>H19+1</f>
        <v>9</v>
      </c>
      <c r="I20" s="1">
        <f>C$10</f>
        <v>-10000</v>
      </c>
      <c r="J20" s="1">
        <f>D$10</f>
        <v>-12000</v>
      </c>
      <c r="S20" s="1"/>
      <c r="T20" s="1"/>
      <c r="U20" s="1"/>
      <c r="V20" s="1"/>
      <c r="W20" s="1"/>
    </row>
    <row r="21" spans="2:23" x14ac:dyDescent="0.25">
      <c r="B21" t="s">
        <v>44</v>
      </c>
      <c r="C21" s="12" t="s">
        <v>68</v>
      </c>
      <c r="D21" s="7">
        <f>NPV($D$19,$C$9,$C$10,$C$11/((1+$D$19)^3))+NPV($D$19,$C$9,$C$10,$C$11/((1+$D$19)^1))</f>
        <v>-72639.120639184985</v>
      </c>
      <c r="E21" s="11">
        <f>NPV(E19,J11,J12,J22/((1+E19)^4))</f>
        <v>-56197.037139918903</v>
      </c>
      <c r="F21" s="7">
        <f t="shared" ref="F21:F24" si="1">E21-D21</f>
        <v>16442.083499266082</v>
      </c>
      <c r="H21">
        <f>H20+1</f>
        <v>10</v>
      </c>
      <c r="I21" s="1">
        <f>C$10</f>
        <v>-10000</v>
      </c>
      <c r="J21" s="1">
        <f>D$10</f>
        <v>-12000</v>
      </c>
      <c r="S21" s="1"/>
      <c r="T21" s="1"/>
      <c r="U21" s="1"/>
      <c r="V21" s="1"/>
      <c r="W21" s="1"/>
    </row>
    <row r="22" spans="2:23" x14ac:dyDescent="0.25">
      <c r="C22" t="s">
        <v>46</v>
      </c>
      <c r="D22" s="7">
        <f>NPV($D$19,$C$9,$C$10,$C$11/((1+$D$19)^3))+NPV($D$19,$C$9,$C$10,$C$11/((1+$D$19)^2))</f>
        <v>-73534.038762721917</v>
      </c>
      <c r="E22" s="7">
        <f>NPV(E19,J11,J12,J22/((1+E19)^5))</f>
        <v>-57422.918791842028</v>
      </c>
      <c r="F22" s="7">
        <f t="shared" si="1"/>
        <v>16111.119970879889</v>
      </c>
      <c r="H22" t="s">
        <v>23</v>
      </c>
      <c r="I22" s="1">
        <f>C11</f>
        <v>12000</v>
      </c>
      <c r="J22" s="1">
        <f>D11</f>
        <v>25000</v>
      </c>
      <c r="S22" s="1"/>
      <c r="T22" s="1"/>
      <c r="U22" s="1"/>
      <c r="V22" s="1"/>
      <c r="W22" s="1"/>
    </row>
    <row r="23" spans="2:23" x14ac:dyDescent="0.25">
      <c r="C23" t="s">
        <v>48</v>
      </c>
      <c r="D23" s="7">
        <f>NPV($D$19,$C$9,$C$10,$C$11/((1+$D$19)^3))+NPV($D$19,$C$9,$C$10,$C$11/((1+$D$19)^3))</f>
        <v>-74312.228435362718</v>
      </c>
      <c r="E23" s="7">
        <f>NPV(E19,J11,J12,J22/((1+E19)^6))</f>
        <v>-58488.90283699258</v>
      </c>
      <c r="F23" s="7">
        <f t="shared" si="1"/>
        <v>15823.325598370138</v>
      </c>
      <c r="Q23" s="1"/>
      <c r="R23" s="1"/>
      <c r="S23" s="1"/>
      <c r="T23" s="1"/>
      <c r="U23" s="1"/>
      <c r="V23" s="1"/>
      <c r="W23" s="1"/>
    </row>
    <row r="24" spans="2:23" x14ac:dyDescent="0.25">
      <c r="C24" t="s">
        <v>47</v>
      </c>
      <c r="D24" s="7">
        <f>NPV($D$19,$C$9,$C$10,$C$11/((1+$D$19)^3))+NPV($D$19,$C$9,$C$10,$C$11/((1+$D$19)^3))+NPV($D$19,$C$9,$C$10,$C$11/((1+$D$19)^3))+NPV($D$19,$C$9,$C$10,$C$11/((1+$D$19)^1))</f>
        <v>-146951.3490745477</v>
      </c>
      <c r="E24" s="7">
        <f>NPV(E19,J11,J12,J22/((1+E19)^6))+NPV(E19,J11,J12,J22/((1+E19)^4))</f>
        <v>-114685.93997691148</v>
      </c>
      <c r="F24" s="7">
        <f t="shared" si="1"/>
        <v>32265.40909763622</v>
      </c>
      <c r="G24" s="5"/>
      <c r="Q24" s="1"/>
      <c r="R24" s="1"/>
      <c r="S24" s="1"/>
      <c r="T24" s="1"/>
      <c r="U24" s="1"/>
      <c r="V24" s="1"/>
    </row>
    <row r="25" spans="2:23" x14ac:dyDescent="0.25">
      <c r="G25" s="5"/>
      <c r="H25" s="5"/>
      <c r="I25" s="5"/>
      <c r="J25" s="5"/>
      <c r="Q25" s="1"/>
      <c r="R25" s="1"/>
      <c r="S25" s="1"/>
      <c r="T25" s="1"/>
      <c r="U25" s="1"/>
      <c r="V25" s="1"/>
    </row>
    <row r="26" spans="2:23" x14ac:dyDescent="0.25">
      <c r="D26" s="5"/>
      <c r="E26" s="5"/>
      <c r="F26" s="5"/>
      <c r="G26" s="5"/>
      <c r="H26" s="5" t="s">
        <v>4</v>
      </c>
      <c r="I26" t="s">
        <v>5</v>
      </c>
      <c r="Q26" s="1"/>
      <c r="R26" s="1"/>
      <c r="S26" s="1"/>
      <c r="T26" s="1"/>
      <c r="U26" s="1"/>
      <c r="V26" s="1"/>
    </row>
    <row r="27" spans="2:23" x14ac:dyDescent="0.25">
      <c r="D27" s="5"/>
      <c r="E27" s="5"/>
      <c r="F27" s="5"/>
      <c r="G27" s="5" t="s">
        <v>67</v>
      </c>
      <c r="H27" s="5">
        <f>PV(D19,C12,C10,C11)</f>
        <v>14942.056382016917</v>
      </c>
      <c r="I27" s="5">
        <f>PV(E19,D12,D10,D11)</f>
        <v>36671.900150868176</v>
      </c>
      <c r="Q27" s="1"/>
      <c r="R27" s="1"/>
      <c r="S27" s="1"/>
      <c r="T27" s="1"/>
      <c r="U27" s="1"/>
      <c r="V27" s="1"/>
    </row>
    <row r="28" spans="2:23" x14ac:dyDescent="0.25">
      <c r="D28" s="5"/>
      <c r="E28" s="5"/>
      <c r="F28" s="5"/>
      <c r="G28" s="5" t="s">
        <v>66</v>
      </c>
      <c r="H28" s="5">
        <f>(C9+C10*C12+C11)*2</f>
        <v>-116000</v>
      </c>
      <c r="I28" s="5">
        <f>D9+D10*D12+D11</f>
        <v>-115999.99999999997</v>
      </c>
      <c r="J28" s="5"/>
      <c r="Q28" s="1"/>
      <c r="R28" s="1"/>
      <c r="S28" s="1"/>
      <c r="T28" s="1"/>
      <c r="U28" s="1"/>
      <c r="V28" s="1"/>
    </row>
    <row r="29" spans="2:23" x14ac:dyDescent="0.25">
      <c r="Q29" s="1"/>
      <c r="R29" s="1"/>
      <c r="S29" s="1"/>
      <c r="T29" s="1"/>
      <c r="U29" s="1"/>
      <c r="V29" s="1"/>
    </row>
    <row r="30" spans="2:23" x14ac:dyDescent="0.25">
      <c r="Q30" s="1"/>
      <c r="R30" s="1"/>
      <c r="S30" s="1"/>
      <c r="T30" s="1"/>
      <c r="U30" s="1"/>
      <c r="V30" s="1"/>
    </row>
    <row r="31" spans="2:23" x14ac:dyDescent="0.25">
      <c r="Q31" s="1"/>
      <c r="R31" s="1"/>
      <c r="S31" s="1"/>
      <c r="T31" s="1"/>
      <c r="U31" s="1"/>
      <c r="V31" s="1"/>
    </row>
    <row r="32" spans="2:23" x14ac:dyDescent="0.25">
      <c r="S32" s="1"/>
      <c r="T32" s="1"/>
      <c r="U32" s="1"/>
      <c r="V32" s="1"/>
      <c r="W32" s="1"/>
    </row>
    <row r="33" spans="17:23" x14ac:dyDescent="0.25">
      <c r="S33" s="1"/>
      <c r="T33" s="1"/>
      <c r="U33" s="1"/>
      <c r="W33" s="1"/>
    </row>
    <row r="34" spans="17:23" x14ac:dyDescent="0.25">
      <c r="Q34" s="1"/>
      <c r="R34" s="1"/>
      <c r="S34" s="1"/>
      <c r="T34" s="1"/>
      <c r="U34" s="1"/>
      <c r="W34" s="1"/>
    </row>
    <row r="35" spans="17:23" x14ac:dyDescent="0.25">
      <c r="Q35" s="1"/>
      <c r="R35" s="1"/>
      <c r="S35" s="1"/>
      <c r="T35" s="1"/>
      <c r="U35" s="1"/>
      <c r="W35" s="1"/>
    </row>
    <row r="36" spans="17:23" x14ac:dyDescent="0.25">
      <c r="Q36" s="1"/>
      <c r="R36" s="1"/>
      <c r="S36" s="1"/>
      <c r="T36" s="1"/>
      <c r="U36" s="1"/>
    </row>
    <row r="37" spans="17:23" x14ac:dyDescent="0.25">
      <c r="Q37" s="1"/>
      <c r="R37" s="1"/>
      <c r="S37" s="1"/>
      <c r="T37" s="1"/>
      <c r="U37" s="1"/>
    </row>
    <row r="38" spans="17:23" x14ac:dyDescent="0.25">
      <c r="Q38" s="1"/>
      <c r="R38" s="1"/>
      <c r="S38" s="1"/>
      <c r="T38" s="1"/>
      <c r="U38" s="1"/>
    </row>
    <row r="39" spans="17:23" x14ac:dyDescent="0.25">
      <c r="Q39" s="1"/>
      <c r="R39" s="1"/>
      <c r="S39" s="1"/>
      <c r="T39" s="1"/>
      <c r="U39" s="1"/>
    </row>
    <row r="40" spans="17:23" x14ac:dyDescent="0.25">
      <c r="Q40" s="1"/>
      <c r="R40" s="1"/>
      <c r="S40" s="1"/>
      <c r="T40" s="1"/>
      <c r="U40" s="1"/>
    </row>
    <row r="41" spans="17:23" x14ac:dyDescent="0.25">
      <c r="Q41" s="1"/>
      <c r="R41" s="1"/>
      <c r="S41" s="1"/>
      <c r="T41" s="1"/>
      <c r="U41" s="1"/>
    </row>
    <row r="42" spans="17:23" x14ac:dyDescent="0.25">
      <c r="Q42" s="1"/>
      <c r="R42" s="1"/>
      <c r="S42" s="1"/>
      <c r="T42" s="1"/>
      <c r="U42" s="1"/>
    </row>
    <row r="43" spans="17:23" x14ac:dyDescent="0.25">
      <c r="Q43" s="1"/>
      <c r="R43" s="1"/>
      <c r="S43" s="1"/>
      <c r="T43" s="1"/>
      <c r="U43" s="1"/>
    </row>
    <row r="44" spans="17:23" x14ac:dyDescent="0.25">
      <c r="Q44" s="1"/>
      <c r="R44" s="1"/>
      <c r="S44" s="1"/>
      <c r="T44" s="1"/>
      <c r="U44" s="1"/>
    </row>
    <row r="45" spans="17:23" x14ac:dyDescent="0.25">
      <c r="Q45" s="1"/>
      <c r="R45" s="1"/>
      <c r="S45" s="1"/>
      <c r="T45" s="1"/>
      <c r="U45" s="1"/>
    </row>
    <row r="46" spans="17:23" x14ac:dyDescent="0.25">
      <c r="Q46" s="1"/>
      <c r="R46" s="1"/>
      <c r="S46" s="1"/>
      <c r="T46" s="1"/>
      <c r="U46" s="1"/>
    </row>
    <row r="47" spans="17:23" x14ac:dyDescent="0.25">
      <c r="Q47" s="1"/>
      <c r="R47" s="1"/>
      <c r="S47" s="1"/>
      <c r="T47" s="1"/>
      <c r="U47" s="1"/>
    </row>
    <row r="48" spans="17:23" x14ac:dyDescent="0.25">
      <c r="Q48" s="1"/>
      <c r="R48" s="1"/>
      <c r="S48" s="1"/>
      <c r="T48" s="1"/>
      <c r="U48" s="1"/>
    </row>
    <row r="49" spans="17:21" x14ac:dyDescent="0.25">
      <c r="Q49" s="1"/>
      <c r="R49" s="1"/>
      <c r="S49" s="1"/>
      <c r="T49" s="1"/>
      <c r="U49" s="1"/>
    </row>
    <row r="50" spans="17:21" x14ac:dyDescent="0.25">
      <c r="Q50" s="1"/>
      <c r="R50" s="1"/>
      <c r="S50" s="1"/>
      <c r="T50" s="1"/>
      <c r="U50" s="1"/>
    </row>
    <row r="51" spans="17:21" x14ac:dyDescent="0.25">
      <c r="Q51" s="1"/>
      <c r="R51" s="1"/>
      <c r="S51" s="1"/>
      <c r="T51" s="1"/>
      <c r="U51" s="1"/>
    </row>
    <row r="52" spans="17:21" x14ac:dyDescent="0.25">
      <c r="Q52" s="1"/>
      <c r="R52" s="1"/>
      <c r="S52" s="1"/>
      <c r="T52" s="1"/>
      <c r="U52" s="1"/>
    </row>
    <row r="53" spans="17:21" x14ac:dyDescent="0.25">
      <c r="Q53" s="1"/>
      <c r="R53" s="1"/>
      <c r="S53" s="1"/>
      <c r="T53" s="1"/>
      <c r="U53" s="1"/>
    </row>
    <row r="54" spans="17:21" x14ac:dyDescent="0.25">
      <c r="Q54" s="1"/>
      <c r="R54" s="1"/>
      <c r="S54" s="1"/>
      <c r="T54" s="1"/>
      <c r="U54" s="1"/>
    </row>
    <row r="55" spans="17:21" x14ac:dyDescent="0.25">
      <c r="Q55" s="1"/>
      <c r="R55" s="1"/>
      <c r="S55" s="1"/>
      <c r="T55" s="1"/>
      <c r="U55" s="1"/>
    </row>
    <row r="56" spans="17:21" x14ac:dyDescent="0.25">
      <c r="Q56" s="1"/>
      <c r="R56" s="1"/>
      <c r="S56" s="1"/>
      <c r="T56" s="1"/>
      <c r="U56" s="1"/>
    </row>
    <row r="57" spans="17:21" x14ac:dyDescent="0.25">
      <c r="Q57" s="1"/>
      <c r="R57" s="1"/>
      <c r="S57" s="1"/>
      <c r="T57" s="1"/>
      <c r="U57" s="1"/>
    </row>
    <row r="58" spans="17:21" x14ac:dyDescent="0.25">
      <c r="Q58" s="1"/>
      <c r="R58" s="1"/>
      <c r="S58" s="1"/>
      <c r="T58" s="1"/>
      <c r="U58" s="1"/>
    </row>
    <row r="59" spans="17:21" x14ac:dyDescent="0.25">
      <c r="Q59" s="1"/>
      <c r="R59" s="1"/>
      <c r="S59" s="1"/>
      <c r="T59" s="1"/>
      <c r="U59" s="1"/>
    </row>
    <row r="60" spans="17:21" x14ac:dyDescent="0.25">
      <c r="Q60" s="1"/>
      <c r="R60" s="1"/>
      <c r="S60" s="1"/>
      <c r="T60" s="1"/>
      <c r="U60" s="1"/>
    </row>
    <row r="61" spans="17:21" x14ac:dyDescent="0.25">
      <c r="Q61" s="1"/>
      <c r="R61" s="1"/>
      <c r="S61" s="1"/>
      <c r="T61" s="1"/>
      <c r="U61" s="1"/>
    </row>
    <row r="62" spans="17:21" x14ac:dyDescent="0.25">
      <c r="Q62" s="1"/>
      <c r="R62" s="1"/>
      <c r="S62" s="1"/>
      <c r="T62" s="1"/>
      <c r="U62" s="1"/>
    </row>
    <row r="63" spans="17:21" x14ac:dyDescent="0.25">
      <c r="Q63" s="1"/>
      <c r="R63" s="1"/>
      <c r="S63" s="1"/>
      <c r="T63" s="1"/>
      <c r="U63" s="1"/>
    </row>
    <row r="64" spans="17:21" x14ac:dyDescent="0.25">
      <c r="Q64" s="1"/>
      <c r="R64" s="1"/>
      <c r="S64" s="1"/>
      <c r="T64" s="1"/>
      <c r="U64" s="1"/>
    </row>
    <row r="65" spans="11:21" x14ac:dyDescent="0.25">
      <c r="Q65" s="1"/>
      <c r="R65" s="1"/>
      <c r="S65" s="1"/>
      <c r="T65" s="1"/>
      <c r="U65" s="1"/>
    </row>
    <row r="66" spans="11:21" x14ac:dyDescent="0.25">
      <c r="Q66" s="1"/>
      <c r="R66" s="1"/>
      <c r="S66" s="1"/>
      <c r="T66" s="1"/>
      <c r="U66" s="1"/>
    </row>
    <row r="67" spans="11:21" x14ac:dyDescent="0.25">
      <c r="Q67" s="1"/>
      <c r="R67" s="1"/>
      <c r="S67" s="1"/>
      <c r="T67" s="1"/>
      <c r="U67" s="1"/>
    </row>
    <row r="69" spans="11:21" x14ac:dyDescent="0.25">
      <c r="K69" s="1"/>
      <c r="L69" s="1"/>
    </row>
    <row r="70" spans="11:21" x14ac:dyDescent="0.25">
      <c r="K70" s="1"/>
      <c r="L70" s="1"/>
    </row>
    <row r="71" spans="11:21" x14ac:dyDescent="0.25">
      <c r="K71" s="1"/>
      <c r="L71" s="1"/>
    </row>
    <row r="72" spans="11:21" x14ac:dyDescent="0.25">
      <c r="K72" s="1"/>
      <c r="L72" s="1"/>
    </row>
    <row r="73" spans="11:21" x14ac:dyDescent="0.25">
      <c r="K73" s="1"/>
      <c r="L73" s="1"/>
    </row>
    <row r="74" spans="11:21" x14ac:dyDescent="0.25">
      <c r="K74" s="1"/>
      <c r="L74" s="1"/>
    </row>
    <row r="75" spans="11:21" x14ac:dyDescent="0.25">
      <c r="K75" s="1"/>
      <c r="L75" s="1"/>
    </row>
    <row r="76" spans="11:21" x14ac:dyDescent="0.25">
      <c r="K76" s="1"/>
      <c r="L76" s="1"/>
    </row>
    <row r="77" spans="11:21" x14ac:dyDescent="0.25">
      <c r="K77" s="1"/>
      <c r="L77" s="1"/>
    </row>
    <row r="78" spans="11:21" x14ac:dyDescent="0.25">
      <c r="K78" s="1"/>
      <c r="L78" s="1"/>
    </row>
    <row r="79" spans="11:21" x14ac:dyDescent="0.25">
      <c r="K79" s="1"/>
      <c r="L79" s="1"/>
    </row>
    <row r="80" spans="11:21" x14ac:dyDescent="0.25">
      <c r="L80" s="1"/>
    </row>
    <row r="81" spans="12:12" x14ac:dyDescent="0.25">
      <c r="L81" s="1"/>
    </row>
    <row r="82" spans="12:12" x14ac:dyDescent="0.25">
      <c r="L82" s="1"/>
    </row>
    <row r="83" spans="12:12" x14ac:dyDescent="0.25">
      <c r="L83" s="1"/>
    </row>
  </sheetData>
  <mergeCells count="1">
    <mergeCell ref="B2:J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BF3A-E8B6-4364-977E-4DC6D18B31DF}">
  <dimension ref="A2:J13"/>
  <sheetViews>
    <sheetView workbookViewId="0">
      <selection activeCell="B13" sqref="B13"/>
    </sheetView>
  </sheetViews>
  <sheetFormatPr defaultRowHeight="15" x14ac:dyDescent="0.25"/>
  <cols>
    <col min="1" max="1" width="20.28515625" customWidth="1"/>
    <col min="2" max="2" width="10.85546875" bestFit="1" customWidth="1"/>
  </cols>
  <sheetData>
    <row r="2" spans="1:10" x14ac:dyDescent="0.25">
      <c r="B2" s="9" t="s">
        <v>10</v>
      </c>
      <c r="C2" s="10"/>
      <c r="D2" s="10"/>
      <c r="E2" s="10"/>
      <c r="F2" s="10"/>
      <c r="G2" s="10"/>
      <c r="H2" s="10"/>
      <c r="I2" s="10"/>
      <c r="J2" s="10"/>
    </row>
    <row r="3" spans="1:10" x14ac:dyDescent="0.25">
      <c r="B3" s="10"/>
      <c r="C3" s="10"/>
      <c r="D3" s="10"/>
      <c r="E3" s="10"/>
      <c r="F3" s="10"/>
      <c r="G3" s="10"/>
      <c r="H3" s="10"/>
      <c r="I3" s="10"/>
      <c r="J3" s="10"/>
    </row>
    <row r="4" spans="1:10" x14ac:dyDescent="0.25">
      <c r="B4" s="10"/>
      <c r="C4" s="10"/>
      <c r="D4" s="10"/>
      <c r="E4" s="10"/>
      <c r="F4" s="10"/>
      <c r="G4" s="10"/>
      <c r="H4" s="10"/>
      <c r="I4" s="10"/>
      <c r="J4" s="10"/>
    </row>
    <row r="5" spans="1:10" x14ac:dyDescent="0.25">
      <c r="B5" s="10"/>
      <c r="C5" s="10"/>
      <c r="D5" s="10"/>
      <c r="E5" s="10"/>
      <c r="F5" s="10"/>
      <c r="G5" s="10"/>
      <c r="H5" s="10"/>
      <c r="I5" s="10"/>
      <c r="J5" s="10"/>
    </row>
    <row r="6" spans="1:10" x14ac:dyDescent="0.25">
      <c r="B6" s="10"/>
      <c r="C6" s="10"/>
      <c r="D6" s="10"/>
      <c r="E6" s="10"/>
      <c r="F6" s="10"/>
      <c r="G6" s="10"/>
      <c r="H6" s="10"/>
      <c r="I6" s="10"/>
      <c r="J6" s="10"/>
    </row>
    <row r="9" spans="1:10" x14ac:dyDescent="0.25">
      <c r="A9" t="s">
        <v>50</v>
      </c>
    </row>
    <row r="10" spans="1:10" x14ac:dyDescent="0.25">
      <c r="A10" t="s">
        <v>51</v>
      </c>
      <c r="B10" s="3">
        <v>300000</v>
      </c>
    </row>
    <row r="11" spans="1:10" x14ac:dyDescent="0.25">
      <c r="A11" t="s">
        <v>54</v>
      </c>
      <c r="B11" s="7">
        <v>100000</v>
      </c>
    </row>
    <row r="12" spans="1:10" x14ac:dyDescent="0.25">
      <c r="A12" t="s">
        <v>52</v>
      </c>
      <c r="B12" s="7">
        <v>0.1</v>
      </c>
    </row>
    <row r="13" spans="1:10" x14ac:dyDescent="0.25">
      <c r="A13" t="s">
        <v>53</v>
      </c>
      <c r="B13" s="14">
        <v>46380</v>
      </c>
    </row>
  </sheetData>
  <mergeCells count="1">
    <mergeCell ref="B2:J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7655-42AF-48E3-AC88-480B752DF16E}">
  <dimension ref="B2:J34"/>
  <sheetViews>
    <sheetView tabSelected="1" workbookViewId="0">
      <selection activeCell="E39" sqref="E39"/>
    </sheetView>
  </sheetViews>
  <sheetFormatPr defaultRowHeight="15" x14ac:dyDescent="0.25"/>
  <cols>
    <col min="2" max="2" width="23.140625" customWidth="1"/>
    <col min="4" max="4" width="15.28515625" bestFit="1" customWidth="1"/>
    <col min="5" max="5" width="14.5703125" bestFit="1" customWidth="1"/>
    <col min="6" max="6" width="14.7109375" customWidth="1"/>
    <col min="7" max="7" width="13.5703125" bestFit="1" customWidth="1"/>
    <col min="8" max="8" width="14.7109375" customWidth="1"/>
    <col min="10" max="10" width="15" customWidth="1"/>
  </cols>
  <sheetData>
    <row r="2" spans="2:10" ht="45.6" customHeight="1" x14ac:dyDescent="0.25">
      <c r="B2" s="9" t="s">
        <v>11</v>
      </c>
      <c r="C2" s="10"/>
      <c r="D2" s="10"/>
      <c r="E2" s="10"/>
      <c r="F2" s="10"/>
      <c r="G2" s="10"/>
      <c r="H2" s="10"/>
      <c r="I2" s="10"/>
      <c r="J2" s="10"/>
    </row>
    <row r="3" spans="2:10" x14ac:dyDescent="0.25">
      <c r="B3" s="10"/>
      <c r="C3" s="10"/>
      <c r="D3" s="10"/>
      <c r="E3" s="10"/>
      <c r="F3" s="10"/>
      <c r="G3" s="10"/>
      <c r="H3" s="10"/>
      <c r="I3" s="10"/>
      <c r="J3" s="10"/>
    </row>
    <row r="4" spans="2:10" x14ac:dyDescent="0.25">
      <c r="B4" s="10"/>
      <c r="C4" s="10"/>
      <c r="D4" s="10"/>
      <c r="E4" s="10"/>
      <c r="F4" s="10"/>
      <c r="G4" s="10"/>
      <c r="H4" s="10"/>
      <c r="I4" s="10"/>
      <c r="J4" s="10"/>
    </row>
    <row r="5" spans="2:10" x14ac:dyDescent="0.25">
      <c r="B5" s="10"/>
      <c r="C5" s="10"/>
      <c r="D5" s="10"/>
      <c r="E5" s="10"/>
      <c r="F5" s="10"/>
      <c r="G5" s="10"/>
      <c r="H5" s="10"/>
      <c r="I5" s="10"/>
      <c r="J5" s="10"/>
    </row>
    <row r="6" spans="2:10" x14ac:dyDescent="0.25">
      <c r="B6" s="10"/>
      <c r="C6" s="10"/>
      <c r="D6" s="10"/>
      <c r="E6" s="10"/>
      <c r="F6" s="10"/>
      <c r="G6" s="10"/>
      <c r="H6" s="10"/>
      <c r="I6" s="10"/>
      <c r="J6" s="10"/>
    </row>
    <row r="20" spans="3:8" x14ac:dyDescent="0.25">
      <c r="C20" t="s">
        <v>21</v>
      </c>
      <c r="D20" t="s">
        <v>55</v>
      </c>
      <c r="E20" t="s">
        <v>56</v>
      </c>
      <c r="F20" t="s">
        <v>57</v>
      </c>
      <c r="G20" t="s">
        <v>58</v>
      </c>
      <c r="H20" t="s">
        <v>59</v>
      </c>
    </row>
    <row r="21" spans="3:8" x14ac:dyDescent="0.25">
      <c r="C21">
        <v>0</v>
      </c>
      <c r="D21" s="5">
        <v>5500000</v>
      </c>
      <c r="E21" s="5">
        <v>1100000</v>
      </c>
      <c r="F21" s="5"/>
      <c r="G21" s="5"/>
      <c r="H21" s="5"/>
    </row>
    <row r="22" spans="3:8" x14ac:dyDescent="0.25">
      <c r="C22">
        <f>C21+1</f>
        <v>1</v>
      </c>
      <c r="D22" s="5">
        <v>3500000</v>
      </c>
      <c r="E22" s="5"/>
      <c r="F22" s="5"/>
      <c r="G22" s="5"/>
      <c r="H22" s="5"/>
    </row>
    <row r="23" spans="3:8" x14ac:dyDescent="0.25">
      <c r="C23">
        <f t="shared" ref="C23:C26" si="0">C22+1</f>
        <v>2</v>
      </c>
      <c r="D23" s="5">
        <v>2500000</v>
      </c>
      <c r="E23" s="5"/>
      <c r="F23" s="5"/>
      <c r="G23" s="5"/>
      <c r="H23" s="5"/>
    </row>
    <row r="24" spans="3:8" x14ac:dyDescent="0.25">
      <c r="C24">
        <f t="shared" si="0"/>
        <v>3</v>
      </c>
      <c r="D24" s="5">
        <v>500000</v>
      </c>
      <c r="E24" s="5">
        <v>5200000</v>
      </c>
      <c r="F24" s="5">
        <v>1300000</v>
      </c>
      <c r="G24" s="5">
        <v>600000</v>
      </c>
      <c r="H24" s="5">
        <v>1500000</v>
      </c>
    </row>
    <row r="25" spans="3:8" x14ac:dyDescent="0.25">
      <c r="C25">
        <f t="shared" si="0"/>
        <v>4</v>
      </c>
      <c r="D25" s="5"/>
      <c r="E25" s="5">
        <v>10500000</v>
      </c>
      <c r="F25" s="5">
        <v>3100000</v>
      </c>
      <c r="G25" s="5">
        <v>1400000</v>
      </c>
      <c r="H25" s="5">
        <v>3600000</v>
      </c>
    </row>
    <row r="26" spans="3:8" x14ac:dyDescent="0.25">
      <c r="C26">
        <f t="shared" si="0"/>
        <v>5</v>
      </c>
      <c r="D26" s="5"/>
      <c r="E26" s="5">
        <v>10500000</v>
      </c>
      <c r="F26" s="5">
        <v>4200000</v>
      </c>
      <c r="G26" s="5">
        <v>1600000</v>
      </c>
      <c r="H26" s="5">
        <v>5300000</v>
      </c>
    </row>
    <row r="27" spans="3:8" x14ac:dyDescent="0.25">
      <c r="C27" s="13" t="s">
        <v>60</v>
      </c>
      <c r="D27" s="5"/>
      <c r="E27" s="5"/>
      <c r="F27" s="5">
        <v>6500000</v>
      </c>
      <c r="G27" s="5">
        <v>2700000</v>
      </c>
      <c r="H27" s="5">
        <v>7800000</v>
      </c>
    </row>
    <row r="28" spans="3:8" x14ac:dyDescent="0.25">
      <c r="C28" s="13" t="s">
        <v>61</v>
      </c>
      <c r="D28" s="5"/>
      <c r="E28" s="5"/>
      <c r="F28" s="5">
        <v>2200000</v>
      </c>
      <c r="G28" s="5">
        <v>3500000</v>
      </c>
      <c r="H28" s="5">
        <v>8500000</v>
      </c>
    </row>
    <row r="29" spans="3:8" x14ac:dyDescent="0.25">
      <c r="C29" t="s">
        <v>62</v>
      </c>
      <c r="D29" s="5"/>
      <c r="E29" s="5"/>
      <c r="F29" s="5"/>
      <c r="G29" s="5"/>
      <c r="H29" s="5"/>
    </row>
    <row r="30" spans="3:8" x14ac:dyDescent="0.25">
      <c r="C30" t="s">
        <v>63</v>
      </c>
      <c r="D30" s="5">
        <f>SUM(D21:D29)</f>
        <v>12000000</v>
      </c>
      <c r="E30" s="5">
        <f t="shared" ref="E30:H30" si="1">SUM(E21:E29)</f>
        <v>27300000</v>
      </c>
      <c r="F30" s="5">
        <f t="shared" si="1"/>
        <v>17300000</v>
      </c>
      <c r="G30" s="5">
        <f t="shared" si="1"/>
        <v>9800000</v>
      </c>
      <c r="H30" s="5">
        <f t="shared" si="1"/>
        <v>26700000</v>
      </c>
    </row>
    <row r="31" spans="3:8" x14ac:dyDescent="0.25">
      <c r="C31" t="s">
        <v>64</v>
      </c>
      <c r="D31" s="5">
        <f>SUM(D30:H30)</f>
        <v>93100000</v>
      </c>
    </row>
    <row r="32" spans="3:8" x14ac:dyDescent="0.25">
      <c r="C32" t="s">
        <v>42</v>
      </c>
      <c r="D32" s="4">
        <v>0.15</v>
      </c>
    </row>
    <row r="33" spans="3:4" x14ac:dyDescent="0.25">
      <c r="C33" t="s">
        <v>65</v>
      </c>
      <c r="D33">
        <v>20</v>
      </c>
    </row>
    <row r="34" spans="3:4" x14ac:dyDescent="0.25">
      <c r="C34" t="s">
        <v>26</v>
      </c>
      <c r="D34" s="6">
        <f>PMT(D32,D33,D31)</f>
        <v>-14873792.894774754</v>
      </c>
    </row>
  </sheetData>
  <mergeCells count="1">
    <mergeCell ref="B2:J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6.8</vt:lpstr>
      <vt:lpstr>6.11</vt:lpstr>
      <vt:lpstr>6.18</vt:lpstr>
      <vt:lpstr>6.20</vt:lpstr>
      <vt:lpstr>6.28</vt:lpstr>
      <vt:lpstr>6.34</vt:lpstr>
    </vt:vector>
  </TitlesOfParts>
  <Company>Deutsche Post DHL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Meckstroth (DHL Supply Chain), external</dc:creator>
  <cp:lastModifiedBy>Epic Gage</cp:lastModifiedBy>
  <dcterms:created xsi:type="dcterms:W3CDTF">2022-09-28T00:40:09Z</dcterms:created>
  <dcterms:modified xsi:type="dcterms:W3CDTF">2023-09-26T02:58:52Z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2022-09-28T00:59:15Z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832ce620-0a5b-49d1-b564-163ea761aea7</vt:lpwstr>
  </property>
  <property fmtid="{D5CDD505-2E9C-101B-9397-08002B2CF9AE}" pid="8" name="MSIP_Label_736915f3-2f02-4945-8997-f2963298db46_ContentBits">
    <vt:lpwstr>1</vt:lpwstr>
  </property>
</Properties>
</file>