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pic Gage\Documents\College-Work\Autumn 2023\Engineering Economics\Homework\"/>
    </mc:Choice>
  </mc:AlternateContent>
  <xr:revisionPtr revIDLastSave="0" documentId="13_ncr:1_{44B71154-D91C-45B1-B67A-7115D3062DAC}" xr6:coauthVersionLast="47" xr6:coauthVersionMax="47" xr10:uidLastSave="{00000000-0000-0000-0000-000000000000}"/>
  <bookViews>
    <workbookView xWindow="-5970" yWindow="2205" windowWidth="12150" windowHeight="15510" tabRatio="898" activeTab="12" xr2:uid="{E1CDE6F4-AF84-463C-A13F-C7F28563D399}"/>
  </bookViews>
  <sheets>
    <sheet name="7.7" sheetId="1" r:id="rId1"/>
    <sheet name="7.11" sheetId="2" r:id="rId2"/>
    <sheet name="7.17" sheetId="3" r:id="rId3"/>
    <sheet name="7.19" sheetId="4" r:id="rId4"/>
    <sheet name="7.46" sheetId="5" r:id="rId5"/>
    <sheet name="7.47" sheetId="6" r:id="rId6"/>
    <sheet name="7.51" sheetId="7" r:id="rId7"/>
    <sheet name="8.19" sheetId="8" r:id="rId8"/>
    <sheet name="8.25" sheetId="9" r:id="rId9"/>
    <sheet name="8.31" sheetId="10" r:id="rId10"/>
    <sheet name="8.33" sheetId="11" r:id="rId11"/>
    <sheet name="8.37" sheetId="12" r:id="rId12"/>
    <sheet name="18.1"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8" l="1"/>
  <c r="E19" i="8"/>
  <c r="D18" i="8"/>
  <c r="D15" i="8"/>
  <c r="C15" i="8"/>
  <c r="C23" i="7"/>
  <c r="C21" i="7"/>
  <c r="C16" i="7"/>
  <c r="C20" i="5"/>
  <c r="C12" i="5"/>
  <c r="C13" i="4"/>
  <c r="D26" i="9"/>
  <c r="C26" i="9"/>
  <c r="D24" i="9"/>
  <c r="C24" i="9"/>
  <c r="C23" i="1"/>
  <c r="C25" i="1"/>
  <c r="D19" i="13"/>
  <c r="C19" i="13"/>
  <c r="B15" i="13"/>
  <c r="B16" i="13" s="1"/>
  <c r="B17" i="13" s="1"/>
  <c r="E29" i="12"/>
  <c r="F29" i="12"/>
  <c r="F30" i="12"/>
  <c r="E28" i="12"/>
  <c r="F28" i="12"/>
  <c r="D28" i="12"/>
  <c r="D33" i="12"/>
  <c r="E33" i="12"/>
  <c r="F33" i="12"/>
  <c r="E34" i="12"/>
  <c r="F34" i="12"/>
  <c r="F35" i="12"/>
  <c r="D31" i="12"/>
  <c r="E31" i="12"/>
  <c r="F31" i="12"/>
  <c r="C31" i="12"/>
  <c r="D26" i="12"/>
  <c r="E26" i="12"/>
  <c r="F26" i="12"/>
  <c r="C26" i="12"/>
  <c r="G32" i="11"/>
  <c r="D32" i="11"/>
  <c r="E32" i="11"/>
  <c r="F32" i="11"/>
  <c r="C32" i="11"/>
  <c r="D30" i="11"/>
  <c r="E30" i="11"/>
  <c r="F30" i="11"/>
  <c r="G30" i="11"/>
  <c r="C30" i="11"/>
  <c r="C27" i="11"/>
  <c r="D27" i="11"/>
  <c r="E27" i="11"/>
  <c r="F27" i="11"/>
  <c r="G27" i="11"/>
  <c r="C28" i="11"/>
  <c r="D28" i="11"/>
  <c r="E28" i="11"/>
  <c r="F28" i="11"/>
  <c r="G28" i="11"/>
  <c r="C29" i="11"/>
  <c r="D29" i="11"/>
  <c r="E29" i="11"/>
  <c r="F29" i="11"/>
  <c r="G29" i="11"/>
  <c r="D26" i="11"/>
  <c r="E26" i="11"/>
  <c r="F26" i="11"/>
  <c r="G26" i="11"/>
  <c r="C26" i="11"/>
  <c r="G25" i="11"/>
  <c r="D25" i="11"/>
  <c r="E25" i="11"/>
  <c r="F25" i="11"/>
  <c r="C25" i="11"/>
  <c r="B27" i="11"/>
  <c r="B28" i="11" s="1"/>
  <c r="B29" i="11" s="1"/>
  <c r="B30" i="11" s="1"/>
  <c r="B26" i="11"/>
  <c r="D30" i="10"/>
  <c r="E30" i="10"/>
  <c r="F30" i="10"/>
  <c r="C30" i="10"/>
  <c r="D27" i="10"/>
  <c r="E27" i="10"/>
  <c r="F27" i="10"/>
  <c r="C27" i="10"/>
  <c r="B23" i="10"/>
  <c r="B24" i="10" s="1"/>
  <c r="B25" i="10" s="1"/>
  <c r="B26" i="10" s="1"/>
  <c r="B27" i="10" s="1"/>
  <c r="B22" i="10"/>
  <c r="D16" i="8"/>
  <c r="C16" i="8"/>
  <c r="F12" i="7"/>
  <c r="F13" i="7" s="1"/>
  <c r="F14" i="7" s="1"/>
  <c r="F15" i="7" s="1"/>
  <c r="F16" i="7" s="1"/>
  <c r="F17" i="7" s="1"/>
  <c r="F18" i="7" s="1"/>
  <c r="E18" i="7"/>
  <c r="E15" i="7"/>
  <c r="E16" i="7" s="1"/>
  <c r="E17" i="7" s="1"/>
  <c r="E14" i="7"/>
  <c r="C31" i="6"/>
  <c r="B29" i="6"/>
  <c r="B25" i="6"/>
  <c r="B26" i="6" s="1"/>
  <c r="B27" i="6" s="1"/>
  <c r="B28" i="6" s="1"/>
  <c r="B17" i="6"/>
  <c r="B18" i="6" s="1"/>
  <c r="B19" i="6" s="1"/>
  <c r="B20" i="6" s="1"/>
  <c r="B21" i="6" s="1"/>
  <c r="B22" i="6" s="1"/>
  <c r="B23" i="6" s="1"/>
  <c r="B24" i="6" s="1"/>
  <c r="B16" i="6"/>
  <c r="D20" i="3"/>
  <c r="D15" i="3"/>
  <c r="D16" i="3" s="1"/>
  <c r="D14" i="3"/>
  <c r="D13" i="3"/>
  <c r="C32" i="2"/>
  <c r="C31" i="2"/>
  <c r="B23" i="1"/>
  <c r="B17" i="1"/>
  <c r="B18" i="1" s="1"/>
  <c r="B19" i="1" s="1"/>
  <c r="B20" i="1" s="1"/>
  <c r="B21" i="1" s="1"/>
  <c r="B22" i="1" s="1"/>
  <c r="B16" i="1"/>
  <c r="E24" i="9" l="1"/>
  <c r="C13" i="5"/>
  <c r="D17" i="3"/>
  <c r="D18" i="3" s="1"/>
  <c r="D19" i="3" s="1"/>
  <c r="D21" i="3"/>
  <c r="C14" i="5" l="1"/>
  <c r="C15" i="5" s="1"/>
  <c r="C16" i="5" s="1"/>
</calcChain>
</file>

<file path=xl/sharedStrings.xml><?xml version="1.0" encoding="utf-8"?>
<sst xmlns="http://schemas.openxmlformats.org/spreadsheetml/2006/main" count="143" uniqueCount="58">
  <si>
    <t>Problem 7.7
If a manufacturer of electronic devices invests $650,000 in equipment for making compact piezo­electric accelerometers for general purpose vibra­tion measurement, estimate the rate of return from revenue of $225,000 per year for 10 years and $70,000 in salvage value from the used equipment sale in year 10. Solve with spread­sheet functions.
Enter the IRR from the spreadsheet function, without a % sign (For example, for an IRR of 15.5%, enter 15.5 into the answer field)</t>
  </si>
  <si>
    <t xml:space="preserve">7.11
Determine the rate of return for the following cash flow series in the problem
Enter the IRR without the percent sign, xx.x
</t>
  </si>
  <si>
    <t>Problem 7.17
Barron Chemical uses a thermoplastic polymer to enhance the appearance of certain RV panels. The initial cost of one process was $130,000 with an­nual costs of $49,000 and revenues of $78,000 in year 1, increasing by $1000 per year. A salvage value of $23,000 was realized when the process was discontinued after 8 years. What rate of return did the company make on the process? Solve by trial and error or verify i* by spreadsheet.
Enter IRR into Carmen without the % sign, xx.x</t>
  </si>
  <si>
    <t>Problem 7.19
Aloma, a university graduate who started a suc­cessful business, wants to start an endowment in her name that will provide scholarships to IE stu­dents. She wants the scholarship to provide $10,000 per year and expects the first one to be awarded on the day she fulfills the endowment obligation. If Aloma plans to donate $100,000, what rate of return must the university realize in order to award the $10,000 per year scholarship forever?
Enter the IRR without the % sign, xx.x</t>
  </si>
  <si>
    <t>Problem 7.46
A mortgage bond issued by Automation Engineer­ing is for sale for $8200. The bond has a face value of $10,000 with a coupon rate of 8% per year, pay­able annually. What rate of return will be realized if the purchaser holds the bond to maturity 5 years from now?
Enter the IRR without the % sign (xx.x)</t>
  </si>
  <si>
    <t>Problem 7.47
An engineer planning for his child’s college educa­tion purchased a zero-coupon corporate bond (i.e., a bond that has no dividend payments) for $9250. The bond has a face value of $50,000 and is due in 18 years. If the bond is held to maturity, determine the i* for the investment.
Enter the IRR without the % sign, xx.x</t>
  </si>
  <si>
    <t>Problem 7.51
A $10,000 mortgage bond with a bond interest rate of 8% per year, payable quarterly, was purchased for $9200. The bond was kept until it was due, a total of 7 years. What rate of return was made by the purchaser:
(a) per 3 months?
(b) per year (nominal)?</t>
  </si>
  <si>
    <t>Problem 8.19
A consulting engineering firm’s CFO wants to pur­chase either Ford Explorers or Toyota 4Runners for company principals. The two models under consid­eration cost $30,900 for the Ford and $36,400 for the Toyota. When considering life-cycle costs, the AOC of the Explorer is expected to be $600 per year more than that of the 4Runner. The trade-in values after 3 years are estimated to be 50% of the first cost for the Explorer and 60% for the 4Runner. (a) What is the incremental ROR between the two vehicles? (b) Provided the firm’s MARR is 18% per year, which vehicle should it buy?</t>
  </si>
  <si>
    <t xml:space="preserve">Problem 8.25
A solid-waste recycling plant is considering two types of storage bins using an MARR of 10% per
year. (a) Use ROR evaluation to determine which should be selected. (b) Confirm the selection
using the regular AW method at MARR = 10% per year. </t>
  </si>
  <si>
    <t xml:space="preserve">Problem 8.31
A metal plating company is considering four different methods for recovering by-product heavy
metals from a manufacturing site’s liquid waste. The investment costs and annual net incomes
associated with each method have been estimated. All methods have an 8-year life; the MARR
is 11% per year; and an AW-based ROR analysis is required. (a) If the methods are independent
(because they can be implemented at different plants), which ones are acceptable? (b) If the
methods are mutually exclusive, determine which one should be selected. </t>
  </si>
  <si>
    <t xml:space="preserve">Problem 8.33
A recent graduate who wants to start an excavation/earth-moving business is trying to
determine which size of used dump truck to buy. He knows that as the bed size increases, the
net income increases, but he is uncertain whether the incremental expenditure required for the
larger trucks is justified. The cash flows associated with each size truck are estimated below.
The contractor has established a MARR of 18% per year, and all trucks are expected to have a
remaining economic life of 5 years. (a) Determine which size truck he should purchase. (b) If
two trucks are to be purchased, what should be the size of the second truck? </t>
  </si>
  <si>
    <t xml:space="preserve">Problem 8.37
The four alternatives described below are being evaluated by the rate of return method.
(a) If the proposals are independent, which should be selected at a MARR of 16% per year?
(b) If the proposals are mutually exclusive, which one should be selected at a MARR of 9% per
year?
(c) If the proposals are mutually exclusive, which one should be selected when the MARR is 12%
per year? </t>
  </si>
  <si>
    <t>Problem 18.1
Decker Scientific is considering an investment of $850,000 in a new product line. The company
will make the investment only if it will result in a rate of return of 20% per year or higher. If the
revenue is expected to be between $290,000 and $325,000 per year for each of 5 years,
determine if the decision to invest is sensitive to the projected range of income using an annual
worth analysis.</t>
  </si>
  <si>
    <t>IRR:</t>
  </si>
  <si>
    <t>Initial Investment</t>
  </si>
  <si>
    <t>Annual Revenue</t>
  </si>
  <si>
    <t>Year 1</t>
  </si>
  <si>
    <t>Salvage</t>
  </si>
  <si>
    <t>IRR</t>
  </si>
  <si>
    <t>FV</t>
  </si>
  <si>
    <t>i</t>
  </si>
  <si>
    <t>n</t>
  </si>
  <si>
    <t xml:space="preserve">        nothin</t>
  </si>
  <si>
    <t>a)</t>
  </si>
  <si>
    <t>b)</t>
  </si>
  <si>
    <t>IV</t>
  </si>
  <si>
    <t>Ford</t>
  </si>
  <si>
    <t>Toyota</t>
  </si>
  <si>
    <t>MARR</t>
  </si>
  <si>
    <t>this one^</t>
  </si>
  <si>
    <t>First cost</t>
  </si>
  <si>
    <t>P</t>
  </si>
  <si>
    <t>Q</t>
  </si>
  <si>
    <t>Life</t>
  </si>
  <si>
    <t>this one</t>
  </si>
  <si>
    <t>A</t>
  </si>
  <si>
    <t>B</t>
  </si>
  <si>
    <t>C</t>
  </si>
  <si>
    <t>D</t>
  </si>
  <si>
    <t>acceptable</t>
  </si>
  <si>
    <t>Bed Size</t>
  </si>
  <si>
    <t>M&amp;O</t>
  </si>
  <si>
    <t>Salvage Value</t>
  </si>
  <si>
    <t>Year:</t>
  </si>
  <si>
    <t>Compared to:</t>
  </si>
  <si>
    <t>IRR Compared to:</t>
  </si>
  <si>
    <t>Percent diff</t>
  </si>
  <si>
    <t>Percent Compared to:</t>
  </si>
  <si>
    <t>c)</t>
  </si>
  <si>
    <t>this one still?</t>
  </si>
  <si>
    <t>Yeah do it</t>
  </si>
  <si>
    <t>^yup</t>
  </si>
  <si>
    <t>AW</t>
  </si>
  <si>
    <t>Annual Payment</t>
  </si>
  <si>
    <t>ROR</t>
  </si>
  <si>
    <t>Interest Payment</t>
  </si>
  <si>
    <t>PMT</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</si>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</sst>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70" formatCode="0.0"/>
    <numFmt numFmtId="171" formatCode="&quot;$&quot;#,##0.0_);[Red]\(&quot;$&quot;#,##0.0\)"/>
    <numFmt numFmtId="172" formatCode="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vertical="top" wrapText="1"/>
    </xf>
    <xf numFmtId="0" fontId="0" fillId="0" borderId="0" xfId="0" applyAlignment="1">
      <alignment horizontal="left" vertical="top"/>
    </xf>
    <xf numFmtId="6" fontId="0" fillId="0" borderId="0" xfId="0" applyNumberFormat="1"/>
    <xf numFmtId="9" fontId="0" fillId="0" borderId="0" xfId="0" applyNumberFormat="1"/>
    <xf numFmtId="170" fontId="0" fillId="2" borderId="0" xfId="0" applyNumberFormat="1" applyFill="1"/>
    <xf numFmtId="40" fontId="0" fillId="0" borderId="0" xfId="0" applyNumberFormat="1"/>
    <xf numFmtId="9" fontId="0" fillId="0" borderId="0" xfId="0" applyNumberFormat="1" applyFill="1"/>
    <xf numFmtId="8" fontId="0" fillId="0" borderId="0" xfId="0" applyNumberFormat="1"/>
    <xf numFmtId="171" fontId="0" fillId="0" borderId="0" xfId="0" applyNumberFormat="1"/>
    <xf numFmtId="0" fontId="0" fillId="2" borderId="0" xfId="0" applyFill="1"/>
    <xf numFmtId="38" fontId="0" fillId="0" borderId="0" xfId="0" applyNumberFormat="1"/>
    <xf numFmtId="10" fontId="0" fillId="0" borderId="0" xfId="0" applyNumberFormat="1"/>
    <xf numFmtId="172" fontId="0" fillId="0" borderId="0" xfId="0" applyNumberFormat="1"/>
    <xf numFmtId="172" fontId="0" fillId="2" borderId="0" xfId="0" applyNumberFormat="1" applyFill="1"/>
    <xf numFmtId="172" fontId="0" fillId="0" borderId="0" xfId="0" applyNumberFormat="1" applyFill="1"/>
    <xf numFmtId="0" fontId="0" fillId="0" borderId="0" xfId="0" applyFill="1"/>
    <xf numFmtId="1"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15241</xdr:colOff>
      <xdr:row>7</xdr:row>
      <xdr:rowOff>45720</xdr:rowOff>
    </xdr:from>
    <xdr:to>
      <xdr:col>6</xdr:col>
      <xdr:colOff>156211</xdr:colOff>
      <xdr:row>20</xdr:row>
      <xdr:rowOff>53340</xdr:rowOff>
    </xdr:to>
    <xdr:pic>
      <xdr:nvPicPr>
        <xdr:cNvPr id="2" name="Picture 1">
          <a:extLst>
            <a:ext uri="{FF2B5EF4-FFF2-40B4-BE49-F238E27FC236}">
              <a16:creationId xmlns:a16="http://schemas.microsoft.com/office/drawing/2014/main" id="{210E9159-6341-4A5D-8395-A37F6A247DAF}"/>
            </a:ext>
          </a:extLst>
        </xdr:cNvPr>
        <xdr:cNvPicPr>
          <a:picLocks noChangeAspect="1"/>
        </xdr:cNvPicPr>
      </xdr:nvPicPr>
      <xdr:blipFill>
        <a:blip xmlns:r="http://schemas.openxmlformats.org/officeDocument/2006/relationships" r:embed="rId1"/>
        <a:stretch>
          <a:fillRect/>
        </a:stretch>
      </xdr:blipFill>
      <xdr:spPr>
        <a:xfrm>
          <a:off x="624841" y="1691640"/>
          <a:ext cx="3703320" cy="2385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38101</xdr:colOff>
      <xdr:row>9</xdr:row>
      <xdr:rowOff>76200</xdr:rowOff>
    </xdr:from>
    <xdr:to>
      <xdr:col>6</xdr:col>
      <xdr:colOff>297181</xdr:colOff>
      <xdr:row>15</xdr:row>
      <xdr:rowOff>68724</xdr:rowOff>
    </xdr:to>
    <xdr:pic>
      <xdr:nvPicPr>
        <xdr:cNvPr id="2" name="Picture 1">
          <a:extLst>
            <a:ext uri="{FF2B5EF4-FFF2-40B4-BE49-F238E27FC236}">
              <a16:creationId xmlns:a16="http://schemas.microsoft.com/office/drawing/2014/main" id="{5C6C0EBF-93BA-4774-8FA0-E887EDF147D2}"/>
            </a:ext>
          </a:extLst>
        </xdr:cNvPr>
        <xdr:cNvPicPr>
          <a:picLocks noChangeAspect="1"/>
        </xdr:cNvPicPr>
      </xdr:nvPicPr>
      <xdr:blipFill>
        <a:blip xmlns:r="http://schemas.openxmlformats.org/officeDocument/2006/relationships" r:embed="rId1"/>
        <a:stretch>
          <a:fillRect/>
        </a:stretch>
      </xdr:blipFill>
      <xdr:spPr>
        <a:xfrm>
          <a:off x="647701" y="1722120"/>
          <a:ext cx="3802380" cy="10898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xdr:colOff>
      <xdr:row>9</xdr:row>
      <xdr:rowOff>91440</xdr:rowOff>
    </xdr:from>
    <xdr:to>
      <xdr:col>6</xdr:col>
      <xdr:colOff>243314</xdr:colOff>
      <xdr:row>15</xdr:row>
      <xdr:rowOff>30480</xdr:rowOff>
    </xdr:to>
    <xdr:pic>
      <xdr:nvPicPr>
        <xdr:cNvPr id="2" name="Picture 1">
          <a:extLst>
            <a:ext uri="{FF2B5EF4-FFF2-40B4-BE49-F238E27FC236}">
              <a16:creationId xmlns:a16="http://schemas.microsoft.com/office/drawing/2014/main" id="{97A72618-80E8-4D2E-9629-06CEB37341CC}"/>
            </a:ext>
          </a:extLst>
        </xdr:cNvPr>
        <xdr:cNvPicPr>
          <a:picLocks noChangeAspect="1"/>
        </xdr:cNvPicPr>
      </xdr:nvPicPr>
      <xdr:blipFill>
        <a:blip xmlns:r="http://schemas.openxmlformats.org/officeDocument/2006/relationships" r:embed="rId1"/>
        <a:stretch>
          <a:fillRect/>
        </a:stretch>
      </xdr:blipFill>
      <xdr:spPr>
        <a:xfrm>
          <a:off x="662940" y="1737360"/>
          <a:ext cx="3971399" cy="1036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10</xdr:row>
      <xdr:rowOff>30480</xdr:rowOff>
    </xdr:from>
    <xdr:to>
      <xdr:col>6</xdr:col>
      <xdr:colOff>208656</xdr:colOff>
      <xdr:row>16</xdr:row>
      <xdr:rowOff>45720</xdr:rowOff>
    </xdr:to>
    <xdr:pic>
      <xdr:nvPicPr>
        <xdr:cNvPr id="2" name="Picture 1">
          <a:extLst>
            <a:ext uri="{FF2B5EF4-FFF2-40B4-BE49-F238E27FC236}">
              <a16:creationId xmlns:a16="http://schemas.microsoft.com/office/drawing/2014/main" id="{11447697-1F0F-4C95-A94A-DD99EE535707}"/>
            </a:ext>
          </a:extLst>
        </xdr:cNvPr>
        <xdr:cNvPicPr>
          <a:picLocks noChangeAspect="1"/>
        </xdr:cNvPicPr>
      </xdr:nvPicPr>
      <xdr:blipFill>
        <a:blip xmlns:r="http://schemas.openxmlformats.org/officeDocument/2006/relationships" r:embed="rId1"/>
        <a:stretch>
          <a:fillRect/>
        </a:stretch>
      </xdr:blipFill>
      <xdr:spPr>
        <a:xfrm>
          <a:off x="647700" y="1859280"/>
          <a:ext cx="3847206" cy="11125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9</xdr:row>
      <xdr:rowOff>0</xdr:rowOff>
    </xdr:from>
    <xdr:to>
      <xdr:col>4</xdr:col>
      <xdr:colOff>276226</xdr:colOff>
      <xdr:row>16</xdr:row>
      <xdr:rowOff>179551</xdr:rowOff>
    </xdr:to>
    <xdr:pic>
      <xdr:nvPicPr>
        <xdr:cNvPr id="2" name="Picture 1">
          <a:extLst>
            <a:ext uri="{FF2B5EF4-FFF2-40B4-BE49-F238E27FC236}">
              <a16:creationId xmlns:a16="http://schemas.microsoft.com/office/drawing/2014/main" id="{C45BABEC-DBE9-4FE9-A1A0-D1C47450ED16}"/>
            </a:ext>
          </a:extLst>
        </xdr:cNvPr>
        <xdr:cNvPicPr>
          <a:picLocks noChangeAspect="1"/>
        </xdr:cNvPicPr>
      </xdr:nvPicPr>
      <xdr:blipFill>
        <a:blip xmlns:r="http://schemas.openxmlformats.org/officeDocument/2006/relationships" r:embed="rId1"/>
        <a:stretch>
          <a:fillRect/>
        </a:stretch>
      </xdr:blipFill>
      <xdr:spPr>
        <a:xfrm>
          <a:off x="609601" y="1645920"/>
          <a:ext cx="3200400" cy="14597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DC9E-ABD4-45C1-81D8-B0AA66995AF8}">
  <dimension ref="B2:K25"/>
  <sheetViews>
    <sheetView topLeftCell="A4" workbookViewId="0">
      <selection activeCell="E22" sqref="E22"/>
    </sheetView>
  </sheetViews>
  <sheetFormatPr defaultRowHeight="15" x14ac:dyDescent="0.25"/>
  <cols>
    <col min="1" max="1" width="8.85546875" customWidth="1"/>
    <col min="2" max="2" width="29.7109375" customWidth="1"/>
    <col min="3" max="3" width="11.5703125" bestFit="1" customWidth="1"/>
  </cols>
  <sheetData>
    <row r="2" spans="2:11" x14ac:dyDescent="0.25">
      <c r="B2" s="1" t="s">
        <v>0</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3" spans="2:11" x14ac:dyDescent="0.25">
      <c r="B13" t="s">
        <v>14</v>
      </c>
      <c r="C13" s="3">
        <v>-650000</v>
      </c>
    </row>
    <row r="14" spans="2:11" x14ac:dyDescent="0.25">
      <c r="B14" t="s">
        <v>16</v>
      </c>
      <c r="C14" s="3">
        <v>225000</v>
      </c>
    </row>
    <row r="15" spans="2:11" x14ac:dyDescent="0.25">
      <c r="B15">
        <v>2</v>
      </c>
      <c r="C15" s="3">
        <v>225000</v>
      </c>
    </row>
    <row r="16" spans="2:11" x14ac:dyDescent="0.25">
      <c r="B16">
        <f>B15+1</f>
        <v>3</v>
      </c>
      <c r="C16" s="3">
        <v>225000</v>
      </c>
    </row>
    <row r="17" spans="2:3" x14ac:dyDescent="0.25">
      <c r="B17">
        <f t="shared" ref="B17:B22" si="0">B16+1</f>
        <v>4</v>
      </c>
      <c r="C17" s="3">
        <v>225000</v>
      </c>
    </row>
    <row r="18" spans="2:3" x14ac:dyDescent="0.25">
      <c r="B18">
        <f t="shared" si="0"/>
        <v>5</v>
      </c>
      <c r="C18" s="3">
        <v>225000</v>
      </c>
    </row>
    <row r="19" spans="2:3" x14ac:dyDescent="0.25">
      <c r="B19">
        <f t="shared" si="0"/>
        <v>6</v>
      </c>
      <c r="C19" s="3">
        <v>225000</v>
      </c>
    </row>
    <row r="20" spans="2:3" x14ac:dyDescent="0.25">
      <c r="B20">
        <f t="shared" si="0"/>
        <v>7</v>
      </c>
      <c r="C20" s="3">
        <v>225000</v>
      </c>
    </row>
    <row r="21" spans="2:3" x14ac:dyDescent="0.25">
      <c r="B21">
        <f t="shared" si="0"/>
        <v>8</v>
      </c>
      <c r="C21" s="3">
        <v>225000</v>
      </c>
    </row>
    <row r="22" spans="2:3" x14ac:dyDescent="0.25">
      <c r="B22">
        <f>B21+1</f>
        <v>9</v>
      </c>
      <c r="C22" s="3">
        <v>225000</v>
      </c>
    </row>
    <row r="23" spans="2:3" x14ac:dyDescent="0.25">
      <c r="B23">
        <f t="shared" ref="B23:B24" si="1">B22+1</f>
        <v>10</v>
      </c>
      <c r="C23" s="3">
        <f>225000+C24</f>
        <v>295000</v>
      </c>
    </row>
    <row r="24" spans="2:3" x14ac:dyDescent="0.25">
      <c r="B24" t="s">
        <v>17</v>
      </c>
      <c r="C24" s="3">
        <v>70000</v>
      </c>
    </row>
    <row r="25" spans="2:3" x14ac:dyDescent="0.25">
      <c r="B25" t="s">
        <v>13</v>
      </c>
      <c r="C25" s="5">
        <f>IRR(C13:C23) *100</f>
        <v>32.792300822365419</v>
      </c>
    </row>
  </sheetData>
  <mergeCells count="1">
    <mergeCell ref="B2:K9"/>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D9D02-EC72-4CDD-B745-75F76CCF6C84}">
  <dimension ref="B2:K32"/>
  <sheetViews>
    <sheetView workbookViewId="0">
      <selection activeCell="D30" sqref="D30"/>
    </sheetView>
  </sheetViews>
  <sheetFormatPr defaultRowHeight="15" x14ac:dyDescent="0.25"/>
  <cols>
    <col min="2" max="2" width="18.28515625" customWidth="1"/>
    <col min="5" max="5" width="10.140625" customWidth="1"/>
    <col min="6" max="6" width="10" customWidth="1"/>
  </cols>
  <sheetData>
    <row r="2" spans="2:11" x14ac:dyDescent="0.25">
      <c r="B2" s="1" t="s">
        <v>9</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8" spans="2:6" x14ac:dyDescent="0.25">
      <c r="C18" t="s">
        <v>35</v>
      </c>
      <c r="D18" t="s">
        <v>36</v>
      </c>
      <c r="E18" t="s">
        <v>37</v>
      </c>
      <c r="F18" t="s">
        <v>38</v>
      </c>
    </row>
    <row r="19" spans="2:6" x14ac:dyDescent="0.25">
      <c r="B19" t="s">
        <v>14</v>
      </c>
      <c r="C19" s="3">
        <v>-30000</v>
      </c>
      <c r="D19" s="3">
        <v>-36000</v>
      </c>
      <c r="E19" s="3">
        <v>-41000</v>
      </c>
      <c r="F19" s="3">
        <v>-53000</v>
      </c>
    </row>
    <row r="20" spans="2:6" x14ac:dyDescent="0.25">
      <c r="B20" t="s">
        <v>16</v>
      </c>
      <c r="C20" s="3">
        <v>4000</v>
      </c>
      <c r="D20" s="3">
        <v>5000</v>
      </c>
      <c r="E20" s="3">
        <v>8000</v>
      </c>
      <c r="F20" s="3">
        <v>10500</v>
      </c>
    </row>
    <row r="21" spans="2:6" x14ac:dyDescent="0.25">
      <c r="B21">
        <v>2</v>
      </c>
      <c r="C21" s="3">
        <v>4000</v>
      </c>
      <c r="D21" s="3">
        <v>5000</v>
      </c>
      <c r="E21" s="3">
        <v>8000</v>
      </c>
      <c r="F21" s="3">
        <v>10500</v>
      </c>
    </row>
    <row r="22" spans="2:6" x14ac:dyDescent="0.25">
      <c r="B22">
        <f>B21+1</f>
        <v>3</v>
      </c>
      <c r="C22" s="3">
        <v>4000</v>
      </c>
      <c r="D22" s="3">
        <v>5000</v>
      </c>
      <c r="E22" s="3">
        <v>8000</v>
      </c>
      <c r="F22" s="3">
        <v>10500</v>
      </c>
    </row>
    <row r="23" spans="2:6" x14ac:dyDescent="0.25">
      <c r="B23">
        <f t="shared" ref="B23:B27" si="0">B22+1</f>
        <v>4</v>
      </c>
      <c r="C23" s="3">
        <v>4000</v>
      </c>
      <c r="D23" s="3">
        <v>5000</v>
      </c>
      <c r="E23" s="3">
        <v>8000</v>
      </c>
      <c r="F23" s="3">
        <v>10500</v>
      </c>
    </row>
    <row r="24" spans="2:6" x14ac:dyDescent="0.25">
      <c r="B24">
        <f t="shared" si="0"/>
        <v>5</v>
      </c>
      <c r="C24" s="3">
        <v>4000</v>
      </c>
      <c r="D24" s="3">
        <v>5000</v>
      </c>
      <c r="E24" s="3">
        <v>8000</v>
      </c>
      <c r="F24" s="3">
        <v>10500</v>
      </c>
    </row>
    <row r="25" spans="2:6" x14ac:dyDescent="0.25">
      <c r="B25">
        <f t="shared" si="0"/>
        <v>6</v>
      </c>
      <c r="C25" s="3">
        <v>4000</v>
      </c>
      <c r="D25" s="3">
        <v>5000</v>
      </c>
      <c r="E25" s="3">
        <v>8000</v>
      </c>
      <c r="F25" s="3">
        <v>10500</v>
      </c>
    </row>
    <row r="26" spans="2:6" x14ac:dyDescent="0.25">
      <c r="B26">
        <f t="shared" si="0"/>
        <v>7</v>
      </c>
      <c r="C26" s="3">
        <v>4000</v>
      </c>
      <c r="D26" s="3">
        <v>5000</v>
      </c>
      <c r="E26" s="3">
        <v>8000</v>
      </c>
      <c r="F26" s="3">
        <v>10500</v>
      </c>
    </row>
    <row r="27" spans="2:6" x14ac:dyDescent="0.25">
      <c r="B27">
        <f t="shared" si="0"/>
        <v>8</v>
      </c>
      <c r="C27" s="3">
        <f>C26+C28</f>
        <v>5000</v>
      </c>
      <c r="D27" s="3">
        <f t="shared" ref="D27:F27" si="1">D26+D28</f>
        <v>7000</v>
      </c>
      <c r="E27" s="3">
        <f t="shared" si="1"/>
        <v>8500</v>
      </c>
      <c r="F27" s="3">
        <f t="shared" si="1"/>
        <v>8500</v>
      </c>
    </row>
    <row r="28" spans="2:6" x14ac:dyDescent="0.25">
      <c r="B28" t="s">
        <v>17</v>
      </c>
      <c r="C28" s="3">
        <v>1000</v>
      </c>
      <c r="D28" s="3">
        <v>2000</v>
      </c>
      <c r="E28" s="3">
        <v>500</v>
      </c>
      <c r="F28" s="3">
        <v>-2000</v>
      </c>
    </row>
    <row r="29" spans="2:6" x14ac:dyDescent="0.25">
      <c r="B29" t="s">
        <v>28</v>
      </c>
      <c r="C29" s="4">
        <v>0.11</v>
      </c>
      <c r="D29" s="4">
        <v>0.11</v>
      </c>
      <c r="E29" s="4">
        <v>0.11</v>
      </c>
      <c r="F29" s="4">
        <v>0.11</v>
      </c>
    </row>
    <row r="30" spans="2:6" x14ac:dyDescent="0.25">
      <c r="B30" t="s">
        <v>18</v>
      </c>
      <c r="C30" s="4">
        <f>IRR(C19:C27)</f>
        <v>2.1173214473037216E-2</v>
      </c>
      <c r="D30" s="4">
        <f>IRR(D19:D27)</f>
        <v>3.4283813696514676E-2</v>
      </c>
      <c r="E30" s="4">
        <f>IRR(E19:E27)</f>
        <v>0.11262032548508394</v>
      </c>
      <c r="F30" s="4">
        <f>IRR(F19:F27)</f>
        <v>0.11089491022422937</v>
      </c>
    </row>
    <row r="31" spans="2:6" x14ac:dyDescent="0.25">
      <c r="B31" t="s">
        <v>23</v>
      </c>
      <c r="E31" s="10" t="s">
        <v>39</v>
      </c>
      <c r="F31" s="10" t="s">
        <v>39</v>
      </c>
    </row>
    <row r="32" spans="2:6" x14ac:dyDescent="0.25">
      <c r="B32" t="s">
        <v>24</v>
      </c>
      <c r="E32" s="10" t="s">
        <v>34</v>
      </c>
    </row>
  </sheetData>
  <mergeCells count="1">
    <mergeCell ref="B2:K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478D-4709-4AEC-9FF5-B4C3487F6DC2}">
  <dimension ref="B2:K35"/>
  <sheetViews>
    <sheetView workbookViewId="0">
      <selection activeCell="C35" sqref="C35"/>
    </sheetView>
  </sheetViews>
  <sheetFormatPr defaultRowHeight="15" x14ac:dyDescent="0.25"/>
  <cols>
    <col min="2" max="2" width="17.7109375" customWidth="1"/>
    <col min="3" max="3" width="10" customWidth="1"/>
  </cols>
  <sheetData>
    <row r="2" spans="2:11" x14ac:dyDescent="0.25">
      <c r="B2" s="1" t="s">
        <v>10</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9" spans="2:7" x14ac:dyDescent="0.25">
      <c r="B19" t="s">
        <v>40</v>
      </c>
      <c r="C19">
        <v>8</v>
      </c>
      <c r="D19">
        <v>10</v>
      </c>
      <c r="E19">
        <v>15</v>
      </c>
      <c r="F19">
        <v>20</v>
      </c>
      <c r="G19">
        <v>25</v>
      </c>
    </row>
    <row r="20" spans="2:7" x14ac:dyDescent="0.25">
      <c r="B20" t="s">
        <v>14</v>
      </c>
      <c r="C20" s="3">
        <v>-30000</v>
      </c>
      <c r="D20" s="3">
        <v>-34000</v>
      </c>
      <c r="E20" s="3">
        <v>-38000</v>
      </c>
      <c r="F20" s="3">
        <v>-48000</v>
      </c>
      <c r="G20" s="3">
        <v>-57000</v>
      </c>
    </row>
    <row r="21" spans="2:7" x14ac:dyDescent="0.25">
      <c r="B21" t="s">
        <v>41</v>
      </c>
      <c r="C21" s="3">
        <v>-14000</v>
      </c>
      <c r="D21" s="3">
        <v>-15500</v>
      </c>
      <c r="E21" s="3">
        <v>-18000</v>
      </c>
      <c r="F21" s="3">
        <v>-21000</v>
      </c>
      <c r="G21" s="3">
        <v>-26000</v>
      </c>
    </row>
    <row r="22" spans="2:7" x14ac:dyDescent="0.25">
      <c r="B22" t="s">
        <v>42</v>
      </c>
      <c r="C22" s="3">
        <v>2000</v>
      </c>
      <c r="D22" s="3">
        <v>2500</v>
      </c>
      <c r="E22" s="3">
        <v>3000</v>
      </c>
      <c r="F22" s="3">
        <v>3500</v>
      </c>
      <c r="G22" s="3">
        <v>4600</v>
      </c>
    </row>
    <row r="23" spans="2:7" x14ac:dyDescent="0.25">
      <c r="B23" t="s">
        <v>15</v>
      </c>
      <c r="C23" s="3">
        <v>26500</v>
      </c>
      <c r="D23" s="3">
        <v>30000</v>
      </c>
      <c r="E23" s="3">
        <v>33500</v>
      </c>
      <c r="F23" s="3">
        <v>40500</v>
      </c>
      <c r="G23" s="3">
        <v>49000</v>
      </c>
    </row>
    <row r="24" spans="2:7" x14ac:dyDescent="0.25">
      <c r="B24" t="s">
        <v>43</v>
      </c>
    </row>
    <row r="25" spans="2:7" x14ac:dyDescent="0.25">
      <c r="B25">
        <v>0</v>
      </c>
      <c r="C25" s="3">
        <f>C20</f>
        <v>-30000</v>
      </c>
      <c r="D25" s="3">
        <f t="shared" ref="D25:G25" si="0">D20</f>
        <v>-34000</v>
      </c>
      <c r="E25" s="3">
        <f t="shared" si="0"/>
        <v>-38000</v>
      </c>
      <c r="F25" s="3">
        <f t="shared" si="0"/>
        <v>-48000</v>
      </c>
      <c r="G25" s="3">
        <f t="shared" si="0"/>
        <v>-57000</v>
      </c>
    </row>
    <row r="26" spans="2:7" x14ac:dyDescent="0.25">
      <c r="B26">
        <f>B25+1</f>
        <v>1</v>
      </c>
      <c r="C26" s="3">
        <f>C$23+C$21</f>
        <v>12500</v>
      </c>
      <c r="D26" s="3">
        <f t="shared" ref="D26:G30" si="1">D$23+D$21</f>
        <v>14500</v>
      </c>
      <c r="E26" s="3">
        <f t="shared" si="1"/>
        <v>15500</v>
      </c>
      <c r="F26" s="3">
        <f t="shared" si="1"/>
        <v>19500</v>
      </c>
      <c r="G26" s="3">
        <f t="shared" si="1"/>
        <v>23000</v>
      </c>
    </row>
    <row r="27" spans="2:7" x14ac:dyDescent="0.25">
      <c r="B27">
        <f t="shared" ref="B27:B30" si="2">B26+1</f>
        <v>2</v>
      </c>
      <c r="C27" s="3">
        <f t="shared" ref="C27:C29" si="3">C$23+C$21</f>
        <v>12500</v>
      </c>
      <c r="D27" s="3">
        <f t="shared" si="1"/>
        <v>14500</v>
      </c>
      <c r="E27" s="3">
        <f t="shared" si="1"/>
        <v>15500</v>
      </c>
      <c r="F27" s="3">
        <f t="shared" si="1"/>
        <v>19500</v>
      </c>
      <c r="G27" s="3">
        <f t="shared" si="1"/>
        <v>23000</v>
      </c>
    </row>
    <row r="28" spans="2:7" x14ac:dyDescent="0.25">
      <c r="B28">
        <f t="shared" si="2"/>
        <v>3</v>
      </c>
      <c r="C28" s="3">
        <f t="shared" si="3"/>
        <v>12500</v>
      </c>
      <c r="D28" s="3">
        <f t="shared" si="1"/>
        <v>14500</v>
      </c>
      <c r="E28" s="3">
        <f t="shared" si="1"/>
        <v>15500</v>
      </c>
      <c r="F28" s="3">
        <f t="shared" si="1"/>
        <v>19500</v>
      </c>
      <c r="G28" s="3">
        <f t="shared" si="1"/>
        <v>23000</v>
      </c>
    </row>
    <row r="29" spans="2:7" x14ac:dyDescent="0.25">
      <c r="B29">
        <f t="shared" si="2"/>
        <v>4</v>
      </c>
      <c r="C29" s="3">
        <f t="shared" si="3"/>
        <v>12500</v>
      </c>
      <c r="D29" s="3">
        <f t="shared" si="1"/>
        <v>14500</v>
      </c>
      <c r="E29" s="3">
        <f t="shared" si="1"/>
        <v>15500</v>
      </c>
      <c r="F29" s="3">
        <f t="shared" si="1"/>
        <v>19500</v>
      </c>
      <c r="G29" s="3">
        <f t="shared" si="1"/>
        <v>23000</v>
      </c>
    </row>
    <row r="30" spans="2:7" x14ac:dyDescent="0.25">
      <c r="B30">
        <f t="shared" si="2"/>
        <v>5</v>
      </c>
      <c r="C30" s="3">
        <f>C$23+C$21+C$22</f>
        <v>14500</v>
      </c>
      <c r="D30" s="3">
        <f t="shared" ref="D30:G30" si="4">D$23+D$21+D$22</f>
        <v>17000</v>
      </c>
      <c r="E30" s="3">
        <f t="shared" si="4"/>
        <v>18500</v>
      </c>
      <c r="F30" s="3">
        <f t="shared" si="4"/>
        <v>23000</v>
      </c>
      <c r="G30" s="3">
        <f t="shared" si="4"/>
        <v>27600</v>
      </c>
    </row>
    <row r="32" spans="2:7" x14ac:dyDescent="0.25">
      <c r="B32" t="s">
        <v>18</v>
      </c>
      <c r="C32" s="4">
        <f>IRR(C25:C30)</f>
        <v>0.31673215730918147</v>
      </c>
      <c r="D32" s="4">
        <f t="shared" ref="D32:F32" si="5">IRR(D25:D30)</f>
        <v>0.32971422623251168</v>
      </c>
      <c r="E32" s="4">
        <f t="shared" si="5"/>
        <v>0.30750775652335793</v>
      </c>
      <c r="F32" s="4">
        <f t="shared" si="5"/>
        <v>0.30464680888094975</v>
      </c>
      <c r="G32" s="4">
        <f>IRR(G25:G30)</f>
        <v>0.30230201603343709</v>
      </c>
    </row>
    <row r="34" spans="2:4" x14ac:dyDescent="0.25">
      <c r="B34" t="s">
        <v>23</v>
      </c>
      <c r="D34" s="10" t="s">
        <v>34</v>
      </c>
    </row>
    <row r="35" spans="2:4" x14ac:dyDescent="0.25">
      <c r="B35" t="s">
        <v>24</v>
      </c>
      <c r="C35" s="10" t="s">
        <v>34</v>
      </c>
    </row>
  </sheetData>
  <mergeCells count="1">
    <mergeCell ref="B2:K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A57C-B5FC-4F5A-9E86-79FE293A4147}">
  <dimension ref="B2:M39"/>
  <sheetViews>
    <sheetView workbookViewId="0">
      <selection activeCell="C37" sqref="C37"/>
    </sheetView>
  </sheetViews>
  <sheetFormatPr defaultRowHeight="15" x14ac:dyDescent="0.25"/>
  <cols>
    <col min="2" max="2" width="20.5703125" bestFit="1" customWidth="1"/>
    <col min="3" max="3" width="11.5703125" customWidth="1"/>
    <col min="4" max="4" width="11.7109375" bestFit="1" customWidth="1"/>
    <col min="5" max="5" width="11.85546875" bestFit="1" customWidth="1"/>
    <col min="6" max="6" width="12.7109375" bestFit="1" customWidth="1"/>
    <col min="10" max="10" width="10.42578125" customWidth="1"/>
    <col min="11" max="13" width="10.85546875" bestFit="1" customWidth="1"/>
  </cols>
  <sheetData>
    <row r="2" spans="2:11" x14ac:dyDescent="0.25">
      <c r="B2" s="1" t="s">
        <v>11</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7" spans="2:13" x14ac:dyDescent="0.25">
      <c r="J17" s="4"/>
    </row>
    <row r="19" spans="2:13" x14ac:dyDescent="0.25">
      <c r="C19" t="s">
        <v>35</v>
      </c>
      <c r="D19" t="s">
        <v>36</v>
      </c>
      <c r="E19" t="s">
        <v>37</v>
      </c>
      <c r="F19" t="s">
        <v>38</v>
      </c>
    </row>
    <row r="20" spans="2:13" x14ac:dyDescent="0.25">
      <c r="B20" t="s">
        <v>14</v>
      </c>
      <c r="C20" s="3">
        <v>-40000</v>
      </c>
      <c r="D20" s="3">
        <v>-75000</v>
      </c>
      <c r="E20" s="3">
        <v>-100000</v>
      </c>
      <c r="F20" s="3">
        <v>-200000</v>
      </c>
      <c r="I20" s="11"/>
      <c r="J20" s="3"/>
      <c r="K20" s="3"/>
      <c r="L20" s="3"/>
      <c r="M20" s="3"/>
    </row>
    <row r="21" spans="2:13" x14ac:dyDescent="0.25">
      <c r="B21" t="s">
        <v>20</v>
      </c>
      <c r="C21" s="4">
        <v>0.28999999999999998</v>
      </c>
      <c r="D21" s="4">
        <v>0.15</v>
      </c>
      <c r="E21" s="4">
        <v>0.16</v>
      </c>
      <c r="F21" s="4">
        <v>0.14000000000000001</v>
      </c>
      <c r="I21" s="11"/>
      <c r="J21" s="8"/>
      <c r="K21" s="8"/>
      <c r="L21" s="8"/>
      <c r="M21" s="8"/>
    </row>
    <row r="22" spans="2:13" x14ac:dyDescent="0.25">
      <c r="B22" t="s">
        <v>44</v>
      </c>
      <c r="I22" s="11"/>
      <c r="J22" s="8"/>
      <c r="K22" s="8"/>
      <c r="L22" s="8"/>
      <c r="M22" s="8"/>
    </row>
    <row r="23" spans="2:13" x14ac:dyDescent="0.25">
      <c r="B23" t="s">
        <v>35</v>
      </c>
      <c r="C23" s="12"/>
      <c r="D23" s="4">
        <v>0.01</v>
      </c>
      <c r="E23" s="4">
        <v>7.0000000000000007E-2</v>
      </c>
      <c r="F23" s="4">
        <v>0.1</v>
      </c>
      <c r="I23" s="11"/>
      <c r="J23" s="8"/>
      <c r="K23" s="8"/>
      <c r="L23" s="8"/>
      <c r="M23" s="8"/>
    </row>
    <row r="24" spans="2:13" x14ac:dyDescent="0.25">
      <c r="B24" t="s">
        <v>36</v>
      </c>
      <c r="C24" s="12"/>
      <c r="D24" s="4"/>
      <c r="E24" s="4">
        <v>0.2</v>
      </c>
      <c r="F24" s="4">
        <v>0.13</v>
      </c>
      <c r="I24" s="11"/>
      <c r="J24" s="8"/>
      <c r="K24" s="8"/>
      <c r="L24" s="8"/>
      <c r="M24" s="8"/>
    </row>
    <row r="25" spans="2:13" x14ac:dyDescent="0.25">
      <c r="B25" t="s">
        <v>37</v>
      </c>
      <c r="C25" s="12"/>
      <c r="D25" s="4"/>
      <c r="E25" s="4"/>
      <c r="F25" s="4">
        <v>0.12</v>
      </c>
      <c r="I25" s="11"/>
      <c r="J25" s="8"/>
      <c r="K25" s="8"/>
      <c r="L25" s="8"/>
      <c r="M25" s="8"/>
    </row>
    <row r="26" spans="2:13" x14ac:dyDescent="0.25">
      <c r="B26" t="s">
        <v>18</v>
      </c>
      <c r="C26" s="8">
        <f>-C20/(1+C21)</f>
        <v>31007.751937984496</v>
      </c>
      <c r="D26" s="8">
        <f>-D20/(1+D21)</f>
        <v>65217.391304347831</v>
      </c>
      <c r="E26" s="8">
        <f t="shared" ref="D26:F26" si="0">-E20/(1+E21)</f>
        <v>86206.896551724145</v>
      </c>
      <c r="F26" s="8">
        <f t="shared" si="0"/>
        <v>175438.59649122806</v>
      </c>
      <c r="I26" s="11"/>
      <c r="J26" s="8"/>
      <c r="K26" s="8"/>
      <c r="L26" s="8"/>
      <c r="M26" s="8"/>
    </row>
    <row r="27" spans="2:13" x14ac:dyDescent="0.25">
      <c r="B27" t="s">
        <v>45</v>
      </c>
      <c r="I27" s="11"/>
      <c r="J27" s="8"/>
      <c r="K27" s="8"/>
      <c r="L27" s="8"/>
      <c r="M27" s="8"/>
    </row>
    <row r="28" spans="2:13" x14ac:dyDescent="0.25">
      <c r="B28" t="s">
        <v>35</v>
      </c>
      <c r="D28" s="8">
        <f>-D$20/(1+(D$21+D23))</f>
        <v>64655.172413793109</v>
      </c>
      <c r="E28" s="8">
        <f t="shared" ref="E28:F28" si="1">-E$20/(1+(E$21+E23))</f>
        <v>81300.813008130077</v>
      </c>
      <c r="F28" s="8">
        <f t="shared" si="1"/>
        <v>161290.32258064515</v>
      </c>
      <c r="I28" s="11"/>
      <c r="J28" s="8"/>
      <c r="K28" s="8"/>
      <c r="L28" s="8"/>
      <c r="M28" s="8"/>
    </row>
    <row r="29" spans="2:13" x14ac:dyDescent="0.25">
      <c r="B29" t="s">
        <v>36</v>
      </c>
      <c r="D29" s="8"/>
      <c r="E29" s="8">
        <f t="shared" ref="D29:F29" si="2">-E$20/(1+(E$21+E24))</f>
        <v>73529.411764705888</v>
      </c>
      <c r="F29" s="8">
        <f t="shared" si="2"/>
        <v>157480.31496062991</v>
      </c>
      <c r="I29" s="11"/>
      <c r="J29" s="8"/>
      <c r="K29" s="8"/>
      <c r="L29" s="8"/>
      <c r="M29" s="8"/>
    </row>
    <row r="30" spans="2:13" x14ac:dyDescent="0.25">
      <c r="B30" t="s">
        <v>37</v>
      </c>
      <c r="D30" s="8"/>
      <c r="E30" s="8"/>
      <c r="F30" s="8">
        <f t="shared" ref="D30:F30" si="3">-F$20/(1+(F$21+F25))</f>
        <v>158730.15873015873</v>
      </c>
      <c r="J30" s="4"/>
      <c r="K30" s="4"/>
      <c r="L30" s="4"/>
      <c r="M30" s="4"/>
    </row>
    <row r="31" spans="2:13" x14ac:dyDescent="0.25">
      <c r="B31" t="s">
        <v>46</v>
      </c>
      <c r="C31" s="13">
        <f>(C$20+C26)/C$20</f>
        <v>0.22480620155038761</v>
      </c>
      <c r="D31" s="13">
        <f t="shared" ref="D31:F31" si="4">(D$20+D26)/D$20</f>
        <v>0.13043478260869559</v>
      </c>
      <c r="E31" s="13">
        <f t="shared" si="4"/>
        <v>0.13793103448275856</v>
      </c>
      <c r="F31" s="13">
        <f t="shared" si="4"/>
        <v>0.1228070175438597</v>
      </c>
    </row>
    <row r="32" spans="2:13" x14ac:dyDescent="0.25">
      <c r="B32" t="s">
        <v>47</v>
      </c>
      <c r="C32" s="13"/>
      <c r="D32" s="13"/>
      <c r="E32" s="13"/>
      <c r="F32" s="13"/>
    </row>
    <row r="33" spans="2:6" x14ac:dyDescent="0.25">
      <c r="B33" t="s">
        <v>35</v>
      </c>
      <c r="C33" s="13"/>
      <c r="D33" s="13">
        <f>(D$20+D28)/D$20</f>
        <v>0.13793103448275856</v>
      </c>
      <c r="E33" s="13">
        <f t="shared" ref="C33:F33" si="5">(E$20+E28)/E$20</f>
        <v>0.18699186991869923</v>
      </c>
      <c r="F33" s="13">
        <f t="shared" si="5"/>
        <v>0.19354838709677424</v>
      </c>
    </row>
    <row r="34" spans="2:6" x14ac:dyDescent="0.25">
      <c r="B34" t="s">
        <v>36</v>
      </c>
      <c r="C34" s="13"/>
      <c r="D34" s="13"/>
      <c r="E34" s="13">
        <f t="shared" ref="C34:F34" si="6">(E$20+E29)/E$20</f>
        <v>0.26470588235294112</v>
      </c>
      <c r="F34" s="13">
        <f t="shared" si="6"/>
        <v>0.21259842519685043</v>
      </c>
    </row>
    <row r="35" spans="2:6" x14ac:dyDescent="0.25">
      <c r="B35" t="s">
        <v>37</v>
      </c>
      <c r="C35" s="13"/>
      <c r="D35" s="13"/>
      <c r="E35" s="13"/>
      <c r="F35" s="13">
        <f t="shared" ref="C35:F35" si="7">(F$20+F30)/F$20</f>
        <v>0.20634920634920637</v>
      </c>
    </row>
    <row r="37" spans="2:6" x14ac:dyDescent="0.25">
      <c r="B37" t="s">
        <v>23</v>
      </c>
      <c r="C37" t="s">
        <v>34</v>
      </c>
    </row>
    <row r="38" spans="2:6" x14ac:dyDescent="0.25">
      <c r="B38" t="s">
        <v>24</v>
      </c>
      <c r="E38" t="s">
        <v>34</v>
      </c>
    </row>
    <row r="39" spans="2:6" x14ac:dyDescent="0.25">
      <c r="B39" t="s">
        <v>48</v>
      </c>
      <c r="E39" t="s">
        <v>49</v>
      </c>
    </row>
  </sheetData>
  <mergeCells count="1">
    <mergeCell ref="B2:K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CE306-2D90-4C85-925D-222C36483A86}">
  <dimension ref="B2:K22"/>
  <sheetViews>
    <sheetView tabSelected="1" workbookViewId="0">
      <selection activeCell="C21" sqref="C21"/>
    </sheetView>
  </sheetViews>
  <sheetFormatPr defaultRowHeight="15" x14ac:dyDescent="0.25"/>
  <cols>
    <col min="2" max="2" width="16.85546875" bestFit="1" customWidth="1"/>
    <col min="3" max="4" width="10" bestFit="1" customWidth="1"/>
  </cols>
  <sheetData>
    <row r="2" spans="2:11" x14ac:dyDescent="0.25">
      <c r="B2" s="1" t="s">
        <v>12</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2" spans="2:11" x14ac:dyDescent="0.25">
      <c r="B12" t="s">
        <v>14</v>
      </c>
      <c r="C12" s="3">
        <v>-850000</v>
      </c>
      <c r="D12" s="3">
        <v>-850000</v>
      </c>
    </row>
    <row r="13" spans="2:11" x14ac:dyDescent="0.25">
      <c r="B13" t="s">
        <v>16</v>
      </c>
      <c r="C13" s="3">
        <v>290000</v>
      </c>
      <c r="D13" s="3">
        <v>325000</v>
      </c>
    </row>
    <row r="14" spans="2:11" x14ac:dyDescent="0.25">
      <c r="B14">
        <v>2</v>
      </c>
      <c r="C14" s="3">
        <v>290000</v>
      </c>
      <c r="D14" s="3">
        <v>325000</v>
      </c>
    </row>
    <row r="15" spans="2:11" x14ac:dyDescent="0.25">
      <c r="B15">
        <f>B14+1</f>
        <v>3</v>
      </c>
      <c r="C15" s="3">
        <v>290000</v>
      </c>
      <c r="D15" s="3">
        <v>325000</v>
      </c>
    </row>
    <row r="16" spans="2:11" x14ac:dyDescent="0.25">
      <c r="B16">
        <f t="shared" ref="B16:B17" si="0">B15+1</f>
        <v>4</v>
      </c>
      <c r="C16" s="3">
        <v>290000</v>
      </c>
      <c r="D16" s="3">
        <v>325000</v>
      </c>
    </row>
    <row r="17" spans="2:4" x14ac:dyDescent="0.25">
      <c r="B17">
        <f t="shared" si="0"/>
        <v>5</v>
      </c>
      <c r="C17" s="3">
        <v>290000</v>
      </c>
      <c r="D17" s="3">
        <v>325000</v>
      </c>
    </row>
    <row r="18" spans="2:4" x14ac:dyDescent="0.25">
      <c r="B18" t="s">
        <v>28</v>
      </c>
      <c r="C18" s="4">
        <v>0.2</v>
      </c>
    </row>
    <row r="19" spans="2:4" x14ac:dyDescent="0.25">
      <c r="B19" t="s">
        <v>18</v>
      </c>
      <c r="C19" s="4">
        <f>IRR(C12:C17)</f>
        <v>0.20920543841907113</v>
      </c>
      <c r="D19" s="4">
        <f>IRR(D12:D17)</f>
        <v>0.2637175065123345</v>
      </c>
    </row>
    <row r="20" spans="2:4" x14ac:dyDescent="0.25">
      <c r="B20" t="s">
        <v>52</v>
      </c>
      <c r="C20" s="3">
        <v>-982400</v>
      </c>
      <c r="D20" s="3">
        <v>-975400</v>
      </c>
    </row>
    <row r="22" spans="2:4" x14ac:dyDescent="0.25">
      <c r="B22" s="10" t="s">
        <v>50</v>
      </c>
    </row>
  </sheetData>
  <mergeCells count="1">
    <mergeCell ref="B2:K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AA03-55B0-4F4B-892D-4E9AC75A06E8}">
  <dimension ref="B2:K32"/>
  <sheetViews>
    <sheetView workbookViewId="0">
      <selection activeCell="F40" sqref="F39:F40"/>
    </sheetView>
  </sheetViews>
  <sheetFormatPr defaultRowHeight="15" x14ac:dyDescent="0.25"/>
  <cols>
    <col min="2" max="2" width="16.85546875" customWidth="1"/>
  </cols>
  <sheetData>
    <row r="2" spans="2:11" x14ac:dyDescent="0.25">
      <c r="B2" s="1" t="s">
        <v>1</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23" spans="2:3" x14ac:dyDescent="0.25">
      <c r="B23" t="s">
        <v>14</v>
      </c>
      <c r="C23">
        <v>-4000</v>
      </c>
    </row>
    <row r="24" spans="2:3" x14ac:dyDescent="0.25">
      <c r="B24" t="s">
        <v>16</v>
      </c>
      <c r="C24">
        <v>0</v>
      </c>
    </row>
    <row r="25" spans="2:3" x14ac:dyDescent="0.25">
      <c r="B25">
        <v>2</v>
      </c>
      <c r="C25">
        <v>-300</v>
      </c>
    </row>
    <row r="26" spans="2:3" x14ac:dyDescent="0.25">
      <c r="B26">
        <v>3</v>
      </c>
      <c r="C26">
        <v>-300</v>
      </c>
    </row>
    <row r="27" spans="2:3" x14ac:dyDescent="0.25">
      <c r="B27">
        <v>4</v>
      </c>
      <c r="C27">
        <v>-300</v>
      </c>
    </row>
    <row r="28" spans="2:3" x14ac:dyDescent="0.25">
      <c r="B28">
        <v>5</v>
      </c>
      <c r="C28">
        <v>-300</v>
      </c>
    </row>
    <row r="29" spans="2:3" x14ac:dyDescent="0.25">
      <c r="B29">
        <v>6</v>
      </c>
      <c r="C29">
        <v>-100</v>
      </c>
    </row>
    <row r="30" spans="2:3" x14ac:dyDescent="0.25">
      <c r="B30">
        <v>7</v>
      </c>
      <c r="C30">
        <v>-100</v>
      </c>
    </row>
    <row r="31" spans="2:3" x14ac:dyDescent="0.25">
      <c r="B31">
        <v>8</v>
      </c>
      <c r="C31">
        <f>-100 + 12000</f>
        <v>11900</v>
      </c>
    </row>
    <row r="32" spans="2:3" x14ac:dyDescent="0.25">
      <c r="B32" t="s">
        <v>18</v>
      </c>
      <c r="C32" s="5">
        <f>IRR(C23:C31)*100</f>
        <v>11.674923831347051</v>
      </c>
    </row>
  </sheetData>
  <mergeCells count="1">
    <mergeCell ref="B2:K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87952-BE96-4D0E-860E-CB564BD55550}">
  <dimension ref="B2:K21"/>
  <sheetViews>
    <sheetView workbookViewId="0">
      <selection activeCell="C12" sqref="C12:D21"/>
    </sheetView>
  </sheetViews>
  <sheetFormatPr defaultRowHeight="15" x14ac:dyDescent="0.25"/>
  <cols>
    <col min="2" max="2" width="14.42578125" customWidth="1"/>
    <col min="3" max="3" width="20" customWidth="1"/>
    <col min="4" max="4" width="10" bestFit="1" customWidth="1"/>
  </cols>
  <sheetData>
    <row r="2" spans="2:11" x14ac:dyDescent="0.25">
      <c r="B2" s="1" t="s">
        <v>2</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2" spans="2:11" x14ac:dyDescent="0.25">
      <c r="C12" t="s">
        <v>14</v>
      </c>
      <c r="D12" s="3">
        <v>-130000</v>
      </c>
    </row>
    <row r="13" spans="2:11" x14ac:dyDescent="0.25">
      <c r="C13" t="s">
        <v>16</v>
      </c>
      <c r="D13">
        <f>-49000+78000</f>
        <v>29000</v>
      </c>
    </row>
    <row r="14" spans="2:11" x14ac:dyDescent="0.25">
      <c r="C14">
        <v>2</v>
      </c>
      <c r="D14">
        <f>D13+1000</f>
        <v>30000</v>
      </c>
    </row>
    <row r="15" spans="2:11" x14ac:dyDescent="0.25">
      <c r="C15">
        <v>3</v>
      </c>
      <c r="D15">
        <f t="shared" ref="D15:D20" si="0">D14+1000</f>
        <v>31000</v>
      </c>
    </row>
    <row r="16" spans="2:11" x14ac:dyDescent="0.25">
      <c r="C16">
        <v>4</v>
      </c>
      <c r="D16">
        <f t="shared" si="0"/>
        <v>32000</v>
      </c>
    </row>
    <row r="17" spans="3:4" x14ac:dyDescent="0.25">
      <c r="C17">
        <v>5</v>
      </c>
      <c r="D17">
        <f t="shared" si="0"/>
        <v>33000</v>
      </c>
    </row>
    <row r="18" spans="3:4" x14ac:dyDescent="0.25">
      <c r="C18">
        <v>6</v>
      </c>
      <c r="D18">
        <f t="shared" si="0"/>
        <v>34000</v>
      </c>
    </row>
    <row r="19" spans="3:4" x14ac:dyDescent="0.25">
      <c r="C19">
        <v>7</v>
      </c>
      <c r="D19">
        <f t="shared" si="0"/>
        <v>35000</v>
      </c>
    </row>
    <row r="20" spans="3:4" x14ac:dyDescent="0.25">
      <c r="C20">
        <v>8</v>
      </c>
      <c r="D20">
        <f>D19+1000+23000</f>
        <v>59000</v>
      </c>
    </row>
    <row r="21" spans="3:4" x14ac:dyDescent="0.25">
      <c r="C21" t="s">
        <v>18</v>
      </c>
      <c r="D21" s="5">
        <f>IRR(D12:D20)*100</f>
        <v>19.170801836575269</v>
      </c>
    </row>
  </sheetData>
  <mergeCells count="1">
    <mergeCell ref="B2:K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DD113-8387-4FC8-A173-EB5630907C68}">
  <dimension ref="B2:K13"/>
  <sheetViews>
    <sheetView workbookViewId="0">
      <selection activeCell="G18" sqref="G18"/>
    </sheetView>
  </sheetViews>
  <sheetFormatPr defaultRowHeight="15" x14ac:dyDescent="0.25"/>
  <cols>
    <col min="2" max="2" width="20.28515625" customWidth="1"/>
    <col min="3" max="3" width="10.140625" customWidth="1"/>
  </cols>
  <sheetData>
    <row r="2" spans="2:11" x14ac:dyDescent="0.25">
      <c r="B2" s="1" t="s">
        <v>3</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1" spans="2:11" x14ac:dyDescent="0.25">
      <c r="B11" t="s">
        <v>14</v>
      </c>
      <c r="C11" s="3">
        <v>100000</v>
      </c>
    </row>
    <row r="12" spans="2:11" x14ac:dyDescent="0.25">
      <c r="B12" t="s">
        <v>53</v>
      </c>
      <c r="C12" s="3">
        <v>10000</v>
      </c>
      <c r="F12" s="16"/>
      <c r="G12" s="17"/>
    </row>
    <row r="13" spans="2:11" x14ac:dyDescent="0.25">
      <c r="B13" t="s">
        <v>54</v>
      </c>
      <c r="C13" s="4">
        <f>C12/C11</f>
        <v>0.1</v>
      </c>
    </row>
  </sheetData>
  <mergeCells count="1">
    <mergeCell ref="B2:K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98C09-2830-479D-AB23-69D03861FC40}">
  <dimension ref="B2:K20"/>
  <sheetViews>
    <sheetView workbookViewId="0">
      <selection activeCell="C20" sqref="C20"/>
    </sheetView>
  </sheetViews>
  <sheetFormatPr defaultRowHeight="15" x14ac:dyDescent="0.25"/>
  <cols>
    <col min="2" max="2" width="17" customWidth="1"/>
    <col min="3" max="3" width="10.42578125" customWidth="1"/>
  </cols>
  <sheetData>
    <row r="2" spans="2:11" x14ac:dyDescent="0.25">
      <c r="B2" s="1" t="s">
        <v>4</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1" spans="2:11" x14ac:dyDescent="0.25">
      <c r="B11" t="s">
        <v>14</v>
      </c>
      <c r="C11" s="6">
        <v>8200</v>
      </c>
    </row>
    <row r="12" spans="2:11" x14ac:dyDescent="0.25">
      <c r="B12" t="s">
        <v>16</v>
      </c>
      <c r="C12" s="6">
        <f>C18*C17</f>
        <v>800</v>
      </c>
    </row>
    <row r="13" spans="2:11" x14ac:dyDescent="0.25">
      <c r="B13">
        <v>2</v>
      </c>
      <c r="C13" s="6">
        <f>C12</f>
        <v>800</v>
      </c>
    </row>
    <row r="14" spans="2:11" x14ac:dyDescent="0.25">
      <c r="B14">
        <v>3</v>
      </c>
      <c r="C14" s="6">
        <f t="shared" ref="C14:C24" si="0">C13</f>
        <v>800</v>
      </c>
    </row>
    <row r="15" spans="2:11" x14ac:dyDescent="0.25">
      <c r="B15">
        <v>4</v>
      </c>
      <c r="C15" s="6">
        <f t="shared" si="0"/>
        <v>800</v>
      </c>
    </row>
    <row r="16" spans="2:11" x14ac:dyDescent="0.25">
      <c r="B16">
        <v>5</v>
      </c>
      <c r="C16" s="6">
        <f t="shared" si="0"/>
        <v>800</v>
      </c>
    </row>
    <row r="17" spans="2:3" x14ac:dyDescent="0.25">
      <c r="B17" t="s">
        <v>19</v>
      </c>
      <c r="C17" s="6">
        <v>10000</v>
      </c>
    </row>
    <row r="18" spans="2:3" x14ac:dyDescent="0.25">
      <c r="B18" t="s">
        <v>20</v>
      </c>
      <c r="C18" s="4">
        <v>0.08</v>
      </c>
    </row>
    <row r="19" spans="2:3" x14ac:dyDescent="0.25">
      <c r="B19" t="s">
        <v>21</v>
      </c>
      <c r="C19">
        <v>5</v>
      </c>
    </row>
    <row r="20" spans="2:3" x14ac:dyDescent="0.25">
      <c r="B20" t="s">
        <v>18</v>
      </c>
      <c r="C20" s="14">
        <f>((C12*C19)+C17-C11)/C11</f>
        <v>0.70731707317073167</v>
      </c>
    </row>
  </sheetData>
  <mergeCells count="1">
    <mergeCell ref="B2:K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26FA5-5944-4858-A7A2-B8AE205819B7}">
  <dimension ref="B2:K33"/>
  <sheetViews>
    <sheetView workbookViewId="0">
      <selection activeCell="C31" sqref="C31"/>
    </sheetView>
  </sheetViews>
  <sheetFormatPr defaultRowHeight="15" x14ac:dyDescent="0.25"/>
  <cols>
    <col min="2" max="2" width="16.85546875" customWidth="1"/>
    <col min="3" max="3" width="13.28515625" customWidth="1"/>
  </cols>
  <sheetData>
    <row r="2" spans="2:11" x14ac:dyDescent="0.25">
      <c r="B2" s="1" t="s">
        <v>5</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1" spans="2:11" x14ac:dyDescent="0.25">
      <c r="B11" t="s">
        <v>14</v>
      </c>
      <c r="C11" s="6">
        <v>-9250</v>
      </c>
    </row>
    <row r="12" spans="2:11" x14ac:dyDescent="0.25">
      <c r="B12" t="s">
        <v>16</v>
      </c>
      <c r="C12" s="6" t="s">
        <v>22</v>
      </c>
    </row>
    <row r="13" spans="2:11" x14ac:dyDescent="0.25">
      <c r="B13">
        <v>2</v>
      </c>
      <c r="C13" s="6" t="s">
        <v>22</v>
      </c>
    </row>
    <row r="14" spans="2:11" x14ac:dyDescent="0.25">
      <c r="B14">
        <v>3</v>
      </c>
      <c r="C14" s="6" t="s">
        <v>22</v>
      </c>
    </row>
    <row r="15" spans="2:11" x14ac:dyDescent="0.25">
      <c r="B15">
        <v>4</v>
      </c>
      <c r="C15" s="6" t="s">
        <v>22</v>
      </c>
    </row>
    <row r="16" spans="2:11" x14ac:dyDescent="0.25">
      <c r="B16">
        <f>B15+1</f>
        <v>5</v>
      </c>
      <c r="C16" s="6" t="s">
        <v>22</v>
      </c>
    </row>
    <row r="17" spans="2:3" x14ac:dyDescent="0.25">
      <c r="B17">
        <f t="shared" ref="B17:B29" si="0">B16+1</f>
        <v>6</v>
      </c>
      <c r="C17" s="6" t="s">
        <v>22</v>
      </c>
    </row>
    <row r="18" spans="2:3" x14ac:dyDescent="0.25">
      <c r="B18">
        <f t="shared" si="0"/>
        <v>7</v>
      </c>
      <c r="C18" s="6" t="s">
        <v>22</v>
      </c>
    </row>
    <row r="19" spans="2:3" x14ac:dyDescent="0.25">
      <c r="B19">
        <f t="shared" si="0"/>
        <v>8</v>
      </c>
      <c r="C19" s="6" t="s">
        <v>22</v>
      </c>
    </row>
    <row r="20" spans="2:3" x14ac:dyDescent="0.25">
      <c r="B20">
        <f t="shared" si="0"/>
        <v>9</v>
      </c>
      <c r="C20" s="6" t="s">
        <v>22</v>
      </c>
    </row>
    <row r="21" spans="2:3" x14ac:dyDescent="0.25">
      <c r="B21">
        <f t="shared" si="0"/>
        <v>10</v>
      </c>
      <c r="C21" s="6" t="s">
        <v>22</v>
      </c>
    </row>
    <row r="22" spans="2:3" x14ac:dyDescent="0.25">
      <c r="B22">
        <f t="shared" si="0"/>
        <v>11</v>
      </c>
      <c r="C22" s="6" t="s">
        <v>22</v>
      </c>
    </row>
    <row r="23" spans="2:3" x14ac:dyDescent="0.25">
      <c r="B23">
        <f t="shared" si="0"/>
        <v>12</v>
      </c>
      <c r="C23" s="6" t="s">
        <v>22</v>
      </c>
    </row>
    <row r="24" spans="2:3" x14ac:dyDescent="0.25">
      <c r="B24">
        <f t="shared" si="0"/>
        <v>13</v>
      </c>
      <c r="C24" s="6" t="s">
        <v>22</v>
      </c>
    </row>
    <row r="25" spans="2:3" x14ac:dyDescent="0.25">
      <c r="B25">
        <f t="shared" si="0"/>
        <v>14</v>
      </c>
      <c r="C25" s="6" t="s">
        <v>22</v>
      </c>
    </row>
    <row r="26" spans="2:3" x14ac:dyDescent="0.25">
      <c r="B26">
        <f t="shared" si="0"/>
        <v>15</v>
      </c>
      <c r="C26" s="6" t="s">
        <v>22</v>
      </c>
    </row>
    <row r="27" spans="2:3" x14ac:dyDescent="0.25">
      <c r="B27">
        <f t="shared" si="0"/>
        <v>16</v>
      </c>
      <c r="C27" s="6" t="s">
        <v>22</v>
      </c>
    </row>
    <row r="28" spans="2:3" x14ac:dyDescent="0.25">
      <c r="B28">
        <f t="shared" si="0"/>
        <v>17</v>
      </c>
      <c r="C28" s="6" t="s">
        <v>22</v>
      </c>
    </row>
    <row r="29" spans="2:3" x14ac:dyDescent="0.25">
      <c r="B29">
        <f t="shared" si="0"/>
        <v>18</v>
      </c>
      <c r="C29" s="6" t="s">
        <v>22</v>
      </c>
    </row>
    <row r="30" spans="2:3" x14ac:dyDescent="0.25">
      <c r="B30" t="s">
        <v>19</v>
      </c>
      <c r="C30" s="6">
        <v>50000</v>
      </c>
    </row>
    <row r="31" spans="2:3" x14ac:dyDescent="0.25">
      <c r="B31" t="s">
        <v>20</v>
      </c>
      <c r="C31" s="14">
        <f>RATE(C32,0,C11,C30)</f>
        <v>9.8279005420330467E-2</v>
      </c>
    </row>
    <row r="32" spans="2:3" x14ac:dyDescent="0.25">
      <c r="B32" t="s">
        <v>21</v>
      </c>
      <c r="C32">
        <v>18</v>
      </c>
    </row>
    <row r="33" spans="3:3" x14ac:dyDescent="0.25">
      <c r="C33" s="7"/>
    </row>
  </sheetData>
  <mergeCells count="1">
    <mergeCell ref="B2:K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247C-E509-4825-8751-366081BB578F}">
  <dimension ref="B2:K23"/>
  <sheetViews>
    <sheetView workbookViewId="0">
      <selection activeCell="C23" sqref="C23"/>
    </sheetView>
  </sheetViews>
  <sheetFormatPr defaultRowHeight="15" x14ac:dyDescent="0.25"/>
  <cols>
    <col min="2" max="2" width="17.28515625" customWidth="1"/>
  </cols>
  <sheetData>
    <row r="2" spans="2:11" x14ac:dyDescent="0.25">
      <c r="B2" s="1" t="s">
        <v>6</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2" spans="2:11" x14ac:dyDescent="0.25">
      <c r="B12" t="s">
        <v>14</v>
      </c>
      <c r="C12" s="3">
        <v>9200</v>
      </c>
      <c r="E12" t="s">
        <v>16</v>
      </c>
      <c r="F12" s="8">
        <f>PMT(C13,C14,C12,C15)</f>
        <v>-2887.7901074254833</v>
      </c>
    </row>
    <row r="13" spans="2:11" x14ac:dyDescent="0.25">
      <c r="B13" t="s">
        <v>20</v>
      </c>
      <c r="C13" s="4">
        <v>0.08</v>
      </c>
      <c r="E13">
        <v>2</v>
      </c>
      <c r="F13" s="8">
        <f>F12</f>
        <v>-2887.7901074254833</v>
      </c>
    </row>
    <row r="14" spans="2:11" x14ac:dyDescent="0.25">
      <c r="B14" t="s">
        <v>21</v>
      </c>
      <c r="C14">
        <v>7</v>
      </c>
      <c r="E14">
        <f>E13+1</f>
        <v>3</v>
      </c>
      <c r="F14" s="8">
        <f t="shared" ref="F14:F18" si="0">F13</f>
        <v>-2887.7901074254833</v>
      </c>
    </row>
    <row r="15" spans="2:11" x14ac:dyDescent="0.25">
      <c r="B15" t="s">
        <v>19</v>
      </c>
      <c r="C15" s="3">
        <v>10000</v>
      </c>
      <c r="E15">
        <f t="shared" ref="E15:E17" si="1">E14+1</f>
        <v>4</v>
      </c>
      <c r="F15" s="8">
        <f t="shared" si="0"/>
        <v>-2887.7901074254833</v>
      </c>
    </row>
    <row r="16" spans="2:11" x14ac:dyDescent="0.25">
      <c r="B16" t="s">
        <v>55</v>
      </c>
      <c r="C16" s="3">
        <f>5600</f>
        <v>5600</v>
      </c>
      <c r="E16">
        <f t="shared" si="1"/>
        <v>5</v>
      </c>
      <c r="F16" s="8">
        <f t="shared" si="0"/>
        <v>-2887.7901074254833</v>
      </c>
    </row>
    <row r="17" spans="2:6" x14ac:dyDescent="0.25">
      <c r="C17" s="3"/>
      <c r="E17">
        <f t="shared" si="1"/>
        <v>6</v>
      </c>
      <c r="F17" s="8">
        <f t="shared" si="0"/>
        <v>-2887.7901074254833</v>
      </c>
    </row>
    <row r="18" spans="2:6" x14ac:dyDescent="0.25">
      <c r="E18">
        <f>E17+1</f>
        <v>7</v>
      </c>
      <c r="F18" s="8">
        <f t="shared" si="0"/>
        <v>-2887.7901074254833</v>
      </c>
    </row>
    <row r="19" spans="2:6" x14ac:dyDescent="0.25">
      <c r="C19" s="12"/>
    </row>
    <row r="21" spans="2:6" x14ac:dyDescent="0.25">
      <c r="B21" t="s">
        <v>23</v>
      </c>
      <c r="C21" s="14">
        <f>-((((C15+C16-C12)/C12)^(1/C14))-1)</f>
        <v>5.0522686346897161E-2</v>
      </c>
    </row>
    <row r="23" spans="2:6" x14ac:dyDescent="0.25">
      <c r="B23" t="s">
        <v>24</v>
      </c>
      <c r="C23" s="14">
        <f>((1+C21)^4)-1</f>
        <v>0.2179283569538637</v>
      </c>
    </row>
  </sheetData>
  <mergeCells count="1">
    <mergeCell ref="B2:K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4E22-97BC-4ED2-B275-2106BB9BBEDD}">
  <dimension ref="B2:K20"/>
  <sheetViews>
    <sheetView workbookViewId="0">
      <selection activeCell="C19" sqref="C19"/>
    </sheetView>
  </sheetViews>
  <sheetFormatPr defaultRowHeight="15" x14ac:dyDescent="0.25"/>
  <cols>
    <col min="3" max="3" width="10.5703125" bestFit="1" customWidth="1"/>
    <col min="4" max="4" width="10.42578125" customWidth="1"/>
  </cols>
  <sheetData>
    <row r="2" spans="2:11" x14ac:dyDescent="0.25">
      <c r="B2" s="1" t="s">
        <v>7</v>
      </c>
      <c r="C2" s="1"/>
      <c r="D2" s="1"/>
      <c r="E2" s="1"/>
      <c r="F2" s="1"/>
      <c r="G2" s="1"/>
      <c r="H2" s="1"/>
      <c r="I2" s="1"/>
      <c r="J2" s="1"/>
      <c r="K2" s="1"/>
    </row>
    <row r="3" spans="2:11" x14ac:dyDescent="0.25">
      <c r="B3" s="1"/>
      <c r="C3" s="1"/>
      <c r="D3" s="1"/>
      <c r="E3" s="1"/>
      <c r="F3" s="1"/>
      <c r="G3" s="1"/>
      <c r="H3" s="1"/>
      <c r="I3" s="1"/>
      <c r="J3" s="1"/>
      <c r="K3" s="1"/>
    </row>
    <row r="4" spans="2:11" x14ac:dyDescent="0.25">
      <c r="B4" s="1"/>
      <c r="C4" s="1"/>
      <c r="D4" s="1"/>
      <c r="E4" s="1"/>
      <c r="F4" s="1"/>
      <c r="G4" s="1"/>
      <c r="H4" s="1"/>
      <c r="I4" s="1"/>
      <c r="J4" s="1"/>
      <c r="K4" s="1"/>
    </row>
    <row r="5" spans="2:11" x14ac:dyDescent="0.25">
      <c r="B5" s="1"/>
      <c r="C5" s="1"/>
      <c r="D5" s="1"/>
      <c r="E5" s="1"/>
      <c r="F5" s="1"/>
      <c r="G5" s="1"/>
      <c r="H5" s="1"/>
      <c r="I5" s="1"/>
      <c r="J5" s="1"/>
      <c r="K5" s="1"/>
    </row>
    <row r="6" spans="2:11" x14ac:dyDescent="0.25">
      <c r="B6" s="1"/>
      <c r="C6" s="1"/>
      <c r="D6" s="1"/>
      <c r="E6" s="1"/>
      <c r="F6" s="1"/>
      <c r="G6" s="1"/>
      <c r="H6" s="1"/>
      <c r="I6" s="1"/>
      <c r="J6" s="1"/>
      <c r="K6" s="1"/>
    </row>
    <row r="7" spans="2:11" x14ac:dyDescent="0.25">
      <c r="B7" s="1"/>
      <c r="C7" s="1"/>
      <c r="D7" s="1"/>
      <c r="E7" s="1"/>
      <c r="F7" s="1"/>
      <c r="G7" s="1"/>
      <c r="H7" s="1"/>
      <c r="I7" s="1"/>
      <c r="J7" s="1"/>
      <c r="K7" s="1"/>
    </row>
    <row r="8" spans="2:11" x14ac:dyDescent="0.25">
      <c r="B8" s="1"/>
      <c r="C8" s="1"/>
      <c r="D8" s="1"/>
      <c r="E8" s="1"/>
      <c r="F8" s="1"/>
      <c r="G8" s="1"/>
      <c r="H8" s="1"/>
      <c r="I8" s="1"/>
      <c r="J8" s="1"/>
      <c r="K8" s="1"/>
    </row>
    <row r="9" spans="2:11" x14ac:dyDescent="0.25">
      <c r="B9" s="1"/>
      <c r="C9" s="1"/>
      <c r="D9" s="1"/>
      <c r="E9" s="1"/>
      <c r="F9" s="1"/>
      <c r="G9" s="1"/>
      <c r="H9" s="1"/>
      <c r="I9" s="1"/>
      <c r="J9" s="1"/>
      <c r="K9" s="1"/>
    </row>
    <row r="11" spans="2:11" x14ac:dyDescent="0.25">
      <c r="C11" t="s">
        <v>26</v>
      </c>
      <c r="D11" t="s">
        <v>27</v>
      </c>
    </row>
    <row r="12" spans="2:11" x14ac:dyDescent="0.25">
      <c r="B12" t="s">
        <v>25</v>
      </c>
      <c r="C12" s="3">
        <v>30900</v>
      </c>
      <c r="D12" s="3">
        <v>36400</v>
      </c>
    </row>
    <row r="13" spans="2:11" x14ac:dyDescent="0.25">
      <c r="B13" t="s">
        <v>56</v>
      </c>
      <c r="C13" s="3">
        <v>600</v>
      </c>
      <c r="D13" s="3">
        <v>0</v>
      </c>
    </row>
    <row r="14" spans="2:11" x14ac:dyDescent="0.25">
      <c r="B14" t="s">
        <v>21</v>
      </c>
      <c r="C14">
        <v>3</v>
      </c>
      <c r="D14">
        <v>3</v>
      </c>
    </row>
    <row r="15" spans="2:11" x14ac:dyDescent="0.25">
      <c r="B15" t="s">
        <v>17</v>
      </c>
      <c r="C15" s="9">
        <f>C12*0.5</f>
        <v>15450</v>
      </c>
      <c r="D15" s="9">
        <f>D12*0.6</f>
        <v>21840</v>
      </c>
    </row>
    <row r="16" spans="2:11" x14ac:dyDescent="0.25">
      <c r="B16" t="s">
        <v>57</v>
      </c>
      <c r="C16" s="9">
        <f>C12+(C14*C13)-C15</f>
        <v>17250</v>
      </c>
      <c r="D16" s="9">
        <f>D12+(D14*D13)-D15</f>
        <v>14560</v>
      </c>
    </row>
    <row r="17" spans="2:5" x14ac:dyDescent="0.25">
      <c r="B17" t="s">
        <v>28</v>
      </c>
      <c r="C17" s="4">
        <v>0.18</v>
      </c>
      <c r="D17" s="4">
        <v>0.18</v>
      </c>
    </row>
    <row r="18" spans="2:5" x14ac:dyDescent="0.25">
      <c r="B18" t="s">
        <v>54</v>
      </c>
      <c r="C18" s="13">
        <f>(C16-C12)/C12</f>
        <v>-0.44174757281553401</v>
      </c>
      <c r="D18" s="13">
        <f>(D16-D12)/D12</f>
        <v>-0.6</v>
      </c>
    </row>
    <row r="19" spans="2:5" x14ac:dyDescent="0.25">
      <c r="B19" t="s">
        <v>23</v>
      </c>
      <c r="C19" s="13"/>
      <c r="D19" s="13"/>
      <c r="E19" s="14">
        <f>C18-D18</f>
        <v>0.15825242718446597</v>
      </c>
    </row>
    <row r="20" spans="2:5" x14ac:dyDescent="0.25">
      <c r="B20" t="s">
        <v>24</v>
      </c>
      <c r="C20" s="10" t="s">
        <v>29</v>
      </c>
    </row>
  </sheetData>
  <mergeCells count="1">
    <mergeCell ref="B2:K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4459-40C5-4AD6-8282-F256D9DF089A}">
  <dimension ref="B2:K27"/>
  <sheetViews>
    <sheetView workbookViewId="0">
      <selection activeCell="H27" sqref="H27"/>
    </sheetView>
  </sheetViews>
  <sheetFormatPr defaultRowHeight="15" x14ac:dyDescent="0.25"/>
  <cols>
    <col min="3" max="4" width="12.85546875" customWidth="1"/>
  </cols>
  <sheetData>
    <row r="2" spans="2:11" x14ac:dyDescent="0.25">
      <c r="B2" s="1" t="s">
        <v>8</v>
      </c>
      <c r="C2" s="2"/>
      <c r="D2" s="2"/>
      <c r="E2" s="2"/>
      <c r="F2" s="2"/>
      <c r="G2" s="2"/>
      <c r="H2" s="2"/>
      <c r="I2" s="2"/>
      <c r="J2" s="2"/>
      <c r="K2" s="2"/>
    </row>
    <row r="3" spans="2:11" x14ac:dyDescent="0.25">
      <c r="B3" s="2"/>
      <c r="C3" s="2"/>
      <c r="D3" s="2"/>
      <c r="E3" s="2"/>
      <c r="F3" s="2"/>
      <c r="G3" s="2"/>
      <c r="H3" s="2"/>
      <c r="I3" s="2"/>
      <c r="J3" s="2"/>
      <c r="K3" s="2"/>
    </row>
    <row r="4" spans="2:11" x14ac:dyDescent="0.25">
      <c r="B4" s="2"/>
      <c r="C4" s="2"/>
      <c r="D4" s="2"/>
      <c r="E4" s="2"/>
      <c r="F4" s="2"/>
      <c r="G4" s="2"/>
      <c r="H4" s="2"/>
      <c r="I4" s="2"/>
      <c r="J4" s="2"/>
      <c r="K4" s="2"/>
    </row>
    <row r="5" spans="2:11" x14ac:dyDescent="0.25">
      <c r="B5" s="2"/>
      <c r="C5" s="2"/>
      <c r="D5" s="2"/>
      <c r="E5" s="2"/>
      <c r="F5" s="2"/>
      <c r="G5" s="2"/>
      <c r="H5" s="2"/>
      <c r="I5" s="2"/>
      <c r="J5" s="2"/>
      <c r="K5" s="2"/>
    </row>
    <row r="6" spans="2:11" x14ac:dyDescent="0.25">
      <c r="B6" s="2"/>
      <c r="C6" s="2"/>
      <c r="D6" s="2"/>
      <c r="E6" s="2"/>
      <c r="F6" s="2"/>
      <c r="G6" s="2"/>
      <c r="H6" s="2"/>
      <c r="I6" s="2"/>
      <c r="J6" s="2"/>
      <c r="K6" s="2"/>
    </row>
    <row r="7" spans="2:11" x14ac:dyDescent="0.25">
      <c r="B7" s="2"/>
      <c r="C7" s="2"/>
      <c r="D7" s="2"/>
      <c r="E7" s="2"/>
      <c r="F7" s="2"/>
      <c r="G7" s="2"/>
      <c r="H7" s="2"/>
      <c r="I7" s="2"/>
      <c r="J7" s="2"/>
      <c r="K7" s="2"/>
    </row>
    <row r="8" spans="2:11" x14ac:dyDescent="0.25">
      <c r="B8" s="2"/>
      <c r="C8" s="2"/>
      <c r="D8" s="2"/>
      <c r="E8" s="2"/>
      <c r="F8" s="2"/>
      <c r="G8" s="2"/>
      <c r="H8" s="2"/>
      <c r="I8" s="2"/>
      <c r="J8" s="2"/>
      <c r="K8" s="2"/>
    </row>
    <row r="9" spans="2:11" x14ac:dyDescent="0.25">
      <c r="B9" s="2"/>
      <c r="C9" s="2"/>
      <c r="D9" s="2"/>
      <c r="E9" s="2"/>
      <c r="F9" s="2"/>
      <c r="G9" s="2"/>
      <c r="H9" s="2"/>
      <c r="I9" s="2"/>
      <c r="J9" s="2"/>
      <c r="K9" s="2"/>
    </row>
    <row r="17" spans="2:5" x14ac:dyDescent="0.25">
      <c r="C17" t="s">
        <v>31</v>
      </c>
      <c r="D17" t="s">
        <v>32</v>
      </c>
    </row>
    <row r="18" spans="2:5" x14ac:dyDescent="0.25">
      <c r="B18" t="s">
        <v>30</v>
      </c>
      <c r="C18" s="3">
        <v>-18000</v>
      </c>
      <c r="D18" s="3">
        <v>-35000</v>
      </c>
    </row>
    <row r="19" spans="2:5" x14ac:dyDescent="0.25">
      <c r="B19" t="s">
        <v>56</v>
      </c>
      <c r="C19" s="3">
        <v>4000</v>
      </c>
      <c r="D19" s="3">
        <v>3600</v>
      </c>
    </row>
    <row r="20" spans="2:5" x14ac:dyDescent="0.25">
      <c r="B20" t="s">
        <v>17</v>
      </c>
      <c r="C20" s="3">
        <v>1000</v>
      </c>
      <c r="D20" s="3">
        <v>2700</v>
      </c>
    </row>
    <row r="21" spans="2:5" x14ac:dyDescent="0.25">
      <c r="B21" t="s">
        <v>33</v>
      </c>
      <c r="C21">
        <v>3</v>
      </c>
      <c r="D21">
        <v>6</v>
      </c>
    </row>
    <row r="22" spans="2:5" x14ac:dyDescent="0.25">
      <c r="B22" t="s">
        <v>28</v>
      </c>
      <c r="C22" s="4">
        <v>0.1</v>
      </c>
      <c r="D22" s="4">
        <v>0.1</v>
      </c>
    </row>
    <row r="23" spans="2:5" x14ac:dyDescent="0.25">
      <c r="C23" s="3"/>
      <c r="D23" s="3"/>
    </row>
    <row r="24" spans="2:5" x14ac:dyDescent="0.25">
      <c r="B24" t="s">
        <v>23</v>
      </c>
      <c r="C24" s="15">
        <f>-IRR(C18:C19)</f>
        <v>0.77777777777777779</v>
      </c>
      <c r="D24" s="15">
        <f>-IRR(D18:D23)</f>
        <v>0.66515442005056502</v>
      </c>
      <c r="E24" s="14">
        <f>C24-D24</f>
        <v>0.11262335772721277</v>
      </c>
    </row>
    <row r="25" spans="2:5" x14ac:dyDescent="0.25">
      <c r="C25" s="10" t="s">
        <v>29</v>
      </c>
    </row>
    <row r="26" spans="2:5" x14ac:dyDescent="0.25">
      <c r="B26" t="s">
        <v>24</v>
      </c>
      <c r="C26" s="8">
        <f>((-C18-C20)/C21)+C19</f>
        <v>9666.6666666666679</v>
      </c>
      <c r="D26" s="8">
        <f>((-D18-D20)/D21)+D19</f>
        <v>8983.3333333333321</v>
      </c>
    </row>
    <row r="27" spans="2:5" x14ac:dyDescent="0.25">
      <c r="C27" t="s">
        <v>51</v>
      </c>
    </row>
  </sheetData>
  <mergeCells count="1">
    <mergeCell ref="B2:K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7.7</vt:lpstr>
      <vt:lpstr>7.11</vt:lpstr>
      <vt:lpstr>7.17</vt:lpstr>
      <vt:lpstr>7.19</vt:lpstr>
      <vt:lpstr>7.46</vt:lpstr>
      <vt:lpstr>7.47</vt:lpstr>
      <vt:lpstr>7.51</vt:lpstr>
      <vt:lpstr>8.19</vt:lpstr>
      <vt:lpstr>8.25</vt:lpstr>
      <vt:lpstr>8.31</vt:lpstr>
      <vt:lpstr>8.33</vt:lpstr>
      <vt:lpstr>8.37</vt:lpstr>
      <vt:lpstr>18.1</vt:lpstr>
    </vt:vector>
  </TitlesOfParts>
  <Company>Deutsche Post DHL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Meckstroth (DHL Supply Chain), external</dc:creator>
  <cp:lastModifiedBy>Epic Gage</cp:lastModifiedBy>
  <dcterms:created xsi:type="dcterms:W3CDTF">2022-10-04T14:35:18Z</dcterms:created>
  <dcterms:modified xsi:type="dcterms:W3CDTF">2023-10-03T02:48:21Z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6915f3-2f02-4945-8997-f2963298db46_Enabled">
    <vt:lpwstr>true</vt:lpwstr>
  </property>
  <property fmtid="{D5CDD505-2E9C-101B-9397-08002B2CF9AE}" pid="3" name="MSIP_Label_736915f3-2f02-4945-8997-f2963298db46_SetDate">
    <vt:lpwstr>2022-10-04T14:49:30Z</vt:lpwstr>
  </property>
  <property fmtid="{D5CDD505-2E9C-101B-9397-08002B2CF9AE}" pid="4" name="MSIP_Label_736915f3-2f02-4945-8997-f2963298db46_Method">
    <vt:lpwstr>Standard</vt:lpwstr>
  </property>
  <property fmtid="{D5CDD505-2E9C-101B-9397-08002B2CF9AE}" pid="5" name="MSIP_Label_736915f3-2f02-4945-8997-f2963298db46_Name">
    <vt:lpwstr>Internal</vt:lpwstr>
  </property>
  <property fmtid="{D5CDD505-2E9C-101B-9397-08002B2CF9AE}" pid="6" name="MSIP_Label_736915f3-2f02-4945-8997-f2963298db46_SiteId">
    <vt:lpwstr>cd99fef8-1cd3-4a2a-9bdf-15531181d65e</vt:lpwstr>
  </property>
  <property fmtid="{D5CDD505-2E9C-101B-9397-08002B2CF9AE}" pid="7" name="MSIP_Label_736915f3-2f02-4945-8997-f2963298db46_ActionId">
    <vt:lpwstr>0affe4d4-c7f9-4128-8898-9a6d255fb0af</vt:lpwstr>
  </property>
  <property fmtid="{D5CDD505-2E9C-101B-9397-08002B2CF9AE}" pid="8" name="MSIP_Label_736915f3-2f02-4945-8997-f2963298db46_ContentBits">
    <vt:lpwstr>1</vt:lpwstr>
  </property>
</Properties>
</file>